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workbookPr defaultThemeVersion="124226"/>
  <mc:AlternateContent xmlns:mc="http://schemas.openxmlformats.org/markup-compatibility/2006">
    <mc:Choice Requires="x15">
      <x15ac:absPath xmlns:x15ac="http://schemas.microsoft.com/office/spreadsheetml/2010/11/ac" url="/Users/paulacamargo/Documents/USACA/PROCESOS/MALLA VIAL/9. EVALUACION PRELIMINAR/PUBLICAR/"/>
    </mc:Choice>
  </mc:AlternateContent>
  <xr:revisionPtr revIDLastSave="0" documentId="13_ncr:1_{E830E87D-C463-C149-8D95-31C9FF99A3C2}" xr6:coauthVersionLast="47" xr6:coauthVersionMax="47" xr10:uidLastSave="{00000000-0000-0000-0000-000000000000}"/>
  <bookViews>
    <workbookView xWindow="0" yWindow="720" windowWidth="29400" windowHeight="18400" tabRatio="688" xr2:uid="{00000000-000D-0000-FFFF-FFFF00000000}"/>
  </bookViews>
  <sheets>
    <sheet name="CONSOLIDADO" sheetId="16" r:id="rId1"/>
    <sheet name="PONDERACION" sheetId="22" r:id="rId2"/>
    <sheet name="KRESIDUAL" sheetId="141" r:id="rId3"/>
    <sheet name="1" sheetId="8" r:id="rId4"/>
    <sheet name="K RESIDUAL DOCUMENTOS" sheetId="20" state="hidden" r:id="rId5"/>
    <sheet name="K RESIDUAL CALCULO" sheetId="19" state="hidden" r:id="rId6"/>
    <sheet name="2" sheetId="108" r:id="rId7"/>
    <sheet name="3" sheetId="109" r:id="rId8"/>
    <sheet name="4" sheetId="110" r:id="rId9"/>
    <sheet name="5" sheetId="111" r:id="rId10"/>
    <sheet name="6" sheetId="112" r:id="rId11"/>
    <sheet name="7" sheetId="113" r:id="rId12"/>
    <sheet name="8" sheetId="114" r:id="rId13"/>
    <sheet name="9" sheetId="115" r:id="rId14"/>
    <sheet name="10" sheetId="116" r:id="rId15"/>
    <sheet name="11" sheetId="117" r:id="rId16"/>
    <sheet name="12" sheetId="118" r:id="rId17"/>
    <sheet name="13" sheetId="119" r:id="rId18"/>
    <sheet name="14" sheetId="120" r:id="rId19"/>
    <sheet name="15" sheetId="121" r:id="rId20"/>
    <sheet name="16" sheetId="122" r:id="rId21"/>
    <sheet name="17" sheetId="123" r:id="rId22"/>
    <sheet name="18" sheetId="124" r:id="rId23"/>
    <sheet name="19" sheetId="125" r:id="rId24"/>
    <sheet name="20" sheetId="126" r:id="rId25"/>
    <sheet name="21" sheetId="127" r:id="rId26"/>
    <sheet name="22" sheetId="140" r:id="rId27"/>
    <sheet name="23" sheetId="129" r:id="rId28"/>
    <sheet name="24" sheetId="130" r:id="rId29"/>
    <sheet name="25" sheetId="131" r:id="rId30"/>
    <sheet name="26" sheetId="132" r:id="rId31"/>
    <sheet name="27" sheetId="133" r:id="rId32"/>
    <sheet name="28" sheetId="134" r:id="rId33"/>
    <sheet name="29" sheetId="135" r:id="rId34"/>
    <sheet name="30" sheetId="136" r:id="rId35"/>
    <sheet name="31" sheetId="137" r:id="rId36"/>
    <sheet name="32" sheetId="138" r:id="rId37"/>
    <sheet name="33" sheetId="139" r:id="rId38"/>
    <sheet name="PROPONENTES" sheetId="107" r:id="rId39"/>
    <sheet name="DATOS INICIALES" sheetId="1" r:id="rId40"/>
    <sheet name="OFERTA ECONOMICA" sheetId="51" r:id="rId41"/>
  </sheets>
  <definedNames>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5">#REF!</definedName>
    <definedName name="_____ane7" localSheetId="16">#REF!</definedName>
    <definedName name="_____ane7" localSheetId="18">#REF!</definedName>
    <definedName name="_____ane7" localSheetId="19">#REF!</definedName>
    <definedName name="_____ane7" localSheetId="21">#REF!</definedName>
    <definedName name="_____ane7" localSheetId="22">#REF!</definedName>
    <definedName name="_____ane7" localSheetId="6">#REF!</definedName>
    <definedName name="_____ane7" localSheetId="24">#REF!</definedName>
    <definedName name="_____ane7" localSheetId="25">#REF!</definedName>
    <definedName name="_____ane7" localSheetId="26">#REF!</definedName>
    <definedName name="_____ane7" localSheetId="27">#REF!</definedName>
    <definedName name="_____ane7" localSheetId="28">#REF!</definedName>
    <definedName name="_____ane7" localSheetId="30">#REF!</definedName>
    <definedName name="_____ane7" localSheetId="31">#REF!</definedName>
    <definedName name="_____ane7" localSheetId="33">#REF!</definedName>
    <definedName name="_____ane7" localSheetId="7">#REF!</definedName>
    <definedName name="_____ane7" localSheetId="34">#REF!</definedName>
    <definedName name="_____ane7" localSheetId="36">#REF!</definedName>
    <definedName name="_____ane7" localSheetId="37">#REF!</definedName>
    <definedName name="_____ane7" localSheetId="9">#REF!</definedName>
    <definedName name="_____ane7" localSheetId="10">#REF!</definedName>
    <definedName name="_____ane7" localSheetId="12">#REF!</definedName>
    <definedName name="_____ane7" localSheetId="13">#REF!</definedName>
    <definedName name="_____ane7">#REF!</definedName>
    <definedName name="_____ane8" localSheetId="15">#REF!</definedName>
    <definedName name="_____ane8" localSheetId="16">#REF!</definedName>
    <definedName name="_____ane8" localSheetId="18">#REF!</definedName>
    <definedName name="_____ane8" localSheetId="19">#REF!</definedName>
    <definedName name="_____ane8" localSheetId="21">#REF!</definedName>
    <definedName name="_____ane8" localSheetId="22">#REF!</definedName>
    <definedName name="_____ane8" localSheetId="6">#REF!</definedName>
    <definedName name="_____ane8" localSheetId="24">#REF!</definedName>
    <definedName name="_____ane8" localSheetId="25">#REF!</definedName>
    <definedName name="_____ane8" localSheetId="26">#REF!</definedName>
    <definedName name="_____ane8" localSheetId="27">#REF!</definedName>
    <definedName name="_____ane8" localSheetId="28">#REF!</definedName>
    <definedName name="_____ane8" localSheetId="30">#REF!</definedName>
    <definedName name="_____ane8" localSheetId="31">#REF!</definedName>
    <definedName name="_____ane8" localSheetId="33">#REF!</definedName>
    <definedName name="_____ane8" localSheetId="7">#REF!</definedName>
    <definedName name="_____ane8" localSheetId="34">#REF!</definedName>
    <definedName name="_____ane8" localSheetId="36">#REF!</definedName>
    <definedName name="_____ane8" localSheetId="37">#REF!</definedName>
    <definedName name="_____ane8" localSheetId="9">#REF!</definedName>
    <definedName name="_____ane8" localSheetId="10">#REF!</definedName>
    <definedName name="_____ane8" localSheetId="12">#REF!</definedName>
    <definedName name="_____ane8" localSheetId="13">#REF!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5">#REF!</definedName>
    <definedName name="____ane7" localSheetId="16">#REF!</definedName>
    <definedName name="____ane7" localSheetId="18">#REF!</definedName>
    <definedName name="____ane7" localSheetId="19">#REF!</definedName>
    <definedName name="____ane7" localSheetId="21">#REF!</definedName>
    <definedName name="____ane7" localSheetId="22">#REF!</definedName>
    <definedName name="____ane7" localSheetId="6">#REF!</definedName>
    <definedName name="____ane7" localSheetId="24">#REF!</definedName>
    <definedName name="____ane7" localSheetId="25">#REF!</definedName>
    <definedName name="____ane7" localSheetId="26">#REF!</definedName>
    <definedName name="____ane7" localSheetId="27">#REF!</definedName>
    <definedName name="____ane7" localSheetId="28">#REF!</definedName>
    <definedName name="____ane7" localSheetId="30">#REF!</definedName>
    <definedName name="____ane7" localSheetId="31">#REF!</definedName>
    <definedName name="____ane7" localSheetId="33">#REF!</definedName>
    <definedName name="____ane7" localSheetId="7">#REF!</definedName>
    <definedName name="____ane7" localSheetId="34">#REF!</definedName>
    <definedName name="____ane7" localSheetId="36">#REF!</definedName>
    <definedName name="____ane7" localSheetId="37">#REF!</definedName>
    <definedName name="____ane7" localSheetId="9">#REF!</definedName>
    <definedName name="____ane7" localSheetId="10">#REF!</definedName>
    <definedName name="____ane7" localSheetId="12">#REF!</definedName>
    <definedName name="____ane7" localSheetId="13">#REF!</definedName>
    <definedName name="____ane7">#REF!</definedName>
    <definedName name="____ane8" localSheetId="15">#REF!</definedName>
    <definedName name="____ane8" localSheetId="16">#REF!</definedName>
    <definedName name="____ane8" localSheetId="18">#REF!</definedName>
    <definedName name="____ane8" localSheetId="19">#REF!</definedName>
    <definedName name="____ane8" localSheetId="21">#REF!</definedName>
    <definedName name="____ane8" localSheetId="22">#REF!</definedName>
    <definedName name="____ane8" localSheetId="6">#REF!</definedName>
    <definedName name="____ane8" localSheetId="24">#REF!</definedName>
    <definedName name="____ane8" localSheetId="25">#REF!</definedName>
    <definedName name="____ane8" localSheetId="26">#REF!</definedName>
    <definedName name="____ane8" localSheetId="27">#REF!</definedName>
    <definedName name="____ane8" localSheetId="28">#REF!</definedName>
    <definedName name="____ane8" localSheetId="30">#REF!</definedName>
    <definedName name="____ane8" localSheetId="31">#REF!</definedName>
    <definedName name="____ane8" localSheetId="33">#REF!</definedName>
    <definedName name="____ane8" localSheetId="7">#REF!</definedName>
    <definedName name="____ane8" localSheetId="34">#REF!</definedName>
    <definedName name="____ane8" localSheetId="36">#REF!</definedName>
    <definedName name="____ane8" localSheetId="37">#REF!</definedName>
    <definedName name="____ane8" localSheetId="9">#REF!</definedName>
    <definedName name="____ane8" localSheetId="10">#REF!</definedName>
    <definedName name="____ane8" localSheetId="12">#REF!</definedName>
    <definedName name="____ane8" localSheetId="13">#REF!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5">#REF!</definedName>
    <definedName name="___ane7" localSheetId="16">#REF!</definedName>
    <definedName name="___ane7" localSheetId="18">#REF!</definedName>
    <definedName name="___ane7" localSheetId="19">#REF!</definedName>
    <definedName name="___ane7" localSheetId="21">#REF!</definedName>
    <definedName name="___ane7" localSheetId="22">#REF!</definedName>
    <definedName name="___ane7" localSheetId="6">#REF!</definedName>
    <definedName name="___ane7" localSheetId="24">#REF!</definedName>
    <definedName name="___ane7" localSheetId="25">#REF!</definedName>
    <definedName name="___ane7" localSheetId="26">#REF!</definedName>
    <definedName name="___ane7" localSheetId="27">#REF!</definedName>
    <definedName name="___ane7" localSheetId="28">#REF!</definedName>
    <definedName name="___ane7" localSheetId="30">#REF!</definedName>
    <definedName name="___ane7" localSheetId="31">#REF!</definedName>
    <definedName name="___ane7" localSheetId="33">#REF!</definedName>
    <definedName name="___ane7" localSheetId="7">#REF!</definedName>
    <definedName name="___ane7" localSheetId="34">#REF!</definedName>
    <definedName name="___ane7" localSheetId="36">#REF!</definedName>
    <definedName name="___ane7" localSheetId="37">#REF!</definedName>
    <definedName name="___ane7" localSheetId="9">#REF!</definedName>
    <definedName name="___ane7" localSheetId="10">#REF!</definedName>
    <definedName name="___ane7" localSheetId="12">#REF!</definedName>
    <definedName name="___ane7" localSheetId="13">#REF!</definedName>
    <definedName name="___ane7">#REF!</definedName>
    <definedName name="___ane8" localSheetId="15">#REF!</definedName>
    <definedName name="___ane8" localSheetId="16">#REF!</definedName>
    <definedName name="___ane8" localSheetId="18">#REF!</definedName>
    <definedName name="___ane8" localSheetId="19">#REF!</definedName>
    <definedName name="___ane8" localSheetId="21">#REF!</definedName>
    <definedName name="___ane8" localSheetId="22">#REF!</definedName>
    <definedName name="___ane8" localSheetId="6">#REF!</definedName>
    <definedName name="___ane8" localSheetId="24">#REF!</definedName>
    <definedName name="___ane8" localSheetId="25">#REF!</definedName>
    <definedName name="___ane8" localSheetId="26">#REF!</definedName>
    <definedName name="___ane8" localSheetId="27">#REF!</definedName>
    <definedName name="___ane8" localSheetId="28">#REF!</definedName>
    <definedName name="___ane8" localSheetId="30">#REF!</definedName>
    <definedName name="___ane8" localSheetId="31">#REF!</definedName>
    <definedName name="___ane8" localSheetId="33">#REF!</definedName>
    <definedName name="___ane8" localSheetId="7">#REF!</definedName>
    <definedName name="___ane8" localSheetId="34">#REF!</definedName>
    <definedName name="___ane8" localSheetId="36">#REF!</definedName>
    <definedName name="___ane8" localSheetId="37">#REF!</definedName>
    <definedName name="___ane8" localSheetId="9">#REF!</definedName>
    <definedName name="___ane8" localSheetId="10">#REF!</definedName>
    <definedName name="___ane8" localSheetId="12">#REF!</definedName>
    <definedName name="___ane8" localSheetId="13">#REF!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5">#REF!</definedName>
    <definedName name="__ane7" localSheetId="16">#REF!</definedName>
    <definedName name="__ane7" localSheetId="18">#REF!</definedName>
    <definedName name="__ane7" localSheetId="19">#REF!</definedName>
    <definedName name="__ane7" localSheetId="21">#REF!</definedName>
    <definedName name="__ane7" localSheetId="22">#REF!</definedName>
    <definedName name="__ane7" localSheetId="6">#REF!</definedName>
    <definedName name="__ane7" localSheetId="24">#REF!</definedName>
    <definedName name="__ane7" localSheetId="25">#REF!</definedName>
    <definedName name="__ane7" localSheetId="26">#REF!</definedName>
    <definedName name="__ane7" localSheetId="27">#REF!</definedName>
    <definedName name="__ane7" localSheetId="28">#REF!</definedName>
    <definedName name="__ane7" localSheetId="30">#REF!</definedName>
    <definedName name="__ane7" localSheetId="31">#REF!</definedName>
    <definedName name="__ane7" localSheetId="33">#REF!</definedName>
    <definedName name="__ane7" localSheetId="7">#REF!</definedName>
    <definedName name="__ane7" localSheetId="34">#REF!</definedName>
    <definedName name="__ane7" localSheetId="36">#REF!</definedName>
    <definedName name="__ane7" localSheetId="37">#REF!</definedName>
    <definedName name="__ane7" localSheetId="9">#REF!</definedName>
    <definedName name="__ane7" localSheetId="10">#REF!</definedName>
    <definedName name="__ane7" localSheetId="12">#REF!</definedName>
    <definedName name="__ane7" localSheetId="13">#REF!</definedName>
    <definedName name="__ane7">#REF!</definedName>
    <definedName name="__ane8" localSheetId="15">#REF!</definedName>
    <definedName name="__ane8" localSheetId="16">#REF!</definedName>
    <definedName name="__ane8" localSheetId="18">#REF!</definedName>
    <definedName name="__ane8" localSheetId="19">#REF!</definedName>
    <definedName name="__ane8" localSheetId="21">#REF!</definedName>
    <definedName name="__ane8" localSheetId="22">#REF!</definedName>
    <definedName name="__ane8" localSheetId="6">#REF!</definedName>
    <definedName name="__ane8" localSheetId="24">#REF!</definedName>
    <definedName name="__ane8" localSheetId="25">#REF!</definedName>
    <definedName name="__ane8" localSheetId="26">#REF!</definedName>
    <definedName name="__ane8" localSheetId="27">#REF!</definedName>
    <definedName name="__ane8" localSheetId="28">#REF!</definedName>
    <definedName name="__ane8" localSheetId="30">#REF!</definedName>
    <definedName name="__ane8" localSheetId="31">#REF!</definedName>
    <definedName name="__ane8" localSheetId="33">#REF!</definedName>
    <definedName name="__ane8" localSheetId="7">#REF!</definedName>
    <definedName name="__ane8" localSheetId="34">#REF!</definedName>
    <definedName name="__ane8" localSheetId="36">#REF!</definedName>
    <definedName name="__ane8" localSheetId="37">#REF!</definedName>
    <definedName name="__ane8" localSheetId="9">#REF!</definedName>
    <definedName name="__ane8" localSheetId="10">#REF!</definedName>
    <definedName name="__ane8" localSheetId="12">#REF!</definedName>
    <definedName name="__ane8" localSheetId="13">#REF!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38">[0]!ERR</definedName>
    <definedName name="__F">[0]!ERR</definedName>
    <definedName name="__FS01" localSheetId="38">[0]!ERR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8" hidden="1">{"TAB1",#N/A,TRUE,"GENERAL";"TAB2",#N/A,TRUE,"GENERAL";"TAB3",#N/A,TRUE,"GENERAL";"TAB4",#N/A,TRUE,"GENERAL";"TAB5",#N/A,TRUE,"GENERAL"}</definedName>
    <definedName name="_a1" hidden="1">{"TAB1",#N/A,TRUE,"GENERAL";"TAB2",#N/A,TRUE,"GENERAL";"TAB3",#N/A,TRUE,"GENERAL";"TAB4",#N/A,TRUE,"GENERAL";"TAB5",#N/A,TRUE,"GENERAL"}</definedName>
    <definedName name="_a3" localSheetId="38" hidden="1">{"TAB1",#N/A,TRUE,"GENERAL";"TAB2",#N/A,TRUE,"GENERAL";"TAB3",#N/A,TRUE,"GENERAL";"TAB4",#N/A,TRUE,"GENERAL";"TAB5",#N/A,TRUE,"GENERAL"}</definedName>
    <definedName name="_a3" hidden="1">{"TAB1",#N/A,TRUE,"GENERAL";"TAB2",#N/A,TRUE,"GENERAL";"TAB3",#N/A,TRUE,"GENERAL";"TAB4",#N/A,TRUE,"GENERAL";"TAB5",#N/A,TRUE,"GENERAL"}</definedName>
    <definedName name="_a4" localSheetId="38" hidden="1">{"via1",#N/A,TRUE,"general";"via2",#N/A,TRUE,"general";"via3",#N/A,TRUE,"general"}</definedName>
    <definedName name="_a4" hidden="1">{"via1",#N/A,TRUE,"general";"via2",#N/A,TRUE,"general";"via3",#N/A,TRUE,"general"}</definedName>
    <definedName name="_a5" localSheetId="38" hidden="1">{"TAB1",#N/A,TRUE,"GENERAL";"TAB2",#N/A,TRUE,"GENERAL";"TAB3",#N/A,TRUE,"GENERAL";"TAB4",#N/A,TRUE,"GENERAL";"TAB5",#N/A,TRUE,"GENERAL"}</definedName>
    <definedName name="_a5" hidden="1">{"TAB1",#N/A,TRUE,"GENERAL";"TAB2",#N/A,TRUE,"GENERAL";"TAB3",#N/A,TRUE,"GENERAL";"TAB4",#N/A,TRUE,"GENERAL";"TAB5",#N/A,TRUE,"GENERAL"}</definedName>
    <definedName name="_a6" localSheetId="38" hidden="1">{"TAB1",#N/A,TRUE,"GENERAL";"TAB2",#N/A,TRUE,"GENERAL";"TAB3",#N/A,TRUE,"GENERAL";"TAB4",#N/A,TRUE,"GENERAL";"TAB5",#N/A,TRUE,"GENERAL"}</definedName>
    <definedName name="_a6" hidden="1">{"TAB1",#N/A,TRUE,"GENERAL";"TAB2",#N/A,TRUE,"GENERAL";"TAB3",#N/A,TRUE,"GENERAL";"TAB4",#N/A,TRUE,"GENERAL";"TAB5",#N/A,TRUE,"GENERAL"}</definedName>
    <definedName name="_AAS1" localSheetId="38" hidden="1">{#N/A,#N/A,TRUE,"INGENIERIA";#N/A,#N/A,TRUE,"COMPRAS";#N/A,#N/A,TRUE,"DIRECCION";#N/A,#N/A,TRUE,"RESUMEN"}</definedName>
    <definedName name="_AAS1" hidden="1">{#N/A,#N/A,TRUE,"INGENIERIA";#N/A,#N/A,TRUE,"COMPRAS";#N/A,#N/A,TRUE,"DIRECCION";#N/A,#N/A,TRUE,"RESUMEN"}</definedName>
    <definedName name="_ABC1" localSheetId="38" hidden="1">{#N/A,#N/A,TRUE,"1842CWN0"}</definedName>
    <definedName name="_ABC1" hidden="1">{#N/A,#N/A,TRUE,"1842CWN0"}</definedName>
    <definedName name="_abc2" localSheetId="38"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5">#REF!</definedName>
    <definedName name="_ane7" localSheetId="16">#REF!</definedName>
    <definedName name="_ane7" localSheetId="18">#REF!</definedName>
    <definedName name="_ane7" localSheetId="19">#REF!</definedName>
    <definedName name="_ane7" localSheetId="21">#REF!</definedName>
    <definedName name="_ane7" localSheetId="22">#REF!</definedName>
    <definedName name="_ane7" localSheetId="6">#REF!</definedName>
    <definedName name="_ane7" localSheetId="24">#REF!</definedName>
    <definedName name="_ane7" localSheetId="25">#REF!</definedName>
    <definedName name="_ane7" localSheetId="26">#REF!</definedName>
    <definedName name="_ane7" localSheetId="27">#REF!</definedName>
    <definedName name="_ane7" localSheetId="28">#REF!</definedName>
    <definedName name="_ane7" localSheetId="30">#REF!</definedName>
    <definedName name="_ane7" localSheetId="31">#REF!</definedName>
    <definedName name="_ane7" localSheetId="33">#REF!</definedName>
    <definedName name="_ane7" localSheetId="7">#REF!</definedName>
    <definedName name="_ane7" localSheetId="34">#REF!</definedName>
    <definedName name="_ane7" localSheetId="36">#REF!</definedName>
    <definedName name="_ane7" localSheetId="37">#REF!</definedName>
    <definedName name="_ane7" localSheetId="9">#REF!</definedName>
    <definedName name="_ane7" localSheetId="10">#REF!</definedName>
    <definedName name="_ane7" localSheetId="12">#REF!</definedName>
    <definedName name="_ane7" localSheetId="13">#REF!</definedName>
    <definedName name="_ane7">#REF!</definedName>
    <definedName name="_ane8" localSheetId="15">#REF!</definedName>
    <definedName name="_ane8" localSheetId="16">#REF!</definedName>
    <definedName name="_ane8" localSheetId="18">#REF!</definedName>
    <definedName name="_ane8" localSheetId="19">#REF!</definedName>
    <definedName name="_ane8" localSheetId="21">#REF!</definedName>
    <definedName name="_ane8" localSheetId="22">#REF!</definedName>
    <definedName name="_ane8" localSheetId="6">#REF!</definedName>
    <definedName name="_ane8" localSheetId="24">#REF!</definedName>
    <definedName name="_ane8" localSheetId="25">#REF!</definedName>
    <definedName name="_ane8" localSheetId="26">#REF!</definedName>
    <definedName name="_ane8" localSheetId="27">#REF!</definedName>
    <definedName name="_ane8" localSheetId="28">#REF!</definedName>
    <definedName name="_ane8" localSheetId="30">#REF!</definedName>
    <definedName name="_ane8" localSheetId="31">#REF!</definedName>
    <definedName name="_ane8" localSheetId="33">#REF!</definedName>
    <definedName name="_ane8" localSheetId="7">#REF!</definedName>
    <definedName name="_ane8" localSheetId="34">#REF!</definedName>
    <definedName name="_ane8" localSheetId="36">#REF!</definedName>
    <definedName name="_ane8" localSheetId="37">#REF!</definedName>
    <definedName name="_ane8" localSheetId="9">#REF!</definedName>
    <definedName name="_ane8" localSheetId="10">#REF!</definedName>
    <definedName name="_ane8" localSheetId="12">#REF!</definedName>
    <definedName name="_ane8" localSheetId="13">#REF!</definedName>
    <definedName name="_ane8">#REF!</definedName>
    <definedName name="_APU221">#REF!</definedName>
    <definedName name="_APU465" localSheetId="15">#REF!</definedName>
    <definedName name="_APU465" localSheetId="16">#REF!</definedName>
    <definedName name="_APU465" localSheetId="18">#REF!</definedName>
    <definedName name="_APU465" localSheetId="19">#REF!</definedName>
    <definedName name="_APU465" localSheetId="21">#REF!</definedName>
    <definedName name="_APU465" localSheetId="22">#REF!</definedName>
    <definedName name="_APU465" localSheetId="6">#REF!</definedName>
    <definedName name="_APU465" localSheetId="24">#REF!</definedName>
    <definedName name="_APU465" localSheetId="25">#REF!</definedName>
    <definedName name="_APU465" localSheetId="26">#REF!</definedName>
    <definedName name="_APU465" localSheetId="27">#REF!</definedName>
    <definedName name="_APU465" localSheetId="28">#REF!</definedName>
    <definedName name="_APU465" localSheetId="30">#REF!</definedName>
    <definedName name="_APU465" localSheetId="31">#REF!</definedName>
    <definedName name="_APU465" localSheetId="33">#REF!</definedName>
    <definedName name="_APU465" localSheetId="7">#REF!</definedName>
    <definedName name="_APU465" localSheetId="34">#REF!</definedName>
    <definedName name="_APU465" localSheetId="36">#REF!</definedName>
    <definedName name="_APU465" localSheetId="37">#REF!</definedName>
    <definedName name="_APU465" localSheetId="9">#REF!</definedName>
    <definedName name="_APU465" localSheetId="10">#REF!</definedName>
    <definedName name="_APU465" localSheetId="12">#REF!</definedName>
    <definedName name="_APU465" localSheetId="13">#REF!</definedName>
    <definedName name="_APU465">#REF!</definedName>
    <definedName name="_Atp2">#REF!</definedName>
    <definedName name="_b2" localSheetId="38" hidden="1">{"TAB1",#N/A,TRUE,"GENERAL";"TAB2",#N/A,TRUE,"GENERAL";"TAB3",#N/A,TRUE,"GENERAL";"TAB4",#N/A,TRUE,"GENERAL";"TAB5",#N/A,TRUE,"GENERAL"}</definedName>
    <definedName name="_b2" hidden="1">{"TAB1",#N/A,TRUE,"GENERAL";"TAB2",#N/A,TRUE,"GENERAL";"TAB3",#N/A,TRUE,"GENERAL";"TAB4",#N/A,TRUE,"GENERAL";"TAB5",#N/A,TRUE,"GENERAL"}</definedName>
    <definedName name="_b3" localSheetId="38" hidden="1">{"TAB1",#N/A,TRUE,"GENERAL";"TAB2",#N/A,TRUE,"GENERAL";"TAB3",#N/A,TRUE,"GENERAL";"TAB4",#N/A,TRUE,"GENERAL";"TAB5",#N/A,TRUE,"GENERAL"}</definedName>
    <definedName name="_b3" hidden="1">{"TAB1",#N/A,TRUE,"GENERAL";"TAB2",#N/A,TRUE,"GENERAL";"TAB3",#N/A,TRUE,"GENERAL";"TAB4",#N/A,TRUE,"GENERAL";"TAB5",#N/A,TRUE,"GENERAL"}</definedName>
    <definedName name="_b4" localSheetId="38" hidden="1">{"TAB1",#N/A,TRUE,"GENERAL";"TAB2",#N/A,TRUE,"GENERAL";"TAB3",#N/A,TRUE,"GENERAL";"TAB4",#N/A,TRUE,"GENERAL";"TAB5",#N/A,TRUE,"GENERAL"}</definedName>
    <definedName name="_b4" hidden="1">{"TAB1",#N/A,TRUE,"GENERAL";"TAB2",#N/A,TRUE,"GENERAL";"TAB3",#N/A,TRUE,"GENERAL";"TAB4",#N/A,TRUE,"GENERAL";"TAB5",#N/A,TRUE,"GENERAL"}</definedName>
    <definedName name="_b5" localSheetId="38" hidden="1">{"TAB1",#N/A,TRUE,"GENERAL";"TAB2",#N/A,TRUE,"GENERAL";"TAB3",#N/A,TRUE,"GENERAL";"TAB4",#N/A,TRUE,"GENERAL";"TAB5",#N/A,TRUE,"GENERAL"}</definedName>
    <definedName name="_b5" hidden="1">{"TAB1",#N/A,TRUE,"GENERAL";"TAB2",#N/A,TRUE,"GENERAL";"TAB3",#N/A,TRUE,"GENERAL";"TAB4",#N/A,TRUE,"GENERAL";"TAB5",#N/A,TRUE,"GENERAL"}</definedName>
    <definedName name="_b6" localSheetId="38" hidden="1">{"TAB1",#N/A,TRUE,"GENERAL";"TAB2",#N/A,TRUE,"GENERAL";"TAB3",#N/A,TRUE,"GENERAL";"TAB4",#N/A,TRUE,"GENERAL";"TAB5",#N/A,TRUE,"GENERAL"}</definedName>
    <definedName name="_b6" hidden="1">{"TAB1",#N/A,TRUE,"GENERAL";"TAB2",#N/A,TRUE,"GENERAL";"TAB3",#N/A,TRUE,"GENERAL";"TAB4",#N/A,TRUE,"GENERAL";"TAB5",#N/A,TRUE,"GENERAL"}</definedName>
    <definedName name="_b7" localSheetId="38" hidden="1">{"via1",#N/A,TRUE,"general";"via2",#N/A,TRUE,"general";"via3",#N/A,TRUE,"general"}</definedName>
    <definedName name="_b7" hidden="1">{"via1",#N/A,TRUE,"general";"via2",#N/A,TRUE,"general";"via3",#N/A,TRUE,"general"}</definedName>
    <definedName name="_b8" localSheetId="38" hidden="1">{"via1",#N/A,TRUE,"general";"via2",#N/A,TRUE,"general";"via3",#N/A,TRUE,"general"}</definedName>
    <definedName name="_b8" hidden="1">{"via1",#N/A,TRUE,"general";"via2",#N/A,TRUE,"general";"via3",#N/A,TRUE,"general"}</definedName>
    <definedName name="_bb9" localSheetId="38" hidden="1">{"TAB1",#N/A,TRUE,"GENERAL";"TAB2",#N/A,TRUE,"GENERAL";"TAB3",#N/A,TRUE,"GENERAL";"TAB4",#N/A,TRUE,"GENERAL";"TAB5",#N/A,TRUE,"GENERAL"}</definedName>
    <definedName name="_bb9" hidden="1">{"TAB1",#N/A,TRUE,"GENERAL";"TAB2",#N/A,TRUE,"GENERAL";"TAB3",#N/A,TRUE,"GENERAL";"TAB4",#N/A,TRUE,"GENERAL";"TAB5",#N/A,TRUE,"GENERAL"}</definedName>
    <definedName name="_bgb5" localSheetId="38"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38">[0]!ERR</definedName>
    <definedName name="_F">[0]!ERR</definedName>
    <definedName name="_F10">#REF!</definedName>
    <definedName name="_FC">#REF!</definedName>
    <definedName name="_Fill">#REF!</definedName>
    <definedName name="_FS01" localSheetId="38">[0]!ERR</definedName>
    <definedName name="_FS01">[0]!ERR</definedName>
    <definedName name="_g2" localSheetId="38" hidden="1">{"TAB1",#N/A,TRUE,"GENERAL";"TAB2",#N/A,TRUE,"GENERAL";"TAB3",#N/A,TRUE,"GENERAL";"TAB4",#N/A,TRUE,"GENERAL";"TAB5",#N/A,TRUE,"GENERAL"}</definedName>
    <definedName name="_g2" hidden="1">{"TAB1",#N/A,TRUE,"GENERAL";"TAB2",#N/A,TRUE,"GENERAL";"TAB3",#N/A,TRUE,"GENERAL";"TAB4",#N/A,TRUE,"GENERAL";"TAB5",#N/A,TRUE,"GENERAL"}</definedName>
    <definedName name="_g3" localSheetId="38" hidden="1">{"via1",#N/A,TRUE,"general";"via2",#N/A,TRUE,"general";"via3",#N/A,TRUE,"general"}</definedName>
    <definedName name="_g3" hidden="1">{"via1",#N/A,TRUE,"general";"via2",#N/A,TRUE,"general";"via3",#N/A,TRUE,"general"}</definedName>
    <definedName name="_g4" localSheetId="38" hidden="1">{"via1",#N/A,TRUE,"general";"via2",#N/A,TRUE,"general";"via3",#N/A,TRUE,"general"}</definedName>
    <definedName name="_g4" hidden="1">{"via1",#N/A,TRUE,"general";"via2",#N/A,TRUE,"general";"via3",#N/A,TRUE,"general"}</definedName>
    <definedName name="_g5" localSheetId="38" hidden="1">{"via1",#N/A,TRUE,"general";"via2",#N/A,TRUE,"general";"via3",#N/A,TRUE,"general"}</definedName>
    <definedName name="_g5" hidden="1">{"via1",#N/A,TRUE,"general";"via2",#N/A,TRUE,"general";"via3",#N/A,TRUE,"general"}</definedName>
    <definedName name="_g6" localSheetId="38" hidden="1">{"via1",#N/A,TRUE,"general";"via2",#N/A,TRUE,"general";"via3",#N/A,TRUE,"general"}</definedName>
    <definedName name="_g6" hidden="1">{"via1",#N/A,TRUE,"general";"via2",#N/A,TRUE,"general";"via3",#N/A,TRUE,"general"}</definedName>
    <definedName name="_g7" localSheetId="38"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38" hidden="1">{"TAB1",#N/A,TRUE,"GENERAL";"TAB2",#N/A,TRUE,"GENERAL";"TAB3",#N/A,TRUE,"GENERAL";"TAB4",#N/A,TRUE,"GENERAL";"TAB5",#N/A,TRUE,"GENERAL"}</definedName>
    <definedName name="_GR1" hidden="1">{"TAB1",#N/A,TRUE,"GENERAL";"TAB2",#N/A,TRUE,"GENERAL";"TAB3",#N/A,TRUE,"GENERAL";"TAB4",#N/A,TRUE,"GENERAL";"TAB5",#N/A,TRUE,"GENERAL"}</definedName>
    <definedName name="_gtr4" localSheetId="38" hidden="1">{"via1",#N/A,TRUE,"general";"via2",#N/A,TRUE,"general";"via3",#N/A,TRUE,"general"}</definedName>
    <definedName name="_gtr4" hidden="1">{"via1",#N/A,TRUE,"general";"via2",#N/A,TRUE,"general";"via3",#N/A,TRUE,"general"}</definedName>
    <definedName name="_h2" localSheetId="38" hidden="1">{"via1",#N/A,TRUE,"general";"via2",#N/A,TRUE,"general";"via3",#N/A,TRUE,"general"}</definedName>
    <definedName name="_h2" hidden="1">{"via1",#N/A,TRUE,"general";"via2",#N/A,TRUE,"general";"via3",#N/A,TRUE,"general"}</definedName>
    <definedName name="_h3" localSheetId="38" hidden="1">{"via1",#N/A,TRUE,"general";"via2",#N/A,TRUE,"general";"via3",#N/A,TRUE,"general"}</definedName>
    <definedName name="_h3" hidden="1">{"via1",#N/A,TRUE,"general";"via2",#N/A,TRUE,"general";"via3",#N/A,TRUE,"general"}</definedName>
    <definedName name="_h4" localSheetId="38" hidden="1">{"TAB1",#N/A,TRUE,"GENERAL";"TAB2",#N/A,TRUE,"GENERAL";"TAB3",#N/A,TRUE,"GENERAL";"TAB4",#N/A,TRUE,"GENERAL";"TAB5",#N/A,TRUE,"GENERAL"}</definedName>
    <definedName name="_h4" hidden="1">{"TAB1",#N/A,TRUE,"GENERAL";"TAB2",#N/A,TRUE,"GENERAL";"TAB3",#N/A,TRUE,"GENERAL";"TAB4",#N/A,TRUE,"GENERAL";"TAB5",#N/A,TRUE,"GENERAL"}</definedName>
    <definedName name="_h5" localSheetId="38" hidden="1">{"TAB1",#N/A,TRUE,"GENERAL";"TAB2",#N/A,TRUE,"GENERAL";"TAB3",#N/A,TRUE,"GENERAL";"TAB4",#N/A,TRUE,"GENERAL";"TAB5",#N/A,TRUE,"GENERAL"}</definedName>
    <definedName name="_h5" hidden="1">{"TAB1",#N/A,TRUE,"GENERAL";"TAB2",#N/A,TRUE,"GENERAL";"TAB3",#N/A,TRUE,"GENERAL";"TAB4",#N/A,TRUE,"GENERAL";"TAB5",#N/A,TRUE,"GENERAL"}</definedName>
    <definedName name="_h6" localSheetId="38" hidden="1">{"via1",#N/A,TRUE,"general";"via2",#N/A,TRUE,"general";"via3",#N/A,TRUE,"general"}</definedName>
    <definedName name="_h6" hidden="1">{"via1",#N/A,TRUE,"general";"via2",#N/A,TRUE,"general";"via3",#N/A,TRUE,"general"}</definedName>
    <definedName name="_h7" localSheetId="38" hidden="1">{"TAB1",#N/A,TRUE,"GENERAL";"TAB2",#N/A,TRUE,"GENERAL";"TAB3",#N/A,TRUE,"GENERAL";"TAB4",#N/A,TRUE,"GENERAL";"TAB5",#N/A,TRUE,"GENERAL"}</definedName>
    <definedName name="_h7" hidden="1">{"TAB1",#N/A,TRUE,"GENERAL";"TAB2",#N/A,TRUE,"GENERAL";"TAB3",#N/A,TRUE,"GENERAL";"TAB4",#N/A,TRUE,"GENERAL";"TAB5",#N/A,TRUE,"GENERAL"}</definedName>
    <definedName name="_h8" localSheetId="38" hidden="1">{"via1",#N/A,TRUE,"general";"via2",#N/A,TRUE,"general";"via3",#N/A,TRUE,"general"}</definedName>
    <definedName name="_h8" hidden="1">{"via1",#N/A,TRUE,"general";"via2",#N/A,TRUE,"general";"via3",#N/A,TRUE,"general"}</definedName>
    <definedName name="_hfh7" localSheetId="38" hidden="1">{"via1",#N/A,TRUE,"general";"via2",#N/A,TRUE,"general";"via3",#N/A,TRUE,"general"}</definedName>
    <definedName name="_hfh7" hidden="1">{"via1",#N/A,TRUE,"general";"via2",#N/A,TRUE,"general";"via3",#N/A,TRUE,"general"}</definedName>
    <definedName name="_hhg1" localSheetId="38" hidden="1">{#N/A,#N/A,TRUE,"1842CWN0"}</definedName>
    <definedName name="_hhg1" hidden="1">{#N/A,#N/A,TRUE,"1842CWN0"}</definedName>
    <definedName name="_i4" localSheetId="38" hidden="1">{"via1",#N/A,TRUE,"general";"via2",#N/A,TRUE,"general";"via3",#N/A,TRUE,"general"}</definedName>
    <definedName name="_i4" hidden="1">{"via1",#N/A,TRUE,"general";"via2",#N/A,TRUE,"general";"via3",#N/A,TRUE,"general"}</definedName>
    <definedName name="_i5" localSheetId="38" hidden="1">{"TAB1",#N/A,TRUE,"GENERAL";"TAB2",#N/A,TRUE,"GENERAL";"TAB3",#N/A,TRUE,"GENERAL";"TAB4",#N/A,TRUE,"GENERAL";"TAB5",#N/A,TRUE,"GENERAL"}</definedName>
    <definedName name="_i5" hidden="1">{"TAB1",#N/A,TRUE,"GENERAL";"TAB2",#N/A,TRUE,"GENERAL";"TAB3",#N/A,TRUE,"GENERAL";"TAB4",#N/A,TRUE,"GENERAL";"TAB5",#N/A,TRUE,"GENERAL"}</definedName>
    <definedName name="_i6" localSheetId="38" hidden="1">{"TAB1",#N/A,TRUE,"GENERAL";"TAB2",#N/A,TRUE,"GENERAL";"TAB3",#N/A,TRUE,"GENERAL";"TAB4",#N/A,TRUE,"GENERAL";"TAB5",#N/A,TRUE,"GENERAL"}</definedName>
    <definedName name="_i6" hidden="1">{"TAB1",#N/A,TRUE,"GENERAL";"TAB2",#N/A,TRUE,"GENERAL";"TAB3",#N/A,TRUE,"GENERAL";"TAB4",#N/A,TRUE,"GENERAL";"TAB5",#N/A,TRUE,"GENERAL"}</definedName>
    <definedName name="_i7" localSheetId="38" hidden="1">{"via1",#N/A,TRUE,"general";"via2",#N/A,TRUE,"general";"via3",#N/A,TRUE,"general"}</definedName>
    <definedName name="_i7" hidden="1">{"via1",#N/A,TRUE,"general";"via2",#N/A,TRUE,"general";"via3",#N/A,TRUE,"general"}</definedName>
    <definedName name="_i77" localSheetId="38" hidden="1">{"TAB1",#N/A,TRUE,"GENERAL";"TAB2",#N/A,TRUE,"GENERAL";"TAB3",#N/A,TRUE,"GENERAL";"TAB4",#N/A,TRUE,"GENERAL";"TAB5",#N/A,TRUE,"GENERAL"}</definedName>
    <definedName name="_i77" hidden="1">{"TAB1",#N/A,TRUE,"GENERAL";"TAB2",#N/A,TRUE,"GENERAL";"TAB3",#N/A,TRUE,"GENERAL";"TAB4",#N/A,TRUE,"GENERAL";"TAB5",#N/A,TRUE,"GENERAL"}</definedName>
    <definedName name="_i8" localSheetId="38" hidden="1">{"via1",#N/A,TRUE,"general";"via2",#N/A,TRUE,"general";"via3",#N/A,TRUE,"general"}</definedName>
    <definedName name="_i8" hidden="1">{"via1",#N/A,TRUE,"general";"via2",#N/A,TRUE,"general";"via3",#N/A,TRUE,"general"}</definedName>
    <definedName name="_i9" localSheetId="38"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localSheetId="38" hidden="1">{"TAB1",#N/A,TRUE,"GENERAL";"TAB2",#N/A,TRUE,"GENERAL";"TAB3",#N/A,TRUE,"GENERAL";"TAB4",#N/A,TRUE,"GENERAL";"TAB5",#N/A,TRUE,"GENERAL"}</definedName>
    <definedName name="_k3" hidden="1">{"TAB1",#N/A,TRUE,"GENERAL";"TAB2",#N/A,TRUE,"GENERAL";"TAB3",#N/A,TRUE,"GENERAL";"TAB4",#N/A,TRUE,"GENERAL";"TAB5",#N/A,TRUE,"GENERAL"}</definedName>
    <definedName name="_k4" localSheetId="38" hidden="1">{"via1",#N/A,TRUE,"general";"via2",#N/A,TRUE,"general";"via3",#N/A,TRUE,"general"}</definedName>
    <definedName name="_k4" hidden="1">{"via1",#N/A,TRUE,"general";"via2",#N/A,TRUE,"general";"via3",#N/A,TRUE,"general"}</definedName>
    <definedName name="_k5" localSheetId="38" hidden="1">{"via1",#N/A,TRUE,"general";"via2",#N/A,TRUE,"general";"via3",#N/A,TRUE,"general"}</definedName>
    <definedName name="_k5" hidden="1">{"via1",#N/A,TRUE,"general";"via2",#N/A,TRUE,"general";"via3",#N/A,TRUE,"general"}</definedName>
    <definedName name="_k6" localSheetId="38" hidden="1">{"TAB1",#N/A,TRUE,"GENERAL";"TAB2",#N/A,TRUE,"GENERAL";"TAB3",#N/A,TRUE,"GENERAL";"TAB4",#N/A,TRUE,"GENERAL";"TAB5",#N/A,TRUE,"GENERAL"}</definedName>
    <definedName name="_k6" hidden="1">{"TAB1",#N/A,TRUE,"GENERAL";"TAB2",#N/A,TRUE,"GENERAL";"TAB3",#N/A,TRUE,"GENERAL";"TAB4",#N/A,TRUE,"GENERAL";"TAB5",#N/A,TRUE,"GENERAL"}</definedName>
    <definedName name="_k7" localSheetId="38" hidden="1">{"via1",#N/A,TRUE,"general";"via2",#N/A,TRUE,"general";"via3",#N/A,TRUE,"general"}</definedName>
    <definedName name="_k7" hidden="1">{"via1",#N/A,TRUE,"general";"via2",#N/A,TRUE,"general";"via3",#N/A,TRUE,"general"}</definedName>
    <definedName name="_k8" localSheetId="38" hidden="1">{"via1",#N/A,TRUE,"general";"via2",#N/A,TRUE,"general";"via3",#N/A,TRUE,"general"}</definedName>
    <definedName name="_k8" hidden="1">{"via1",#N/A,TRUE,"general";"via2",#N/A,TRUE,"general";"via3",#N/A,TRUE,"general"}</definedName>
    <definedName name="_k9" localSheetId="38"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38"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38" hidden="1">{"via1",#N/A,TRUE,"general";"via2",#N/A,TRUE,"general";"via3",#N/A,TRUE,"general"}</definedName>
    <definedName name="_m3" hidden="1">{"via1",#N/A,TRUE,"general";"via2",#N/A,TRUE,"general";"via3",#N/A,TRUE,"general"}</definedName>
    <definedName name="_m4" localSheetId="38" hidden="1">{"TAB1",#N/A,TRUE,"GENERAL";"TAB2",#N/A,TRUE,"GENERAL";"TAB3",#N/A,TRUE,"GENERAL";"TAB4",#N/A,TRUE,"GENERAL";"TAB5",#N/A,TRUE,"GENERAL"}</definedName>
    <definedName name="_m4" hidden="1">{"TAB1",#N/A,TRUE,"GENERAL";"TAB2",#N/A,TRUE,"GENERAL";"TAB3",#N/A,TRUE,"GENERAL";"TAB4",#N/A,TRUE,"GENERAL";"TAB5",#N/A,TRUE,"GENERAL"}</definedName>
    <definedName name="_m5" localSheetId="38" hidden="1">{"via1",#N/A,TRUE,"general";"via2",#N/A,TRUE,"general";"via3",#N/A,TRUE,"general"}</definedName>
    <definedName name="_m5" hidden="1">{"via1",#N/A,TRUE,"general";"via2",#N/A,TRUE,"general";"via3",#N/A,TRUE,"general"}</definedName>
    <definedName name="_m6" localSheetId="38" hidden="1">{"TAB1",#N/A,TRUE,"GENERAL";"TAB2",#N/A,TRUE,"GENERAL";"TAB3",#N/A,TRUE,"GENERAL";"TAB4",#N/A,TRUE,"GENERAL";"TAB5",#N/A,TRUE,"GENERAL"}</definedName>
    <definedName name="_m6" hidden="1">{"TAB1",#N/A,TRUE,"GENERAL";"TAB2",#N/A,TRUE,"GENERAL";"TAB3",#N/A,TRUE,"GENERAL";"TAB4",#N/A,TRUE,"GENERAL";"TAB5",#N/A,TRUE,"GENERAL"}</definedName>
    <definedName name="_m7" localSheetId="38" hidden="1">{"TAB1",#N/A,TRUE,"GENERAL";"TAB2",#N/A,TRUE,"GENERAL";"TAB3",#N/A,TRUE,"GENERAL";"TAB4",#N/A,TRUE,"GENERAL";"TAB5",#N/A,TRUE,"GENERAL"}</definedName>
    <definedName name="_m7" hidden="1">{"TAB1",#N/A,TRUE,"GENERAL";"TAB2",#N/A,TRUE,"GENERAL";"TAB3",#N/A,TRUE,"GENERAL";"TAB4",#N/A,TRUE,"GENERAL";"TAB5",#N/A,TRUE,"GENERAL"}</definedName>
    <definedName name="_m8" localSheetId="38" hidden="1">{"via1",#N/A,TRUE,"general";"via2",#N/A,TRUE,"general";"via3",#N/A,TRUE,"general"}</definedName>
    <definedName name="_m8" hidden="1">{"via1",#N/A,TRUE,"general";"via2",#N/A,TRUE,"general";"via3",#N/A,TRUE,"general"}</definedName>
    <definedName name="_m9" localSheetId="3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localSheetId="38" hidden="1">{"TAB1",#N/A,TRUE,"GENERAL";"TAB2",#N/A,TRUE,"GENERAL";"TAB3",#N/A,TRUE,"GENERAL";"TAB4",#N/A,TRUE,"GENERAL";"TAB5",#N/A,TRUE,"GENERAL"}</definedName>
    <definedName name="_n3" hidden="1">{"TAB1",#N/A,TRUE,"GENERAL";"TAB2",#N/A,TRUE,"GENERAL";"TAB3",#N/A,TRUE,"GENERAL";"TAB4",#N/A,TRUE,"GENERAL";"TAB5",#N/A,TRUE,"GENERAL"}</definedName>
    <definedName name="_n4" localSheetId="38" hidden="1">{"via1",#N/A,TRUE,"general";"via2",#N/A,TRUE,"general";"via3",#N/A,TRUE,"general"}</definedName>
    <definedName name="_n4" hidden="1">{"via1",#N/A,TRUE,"general";"via2",#N/A,TRUE,"general";"via3",#N/A,TRUE,"general"}</definedName>
    <definedName name="_n5" localSheetId="38"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8" hidden="1">{"via1",#N/A,TRUE,"general";"via2",#N/A,TRUE,"general";"via3",#N/A,TRUE,"general"}</definedName>
    <definedName name="_nyn7" hidden="1">{"via1",#N/A,TRUE,"general";"via2",#N/A,TRUE,"general";"via3",#N/A,TRUE,"general"}</definedName>
    <definedName name="_o4" localSheetId="38" hidden="1">{"via1",#N/A,TRUE,"general";"via2",#N/A,TRUE,"general";"via3",#N/A,TRUE,"general"}</definedName>
    <definedName name="_o4" hidden="1">{"via1",#N/A,TRUE,"general";"via2",#N/A,TRUE,"general";"via3",#N/A,TRUE,"general"}</definedName>
    <definedName name="_o5" localSheetId="38" hidden="1">{"TAB1",#N/A,TRUE,"GENERAL";"TAB2",#N/A,TRUE,"GENERAL";"TAB3",#N/A,TRUE,"GENERAL";"TAB4",#N/A,TRUE,"GENERAL";"TAB5",#N/A,TRUE,"GENERAL"}</definedName>
    <definedName name="_o5" hidden="1">{"TAB1",#N/A,TRUE,"GENERAL";"TAB2",#N/A,TRUE,"GENERAL";"TAB3",#N/A,TRUE,"GENERAL";"TAB4",#N/A,TRUE,"GENERAL";"TAB5",#N/A,TRUE,"GENERAL"}</definedName>
    <definedName name="_o6" localSheetId="38" hidden="1">{"TAB1",#N/A,TRUE,"GENERAL";"TAB2",#N/A,TRUE,"GENERAL";"TAB3",#N/A,TRUE,"GENERAL";"TAB4",#N/A,TRUE,"GENERAL";"TAB5",#N/A,TRUE,"GENERAL"}</definedName>
    <definedName name="_o6" hidden="1">{"TAB1",#N/A,TRUE,"GENERAL";"TAB2",#N/A,TRUE,"GENERAL";"TAB3",#N/A,TRUE,"GENERAL";"TAB4",#N/A,TRUE,"GENERAL";"TAB5",#N/A,TRUE,"GENERAL"}</definedName>
    <definedName name="_o7" localSheetId="38" hidden="1">{"TAB1",#N/A,TRUE,"GENERAL";"TAB2",#N/A,TRUE,"GENERAL";"TAB3",#N/A,TRUE,"GENERAL";"TAB4",#N/A,TRUE,"GENERAL";"TAB5",#N/A,TRUE,"GENERAL"}</definedName>
    <definedName name="_o7" hidden="1">{"TAB1",#N/A,TRUE,"GENERAL";"TAB2",#N/A,TRUE,"GENERAL";"TAB3",#N/A,TRUE,"GENERAL";"TAB4",#N/A,TRUE,"GENERAL";"TAB5",#N/A,TRUE,"GENERAL"}</definedName>
    <definedName name="_o8" localSheetId="38" hidden="1">{"via1",#N/A,TRUE,"general";"via2",#N/A,TRUE,"general";"via3",#N/A,TRUE,"general"}</definedName>
    <definedName name="_o8" hidden="1">{"via1",#N/A,TRUE,"general";"via2",#N/A,TRUE,"general";"via3",#N/A,TRUE,"general"}</definedName>
    <definedName name="_o9" localSheetId="38"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38" hidden="1">{"via1",#N/A,TRUE,"general";"via2",#N/A,TRUE,"general";"via3",#N/A,TRUE,"general"}</definedName>
    <definedName name="_p6" hidden="1">{"via1",#N/A,TRUE,"general";"via2",#N/A,TRUE,"general";"via3",#N/A,TRUE,"general"}</definedName>
    <definedName name="_p7" localSheetId="38" hidden="1">{"via1",#N/A,TRUE,"general";"via2",#N/A,TRUE,"general";"via3",#N/A,TRUE,"general"}</definedName>
    <definedName name="_p7" hidden="1">{"via1",#N/A,TRUE,"general";"via2",#N/A,TRUE,"general";"via3",#N/A,TRUE,"general"}</definedName>
    <definedName name="_p8" localSheetId="38"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38" hidden="1">{"TAB1",#N/A,TRUE,"GENERAL";"TAB2",#N/A,TRUE,"GENERAL";"TAB3",#N/A,TRUE,"GENERAL";"TAB4",#N/A,TRUE,"GENERAL";"TAB5",#N/A,TRUE,"GENERAL"}</definedName>
    <definedName name="_r" hidden="1">{"TAB1",#N/A,TRUE,"GENERAL";"TAB2",#N/A,TRUE,"GENERAL";"TAB3",#N/A,TRUE,"GENERAL";"TAB4",#N/A,TRUE,"GENERAL";"TAB5",#N/A,TRUE,"GENERAL"}</definedName>
    <definedName name="_r4r" localSheetId="38" hidden="1">{"via1",#N/A,TRUE,"general";"via2",#N/A,TRUE,"general";"via3",#N/A,TRUE,"general"}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38" hidden="1">{"via1",#N/A,TRUE,"general";"via2",#N/A,TRUE,"general";"via3",#N/A,TRUE,"general"}</definedName>
    <definedName name="_rtu6" hidden="1">{"via1",#N/A,TRUE,"general";"via2",#N/A,TRUE,"general";"via3",#N/A,TRUE,"general"}</definedName>
    <definedName name="_s1" localSheetId="38" hidden="1">{"via1",#N/A,TRUE,"general";"via2",#N/A,TRUE,"general";"via3",#N/A,TRUE,"general"}</definedName>
    <definedName name="_s1" hidden="1">{"via1",#N/A,TRUE,"general";"via2",#N/A,TRUE,"general";"via3",#N/A,TRUE,"general"}</definedName>
    <definedName name="_s2" localSheetId="38" hidden="1">{"TAB1",#N/A,TRUE,"GENERAL";"TAB2",#N/A,TRUE,"GENERAL";"TAB3",#N/A,TRUE,"GENERAL";"TAB4",#N/A,TRUE,"GENERAL";"TAB5",#N/A,TRUE,"GENERAL"}</definedName>
    <definedName name="_s2" hidden="1">{"TAB1",#N/A,TRUE,"GENERAL";"TAB2",#N/A,TRUE,"GENERAL";"TAB3",#N/A,TRUE,"GENERAL";"TAB4",#N/A,TRUE,"GENERAL";"TAB5",#N/A,TRUE,"GENERAL"}</definedName>
    <definedName name="_s3" localSheetId="38" hidden="1">{"TAB1",#N/A,TRUE,"GENERAL";"TAB2",#N/A,TRUE,"GENERAL";"TAB3",#N/A,TRUE,"GENERAL";"TAB4",#N/A,TRUE,"GENERAL";"TAB5",#N/A,TRUE,"GENERAL"}</definedName>
    <definedName name="_s3" hidden="1">{"TAB1",#N/A,TRUE,"GENERAL";"TAB2",#N/A,TRUE,"GENERAL";"TAB3",#N/A,TRUE,"GENERAL";"TAB4",#N/A,TRUE,"GENERAL";"TAB5",#N/A,TRUE,"GENERAL"}</definedName>
    <definedName name="_s4" localSheetId="38" hidden="1">{"via1",#N/A,TRUE,"general";"via2",#N/A,TRUE,"general";"via3",#N/A,TRUE,"general"}</definedName>
    <definedName name="_s4" hidden="1">{"via1",#N/A,TRUE,"general";"via2",#N/A,TRUE,"general";"via3",#N/A,TRUE,"general"}</definedName>
    <definedName name="_s5" localSheetId="38" hidden="1">{"via1",#N/A,TRUE,"general";"via2",#N/A,TRUE,"general";"via3",#N/A,TRUE,"general"}</definedName>
    <definedName name="_s5" hidden="1">{"via1",#N/A,TRUE,"general";"via2",#N/A,TRUE,"general";"via3",#N/A,TRUE,"general"}</definedName>
    <definedName name="_s6" localSheetId="38" hidden="1">{"TAB1",#N/A,TRUE,"GENERAL";"TAB2",#N/A,TRUE,"GENERAL";"TAB3",#N/A,TRUE,"GENERAL";"TAB4",#N/A,TRUE,"GENERAL";"TAB5",#N/A,TRUE,"GENERAL"}</definedName>
    <definedName name="_s6" hidden="1">{"TAB1",#N/A,TRUE,"GENERAL";"TAB2",#N/A,TRUE,"GENERAL";"TAB3",#N/A,TRUE,"GENERAL";"TAB4",#N/A,TRUE,"GENERAL";"TAB5",#N/A,TRUE,"GENERAL"}</definedName>
    <definedName name="_s7" localSheetId="38"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#REF!</definedName>
    <definedName name="_srn001">#REF!</definedName>
    <definedName name="_SUM1">#REF!</definedName>
    <definedName name="_SUM2">#REF!</definedName>
    <definedName name="_t3" localSheetId="38" hidden="1">{"TAB1",#N/A,TRUE,"GENERAL";"TAB2",#N/A,TRUE,"GENERAL";"TAB3",#N/A,TRUE,"GENERAL";"TAB4",#N/A,TRUE,"GENERAL";"TAB5",#N/A,TRUE,"GENERAL"}</definedName>
    <definedName name="_t3" hidden="1">{"TAB1",#N/A,TRUE,"GENERAL";"TAB2",#N/A,TRUE,"GENERAL";"TAB3",#N/A,TRUE,"GENERAL";"TAB4",#N/A,TRUE,"GENERAL";"TAB5",#N/A,TRUE,"GENERAL"}</definedName>
    <definedName name="_t4" localSheetId="38" hidden="1">{"via1",#N/A,TRUE,"general";"via2",#N/A,TRUE,"general";"via3",#N/A,TRUE,"general"}</definedName>
    <definedName name="_t4" hidden="1">{"via1",#N/A,TRUE,"general";"via2",#N/A,TRUE,"general";"via3",#N/A,TRUE,"general"}</definedName>
    <definedName name="_t5" localSheetId="38" hidden="1">{"TAB1",#N/A,TRUE,"GENERAL";"TAB2",#N/A,TRUE,"GENERAL";"TAB3",#N/A,TRUE,"GENERAL";"TAB4",#N/A,TRUE,"GENERAL";"TAB5",#N/A,TRUE,"GENERAL"}</definedName>
    <definedName name="_t5" hidden="1">{"TAB1",#N/A,TRUE,"GENERAL";"TAB2",#N/A,TRUE,"GENERAL";"TAB3",#N/A,TRUE,"GENERAL";"TAB4",#N/A,TRUE,"GENERAL";"TAB5",#N/A,TRUE,"GENERAL"}</definedName>
    <definedName name="_t6" localSheetId="38" hidden="1">{"via1",#N/A,TRUE,"general";"via2",#N/A,TRUE,"general";"via3",#N/A,TRUE,"general"}</definedName>
    <definedName name="_t6" hidden="1">{"via1",#N/A,TRUE,"general";"via2",#N/A,TRUE,"general";"via3",#N/A,TRUE,"general"}</definedName>
    <definedName name="_t66" localSheetId="38" hidden="1">{"TAB1",#N/A,TRUE,"GENERAL";"TAB2",#N/A,TRUE,"GENERAL";"TAB3",#N/A,TRUE,"GENERAL";"TAB4",#N/A,TRUE,"GENERAL";"TAB5",#N/A,TRUE,"GENERAL"}</definedName>
    <definedName name="_t66" hidden="1">{"TAB1",#N/A,TRUE,"GENERAL";"TAB2",#N/A,TRUE,"GENERAL";"TAB3",#N/A,TRUE,"GENERAL";"TAB4",#N/A,TRUE,"GENERAL";"TAB5",#N/A,TRUE,"GENERAL"}</definedName>
    <definedName name="_t7" localSheetId="38" hidden="1">{"via1",#N/A,TRUE,"general";"via2",#N/A,TRUE,"general";"via3",#N/A,TRUE,"general"}</definedName>
    <definedName name="_t7" hidden="1">{"via1",#N/A,TRUE,"general";"via2",#N/A,TRUE,"general";"via3",#N/A,TRUE,"general"}</definedName>
    <definedName name="_t77" localSheetId="38" hidden="1">{"TAB1",#N/A,TRUE,"GENERAL";"TAB2",#N/A,TRUE,"GENERAL";"TAB3",#N/A,TRUE,"GENERAL";"TAB4",#N/A,TRUE,"GENERAL";"TAB5",#N/A,TRUE,"GENERAL"}</definedName>
    <definedName name="_t77" hidden="1">{"TAB1",#N/A,TRUE,"GENERAL";"TAB2",#N/A,TRUE,"GENERAL";"TAB3",#N/A,TRUE,"GENERAL";"TAB4",#N/A,TRUE,"GENERAL";"TAB5",#N/A,TRUE,"GENERAL"}</definedName>
    <definedName name="_t8" localSheetId="38" hidden="1">{"TAB1",#N/A,TRUE,"GENERAL";"TAB2",#N/A,TRUE,"GENERAL";"TAB3",#N/A,TRUE,"GENERAL";"TAB4",#N/A,TRUE,"GENERAL";"TAB5",#N/A,TRUE,"GENERAL"}</definedName>
    <definedName name="_t8" hidden="1">{"TAB1",#N/A,TRUE,"GENERAL";"TAB2",#N/A,TRUE,"GENERAL";"TAB3",#N/A,TRUE,"GENERAL";"TAB4",#N/A,TRUE,"GENERAL";"TAB5",#N/A,TRUE,"GENERAL"}</definedName>
    <definedName name="_t88" localSheetId="38" hidden="1">{"via1",#N/A,TRUE,"general";"via2",#N/A,TRUE,"general";"via3",#N/A,TRUE,"general"}</definedName>
    <definedName name="_t88" hidden="1">{"via1",#N/A,TRUE,"general";"via2",#N/A,TRUE,"general";"via3",#N/A,TRUE,"general"}</definedName>
    <definedName name="_t9" localSheetId="38" hidden="1">{"TAB1",#N/A,TRUE,"GENERAL";"TAB2",#N/A,TRUE,"GENERAL";"TAB3",#N/A,TRUE,"GENERAL";"TAB4",#N/A,TRUE,"GENERAL";"TAB5",#N/A,TRUE,"GENERAL"}</definedName>
    <definedName name="_t9" hidden="1">{"TAB1",#N/A,TRUE,"GENERAL";"TAB2",#N/A,TRUE,"GENERAL";"TAB3",#N/A,TRUE,"GENERAL";"TAB4",#N/A,TRUE,"GENERAL";"TAB5",#N/A,TRUE,"GENERAL"}</definedName>
    <definedName name="_t99" localSheetId="38"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8" hidden="1">{"TAB1",#N/A,TRUE,"GENERAL";"TAB2",#N/A,TRUE,"GENERAL";"TAB3",#N/A,TRUE,"GENERAL";"TAB4",#N/A,TRUE,"GENERAL";"TAB5",#N/A,TRUE,"GENERAL"}</definedName>
    <definedName name="_u4" hidden="1">{"TAB1",#N/A,TRUE,"GENERAL";"TAB2",#N/A,TRUE,"GENERAL";"TAB3",#N/A,TRUE,"GENERAL";"TAB4",#N/A,TRUE,"GENERAL";"TAB5",#N/A,TRUE,"GENERAL"}</definedName>
    <definedName name="_u5" localSheetId="38" hidden="1">{"TAB1",#N/A,TRUE,"GENERAL";"TAB2",#N/A,TRUE,"GENERAL";"TAB3",#N/A,TRUE,"GENERAL";"TAB4",#N/A,TRUE,"GENERAL";"TAB5",#N/A,TRUE,"GENERAL"}</definedName>
    <definedName name="_u5" hidden="1">{"TAB1",#N/A,TRUE,"GENERAL";"TAB2",#N/A,TRUE,"GENERAL";"TAB3",#N/A,TRUE,"GENERAL";"TAB4",#N/A,TRUE,"GENERAL";"TAB5",#N/A,TRUE,"GENERAL"}</definedName>
    <definedName name="_u6" localSheetId="38" hidden="1">{"TAB1",#N/A,TRUE,"GENERAL";"TAB2",#N/A,TRUE,"GENERAL";"TAB3",#N/A,TRUE,"GENERAL";"TAB4",#N/A,TRUE,"GENERAL";"TAB5",#N/A,TRUE,"GENERAL"}</definedName>
    <definedName name="_u6" hidden="1">{"TAB1",#N/A,TRUE,"GENERAL";"TAB2",#N/A,TRUE,"GENERAL";"TAB3",#N/A,TRUE,"GENERAL";"TAB4",#N/A,TRUE,"GENERAL";"TAB5",#N/A,TRUE,"GENERAL"}</definedName>
    <definedName name="_u7" localSheetId="38" hidden="1">{"via1",#N/A,TRUE,"general";"via2",#N/A,TRUE,"general";"via3",#N/A,TRUE,"general"}</definedName>
    <definedName name="_u7" hidden="1">{"via1",#N/A,TRUE,"general";"via2",#N/A,TRUE,"general";"via3",#N/A,TRUE,"general"}</definedName>
    <definedName name="_u8" localSheetId="38" hidden="1">{"TAB1",#N/A,TRUE,"GENERAL";"TAB2",#N/A,TRUE,"GENERAL";"TAB3",#N/A,TRUE,"GENERAL";"TAB4",#N/A,TRUE,"GENERAL";"TAB5",#N/A,TRUE,"GENERAL"}</definedName>
    <definedName name="_u8" hidden="1">{"TAB1",#N/A,TRUE,"GENERAL";"TAB2",#N/A,TRUE,"GENERAL";"TAB3",#N/A,TRUE,"GENERAL";"TAB4",#N/A,TRUE,"GENERAL";"TAB5",#N/A,TRUE,"GENERAL"}</definedName>
    <definedName name="_u9" localSheetId="3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38" hidden="1">{"TAB1",#N/A,TRUE,"GENERAL";"TAB2",#N/A,TRUE,"GENERAL";"TAB3",#N/A,TRUE,"GENERAL";"TAB4",#N/A,TRUE,"GENERAL";"TAB5",#N/A,TRUE,"GENERAL"}</definedName>
    <definedName name="_ur7" hidden="1">{"TAB1",#N/A,TRUE,"GENERAL";"TAB2",#N/A,TRUE,"GENERAL";"TAB3",#N/A,TRUE,"GENERAL";"TAB4",#N/A,TRUE,"GENERAL";"TAB5",#N/A,TRUE,"GENERAL"}</definedName>
    <definedName name="_v2" localSheetId="38" hidden="1">{"via1",#N/A,TRUE,"general";"via2",#N/A,TRUE,"general";"via3",#N/A,TRUE,"general"}</definedName>
    <definedName name="_v2" hidden="1">{"via1",#N/A,TRUE,"general";"via2",#N/A,TRUE,"general";"via3",#N/A,TRUE,"general"}</definedName>
    <definedName name="_v3" localSheetId="38" hidden="1">{"TAB1",#N/A,TRUE,"GENERAL";"TAB2",#N/A,TRUE,"GENERAL";"TAB3",#N/A,TRUE,"GENERAL";"TAB4",#N/A,TRUE,"GENERAL";"TAB5",#N/A,TRUE,"GENERAL"}</definedName>
    <definedName name="_v3" hidden="1">{"TAB1",#N/A,TRUE,"GENERAL";"TAB2",#N/A,TRUE,"GENERAL";"TAB3",#N/A,TRUE,"GENERAL";"TAB4",#N/A,TRUE,"GENERAL";"TAB5",#N/A,TRUE,"GENERAL"}</definedName>
    <definedName name="_v4" localSheetId="38" hidden="1">{"TAB1",#N/A,TRUE,"GENERAL";"TAB2",#N/A,TRUE,"GENERAL";"TAB3",#N/A,TRUE,"GENERAL";"TAB4",#N/A,TRUE,"GENERAL";"TAB5",#N/A,TRUE,"GENERAL"}</definedName>
    <definedName name="_v4" hidden="1">{"TAB1",#N/A,TRUE,"GENERAL";"TAB2",#N/A,TRUE,"GENERAL";"TAB3",#N/A,TRUE,"GENERAL";"TAB4",#N/A,TRUE,"GENERAL";"TAB5",#N/A,TRUE,"GENERAL"}</definedName>
    <definedName name="_v5" localSheetId="38" hidden="1">{"TAB1",#N/A,TRUE,"GENERAL";"TAB2",#N/A,TRUE,"GENERAL";"TAB3",#N/A,TRUE,"GENERAL";"TAB4",#N/A,TRUE,"GENERAL";"TAB5",#N/A,TRUE,"GENERAL"}</definedName>
    <definedName name="_v5" hidden="1">{"TAB1",#N/A,TRUE,"GENERAL";"TAB2",#N/A,TRUE,"GENERAL";"TAB3",#N/A,TRUE,"GENERAL";"TAB4",#N/A,TRUE,"GENERAL";"TAB5",#N/A,TRUE,"GENERAL"}</definedName>
    <definedName name="_v6" localSheetId="38" hidden="1">{"TAB1",#N/A,TRUE,"GENERAL";"TAB2",#N/A,TRUE,"GENERAL";"TAB3",#N/A,TRUE,"GENERAL";"TAB4",#N/A,TRUE,"GENERAL";"TAB5",#N/A,TRUE,"GENERAL"}</definedName>
    <definedName name="_v6" hidden="1">{"TAB1",#N/A,TRUE,"GENERAL";"TAB2",#N/A,TRUE,"GENERAL";"TAB3",#N/A,TRUE,"GENERAL";"TAB4",#N/A,TRUE,"GENERAL";"TAB5",#N/A,TRUE,"GENERAL"}</definedName>
    <definedName name="_v7" localSheetId="38" hidden="1">{"via1",#N/A,TRUE,"general";"via2",#N/A,TRUE,"general";"via3",#N/A,TRUE,"general"}</definedName>
    <definedName name="_v7" hidden="1">{"via1",#N/A,TRUE,"general";"via2",#N/A,TRUE,"general";"via3",#N/A,TRUE,"general"}</definedName>
    <definedName name="_v8" localSheetId="38" hidden="1">{"TAB1",#N/A,TRUE,"GENERAL";"TAB2",#N/A,TRUE,"GENERAL";"TAB3",#N/A,TRUE,"GENERAL";"TAB4",#N/A,TRUE,"GENERAL";"TAB5",#N/A,TRUE,"GENERAL"}</definedName>
    <definedName name="_v8" hidden="1">{"TAB1",#N/A,TRUE,"GENERAL";"TAB2",#N/A,TRUE,"GENERAL";"TAB3",#N/A,TRUE,"GENERAL";"TAB4",#N/A,TRUE,"GENERAL";"TAB5",#N/A,TRUE,"GENERAL"}</definedName>
    <definedName name="_v9" localSheetId="3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38"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38" hidden="1">{"TAB1",#N/A,TRUE,"GENERAL";"TAB2",#N/A,TRUE,"GENERAL";"TAB3",#N/A,TRUE,"GENERAL";"TAB4",#N/A,TRUE,"GENERAL";"TAB5",#N/A,TRUE,"GENERAL"}</definedName>
    <definedName name="_x1" hidden="1">{"TAB1",#N/A,TRUE,"GENERAL";"TAB2",#N/A,TRUE,"GENERAL";"TAB3",#N/A,TRUE,"GENERAL";"TAB4",#N/A,TRUE,"GENERAL";"TAB5",#N/A,TRUE,"GENERAL"}</definedName>
    <definedName name="_x2" localSheetId="38" hidden="1">{"via1",#N/A,TRUE,"general";"via2",#N/A,TRUE,"general";"via3",#N/A,TRUE,"general"}</definedName>
    <definedName name="_x2" hidden="1">{"via1",#N/A,TRUE,"general";"via2",#N/A,TRUE,"general";"via3",#N/A,TRUE,"general"}</definedName>
    <definedName name="_x3" localSheetId="38" hidden="1">{"via1",#N/A,TRUE,"general";"via2",#N/A,TRUE,"general";"via3",#N/A,TRUE,"general"}</definedName>
    <definedName name="_x3" hidden="1">{"via1",#N/A,TRUE,"general";"via2",#N/A,TRUE,"general";"via3",#N/A,TRUE,"general"}</definedName>
    <definedName name="_x4" localSheetId="38" hidden="1">{"via1",#N/A,TRUE,"general";"via2",#N/A,TRUE,"general";"via3",#N/A,TRUE,"general"}</definedName>
    <definedName name="_x4" hidden="1">{"via1",#N/A,TRUE,"general";"via2",#N/A,TRUE,"general";"via3",#N/A,TRUE,"general"}</definedName>
    <definedName name="_x5" localSheetId="38" hidden="1">{"TAB1",#N/A,TRUE,"GENERAL";"TAB2",#N/A,TRUE,"GENERAL";"TAB3",#N/A,TRUE,"GENERAL";"TAB4",#N/A,TRUE,"GENERAL";"TAB5",#N/A,TRUE,"GENERAL"}</definedName>
    <definedName name="_x5" hidden="1">{"TAB1",#N/A,TRUE,"GENERAL";"TAB2",#N/A,TRUE,"GENERAL";"TAB3",#N/A,TRUE,"GENERAL";"TAB4",#N/A,TRUE,"GENERAL";"TAB5",#N/A,TRUE,"GENERAL"}</definedName>
    <definedName name="_x6" localSheetId="38" hidden="1">{"TAB1",#N/A,TRUE,"GENERAL";"TAB2",#N/A,TRUE,"GENERAL";"TAB3",#N/A,TRUE,"GENERAL";"TAB4",#N/A,TRUE,"GENERAL";"TAB5",#N/A,TRUE,"GENERAL"}</definedName>
    <definedName name="_x6" hidden="1">{"TAB1",#N/A,TRUE,"GENERAL";"TAB2",#N/A,TRUE,"GENERAL";"TAB3",#N/A,TRUE,"GENERAL";"TAB4",#N/A,TRUE,"GENERAL";"TAB5",#N/A,TRUE,"GENERAL"}</definedName>
    <definedName name="_x7" localSheetId="38" hidden="1">{"TAB1",#N/A,TRUE,"GENERAL";"TAB2",#N/A,TRUE,"GENERAL";"TAB3",#N/A,TRUE,"GENERAL";"TAB4",#N/A,TRUE,"GENERAL";"TAB5",#N/A,TRUE,"GENERAL"}</definedName>
    <definedName name="_x7" hidden="1">{"TAB1",#N/A,TRUE,"GENERAL";"TAB2",#N/A,TRUE,"GENERAL";"TAB3",#N/A,TRUE,"GENERAL";"TAB4",#N/A,TRUE,"GENERAL";"TAB5",#N/A,TRUE,"GENERAL"}</definedName>
    <definedName name="_x8" localSheetId="38" hidden="1">{"via1",#N/A,TRUE,"general";"via2",#N/A,TRUE,"general";"via3",#N/A,TRUE,"general"}</definedName>
    <definedName name="_x8" hidden="1">{"via1",#N/A,TRUE,"general";"via2",#N/A,TRUE,"general";"via3",#N/A,TRUE,"general"}</definedName>
    <definedName name="_x9" localSheetId="38" hidden="1">{"TAB1",#N/A,TRUE,"GENERAL";"TAB2",#N/A,TRUE,"GENERAL";"TAB3",#N/A,TRUE,"GENERAL";"TAB4",#N/A,TRUE,"GENERAL";"TAB5",#N/A,TRUE,"GENERAL"}</definedName>
    <definedName name="_x9" hidden="1">{"TAB1",#N/A,TRUE,"GENERAL";"TAB2",#N/A,TRUE,"GENERAL";"TAB3",#N/A,TRUE,"GENERAL";"TAB4",#N/A,TRUE,"GENERAL";"TAB5",#N/A,TRUE,"GENERAL"}</definedName>
    <definedName name="_y2" localSheetId="38" hidden="1">{"TAB1",#N/A,TRUE,"GENERAL";"TAB2",#N/A,TRUE,"GENERAL";"TAB3",#N/A,TRUE,"GENERAL";"TAB4",#N/A,TRUE,"GENERAL";"TAB5",#N/A,TRUE,"GENERAL"}</definedName>
    <definedName name="_y2" hidden="1">{"TAB1",#N/A,TRUE,"GENERAL";"TAB2",#N/A,TRUE,"GENERAL";"TAB3",#N/A,TRUE,"GENERAL";"TAB4",#N/A,TRUE,"GENERAL";"TAB5",#N/A,TRUE,"GENERAL"}</definedName>
    <definedName name="_y3" localSheetId="38" hidden="1">{"via1",#N/A,TRUE,"general";"via2",#N/A,TRUE,"general";"via3",#N/A,TRUE,"general"}</definedName>
    <definedName name="_y3" hidden="1">{"via1",#N/A,TRUE,"general";"via2",#N/A,TRUE,"general";"via3",#N/A,TRUE,"general"}</definedName>
    <definedName name="_y4" localSheetId="38" hidden="1">{"via1",#N/A,TRUE,"general";"via2",#N/A,TRUE,"general";"via3",#N/A,TRUE,"general"}</definedName>
    <definedName name="_y4" hidden="1">{"via1",#N/A,TRUE,"general";"via2",#N/A,TRUE,"general";"via3",#N/A,TRUE,"general"}</definedName>
    <definedName name="_y5" localSheetId="38" hidden="1">{"TAB1",#N/A,TRUE,"GENERAL";"TAB2",#N/A,TRUE,"GENERAL";"TAB3",#N/A,TRUE,"GENERAL";"TAB4",#N/A,TRUE,"GENERAL";"TAB5",#N/A,TRUE,"GENERAL"}</definedName>
    <definedName name="_y5" hidden="1">{"TAB1",#N/A,TRUE,"GENERAL";"TAB2",#N/A,TRUE,"GENERAL";"TAB3",#N/A,TRUE,"GENERAL";"TAB4",#N/A,TRUE,"GENERAL";"TAB5",#N/A,TRUE,"GENERAL"}</definedName>
    <definedName name="_y6" localSheetId="38" hidden="1">{"via1",#N/A,TRUE,"general";"via2",#N/A,TRUE,"general";"via3",#N/A,TRUE,"general"}</definedName>
    <definedName name="_y6" hidden="1">{"via1",#N/A,TRUE,"general";"via2",#N/A,TRUE,"general";"via3",#N/A,TRUE,"general"}</definedName>
    <definedName name="_y7" localSheetId="38" hidden="1">{"via1",#N/A,TRUE,"general";"via2",#N/A,TRUE,"general";"via3",#N/A,TRUE,"general"}</definedName>
    <definedName name="_y7" hidden="1">{"via1",#N/A,TRUE,"general";"via2",#N/A,TRUE,"general";"via3",#N/A,TRUE,"general"}</definedName>
    <definedName name="_y8" localSheetId="38" hidden="1">{"via1",#N/A,TRUE,"general";"via2",#N/A,TRUE,"general";"via3",#N/A,TRUE,"general"}</definedName>
    <definedName name="_y8" hidden="1">{"via1",#N/A,TRUE,"general";"via2",#N/A,TRUE,"general";"via3",#N/A,TRUE,"general"}</definedName>
    <definedName name="_y9" localSheetId="38" hidden="1">{"TAB1",#N/A,TRUE,"GENERAL";"TAB2",#N/A,TRUE,"GENERAL";"TAB3",#N/A,TRUE,"GENERAL";"TAB4",#N/A,TRUE,"GENERAL";"TAB5",#N/A,TRUE,"GENERAL"}</definedName>
    <definedName name="_y9" hidden="1">{"TAB1",#N/A,TRUE,"GENERAL";"TAB2",#N/A,TRUE,"GENERAL";"TAB3",#N/A,TRUE,"GENERAL";"TAB4",#N/A,TRUE,"GENERAL";"TAB5",#N/A,TRUE,"GENERAL"}</definedName>
    <definedName name="_z1" localSheetId="38" hidden="1">{"TAB1",#N/A,TRUE,"GENERAL";"TAB2",#N/A,TRUE,"GENERAL";"TAB3",#N/A,TRUE,"GENERAL";"TAB4",#N/A,TRUE,"GENERAL";"TAB5",#N/A,TRUE,"GENERAL"}</definedName>
    <definedName name="_z1" hidden="1">{"TAB1",#N/A,TRUE,"GENERAL";"TAB2",#N/A,TRUE,"GENERAL";"TAB3",#N/A,TRUE,"GENERAL";"TAB4",#N/A,TRUE,"GENERAL";"TAB5",#N/A,TRUE,"GENERAL"}</definedName>
    <definedName name="_z2" localSheetId="38" hidden="1">{"via1",#N/A,TRUE,"general";"via2",#N/A,TRUE,"general";"via3",#N/A,TRUE,"general"}</definedName>
    <definedName name="_z2" hidden="1">{"via1",#N/A,TRUE,"general";"via2",#N/A,TRUE,"general";"via3",#N/A,TRUE,"general"}</definedName>
    <definedName name="_z3" localSheetId="38" hidden="1">{"via1",#N/A,TRUE,"general";"via2",#N/A,TRUE,"general";"via3",#N/A,TRUE,"general"}</definedName>
    <definedName name="_z3" hidden="1">{"via1",#N/A,TRUE,"general";"via2",#N/A,TRUE,"general";"via3",#N/A,TRUE,"general"}</definedName>
    <definedName name="_z4" localSheetId="38" hidden="1">{"TAB1",#N/A,TRUE,"GENERAL";"TAB2",#N/A,TRUE,"GENERAL";"TAB3",#N/A,TRUE,"GENERAL";"TAB4",#N/A,TRUE,"GENERAL";"TAB5",#N/A,TRUE,"GENERAL"}</definedName>
    <definedName name="_z4" hidden="1">{"TAB1",#N/A,TRUE,"GENERAL";"TAB2",#N/A,TRUE,"GENERAL";"TAB3",#N/A,TRUE,"GENERAL";"TAB4",#N/A,TRUE,"GENERAL";"TAB5",#N/A,TRUE,"GENERAL"}</definedName>
    <definedName name="_z5" localSheetId="38" hidden="1">{"via1",#N/A,TRUE,"general";"via2",#N/A,TRUE,"general";"via3",#N/A,TRUE,"general"}</definedName>
    <definedName name="_z5" hidden="1">{"via1",#N/A,TRUE,"general";"via2",#N/A,TRUE,"general";"via3",#N/A,TRUE,"general"}</definedName>
    <definedName name="_z6" localSheetId="38"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#REF!</definedName>
    <definedName name="\AA">#REF!</definedName>
    <definedName name="\b">#REF!</definedName>
    <definedName name="\bb">#REF!</definedName>
    <definedName name="\c">#REF!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 localSheetId="38">[0]!ERR</definedName>
    <definedName name="\X">[0]!ERR</definedName>
    <definedName name="\Z" localSheetId="38">[0]!ERR</definedName>
    <definedName name="\Z">[0]!ERR</definedName>
    <definedName name="a">#REF!</definedName>
    <definedName name="A_1">#REF!</definedName>
    <definedName name="A_impresión_IM">#REF!</definedName>
    <definedName name="A18A200">#REF!</definedName>
    <definedName name="a2a" localSheetId="38" hidden="1">{"TAB1",#N/A,TRUE,"GENERAL";"TAB2",#N/A,TRUE,"GENERAL";"TAB3",#N/A,TRUE,"GENERAL";"TAB4",#N/A,TRUE,"GENERAL";"TAB5",#N/A,TRUE,"GENERAL"}</definedName>
    <definedName name="a2a" hidden="1">{"TAB1",#N/A,TRUE,"GENERAL";"TAB2",#N/A,TRUE,"GENERAL";"TAB3",#N/A,TRUE,"GENERAL";"TAB4",#N/A,TRUE,"GENERAL";"TAB5",#N/A,TRUE,"GENERAL"}</definedName>
    <definedName name="aa" localSheetId="38">[0]!ERR</definedName>
    <definedName name="aa">[0]!ERR</definedName>
    <definedName name="AAA" localSheetId="38">[0]!ERR</definedName>
    <definedName name="AAA">[0]!ERR</definedName>
    <definedName name="aaaaaa">#REF!</definedName>
    <definedName name="aaaaas" localSheetId="38"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38"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1" localSheetId="15">#REF!</definedName>
    <definedName name="absc1" localSheetId="16">#REF!</definedName>
    <definedName name="absc1" localSheetId="18">#REF!</definedName>
    <definedName name="absc1" localSheetId="19">#REF!</definedName>
    <definedName name="absc1" localSheetId="21">#REF!</definedName>
    <definedName name="absc1" localSheetId="22">#REF!</definedName>
    <definedName name="absc1" localSheetId="6">#REF!</definedName>
    <definedName name="absc1" localSheetId="24">#REF!</definedName>
    <definedName name="absc1" localSheetId="25">#REF!</definedName>
    <definedName name="absc1" localSheetId="26">#REF!</definedName>
    <definedName name="absc1" localSheetId="27">#REF!</definedName>
    <definedName name="absc1" localSheetId="28">#REF!</definedName>
    <definedName name="absc1" localSheetId="30">#REF!</definedName>
    <definedName name="absc1" localSheetId="31">#REF!</definedName>
    <definedName name="absc1" localSheetId="33">#REF!</definedName>
    <definedName name="absc1" localSheetId="7">#REF!</definedName>
    <definedName name="absc1" localSheetId="34">#REF!</definedName>
    <definedName name="absc1" localSheetId="36">#REF!</definedName>
    <definedName name="absc1" localSheetId="37">#REF!</definedName>
    <definedName name="absc1" localSheetId="9">#REF!</definedName>
    <definedName name="absc1" localSheetId="10">#REF!</definedName>
    <definedName name="absc1" localSheetId="12">#REF!</definedName>
    <definedName name="absc1" localSheetId="13">#REF!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localSheetId="38"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5">#REF!</definedName>
    <definedName name="adoc1" localSheetId="16">#REF!</definedName>
    <definedName name="adoc1" localSheetId="18">#REF!</definedName>
    <definedName name="adoc1" localSheetId="19">#REF!</definedName>
    <definedName name="adoc1" localSheetId="21">#REF!</definedName>
    <definedName name="adoc1" localSheetId="22">#REF!</definedName>
    <definedName name="adoc1" localSheetId="6">#REF!</definedName>
    <definedName name="adoc1" localSheetId="24">#REF!</definedName>
    <definedName name="adoc1" localSheetId="25">#REF!</definedName>
    <definedName name="adoc1" localSheetId="26">#REF!</definedName>
    <definedName name="adoc1" localSheetId="27">#REF!</definedName>
    <definedName name="adoc1" localSheetId="28">#REF!</definedName>
    <definedName name="adoc1" localSheetId="30">#REF!</definedName>
    <definedName name="adoc1" localSheetId="31">#REF!</definedName>
    <definedName name="adoc1" localSheetId="33">#REF!</definedName>
    <definedName name="adoc1" localSheetId="7">#REF!</definedName>
    <definedName name="adoc1" localSheetId="34">#REF!</definedName>
    <definedName name="adoc1" localSheetId="36">#REF!</definedName>
    <definedName name="adoc1" localSheetId="37">#REF!</definedName>
    <definedName name="adoc1" localSheetId="9">#REF!</definedName>
    <definedName name="adoc1" localSheetId="10">#REF!</definedName>
    <definedName name="adoc1" localSheetId="12">#REF!</definedName>
    <definedName name="adoc1" localSheetId="13">#REF!</definedName>
    <definedName name="adoc1">#REF!</definedName>
    <definedName name="ADOC125" localSheetId="15">#REF!</definedName>
    <definedName name="ADOC125" localSheetId="16">#REF!</definedName>
    <definedName name="ADOC125" localSheetId="18">#REF!</definedName>
    <definedName name="ADOC125" localSheetId="19">#REF!</definedName>
    <definedName name="ADOC125" localSheetId="21">#REF!</definedName>
    <definedName name="ADOC125" localSheetId="22">#REF!</definedName>
    <definedName name="ADOC125" localSheetId="6">#REF!</definedName>
    <definedName name="ADOC125" localSheetId="24">#REF!</definedName>
    <definedName name="ADOC125" localSheetId="25">#REF!</definedName>
    <definedName name="ADOC125" localSheetId="26">#REF!</definedName>
    <definedName name="ADOC125" localSheetId="27">#REF!</definedName>
    <definedName name="ADOC125" localSheetId="28">#REF!</definedName>
    <definedName name="ADOC125" localSheetId="30">#REF!</definedName>
    <definedName name="ADOC125" localSheetId="31">#REF!</definedName>
    <definedName name="ADOC125" localSheetId="33">#REF!</definedName>
    <definedName name="ADOC125" localSheetId="7">#REF!</definedName>
    <definedName name="ADOC125" localSheetId="34">#REF!</definedName>
    <definedName name="ADOC125" localSheetId="36">#REF!</definedName>
    <definedName name="ADOC125" localSheetId="37">#REF!</definedName>
    <definedName name="ADOC125" localSheetId="9">#REF!</definedName>
    <definedName name="ADOC125" localSheetId="10">#REF!</definedName>
    <definedName name="ADOC125" localSheetId="12">#REF!</definedName>
    <definedName name="ADOC125" localSheetId="13">#REF!</definedName>
    <definedName name="ADOC125">#REF!</definedName>
    <definedName name="adoq" localSheetId="15">#REF!</definedName>
    <definedName name="adoq" localSheetId="16">#REF!</definedName>
    <definedName name="adoq" localSheetId="18">#REF!</definedName>
    <definedName name="adoq" localSheetId="19">#REF!</definedName>
    <definedName name="adoq" localSheetId="21">#REF!</definedName>
    <definedName name="adoq" localSheetId="22">#REF!</definedName>
    <definedName name="adoq" localSheetId="6">#REF!</definedName>
    <definedName name="adoq" localSheetId="24">#REF!</definedName>
    <definedName name="adoq" localSheetId="25">#REF!</definedName>
    <definedName name="adoq" localSheetId="26">#REF!</definedName>
    <definedName name="adoq" localSheetId="27">#REF!</definedName>
    <definedName name="adoq" localSheetId="28">#REF!</definedName>
    <definedName name="adoq" localSheetId="30">#REF!</definedName>
    <definedName name="adoq" localSheetId="31">#REF!</definedName>
    <definedName name="adoq" localSheetId="33">#REF!</definedName>
    <definedName name="adoq" localSheetId="7">#REF!</definedName>
    <definedName name="adoq" localSheetId="34">#REF!</definedName>
    <definedName name="adoq" localSheetId="36">#REF!</definedName>
    <definedName name="adoq" localSheetId="37">#REF!</definedName>
    <definedName name="adoq" localSheetId="9">#REF!</definedName>
    <definedName name="adoq" localSheetId="10">#REF!</definedName>
    <definedName name="adoq" localSheetId="12">#REF!</definedName>
    <definedName name="adoq" localSheetId="13">#REF!</definedName>
    <definedName name="adoq">#REF!</definedName>
    <definedName name="ADSAD" localSheetId="38" hidden="1">{"TAB1",#N/A,TRUE,"GENERAL";"TAB2",#N/A,TRUE,"GENERAL";"TAB3",#N/A,TRUE,"GENERAL";"TAB4",#N/A,TRUE,"GENERAL";"TAB5",#N/A,TRUE,"GENERAL"}</definedName>
    <definedName name="ADSAD" hidden="1">{"TAB1",#N/A,TRUE,"GENERAL";"TAB2",#N/A,TRUE,"GENERAL";"TAB3",#N/A,TRUE,"GENERAL";"TAB4",#N/A,TRUE,"GENERAL";"TAB5",#N/A,TRUE,"GENERAL"}</definedName>
    <definedName name="aefa" localSheetId="38" hidden="1">{"via1",#N/A,TRUE,"general";"via2",#N/A,TRUE,"general";"via3",#N/A,TRUE,"general"}</definedName>
    <definedName name="aefa" hidden="1">{"via1",#N/A,TRUE,"general";"via2",#N/A,TRUE,"general";"via3",#N/A,TRUE,"general"}</definedName>
    <definedName name="afdsw" localSheetId="38" hidden="1">{"TAB1",#N/A,TRUE,"GENERAL";"TAB2",#N/A,TRUE,"GENERAL";"TAB3",#N/A,TRUE,"GENERAL";"TAB4",#N/A,TRUE,"GENERAL";"TAB5",#N/A,TRUE,"GENERAL"}</definedName>
    <definedName name="afdsw" hidden="1">{"TAB1",#N/A,TRUE,"GENERAL";"TAB2",#N/A,TRUE,"GENERAL";"TAB3",#N/A,TRUE,"GENERAL";"TAB4",#N/A,TRUE,"GENERAL";"TAB5",#N/A,TRUE,"GENERAL"}</definedName>
    <definedName name="agdsgg" localSheetId="38"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iu_mat">#REF!</definedName>
    <definedName name="AjustDelAIU">#REF!</definedName>
    <definedName name="alam">#REF!</definedName>
    <definedName name="alc" localSheetId="15">#REF!</definedName>
    <definedName name="alc" localSheetId="16">#REF!</definedName>
    <definedName name="alc" localSheetId="18">#REF!</definedName>
    <definedName name="alc" localSheetId="19">#REF!</definedName>
    <definedName name="alc" localSheetId="21">#REF!</definedName>
    <definedName name="alc" localSheetId="22">#REF!</definedName>
    <definedName name="alc" localSheetId="6">#REF!</definedName>
    <definedName name="alc" localSheetId="24">#REF!</definedName>
    <definedName name="alc" localSheetId="25">#REF!</definedName>
    <definedName name="alc" localSheetId="26">#REF!</definedName>
    <definedName name="alc" localSheetId="27">#REF!</definedName>
    <definedName name="alc" localSheetId="28">#REF!</definedName>
    <definedName name="alc" localSheetId="30">#REF!</definedName>
    <definedName name="alc" localSheetId="31">#REF!</definedName>
    <definedName name="alc" localSheetId="33">#REF!</definedName>
    <definedName name="alc" localSheetId="7">#REF!</definedName>
    <definedName name="alc" localSheetId="34">#REF!</definedName>
    <definedName name="alc" localSheetId="36">#REF!</definedName>
    <definedName name="alc" localSheetId="37">#REF!</definedName>
    <definedName name="alc" localSheetId="9">#REF!</definedName>
    <definedName name="alc" localSheetId="10">#REF!</definedName>
    <definedName name="alc" localSheetId="12">#REF!</definedName>
    <definedName name="alc" localSheetId="13">#REF!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#REF!</definedName>
    <definedName name="APU221.1">#REF!</definedName>
    <definedName name="APU221.2">#REF!</definedName>
    <definedName name="aq" localSheetId="38">[0]!ERR</definedName>
    <definedName name="aq">[0]!ERR</definedName>
    <definedName name="aqaq" localSheetId="38"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'1'!$A$1:$L$67</definedName>
    <definedName name="_xlnm.Print_Area" localSheetId="14">'10'!$A$1:$L$67</definedName>
    <definedName name="_xlnm.Print_Area" localSheetId="15">'11'!$A$1:$L$67</definedName>
    <definedName name="_xlnm.Print_Area" localSheetId="16">'12'!$A$1:$L$67</definedName>
    <definedName name="_xlnm.Print_Area" localSheetId="17">'13'!$A$1:$L$67</definedName>
    <definedName name="_xlnm.Print_Area" localSheetId="18">'14'!$A$1:$L$67</definedName>
    <definedName name="_xlnm.Print_Area" localSheetId="19">'15'!$A$1:$L$67</definedName>
    <definedName name="_xlnm.Print_Area" localSheetId="20">'16'!$A$1:$L$67</definedName>
    <definedName name="_xlnm.Print_Area" localSheetId="21">'17'!$A$1:$L$67</definedName>
    <definedName name="_xlnm.Print_Area" localSheetId="22">'18'!$A$1:$L$67</definedName>
    <definedName name="_xlnm.Print_Area" localSheetId="23">'19'!$A$1:$L$67</definedName>
    <definedName name="_xlnm.Print_Area" localSheetId="6">'2'!$A$1:$L$67</definedName>
    <definedName name="_xlnm.Print_Area" localSheetId="24">'20'!$A$1:$L$67</definedName>
    <definedName name="_xlnm.Print_Area" localSheetId="25">'21'!$A$1:$L$67</definedName>
    <definedName name="_xlnm.Print_Area" localSheetId="26">'22'!$A$1:$L$70</definedName>
    <definedName name="_xlnm.Print_Area" localSheetId="27">'23'!$A$1:$L$67</definedName>
    <definedName name="_xlnm.Print_Area" localSheetId="28">'24'!$A$1:$L$67</definedName>
    <definedName name="_xlnm.Print_Area" localSheetId="29">'25'!$A$1:$L$67</definedName>
    <definedName name="_xlnm.Print_Area" localSheetId="30">'26'!$A$1:$L$67</definedName>
    <definedName name="_xlnm.Print_Area" localSheetId="31">'27'!$A$1:$L$67</definedName>
    <definedName name="_xlnm.Print_Area" localSheetId="32">'28'!$A$1:$L$67</definedName>
    <definedName name="_xlnm.Print_Area" localSheetId="33">'29'!$A$1:$L$67</definedName>
    <definedName name="_xlnm.Print_Area" localSheetId="7">'3'!$A$1:$L$67</definedName>
    <definedName name="_xlnm.Print_Area" localSheetId="34">'30'!$A$1:$L$67</definedName>
    <definedName name="_xlnm.Print_Area" localSheetId="35">'31'!$A$1:$L$67</definedName>
    <definedName name="_xlnm.Print_Area" localSheetId="36">'32'!$A$1:$L$67</definedName>
    <definedName name="_xlnm.Print_Area" localSheetId="37">'33'!$A$1:$L$70</definedName>
    <definedName name="_xlnm.Print_Area" localSheetId="8">'4'!$A$1:$L$67</definedName>
    <definedName name="_xlnm.Print_Area" localSheetId="9">'5'!$A$1:$L$67</definedName>
    <definedName name="_xlnm.Print_Area" localSheetId="10">'6'!$A$1:$L$67</definedName>
    <definedName name="_xlnm.Print_Area" localSheetId="11">'7'!$A$1:$L$67</definedName>
    <definedName name="_xlnm.Print_Area" localSheetId="12">'8'!$A$1:$L$67</definedName>
    <definedName name="_xlnm.Print_Area" localSheetId="13">'9'!$A$1:$L$67</definedName>
    <definedName name="_xlnm.Print_Area" localSheetId="0">CONSOLIDADO!$A$1:$J$43</definedName>
    <definedName name="_xlnm.Print_Area" localSheetId="39">'DATOS INICIALES'!$A$1:$I$62</definedName>
    <definedName name="_xlnm.Print_Area" localSheetId="38">PROPONENTES!$A$1:$P$42</definedName>
    <definedName name="_xlnm.Print_Area">#REF!</definedName>
    <definedName name="AreaLimpiar">#REF!,#REF!,#REF!,#REF!,#REF!,#REF!,#REF!,#REF!,#REF!,#REF!</definedName>
    <definedName name="Areatotal">#REF!</definedName>
    <definedName name="Aref">#REF!</definedName>
    <definedName name="armuve" localSheetId="38">[0]!ERR</definedName>
    <definedName name="armuve">[0]!ERR</definedName>
    <definedName name="ARP">#REF!</definedName>
    <definedName name="ARS">#REF!</definedName>
    <definedName name="as" localSheetId="38">[0]!ERR</definedName>
    <definedName name="as">[0]!ERR</definedName>
    <definedName name="ASB">#REF!</definedName>
    <definedName name="ASD" localSheetId="38" hidden="1">{"via1",#N/A,TRUE,"general";"via2",#N/A,TRUE,"general";"via3",#N/A,TRUE,"general"}</definedName>
    <definedName name="ASD" hidden="1">{"via1",#N/A,TRUE,"general";"via2",#N/A,TRUE,"general";"via3",#N/A,TRUE,"general"}</definedName>
    <definedName name="ASDA" localSheetId="38" hidden="1">{"via1",#N/A,TRUE,"general";"via2",#N/A,TRUE,"general";"via3",#N/A,TRUE,"general"}</definedName>
    <definedName name="ASDA" hidden="1">{"via1",#N/A,TRUE,"general";"via2",#N/A,TRUE,"general";"via3",#N/A,TRUE,"general"}</definedName>
    <definedName name="asdasd" localSheetId="38" hidden="1">{"TAB1",#N/A,TRUE,"GENERAL";"TAB2",#N/A,TRUE,"GENERAL";"TAB3",#N/A,TRUE,"GENERAL";"TAB4",#N/A,TRUE,"GENERAL";"TAB5",#N/A,TRUE,"GENERAL"}</definedName>
    <definedName name="asdasd" hidden="1">{"TAB1",#N/A,TRUE,"GENERAL";"TAB2",#N/A,TRUE,"GENERAL";"TAB3",#N/A,TRUE,"GENERAL";"TAB4",#N/A,TRUE,"GENERAL";"TAB5",#N/A,TRUE,"GENERAL"}</definedName>
    <definedName name="asdf" localSheetId="38" hidden="1">{"via1",#N/A,TRUE,"general";"via2",#N/A,TRUE,"general";"via3",#N/A,TRUE,"general"}</definedName>
    <definedName name="asdf" hidden="1">{"via1",#N/A,TRUE,"general";"via2",#N/A,TRUE,"general";"via3",#N/A,TRUE,"general"}</definedName>
    <definedName name="asdfa" localSheetId="38" hidden="1">{"via1",#N/A,TRUE,"general";"via2",#N/A,TRUE,"general";"via3",#N/A,TRUE,"general"}</definedName>
    <definedName name="asdfa" hidden="1">{"via1",#N/A,TRUE,"general";"via2",#N/A,TRUE,"general";"via3",#N/A,TRUE,"general"}</definedName>
    <definedName name="ASDFGHJKLÑ" localSheetId="38">[0]!ERR</definedName>
    <definedName name="ASDFGHJKLÑ">[0]!ERR</definedName>
    <definedName name="asfasd" localSheetId="38" hidden="1">{"via1",#N/A,TRUE,"general";"via2",#N/A,TRUE,"general";"via3",#N/A,TRUE,"general"}</definedName>
    <definedName name="asfasd" hidden="1">{"via1",#N/A,TRUE,"general";"via2",#N/A,TRUE,"general";"via3",#N/A,TRUE,"general"}</definedName>
    <definedName name="asfasdl" localSheetId="38" hidden="1">{"via1",#N/A,TRUE,"general";"via2",#N/A,TRUE,"general";"via3",#N/A,TRUE,"general"}</definedName>
    <definedName name="asfasdl" hidden="1">{"via1",#N/A,TRUE,"general";"via2",#N/A,TRUE,"general";"via3",#N/A,TRUE,"general"}</definedName>
    <definedName name="asfdfe" localSheetId="38" hidden="1">{#N/A,#N/A,TRUE,"INGENIERIA";#N/A,#N/A,TRUE,"COMPRAS";#N/A,#N/A,TRUE,"DIRECCION";#N/A,#N/A,TRUE,"RESUMEN"}</definedName>
    <definedName name="asfdfe" hidden="1">{#N/A,#N/A,TRUE,"INGENIERIA";#N/A,#N/A,TRUE,"COMPRAS";#N/A,#N/A,TRUE,"DIRECCION";#N/A,#N/A,TRUE,"RESUMEN"}</definedName>
    <definedName name="asff" localSheetId="38" hidden="1">{"TAB1",#N/A,TRUE,"GENERAL";"TAB2",#N/A,TRUE,"GENERAL";"TAB3",#N/A,TRUE,"GENERAL";"TAB4",#N/A,TRUE,"GENERAL";"TAB5",#N/A,TRUE,"GENERAL"}</definedName>
    <definedName name="asff" hidden="1">{"TAB1",#N/A,TRUE,"GENERAL";"TAB2",#N/A,TRUE,"GENERAL";"TAB3",#N/A,TRUE,"GENERAL";"TAB4",#N/A,TRUE,"GENERAL";"TAB5",#N/A,TRUE,"GENERAL"}</definedName>
    <definedName name="asfghjoi" localSheetId="38" hidden="1">{"via1",#N/A,TRUE,"general";"via2",#N/A,TRUE,"general";"via3",#N/A,TRUE,"general"}</definedName>
    <definedName name="asfghjoi" hidden="1">{"via1",#N/A,TRUE,"general";"via2",#N/A,TRUE,"general";"via3",#N/A,TRUE,"general"}</definedName>
    <definedName name="asojkdr" localSheetId="38"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5">MODULO10.auto_abrir</definedName>
    <definedName name="_xlnm.Auto_Open" localSheetId="16">MODULO10.auto_abrir</definedName>
    <definedName name="_xlnm.Auto_Open" localSheetId="18">MODULO10.auto_abrir</definedName>
    <definedName name="_xlnm.Auto_Open" localSheetId="19">MODULO10.auto_abrir</definedName>
    <definedName name="_xlnm.Auto_Open" localSheetId="21">MODULO10.auto_abrir</definedName>
    <definedName name="_xlnm.Auto_Open" localSheetId="22">MODULO10.auto_abrir</definedName>
    <definedName name="_xlnm.Auto_Open" localSheetId="6">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30">MODULO10.auto_abrir</definedName>
    <definedName name="_xlnm.Auto_Open" localSheetId="31">MODULO10.auto_abrir</definedName>
    <definedName name="_xlnm.Auto_Open" localSheetId="33">MODULO10.auto_abrir</definedName>
    <definedName name="_xlnm.Auto_Open" localSheetId="7">MODULO10.auto_abrir</definedName>
    <definedName name="_xlnm.Auto_Open" localSheetId="34">MODULO10.auto_abrir</definedName>
    <definedName name="_xlnm.Auto_Open" localSheetId="36">MODULO10.auto_abrir</definedName>
    <definedName name="_xlnm.Auto_Open" localSheetId="37">MODULO10.auto_abrir</definedName>
    <definedName name="_xlnm.Auto_Open" localSheetId="9">MODULO10.auto_abrir</definedName>
    <definedName name="_xlnm.Auto_Open" localSheetId="10">MODULO10.auto_abrir</definedName>
    <definedName name="_xlnm.Auto_Open" localSheetId="12">MODULO10.auto_abrir</definedName>
    <definedName name="_xlnm.Auto_Open" localSheetId="13">MODULO10.auto_abrir</definedName>
    <definedName name="_xlnm.Auto_Open" localSheetId="38">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definedName>
    <definedName name="Avances_Totales">#REF!</definedName>
    <definedName name="AW">#REF!</definedName>
    <definedName name="azaz" localSheetId="38" hidden="1">{"TAB1",#N/A,TRUE,"GENERAL";"TAB2",#N/A,TRUE,"GENERAL";"TAB3",#N/A,TRUE,"GENERAL";"TAB4",#N/A,TRUE,"GENERAL";"TAB5",#N/A,TRUE,"GENERAL"}</definedName>
    <definedName name="azaz" hidden="1">{"TAB1",#N/A,TRUE,"GENERAL";"TAB2",#N/A,TRUE,"GENERAL";"TAB3",#N/A,TRUE,"GENERAL";"TAB4",#N/A,TRUE,"GENERAL";"TAB5",#N/A,TRUE,"GENERAL"}</definedName>
    <definedName name="B" localSheetId="38" hidden="1">{"via1",#N/A,TRUE,"general";"via2",#N/A,TRUE,"general";"via3",#N/A,TRUE,"general"}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38">[0]!ERR</definedName>
    <definedName name="BB">[0]!ERR</definedName>
    <definedName name="bbbbbb" localSheetId="38" hidden="1">{"via1",#N/A,TRUE,"general";"via2",#N/A,TRUE,"general";"via3",#N/A,TRUE,"general"}</definedName>
    <definedName name="bbbbbb" hidden="1">{"via1",#N/A,TRUE,"general";"via2",#N/A,TRUE,"general";"via3",#N/A,TRUE,"general"}</definedName>
    <definedName name="bbbbbh" localSheetId="38" hidden="1">{"TAB1",#N/A,TRUE,"GENERAL";"TAB2",#N/A,TRUE,"GENERAL";"TAB3",#N/A,TRUE,"GENERAL";"TAB4",#N/A,TRUE,"GENERAL";"TAB5",#N/A,TRUE,"GENERAL"}</definedName>
    <definedName name="bbbbbh" hidden="1">{"TAB1",#N/A,TRUE,"GENERAL";"TAB2",#N/A,TRUE,"GENERAL";"TAB3",#N/A,TRUE,"GENERAL";"TAB4",#N/A,TRUE,"GENERAL";"TAB5",#N/A,TRUE,"GENERAL"}</definedName>
    <definedName name="bbd" localSheetId="38"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8"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8" hidden="1">{"via1",#N/A,TRUE,"general";"via2",#N/A,TRUE,"general";"via3",#N/A,TRUE,"general"}</definedName>
    <definedName name="BDFB" hidden="1">{"via1",#N/A,TRUE,"general";"via2",#N/A,TRUE,"general";"via3",#N/A,TRUE,"general"}</definedName>
    <definedName name="BDFGDG" localSheetId="38" hidden="1">{"TAB1",#N/A,TRUE,"GENERAL";"TAB2",#N/A,TRUE,"GENERAL";"TAB3",#N/A,TRUE,"GENERAL";"TAB4",#N/A,TRUE,"GENERAL";"TAB5",#N/A,TRUE,"GENERAL"}</definedName>
    <definedName name="BDFGDG" hidden="1">{"TAB1",#N/A,TRUE,"GENERAL";"TAB2",#N/A,TRUE,"GENERAL";"TAB3",#N/A,TRUE,"GENERAL";"TAB4",#N/A,TRUE,"GENERAL";"TAB5",#N/A,TRUE,"GENERAL"}</definedName>
    <definedName name="be" localSheetId="38"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8" hidden="1">{"TAB1",#N/A,TRUE,"GENERAL";"TAB2",#N/A,TRUE,"GENERAL";"TAB3",#N/A,TRUE,"GENERAL";"TAB4",#N/A,TRUE,"GENERAL";"TAB5",#N/A,TRUE,"GENERAL"}</definedName>
    <definedName name="bfnfv" hidden="1">{"TAB1",#N/A,TRUE,"GENERAL";"TAB2",#N/A,TRUE,"GENERAL";"TAB3",#N/A,TRUE,"GENERAL";"TAB4",#N/A,TRUE,"GENERAL";"TAB5",#N/A,TRUE,"GENERAL"}</definedName>
    <definedName name="bgb" localSheetId="38" hidden="1">{"TAB1",#N/A,TRUE,"GENERAL";"TAB2",#N/A,TRUE,"GENERAL";"TAB3",#N/A,TRUE,"GENERAL";"TAB4",#N/A,TRUE,"GENERAL";"TAB5",#N/A,TRUE,"GENERAL"}</definedName>
    <definedName name="bgb" hidden="1">{"TAB1",#N/A,TRUE,"GENERAL";"TAB2",#N/A,TRUE,"GENERAL";"TAB3",#N/A,TRUE,"GENERAL";"TAB4",#N/A,TRUE,"GENERAL";"TAB5",#N/A,TRUE,"GENERAL"}</definedName>
    <definedName name="BGDGFRT" localSheetId="38" hidden="1">{"via1",#N/A,TRUE,"general";"via2",#N/A,TRUE,"general";"via3",#N/A,TRUE,"general"}</definedName>
    <definedName name="BGDGFRT" hidden="1">{"via1",#N/A,TRUE,"general";"via2",#N/A,TRUE,"general";"via3",#N/A,TRUE,"general"}</definedName>
    <definedName name="BGFBFH" localSheetId="38" hidden="1">{"via1",#N/A,TRUE,"general";"via2",#N/A,TRUE,"general";"via3",#N/A,TRUE,"general"}</definedName>
    <definedName name="BGFBFH" hidden="1">{"via1",#N/A,TRUE,"general";"via2",#N/A,TRUE,"general";"via3",#N/A,TRUE,"general"}</definedName>
    <definedName name="BGT">#REF!</definedName>
    <definedName name="bgvfcdx" localSheetId="38"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38"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8" hidden="1">{"via1",#N/A,TRUE,"general";"via2",#N/A,TRUE,"general";"via3",#N/A,TRUE,"general"}</definedName>
    <definedName name="bsb" hidden="1">{"via1",#N/A,TRUE,"general";"via2",#N/A,TRUE,"general";"via3",#N/A,TRUE,"general"}</definedName>
    <definedName name="bspoi" localSheetId="38"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38" hidden="1">{"via1",#N/A,TRUE,"general";"via2",#N/A,TRUE,"general";"via3",#N/A,TRUE,"general"}</definedName>
    <definedName name="bt" hidden="1">{"via1",#N/A,TRUE,"general";"via2",#N/A,TRUE,"general";"via3",#N/A,TRUE,"general"}</definedName>
    <definedName name="BTYJHTR" localSheetId="38"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38" hidden="1">{"TAB1",#N/A,TRUE,"GENERAL";"TAB2",#N/A,TRUE,"GENERAL";"TAB3",#N/A,TRUE,"GENERAL";"TAB4",#N/A,TRUE,"GENERAL";"TAB5",#N/A,TRUE,"GENERAL"}</definedName>
    <definedName name="bvbc" hidden="1">{"TAB1",#N/A,TRUE,"GENERAL";"TAB2",#N/A,TRUE,"GENERAL";"TAB3",#N/A,TRUE,"GENERAL";"TAB4",#N/A,TRUE,"GENERAL";"TAB5",#N/A,TRUE,"GENERAL"}</definedName>
    <definedName name="bvcb" localSheetId="38" hidden="1">{"via1",#N/A,TRUE,"general";"via2",#N/A,TRUE,"general";"via3",#N/A,TRUE,"general"}</definedName>
    <definedName name="bvcb" hidden="1">{"via1",#N/A,TRUE,"general";"via2",#N/A,TRUE,"general";"via3",#N/A,TRUE,"general"}</definedName>
    <definedName name="bvn" localSheetId="38" hidden="1">{"via1",#N/A,TRUE,"general";"via2",#N/A,TRUE,"general";"via3",#N/A,TRUE,"general"}</definedName>
    <definedName name="bvn" hidden="1">{"via1",#N/A,TRUE,"general";"via2",#N/A,TRUE,"general";"via3",#N/A,TRUE,"general"}</definedName>
    <definedName name="by" localSheetId="38" hidden="1">{"via1",#N/A,TRUE,"general";"via2",#N/A,TRUE,"general";"via3",#N/A,TRUE,"general"}</definedName>
    <definedName name="by" hidden="1">{"via1",#N/A,TRUE,"general";"via2",#N/A,TRUE,"general";"via3",#N/A,TRUE,"general"}</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amentos">#REF!</definedName>
    <definedName name="CAMPO">#REF!</definedName>
    <definedName name="CANT">#REF!</definedName>
    <definedName name="cantidad">#REF!</definedName>
    <definedName name="CAP">#REF!</definedName>
    <definedName name="CAPAC._HSE">#REF!</definedName>
    <definedName name="CARGA">#REF!</definedName>
    <definedName name="CARGOS">#REF!</definedName>
    <definedName name="carlos" localSheetId="15">MODULO10.auto_abrir</definedName>
    <definedName name="carlos" localSheetId="16">MODULO10.auto_abrir</definedName>
    <definedName name="carlos" localSheetId="18">MODULO10.auto_abrir</definedName>
    <definedName name="carlos" localSheetId="19">MODULO10.auto_abrir</definedName>
    <definedName name="carlos" localSheetId="21">MODULO10.auto_abrir</definedName>
    <definedName name="carlos" localSheetId="22">MODULO10.auto_abrir</definedName>
    <definedName name="carlos" localSheetId="6">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30">MODULO10.auto_abrir</definedName>
    <definedName name="carlos" localSheetId="31">MODULO10.auto_abrir</definedName>
    <definedName name="carlos" localSheetId="33">MODULO10.auto_abrir</definedName>
    <definedName name="carlos" localSheetId="7">MODULO10.auto_abrir</definedName>
    <definedName name="carlos" localSheetId="34">MODULO10.auto_abrir</definedName>
    <definedName name="carlos" localSheetId="36">MODULO10.auto_abrir</definedName>
    <definedName name="carlos" localSheetId="37">MODULO10.auto_abrir</definedName>
    <definedName name="carlos" localSheetId="9">MODULO10.auto_abrir</definedName>
    <definedName name="carlos" localSheetId="10">MODULO10.auto_abrir</definedName>
    <definedName name="carlos" localSheetId="12">MODULO10.auto_abrir</definedName>
    <definedName name="carlos" localSheetId="13">MODULO10.auto_abrir</definedName>
    <definedName name="carlos" localSheetId="38">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38"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localSheetId="38"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38" hidden="1">{"TAB1",#N/A,TRUE,"GENERAL";"TAB2",#N/A,TRUE,"GENERAL";"TAB3",#N/A,TRUE,"GENERAL";"TAB4",#N/A,TRUE,"GENERAL";"TAB5",#N/A,TRUE,"GENERAL"}</definedName>
    <definedName name="ceerf" hidden="1">{"TAB1",#N/A,TRUE,"GENERAL";"TAB2",#N/A,TRUE,"GENERAL";"TAB3",#N/A,TRUE,"GENERAL";"TAB4",#N/A,TRUE,"GENERAL";"TAB5",#N/A,TRUE,"GENERAL"}</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38">[0]!ERR</definedName>
    <definedName name="COPIA">[0]!ERR</definedName>
    <definedName name="COPIA1">#REF!</definedName>
    <definedName name="COPIA2">#REF!</definedName>
    <definedName name="copiao4" localSheetId="38">[0]!ERR</definedName>
    <definedName name="copiao4">[0]!ERR</definedName>
    <definedName name="corri" localSheetId="38">[0]!ERR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ESTRUCT">#REF!</definedName>
    <definedName name="CUAL" localSheetId="38">[0]!ERR</definedName>
    <definedName name="CUAL">[0]!ERR</definedName>
    <definedName name="CUAPRUEBAS">#REF!</definedName>
    <definedName name="CUBS">#REF!</definedName>
    <definedName name="CUNET" localSheetId="38" hidden="1">{"via1",#N/A,TRUE,"general";"via2",#N/A,TRUE,"general";"via3",#N/A,TRUE,"general"}</definedName>
    <definedName name="CUNET" hidden="1">{"via1",#N/A,TRUE,"general";"via2",#N/A,TRUE,"general";"via3",#N/A,TRUE,"general"}</definedName>
    <definedName name="Customize" localSheetId="15">#REF!</definedName>
    <definedName name="Customize" localSheetId="16">#REF!</definedName>
    <definedName name="Customize" localSheetId="18">#REF!</definedName>
    <definedName name="Customize" localSheetId="19">#REF!</definedName>
    <definedName name="Customize" localSheetId="21">#REF!</definedName>
    <definedName name="Customize" localSheetId="22">#REF!</definedName>
    <definedName name="Customize" localSheetId="6">#REF!</definedName>
    <definedName name="Customize" localSheetId="24">#REF!</definedName>
    <definedName name="Customize" localSheetId="25">#REF!</definedName>
    <definedName name="Customize" localSheetId="26">#REF!</definedName>
    <definedName name="Customize" localSheetId="27">#REF!</definedName>
    <definedName name="Customize" localSheetId="28">#REF!</definedName>
    <definedName name="Customize" localSheetId="30">#REF!</definedName>
    <definedName name="Customize" localSheetId="31">#REF!</definedName>
    <definedName name="Customize" localSheetId="33">#REF!</definedName>
    <definedName name="Customize" localSheetId="7">#REF!</definedName>
    <definedName name="Customize" localSheetId="34">#REF!</definedName>
    <definedName name="Customize" localSheetId="36">#REF!</definedName>
    <definedName name="Customize" localSheetId="37">#REF!</definedName>
    <definedName name="Customize" localSheetId="9">#REF!</definedName>
    <definedName name="Customize" localSheetId="10">#REF!</definedName>
    <definedName name="Customize" localSheetId="12">#REF!</definedName>
    <definedName name="Customize" localSheetId="13">#REF!</definedName>
    <definedName name="Customize">#REF!</definedName>
    <definedName name="cv">#REF!</definedName>
    <definedName name="CVa">#REF!</definedName>
    <definedName name="cvbcvbf" localSheetId="38" hidden="1">{#N/A,#N/A,TRUE,"INGENIERIA";#N/A,#N/A,TRUE,"COMPRAS";#N/A,#N/A,TRUE,"DIRECCION";#N/A,#N/A,TRUE,"RESUMEN"}</definedName>
    <definedName name="cvbcvbf" hidden="1">{#N/A,#N/A,TRUE,"INGENIERIA";#N/A,#N/A,TRUE,"COMPRAS";#N/A,#N/A,TRUE,"DIRECCION";#N/A,#N/A,TRUE,"RESUMEN"}</definedName>
    <definedName name="cvfvd" localSheetId="38" hidden="1">{"via1",#N/A,TRUE,"general";"via2",#N/A,TRUE,"general";"via3",#N/A,TRUE,"general"}</definedName>
    <definedName name="cvfvd" hidden="1">{"via1",#N/A,TRUE,"general";"via2",#N/A,TRUE,"general";"via3",#N/A,TRUE,"general"}</definedName>
    <definedName name="cvn" localSheetId="38" hidden="1">{"TAB1",#N/A,TRUE,"GENERAL";"TAB2",#N/A,TRUE,"GENERAL";"TAB3",#N/A,TRUE,"GENERAL";"TAB4",#N/A,TRUE,"GENERAL";"TAB5",#N/A,TRUE,"GENERAL"}</definedName>
    <definedName name="cvn" hidden="1">{"TAB1",#N/A,TRUE,"GENERAL";"TAB2",#N/A,TRUE,"GENERAL";"TAB3",#N/A,TRUE,"GENERAL";"TAB4",#N/A,TRUE,"GENERAL";"TAB5",#N/A,TRUE,"GENERAL"}</definedName>
    <definedName name="CVXC" localSheetId="38" hidden="1">{"via1",#N/A,TRUE,"general";"via2",#N/A,TRUE,"general";"via3",#N/A,TRUE,"general"}</definedName>
    <definedName name="CVXC" hidden="1">{"via1",#N/A,TRUE,"general";"via2",#N/A,TRUE,"general";"via3",#N/A,TRUE,"general"}</definedName>
    <definedName name="d" localSheetId="38"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localSheetId="38"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localSheetId="38"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38" hidden="1">{"via1",#N/A,TRUE,"general";"via2",#N/A,TRUE,"general";"via3",#N/A,TRUE,"general"}</definedName>
    <definedName name="DCSDCTV" hidden="1">{"via1",#N/A,TRUE,"general";"via2",#N/A,TRUE,"general";"via3",#N/A,TRUE,"general"}</definedName>
    <definedName name="dd">#REF!</definedName>
    <definedName name="ddd" localSheetId="38" hidden="1">{"via1",#N/A,TRUE,"general";"via2",#N/A,TRUE,"general";"via3",#N/A,TRUE,"general"}</definedName>
    <definedName name="ddd" hidden="1">{"via1",#N/A,TRUE,"general";"via2",#N/A,TRUE,"general";"via3",#N/A,TRUE,"general"}</definedName>
    <definedName name="DDDD" localSheetId="38"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38" hidden="1">{"via1",#N/A,TRUE,"general";"via2",#N/A,TRUE,"general";"via3",#N/A,TRUE,"general"}</definedName>
    <definedName name="ddddt" hidden="1">{"via1",#N/A,TRUE,"general";"via2",#N/A,TRUE,"general";"via3",#N/A,TRUE,"general"}</definedName>
    <definedName name="ddewdw" localSheetId="38" hidden="1">{"TAB1",#N/A,TRUE,"GENERAL";"TAB2",#N/A,TRUE,"GENERAL";"TAB3",#N/A,TRUE,"GENERAL";"TAB4",#N/A,TRUE,"GENERAL";"TAB5",#N/A,TRUE,"GENERAL"}</definedName>
    <definedName name="ddewdw" hidden="1">{"TAB1",#N/A,TRUE,"GENERAL";"TAB2",#N/A,TRUE,"GENERAL";"TAB3",#N/A,TRUE,"GENERAL";"TAB4",#N/A,TRUE,"GENERAL";"TAB5",#N/A,TRUE,"GENERAL"}</definedName>
    <definedName name="ddfdh" localSheetId="38" hidden="1">{"TAB1",#N/A,TRUE,"GENERAL";"TAB2",#N/A,TRUE,"GENERAL";"TAB3",#N/A,TRUE,"GENERAL";"TAB4",#N/A,TRUE,"GENERAL";"TAB5",#N/A,TRUE,"GENERAL"}</definedName>
    <definedName name="ddfdh" hidden="1">{"TAB1",#N/A,TRUE,"GENERAL";"TAB2",#N/A,TRUE,"GENERAL";"TAB3",#N/A,TRUE,"GENERAL";"TAB4",#N/A,TRUE,"GENERAL";"TAB5",#N/A,TRUE,"GENERAL"}</definedName>
    <definedName name="DDGSDP" localSheetId="38"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38" hidden="1">{"TAB1",#N/A,TRUE,"GENERAL";"TAB2",#N/A,TRUE,"GENERAL";"TAB3",#N/A,TRUE,"GENERAL";"TAB4",#N/A,TRUE,"GENERAL";"TAB5",#N/A,TRUE,"GENERAL"}</definedName>
    <definedName name="deded" hidden="1">{"TAB1",#N/A,TRUE,"GENERAL";"TAB2",#N/A,TRUE,"GENERAL";"TAB3",#N/A,TRUE,"GENERAL";"TAB4",#N/A,TRUE,"GENERAL";"TAB5",#N/A,TRUE,"GENERAL"}</definedName>
    <definedName name="defd" localSheetId="38" hidden="1">{"via1",#N/A,TRUE,"general";"via2",#N/A,TRUE,"general";"via3",#N/A,TRUE,"general"}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localSheetId="38" hidden="1">{"TAB1",#N/A,TRUE,"GENERAL";"TAB2",#N/A,TRUE,"GENERAL";"TAB3",#N/A,TRUE,"GENERAL";"TAB4",#N/A,TRUE,"GENERAL";"TAB5",#N/A,TRUE,"GENERAL"}</definedName>
    <definedName name="dfa" hidden="1">{"TAB1",#N/A,TRUE,"GENERAL";"TAB2",#N/A,TRUE,"GENERAL";"TAB3",#N/A,TRUE,"GENERAL";"TAB4",#N/A,TRUE,"GENERAL";"TAB5",#N/A,TRUE,"GENERAL"}</definedName>
    <definedName name="dfasd" localSheetId="38" hidden="1">{"TAB1",#N/A,TRUE,"GENERAL";"TAB2",#N/A,TRUE,"GENERAL";"TAB3",#N/A,TRUE,"GENERAL";"TAB4",#N/A,TRUE,"GENERAL";"TAB5",#N/A,TRUE,"GENERAL"}</definedName>
    <definedName name="dfasd" hidden="1">{"TAB1",#N/A,TRUE,"GENERAL";"TAB2",#N/A,TRUE,"GENERAL";"TAB3",#N/A,TRUE,"GENERAL";"TAB4",#N/A,TRUE,"GENERAL";"TAB5",#N/A,TRUE,"GENERAL"}</definedName>
    <definedName name="DFBNJ" localSheetId="38" hidden="1">{"via1",#N/A,TRUE,"general";"via2",#N/A,TRUE,"general";"via3",#N/A,TRUE,"general"}</definedName>
    <definedName name="DFBNJ" hidden="1">{"via1",#N/A,TRUE,"general";"via2",#N/A,TRUE,"general";"via3",#N/A,TRUE,"general"}</definedName>
    <definedName name="dfds" localSheetId="38" hidden="1">{"TAB1",#N/A,TRUE,"GENERAL";"TAB2",#N/A,TRUE,"GENERAL";"TAB3",#N/A,TRUE,"GENERAL";"TAB4",#N/A,TRUE,"GENERAL";"TAB5",#N/A,TRUE,"GENERAL"}</definedName>
    <definedName name="dfds" hidden="1">{"TAB1",#N/A,TRUE,"GENERAL";"TAB2",#N/A,TRUE,"GENERAL";"TAB3",#N/A,TRUE,"GENERAL";"TAB4",#N/A,TRUE,"GENERAL";"TAB5",#N/A,TRUE,"GENERAL"}</definedName>
    <definedName name="dfdsfi" localSheetId="38" hidden="1">{"via1",#N/A,TRUE,"general";"via2",#N/A,TRUE,"general";"via3",#N/A,TRUE,"general"}</definedName>
    <definedName name="dfdsfi" hidden="1">{"via1",#N/A,TRUE,"general";"via2",#N/A,TRUE,"general";"via3",#N/A,TRUE,"general"}</definedName>
    <definedName name="dffffe" localSheetId="38" hidden="1">{"TAB1",#N/A,TRUE,"GENERAL";"TAB2",#N/A,TRUE,"GENERAL";"TAB3",#N/A,TRUE,"GENERAL";"TAB4",#N/A,TRUE,"GENERAL";"TAB5",#N/A,TRUE,"GENERAL"}</definedName>
    <definedName name="dffffe" hidden="1">{"TAB1",#N/A,TRUE,"GENERAL";"TAB2",#N/A,TRUE,"GENERAL";"TAB3",#N/A,TRUE,"GENERAL";"TAB4",#N/A,TRUE,"GENERAL";"TAB5",#N/A,TRUE,"GENERAL"}</definedName>
    <definedName name="DFG" localSheetId="38" hidden="1">{"via1",#N/A,TRUE,"general";"via2",#N/A,TRUE,"general";"via3",#N/A,TRUE,"general"}</definedName>
    <definedName name="DFG" hidden="1">{"via1",#N/A,TRUE,"general";"via2",#N/A,TRUE,"general";"via3",#N/A,TRUE,"general"}</definedName>
    <definedName name="DFGBHJ" localSheetId="38" hidden="1">{"via1",#N/A,TRUE,"general";"via2",#N/A,TRUE,"general";"via3",#N/A,TRUE,"general"}</definedName>
    <definedName name="DFGBHJ" hidden="1">{"via1",#N/A,TRUE,"general";"via2",#N/A,TRUE,"general";"via3",#N/A,TRUE,"general"}</definedName>
    <definedName name="DFGDFG" localSheetId="38" hidden="1">{"via1",#N/A,TRUE,"general";"via2",#N/A,TRUE,"general";"via3",#N/A,TRUE,"general"}</definedName>
    <definedName name="DFGDFG" hidden="1">{"via1",#N/A,TRUE,"general";"via2",#N/A,TRUE,"general";"via3",#N/A,TRUE,"general"}</definedName>
    <definedName name="DFGDYYB" localSheetId="38" hidden="1">{"TAB1",#N/A,TRUE,"GENERAL";"TAB2",#N/A,TRUE,"GENERAL";"TAB3",#N/A,TRUE,"GENERAL";"TAB4",#N/A,TRUE,"GENERAL";"TAB5",#N/A,TRUE,"GENERAL"}</definedName>
    <definedName name="DFGDYYB" hidden="1">{"TAB1",#N/A,TRUE,"GENERAL";"TAB2",#N/A,TRUE,"GENERAL";"TAB3",#N/A,TRUE,"GENERAL";"TAB4",#N/A,TRUE,"GENERAL";"TAB5",#N/A,TRUE,"GENERAL"}</definedName>
    <definedName name="dfgf" localSheetId="38" hidden="1">{"via1",#N/A,TRUE,"general";"via2",#N/A,TRUE,"general";"via3",#N/A,TRUE,"general"}</definedName>
    <definedName name="dfgf" hidden="1">{"via1",#N/A,TRUE,"general";"via2",#N/A,TRUE,"general";"via3",#N/A,TRUE,"general"}</definedName>
    <definedName name="DFGFBOP" localSheetId="38" hidden="1">{"TAB1",#N/A,TRUE,"GENERAL";"TAB2",#N/A,TRUE,"GENERAL";"TAB3",#N/A,TRUE,"GENERAL";"TAB4",#N/A,TRUE,"GENERAL";"TAB5",#N/A,TRUE,"GENERAL"}</definedName>
    <definedName name="DFGFBOP" hidden="1">{"TAB1",#N/A,TRUE,"GENERAL";"TAB2",#N/A,TRUE,"GENERAL";"TAB3",#N/A,TRUE,"GENERAL";"TAB4",#N/A,TRUE,"GENERAL";"TAB5",#N/A,TRUE,"GENERAL"}</definedName>
    <definedName name="DFGFDG" localSheetId="38" hidden="1">{"TAB1",#N/A,TRUE,"GENERAL";"TAB2",#N/A,TRUE,"GENERAL";"TAB3",#N/A,TRUE,"GENERAL";"TAB4",#N/A,TRUE,"GENERAL";"TAB5",#N/A,TRUE,"GENERAL"}</definedName>
    <definedName name="DFGFDG" hidden="1">{"TAB1",#N/A,TRUE,"GENERAL";"TAB2",#N/A,TRUE,"GENERAL";"TAB3",#N/A,TRUE,"GENERAL";"TAB4",#N/A,TRUE,"GENERAL";"TAB5",#N/A,TRUE,"GENERAL"}</definedName>
    <definedName name="DFGV" localSheetId="38" hidden="1">{"TAB1",#N/A,TRUE,"GENERAL";"TAB2",#N/A,TRUE,"GENERAL";"TAB3",#N/A,TRUE,"GENERAL";"TAB4",#N/A,TRUE,"GENERAL";"TAB5",#N/A,TRUE,"GENERAL"}</definedName>
    <definedName name="DFGV" hidden="1">{"TAB1",#N/A,TRUE,"GENERAL";"TAB2",#N/A,TRUE,"GENERAL";"TAB3",#N/A,TRUE,"GENERAL";"TAB4",#N/A,TRUE,"GENERAL";"TAB5",#N/A,TRUE,"GENERAL"}</definedName>
    <definedName name="dfgypuj" localSheetId="38" hidden="1">{"TAB1",#N/A,TRUE,"GENERAL";"TAB2",#N/A,TRUE,"GENERAL";"TAB3",#N/A,TRUE,"GENERAL";"TAB4",#N/A,TRUE,"GENERAL";"TAB5",#N/A,TRUE,"GENERAL"}</definedName>
    <definedName name="dfgypuj" hidden="1">{"TAB1",#N/A,TRUE,"GENERAL";"TAB2",#N/A,TRUE,"GENERAL";"TAB3",#N/A,TRUE,"GENERAL";"TAB4",#N/A,TRUE,"GENERAL";"TAB5",#N/A,TRUE,"GENERAL"}</definedName>
    <definedName name="dfh" localSheetId="38" hidden="1">{"TAB1",#N/A,TRUE,"GENERAL";"TAB2",#N/A,TRUE,"GENERAL";"TAB3",#N/A,TRUE,"GENERAL";"TAB4",#N/A,TRUE,"GENERAL";"TAB5",#N/A,TRUE,"GENERAL"}</definedName>
    <definedName name="dfh" hidden="1">{"TAB1",#N/A,TRUE,"GENERAL";"TAB2",#N/A,TRUE,"GENERAL";"TAB3",#N/A,TRUE,"GENERAL";"TAB4",#N/A,TRUE,"GENERAL";"TAB5",#N/A,TRUE,"GENERAL"}</definedName>
    <definedName name="dfhdr" localSheetId="38" hidden="1">{"via1",#N/A,TRUE,"general";"via2",#N/A,TRUE,"general";"via3",#N/A,TRUE,"general"}</definedName>
    <definedName name="dfhdr" hidden="1">{"via1",#N/A,TRUE,"general";"via2",#N/A,TRUE,"general";"via3",#N/A,TRUE,"general"}</definedName>
    <definedName name="dfhgh" localSheetId="38" hidden="1">{"via1",#N/A,TRUE,"general";"via2",#N/A,TRUE,"general";"via3",#N/A,TRUE,"general"}</definedName>
    <definedName name="dfhgh" hidden="1">{"via1",#N/A,TRUE,"general";"via2",#N/A,TRUE,"general";"via3",#N/A,TRUE,"general"}</definedName>
    <definedName name="dfj" localSheetId="38"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38" hidden="1">{"via1",#N/A,TRUE,"general";"via2",#N/A,TRUE,"general";"via3",#N/A,TRUE,"general"}</definedName>
    <definedName name="DFRFRF" hidden="1">{"via1",#N/A,TRUE,"general";"via2",#N/A,TRUE,"general";"via3",#N/A,TRUE,"general"}</definedName>
    <definedName name="DFVUI" localSheetId="38" hidden="1">{"via1",#N/A,TRUE,"general";"via2",#N/A,TRUE,"general";"via3",#N/A,TRUE,"general"}</definedName>
    <definedName name="DFVUI" hidden="1">{"via1",#N/A,TRUE,"general";"via2",#N/A,TRUE,"general";"via3",#N/A,TRUE,"general"}</definedName>
    <definedName name="dg" localSheetId="38" hidden="1">{"via1",#N/A,TRUE,"general";"via2",#N/A,TRUE,"general";"via3",#N/A,TRUE,"general"}</definedName>
    <definedName name="dg" hidden="1">{"via1",#N/A,TRUE,"general";"via2",#N/A,TRUE,"general";"via3",#N/A,TRUE,"general"}</definedName>
    <definedName name="dgdgr" localSheetId="38" hidden="1">{"via1",#N/A,TRUE,"general";"via2",#N/A,TRUE,"general";"via3",#N/A,TRUE,"general"}</definedName>
    <definedName name="dgdgr" hidden="1">{"via1",#N/A,TRUE,"general";"via2",#N/A,TRUE,"general";"via3",#N/A,TRUE,"general"}</definedName>
    <definedName name="dgfd" localSheetId="38" hidden="1">{"TAB1",#N/A,TRUE,"GENERAL";"TAB2",#N/A,TRUE,"GENERAL";"TAB3",#N/A,TRUE,"GENERAL";"TAB4",#N/A,TRUE,"GENERAL";"TAB5",#N/A,TRUE,"GENERAL"}</definedName>
    <definedName name="dgfd" hidden="1">{"TAB1",#N/A,TRUE,"GENERAL";"TAB2",#N/A,TRUE,"GENERAL";"TAB3",#N/A,TRUE,"GENERAL";"TAB4",#N/A,TRUE,"GENERAL";"TAB5",#N/A,TRUE,"GENERAL"}</definedName>
    <definedName name="DGFDFVSDF" localSheetId="38" hidden="1">{"via1",#N/A,TRUE,"general";"via2",#N/A,TRUE,"general";"via3",#N/A,TRUE,"general"}</definedName>
    <definedName name="DGFDFVSDF" hidden="1">{"via1",#N/A,TRUE,"general";"via2",#N/A,TRUE,"general";"via3",#N/A,TRUE,"general"}</definedName>
    <definedName name="dgfdg" localSheetId="38" hidden="1">{"via1",#N/A,TRUE,"general";"via2",#N/A,TRUE,"general";"via3",#N/A,TRUE,"general"}</definedName>
    <definedName name="dgfdg" hidden="1">{"via1",#N/A,TRUE,"general";"via2",#N/A,TRUE,"general";"via3",#N/A,TRUE,"general"}</definedName>
    <definedName name="DGFG" localSheetId="38" hidden="1">{"via1",#N/A,TRUE,"general";"via2",#N/A,TRUE,"general";"via3",#N/A,TRUE,"general"}</definedName>
    <definedName name="DGFG" hidden="1">{"via1",#N/A,TRUE,"general";"via2",#N/A,TRUE,"general";"via3",#N/A,TRUE,"general"}</definedName>
    <definedName name="dgfsado" localSheetId="38"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38" hidden="1">{"TAB1",#N/A,TRUE,"GENERAL";"TAB2",#N/A,TRUE,"GENERAL";"TAB3",#N/A,TRUE,"GENERAL";"TAB4",#N/A,TRUE,"GENERAL";"TAB5",#N/A,TRUE,"GENERAL"}</definedName>
    <definedName name="dgrdeb" hidden="1">{"TAB1",#N/A,TRUE,"GENERAL";"TAB2",#N/A,TRUE,"GENERAL";"TAB3",#N/A,TRUE,"GENERAL";"TAB4",#N/A,TRUE,"GENERAL";"TAB5",#N/A,TRUE,"GENERAL"}</definedName>
    <definedName name="dgreg" localSheetId="38" hidden="1">{"via1",#N/A,TRUE,"general";"via2",#N/A,TRUE,"general";"via3",#N/A,TRUE,"general"}</definedName>
    <definedName name="dgreg" hidden="1">{"via1",#N/A,TRUE,"general";"via2",#N/A,TRUE,"general";"via3",#N/A,TRUE,"general"}</definedName>
    <definedName name="DH" localSheetId="38" hidden="1">{"via1",#N/A,TRUE,"general";"via2",#N/A,TRUE,"general";"via3",#N/A,TRUE,"general"}</definedName>
    <definedName name="DH" hidden="1">{"via1",#N/A,TRUE,"general";"via2",#N/A,TRUE,"general";"via3",#N/A,TRUE,"general"}</definedName>
    <definedName name="dhdth" localSheetId="38" hidden="1">{"TAB1",#N/A,TRUE,"GENERAL";"TAB2",#N/A,TRUE,"GENERAL";"TAB3",#N/A,TRUE,"GENERAL";"TAB4",#N/A,TRUE,"GENERAL";"TAB5",#N/A,TRUE,"GENERAL"}</definedName>
    <definedName name="dhdth" hidden="1">{"TAB1",#N/A,TRUE,"GENERAL";"TAB2",#N/A,TRUE,"GENERAL";"TAB3",#N/A,TRUE,"GENERAL";"TAB4",#N/A,TRUE,"GENERAL";"TAB5",#N/A,TRUE,"GENERAL"}</definedName>
    <definedName name="dhgh" localSheetId="38"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38"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38" hidden="1">{"via1",#N/A,TRUE,"general";"via2",#N/A,TRUE,"general";"via3",#N/A,TRUE,"general"}</definedName>
    <definedName name="dry" hidden="1">{"via1",#N/A,TRUE,"general";"via2",#N/A,TRUE,"general";"via3",#N/A,TRUE,"general"}</definedName>
    <definedName name="DS">#REF!</definedName>
    <definedName name="DSAD" localSheetId="38" hidden="1">{"via1",#N/A,TRUE,"general";"via2",#N/A,TRUE,"general";"via3",#N/A,TRUE,"general"}</definedName>
    <definedName name="DSAD" hidden="1">{"via1",#N/A,TRUE,"general";"via2",#N/A,TRUE,"general";"via3",#N/A,TRUE,"general"}</definedName>
    <definedName name="dsadfp" localSheetId="38"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38" hidden="1">{"via1",#N/A,TRUE,"general";"via2",#N/A,TRUE,"general";"via3",#N/A,TRUE,"general"}</definedName>
    <definedName name="DSD" hidden="1">{"via1",#N/A,TRUE,"general";"via2",#N/A,TRUE,"general";"via3",#N/A,TRUE,"general"}</definedName>
    <definedName name="dsdads4" localSheetId="38" hidden="1">{"TAB1",#N/A,TRUE,"GENERAL";"TAB2",#N/A,TRUE,"GENERAL";"TAB3",#N/A,TRUE,"GENERAL";"TAB4",#N/A,TRUE,"GENERAL";"TAB5",#N/A,TRUE,"GENERAL"}</definedName>
    <definedName name="dsdads4" hidden="1">{"TAB1",#N/A,TRUE,"GENERAL";"TAB2",#N/A,TRUE,"GENERAL";"TAB3",#N/A,TRUE,"GENERAL";"TAB4",#N/A,TRUE,"GENERAL";"TAB5",#N/A,TRUE,"GENERAL"}</definedName>
    <definedName name="DSF" localSheetId="38" hidden="1">{"via1",#N/A,TRUE,"general";"via2",#N/A,TRUE,"general";"via3",#N/A,TRUE,"general"}</definedName>
    <definedName name="DSF" hidden="1">{"via1",#N/A,TRUE,"general";"via2",#N/A,TRUE,"general";"via3",#N/A,TRUE,"general"}</definedName>
    <definedName name="DSFCVTY" localSheetId="38" hidden="1">{"TAB1",#N/A,TRUE,"GENERAL";"TAB2",#N/A,TRUE,"GENERAL";"TAB3",#N/A,TRUE,"GENERAL";"TAB4",#N/A,TRUE,"GENERAL";"TAB5",#N/A,TRUE,"GENERAL"}</definedName>
    <definedName name="DSFCVTY" hidden="1">{"TAB1",#N/A,TRUE,"GENERAL";"TAB2",#N/A,TRUE,"GENERAL";"TAB3",#N/A,TRUE,"GENERAL";"TAB4",#N/A,TRUE,"GENERAL";"TAB5",#N/A,TRUE,"GENERAL"}</definedName>
    <definedName name="dsfg" localSheetId="38" hidden="1">{"via1",#N/A,TRUE,"general";"via2",#N/A,TRUE,"general";"via3",#N/A,TRUE,"general"}</definedName>
    <definedName name="dsfg" hidden="1">{"via1",#N/A,TRUE,"general";"via2",#N/A,TRUE,"general";"via3",#N/A,TRUE,"general"}</definedName>
    <definedName name="dsfhgfdh" localSheetId="38" hidden="1">{"TAB1",#N/A,TRUE,"GENERAL";"TAB2",#N/A,TRUE,"GENERAL";"TAB3",#N/A,TRUE,"GENERAL";"TAB4",#N/A,TRUE,"GENERAL";"TAB5",#N/A,TRUE,"GENERAL"}</definedName>
    <definedName name="dsfhgfdh" hidden="1">{"TAB1",#N/A,TRUE,"GENERAL";"TAB2",#N/A,TRUE,"GENERAL";"TAB3",#N/A,TRUE,"GENERAL";"TAB4",#N/A,TRUE,"GENERAL";"TAB5",#N/A,TRUE,"GENERAL"}</definedName>
    <definedName name="dsfsdf" localSheetId="38" hidden="1">{"via1",#N/A,TRUE,"general";"via2",#N/A,TRUE,"general";"via3",#N/A,TRUE,"general"}</definedName>
    <definedName name="dsfsdf" hidden="1">{"via1",#N/A,TRUE,"general";"via2",#N/A,TRUE,"general";"via3",#N/A,TRUE,"general"}</definedName>
    <definedName name="DSFSDFCXV" localSheetId="38" hidden="1">{"TAB1",#N/A,TRUE,"GENERAL";"TAB2",#N/A,TRUE,"GENERAL";"TAB3",#N/A,TRUE,"GENERAL";"TAB4",#N/A,TRUE,"GENERAL";"TAB5",#N/A,TRUE,"GENERAL"}</definedName>
    <definedName name="DSFSDFCXV" hidden="1">{"TAB1",#N/A,TRUE,"GENERAL";"TAB2",#N/A,TRUE,"GENERAL";"TAB3",#N/A,TRUE,"GENERAL";"TAB4",#N/A,TRUE,"GENERAL";"TAB5",#N/A,TRUE,"GENERAL"}</definedName>
    <definedName name="dsfsvm" localSheetId="38" hidden="1">{"TAB1",#N/A,TRUE,"GENERAL";"TAB2",#N/A,TRUE,"GENERAL";"TAB3",#N/A,TRUE,"GENERAL";"TAB4",#N/A,TRUE,"GENERAL";"TAB5",#N/A,TRUE,"GENERAL"}</definedName>
    <definedName name="dsfsvm" hidden="1">{"TAB1",#N/A,TRUE,"GENERAL";"TAB2",#N/A,TRUE,"GENERAL";"TAB3",#N/A,TRUE,"GENERAL";"TAB4",#N/A,TRUE,"GENERAL";"TAB5",#N/A,TRUE,"GENERAL"}</definedName>
    <definedName name="dsftbv" localSheetId="38"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38" hidden="1">{"via1",#N/A,TRUE,"general";"via2",#N/A,TRUE,"general";"via3",#N/A,TRUE,"general"}</definedName>
    <definedName name="dtrhj" hidden="1">{"via1",#N/A,TRUE,"general";"via2",#N/A,TRUE,"general";"via3",#N/A,TRUE,"general"}</definedName>
    <definedName name="dxfgg" localSheetId="38" hidden="1">{"via1",#N/A,TRUE,"general";"via2",#N/A,TRUE,"general";"via3",#N/A,TRUE,"general"}</definedName>
    <definedName name="dxfgg" hidden="1">{"via1",#N/A,TRUE,"general";"via2",#N/A,TRUE,"general";"via3",#N/A,TRUE,"general"}</definedName>
    <definedName name="E">#REF!</definedName>
    <definedName name="e3e33" localSheetId="38"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38" hidden="1">{"TAB1",#N/A,TRUE,"GENERAL";"TAB2",#N/A,TRUE,"GENERAL";"TAB3",#N/A,TRUE,"GENERAL";"TAB4",#N/A,TRUE,"GENERAL";"TAB5",#N/A,TRUE,"GENERAL"}</definedName>
    <definedName name="EDEDWSWQA" hidden="1">{"TAB1",#N/A,TRUE,"GENERAL";"TAB2",#N/A,TRUE,"GENERAL";"TAB3",#N/A,TRUE,"GENERAL";"TAB4",#N/A,TRUE,"GENERAL";"TAB5",#N/A,TRUE,"GENERAL"}</definedName>
    <definedName name="edgfhmn" localSheetId="38" hidden="1">{"via1",#N/A,TRUE,"general";"via2",#N/A,TRUE,"general";"via3",#N/A,TRUE,"general"}</definedName>
    <definedName name="edgfhmn" hidden="1">{"via1",#N/A,TRUE,"general";"via2",#N/A,TRUE,"general";"via3",#N/A,TRUE,"general"}</definedName>
    <definedName name="EE" localSheetId="38">[0]!ERR</definedName>
    <definedName name="EE">[0]!ERR</definedName>
    <definedName name="eeedfr" localSheetId="38" hidden="1">{"TAB1",#N/A,TRUE,"GENERAL";"TAB2",#N/A,TRUE,"GENERAL";"TAB3",#N/A,TRUE,"GENERAL";"TAB4",#N/A,TRUE,"GENERAL";"TAB5",#N/A,TRUE,"GENERAL"}</definedName>
    <definedName name="eeedfr" hidden="1">{"TAB1",#N/A,TRUE,"GENERAL";"TAB2",#N/A,TRUE,"GENERAL";"TAB3",#N/A,TRUE,"GENERAL";"TAB4",#N/A,TRUE,"GENERAL";"TAB5",#N/A,TRUE,"GENERAL"}</definedName>
    <definedName name="eeeeer" localSheetId="38" hidden="1">{"TAB1",#N/A,TRUE,"GENERAL";"TAB2",#N/A,TRUE,"GENERAL";"TAB3",#N/A,TRUE,"GENERAL";"TAB4",#N/A,TRUE,"GENERAL";"TAB5",#N/A,TRUE,"GENERAL"}</definedName>
    <definedName name="eeeeer" hidden="1">{"TAB1",#N/A,TRUE,"GENERAL";"TAB2",#N/A,TRUE,"GENERAL";"TAB3",#N/A,TRUE,"GENERAL";"TAB4",#N/A,TRUE,"GENERAL";"TAB5",#N/A,TRUE,"GENERAL"}</definedName>
    <definedName name="eeerfd" localSheetId="38" hidden="1">{"via1",#N/A,TRUE,"general";"via2",#N/A,TRUE,"general";"via3",#N/A,TRUE,"general"}</definedName>
    <definedName name="eeerfd" hidden="1">{"via1",#N/A,TRUE,"general";"via2",#N/A,TRUE,"general";"via3",#N/A,TRUE,"general"}</definedName>
    <definedName name="EF">#REF!</definedName>
    <definedName name="EFA">#REF!</definedName>
    <definedName name="efef" localSheetId="38" hidden="1">{"TAB1",#N/A,TRUE,"GENERAL";"TAB2",#N/A,TRUE,"GENERAL";"TAB3",#N/A,TRUE,"GENERAL";"TAB4",#N/A,TRUE,"GENERAL";"TAB5",#N/A,TRUE,"GENERAL"}</definedName>
    <definedName name="efef" hidden="1">{"TAB1",#N/A,TRUE,"GENERAL";"TAB2",#N/A,TRUE,"GENERAL";"TAB3",#N/A,TRUE,"GENERAL";"TAB4",#N/A,TRUE,"GENERAL";"TAB5",#N/A,TRUE,"GENERAL"}</definedName>
    <definedName name="efer" localSheetId="38" hidden="1">{"via1",#N/A,TRUE,"general";"via2",#N/A,TRUE,"general";"via3",#N/A,TRUE,"general"}</definedName>
    <definedName name="efer" hidden="1">{"via1",#N/A,TRUE,"general";"via2",#N/A,TRUE,"general";"via3",#N/A,TRUE,"general"}</definedName>
    <definedName name="egeg" localSheetId="38" hidden="1">{"TAB1",#N/A,TRUE,"GENERAL";"TAB2",#N/A,TRUE,"GENERAL";"TAB3",#N/A,TRUE,"GENERAL";"TAB4",#N/A,TRUE,"GENERAL";"TAB5",#N/A,TRUE,"GENERAL"}</definedName>
    <definedName name="egeg" hidden="1">{"TAB1",#N/A,TRUE,"GENERAL";"TAB2",#N/A,TRUE,"GENERAL";"TAB3",#N/A,TRUE,"GENERAL";"TAB4",#N/A,TRUE,"GENERAL";"TAB5",#N/A,TRUE,"GENERAL"}</definedName>
    <definedName name="egtrgthrt" localSheetId="38"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 localSheetId="38">[0]!ERR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w" localSheetId="38" hidden="1">{"via1",#N/A,TRUE,"general";"via2",#N/A,TRUE,"general";"via3",#N/A,TRUE,"general"}</definedName>
    <definedName name="eqw" hidden="1">{"via1",#N/A,TRUE,"general";"via2",#N/A,TRUE,"general";"via3",#N/A,TRUE,"general"}</definedName>
    <definedName name="ERE_ART">#REF!</definedName>
    <definedName name="erfg" localSheetId="38" hidden="1">{#N/A,#N/A,FALSE,"Hoja1";#N/A,#N/A,FALSE,"Hoja2"}</definedName>
    <definedName name="erfg" hidden="1">{#N/A,#N/A,FALSE,"Hoja1";#N/A,#N/A,FALSE,"Hoja2"}</definedName>
    <definedName name="erg" localSheetId="38" hidden="1">{"TAB1",#N/A,TRUE,"GENERAL";"TAB2",#N/A,TRUE,"GENERAL";"TAB3",#N/A,TRUE,"GENERAL";"TAB4",#N/A,TRUE,"GENERAL";"TAB5",#N/A,TRUE,"GENERAL"}</definedName>
    <definedName name="erg" hidden="1">{"TAB1",#N/A,TRUE,"GENERAL";"TAB2",#N/A,TRUE,"GENERAL";"TAB3",#N/A,TRUE,"GENERAL";"TAB4",#N/A,TRUE,"GENERAL";"TAB5",#N/A,TRUE,"GENERAL"}</definedName>
    <definedName name="erger" localSheetId="38" hidden="1">{"via1",#N/A,TRUE,"general";"via2",#N/A,TRUE,"general";"via3",#N/A,TRUE,"general"}</definedName>
    <definedName name="erger" hidden="1">{"via1",#N/A,TRUE,"general";"via2",#N/A,TRUE,"general";"via3",#N/A,TRUE,"general"}</definedName>
    <definedName name="ergerg" localSheetId="38" hidden="1">{"via1",#N/A,TRUE,"general";"via2",#N/A,TRUE,"general";"via3",#N/A,TRUE,"general"}</definedName>
    <definedName name="ergerg" hidden="1">{"via1",#N/A,TRUE,"general";"via2",#N/A,TRUE,"general";"via3",#N/A,TRUE,"general"}</definedName>
    <definedName name="ergfegr" localSheetId="38" hidden="1">{"via1",#N/A,TRUE,"general";"via2",#N/A,TRUE,"general";"via3",#N/A,TRUE,"general"}</definedName>
    <definedName name="ergfegr" hidden="1">{"via1",#N/A,TRUE,"general";"via2",#N/A,TRUE,"general";"via3",#N/A,TRUE,"general"}</definedName>
    <definedName name="ergge" localSheetId="38" hidden="1">{"TAB1",#N/A,TRUE,"GENERAL";"TAB2",#N/A,TRUE,"GENERAL";"TAB3",#N/A,TRUE,"GENERAL";"TAB4",#N/A,TRUE,"GENERAL";"TAB5",#N/A,TRUE,"GENERAL"}</definedName>
    <definedName name="ergge" hidden="1">{"TAB1",#N/A,TRUE,"GENERAL";"TAB2",#N/A,TRUE,"GENERAL";"TAB3",#N/A,TRUE,"GENERAL";"TAB4",#N/A,TRUE,"GENERAL";"TAB5",#N/A,TRUE,"GENERAL"}</definedName>
    <definedName name="erggewg" localSheetId="38" hidden="1">{"via1",#N/A,TRUE,"general";"via2",#N/A,TRUE,"general";"via3",#N/A,TRUE,"general"}</definedName>
    <definedName name="erggewg" hidden="1">{"via1",#N/A,TRUE,"general";"via2",#N/A,TRUE,"general";"via3",#N/A,TRUE,"general"}</definedName>
    <definedName name="ergreg" localSheetId="38" hidden="1">{"TAB1",#N/A,TRUE,"GENERAL";"TAB2",#N/A,TRUE,"GENERAL";"TAB3",#N/A,TRUE,"GENERAL";"TAB4",#N/A,TRUE,"GENERAL";"TAB5",#N/A,TRUE,"GENERAL"}</definedName>
    <definedName name="ergreg" hidden="1">{"TAB1",#N/A,TRUE,"GENERAL";"TAB2",#N/A,TRUE,"GENERAL";"TAB3",#N/A,TRUE,"GENERAL";"TAB4",#N/A,TRUE,"GENERAL";"TAB5",#N/A,TRUE,"GENERAL"}</definedName>
    <definedName name="ergregerg" localSheetId="38" hidden="1">{"via1",#N/A,TRUE,"general";"via2",#N/A,TRUE,"general";"via3",#N/A,TRUE,"general"}</definedName>
    <definedName name="ergregerg" hidden="1">{"via1",#N/A,TRUE,"general";"via2",#N/A,TRUE,"general";"via3",#N/A,TRUE,"general"}</definedName>
    <definedName name="ergrg" localSheetId="38" hidden="1">{"TAB1",#N/A,TRUE,"GENERAL";"TAB2",#N/A,TRUE,"GENERAL";"TAB3",#N/A,TRUE,"GENERAL";"TAB4",#N/A,TRUE,"GENERAL";"TAB5",#N/A,TRUE,"GENERAL"}</definedName>
    <definedName name="ergrg" hidden="1">{"TAB1",#N/A,TRUE,"GENERAL";"TAB2",#N/A,TRUE,"GENERAL";"TAB3",#N/A,TRUE,"GENERAL";"TAB4",#N/A,TRUE,"GENERAL";"TAB5",#N/A,TRUE,"GENERAL"}</definedName>
    <definedName name="ergweg" localSheetId="38" hidden="1">{"TAB1",#N/A,TRUE,"GENERAL";"TAB2",#N/A,TRUE,"GENERAL";"TAB3",#N/A,TRUE,"GENERAL";"TAB4",#N/A,TRUE,"GENERAL";"TAB5",#N/A,TRUE,"GENERAL"}</definedName>
    <definedName name="ergweg" hidden="1">{"TAB1",#N/A,TRUE,"GENERAL";"TAB2",#N/A,TRUE,"GENERAL";"TAB3",#N/A,TRUE,"GENERAL";"TAB4",#N/A,TRUE,"GENERAL";"TAB5",#N/A,TRUE,"GENERAL"}</definedName>
    <definedName name="ergwreg" localSheetId="38" hidden="1">{"via1",#N/A,TRUE,"general";"via2",#N/A,TRUE,"general";"via3",#N/A,TRUE,"general"}</definedName>
    <definedName name="ergwreg" hidden="1">{"via1",#N/A,TRUE,"general";"via2",#N/A,TRUE,"general";"via3",#N/A,TRUE,"general"}</definedName>
    <definedName name="erheyh" localSheetId="38" hidden="1">{"TAB1",#N/A,TRUE,"GENERAL";"TAB2",#N/A,TRUE,"GENERAL";"TAB3",#N/A,TRUE,"GENERAL";"TAB4",#N/A,TRUE,"GENERAL";"TAB5",#N/A,TRUE,"GENERAL"}</definedName>
    <definedName name="erheyh" hidden="1">{"TAB1",#N/A,TRUE,"GENERAL";"TAB2",#N/A,TRUE,"GENERAL";"TAB3",#N/A,TRUE,"GENERAL";"TAB4",#N/A,TRUE,"GENERAL";"TAB5",#N/A,TRUE,"GENERAL"}</definedName>
    <definedName name="eririutriuthdc" localSheetId="3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RORE">#REF!</definedName>
    <definedName name="ert" localSheetId="38" hidden="1">{"via1",#N/A,TRUE,"general";"via2",#N/A,TRUE,"general";"via3",#N/A,TRUE,"general"}</definedName>
    <definedName name="ert" hidden="1">{"via1",#N/A,TRUE,"general";"via2",#N/A,TRUE,"general";"via3",#N/A,TRUE,"general"}</definedName>
    <definedName name="erte" localSheetId="38" hidden="1">{"via1",#N/A,TRUE,"general";"via2",#N/A,TRUE,"general";"via3",#N/A,TRUE,"general"}</definedName>
    <definedName name="erte" hidden="1">{"via1",#N/A,TRUE,"general";"via2",#N/A,TRUE,"general";"via3",#N/A,TRUE,"general"}</definedName>
    <definedName name="erter" localSheetId="38" hidden="1">{"TAB1",#N/A,TRUE,"GENERAL";"TAB2",#N/A,TRUE,"GENERAL";"TAB3",#N/A,TRUE,"GENERAL";"TAB4",#N/A,TRUE,"GENERAL";"TAB5",#N/A,TRUE,"GENERAL"}</definedName>
    <definedName name="erter" hidden="1">{"TAB1",#N/A,TRUE,"GENERAL";"TAB2",#N/A,TRUE,"GENERAL";"TAB3",#N/A,TRUE,"GENERAL";"TAB4",#N/A,TRUE,"GENERAL";"TAB5",#N/A,TRUE,"GENERAL"}</definedName>
    <definedName name="ertert" localSheetId="38" hidden="1">{"via1",#N/A,TRUE,"general";"via2",#N/A,TRUE,"general";"via3",#N/A,TRUE,"general"}</definedName>
    <definedName name="ertert" hidden="1">{"via1",#N/A,TRUE,"general";"via2",#N/A,TRUE,"general";"via3",#N/A,TRUE,"general"}</definedName>
    <definedName name="ertgyhik" localSheetId="38" hidden="1">{"TAB1",#N/A,TRUE,"GENERAL";"TAB2",#N/A,TRUE,"GENERAL";"TAB3",#N/A,TRUE,"GENERAL";"TAB4",#N/A,TRUE,"GENERAL";"TAB5",#N/A,TRUE,"GENERAL"}</definedName>
    <definedName name="ertgyhik" hidden="1">{"TAB1",#N/A,TRUE,"GENERAL";"TAB2",#N/A,TRUE,"GENERAL";"TAB3",#N/A,TRUE,"GENERAL";"TAB4",#N/A,TRUE,"GENERAL";"TAB5",#N/A,TRUE,"GENERAL"}</definedName>
    <definedName name="ertreb" localSheetId="38" hidden="1">{"via1",#N/A,TRUE,"general";"via2",#N/A,TRUE,"general";"via3",#N/A,TRUE,"general"}</definedName>
    <definedName name="ertreb" hidden="1">{"via1",#N/A,TRUE,"general";"via2",#N/A,TRUE,"general";"via3",#N/A,TRUE,"general"}</definedName>
    <definedName name="ertret" localSheetId="38" hidden="1">{"TAB1",#N/A,TRUE,"GENERAL";"TAB2",#N/A,TRUE,"GENERAL";"TAB3",#N/A,TRUE,"GENERAL";"TAB4",#N/A,TRUE,"GENERAL";"TAB5",#N/A,TRUE,"GENERAL"}</definedName>
    <definedName name="ertret" hidden="1">{"TAB1",#N/A,TRUE,"GENERAL";"TAB2",#N/A,TRUE,"GENERAL";"TAB3",#N/A,TRUE,"GENERAL";"TAB4",#N/A,TRUE,"GENERAL";"TAB5",#N/A,TRUE,"GENERAL"}</definedName>
    <definedName name="erttret" localSheetId="38" hidden="1">{"via1",#N/A,TRUE,"general";"via2",#N/A,TRUE,"general";"via3",#N/A,TRUE,"general"}</definedName>
    <definedName name="erttret" hidden="1">{"via1",#N/A,TRUE,"general";"via2",#N/A,TRUE,"general";"via3",#N/A,TRUE,"general"}</definedName>
    <definedName name="ertuiy" localSheetId="38" hidden="1">{"via1",#N/A,TRUE,"general";"via2",#N/A,TRUE,"general";"via3",#N/A,TRUE,"general"}</definedName>
    <definedName name="ertuiy" hidden="1">{"via1",#N/A,TRUE,"general";"via2",#N/A,TRUE,"general";"via3",#N/A,TRUE,"general"}</definedName>
    <definedName name="ertwert" localSheetId="38" hidden="1">{"TAB1",#N/A,TRUE,"GENERAL";"TAB2",#N/A,TRUE,"GENERAL";"TAB3",#N/A,TRUE,"GENERAL";"TAB4",#N/A,TRUE,"GENERAL";"TAB5",#N/A,TRUE,"GENERAL"}</definedName>
    <definedName name="ertwert" hidden="1">{"TAB1",#N/A,TRUE,"GENERAL";"TAB2",#N/A,TRUE,"GENERAL";"TAB3",#N/A,TRUE,"GENERAL";"TAB4",#N/A,TRUE,"GENERAL";"TAB5",#N/A,TRUE,"GENERAL"}</definedName>
    <definedName name="eru" localSheetId="38" hidden="1">{"TAB1",#N/A,TRUE,"GENERAL";"TAB2",#N/A,TRUE,"GENERAL";"TAB3",#N/A,TRUE,"GENERAL";"TAB4",#N/A,TRUE,"GENERAL";"TAB5",#N/A,TRUE,"GENERAL"}</definedName>
    <definedName name="eru" hidden="1">{"TAB1",#N/A,TRUE,"GENERAL";"TAB2",#N/A,TRUE,"GENERAL";"TAB3",#N/A,TRUE,"GENERAL";"TAB4",#N/A,TRUE,"GENERAL";"TAB5",#N/A,TRUE,"GENERAL"}</definedName>
    <definedName name="ERV" localSheetId="38" hidden="1">{"via1",#N/A,TRUE,"general";"via2",#N/A,TRUE,"general";"via3",#N/A,TRUE,"general"}</definedName>
    <definedName name="ERV" hidden="1">{"via1",#N/A,TRUE,"general";"via2",#N/A,TRUE,"general";"via3",#N/A,TRUE,"general"}</definedName>
    <definedName name="erware" localSheetId="38" hidden="1">{"via1",#N/A,TRUE,"general";"via2",#N/A,TRUE,"general";"via3",#N/A,TRUE,"general"}</definedName>
    <definedName name="erware" hidden="1">{"via1",#N/A,TRUE,"general";"via2",#N/A,TRUE,"general";"via3",#N/A,TRUE,"general"}</definedName>
    <definedName name="ERWER" localSheetId="38" hidden="1">{"via1",#N/A,TRUE,"general";"via2",#N/A,TRUE,"general";"via3",#N/A,TRUE,"general"}</definedName>
    <definedName name="ERWER" hidden="1">{"via1",#N/A,TRUE,"general";"via2",#N/A,TRUE,"general";"via3",#N/A,TRUE,"general"}</definedName>
    <definedName name="erwertd" localSheetId="38" hidden="1">{"TAB1",#N/A,TRUE,"GENERAL";"TAB2",#N/A,TRUE,"GENERAL";"TAB3",#N/A,TRUE,"GENERAL";"TAB4",#N/A,TRUE,"GENERAL";"TAB5",#N/A,TRUE,"GENERAL"}</definedName>
    <definedName name="erwertd" hidden="1">{"TAB1",#N/A,TRUE,"GENERAL";"TAB2",#N/A,TRUE,"GENERAL";"TAB3",#N/A,TRUE,"GENERAL";"TAB4",#N/A,TRUE,"GENERAL";"TAB5",#N/A,TRUE,"GENERAL"}</definedName>
    <definedName name="erwr" localSheetId="38" hidden="1">{"TAB1",#N/A,TRUE,"GENERAL";"TAB2",#N/A,TRUE,"GENERAL";"TAB3",#N/A,TRUE,"GENERAL";"TAB4",#N/A,TRUE,"GENERAL";"TAB5",#N/A,TRUE,"GENERAL"}</definedName>
    <definedName name="erwr" hidden="1">{"TAB1",#N/A,TRUE,"GENERAL";"TAB2",#N/A,TRUE,"GENERAL";"TAB3",#N/A,TRUE,"GENERAL";"TAB4",#N/A,TRUE,"GENERAL";"TAB5",#N/A,TRUE,"GENERAL"}</definedName>
    <definedName name="ERWRL" localSheetId="38" hidden="1">{"via1",#N/A,TRUE,"general";"via2",#N/A,TRUE,"general";"via3",#N/A,TRUE,"general"}</definedName>
    <definedName name="ERWRL" hidden="1">{"via1",#N/A,TRUE,"general";"via2",#N/A,TRUE,"general";"via3",#N/A,TRUE,"general"}</definedName>
    <definedName name="ery" localSheetId="38" hidden="1">{"via1",#N/A,TRUE,"general";"via2",#N/A,TRUE,"general";"via3",#N/A,TRUE,"general"}</definedName>
    <definedName name="ery" hidden="1">{"via1",#N/A,TRUE,"general";"via2",#N/A,TRUE,"general";"via3",#N/A,TRUE,"general"}</definedName>
    <definedName name="eryhd" localSheetId="38" hidden="1">{"via1",#N/A,TRUE,"general";"via2",#N/A,TRUE,"general";"via3",#N/A,TRUE,"general"}</definedName>
    <definedName name="eryhd" hidden="1">{"via1",#N/A,TRUE,"general";"via2",#N/A,TRUE,"general";"via3",#N/A,TRUE,"general"}</definedName>
    <definedName name="eryhdf" localSheetId="38" hidden="1">{"TAB1",#N/A,TRUE,"GENERAL";"TAB2",#N/A,TRUE,"GENERAL";"TAB3",#N/A,TRUE,"GENERAL";"TAB4",#N/A,TRUE,"GENERAL";"TAB5",#N/A,TRUE,"GENERAL"}</definedName>
    <definedName name="eryhdf" hidden="1">{"TAB1",#N/A,TRUE,"GENERAL";"TAB2",#N/A,TRUE,"GENERAL";"TAB3",#N/A,TRUE,"GENERAL";"TAB4",#N/A,TRUE,"GENERAL";"TAB5",#N/A,TRUE,"GENERAL"}</definedName>
    <definedName name="eryhk" localSheetId="38" hidden="1">{"TAB1",#N/A,TRUE,"GENERAL";"TAB2",#N/A,TRUE,"GENERAL";"TAB3",#N/A,TRUE,"GENERAL";"TAB4",#N/A,TRUE,"GENERAL";"TAB5",#N/A,TRUE,"GENERAL"}</definedName>
    <definedName name="eryhk" hidden="1">{"TAB1",#N/A,TRUE,"GENERAL";"TAB2",#N/A,TRUE,"GENERAL";"TAB3",#N/A,TRUE,"GENERAL";"TAB4",#N/A,TRUE,"GENERAL";"TAB5",#N/A,TRUE,"GENERAL"}</definedName>
    <definedName name="eryhrf" localSheetId="38" hidden="1">{"TAB1",#N/A,TRUE,"GENERAL";"TAB2",#N/A,TRUE,"GENERAL";"TAB3",#N/A,TRUE,"GENERAL";"TAB4",#N/A,TRUE,"GENERAL";"TAB5",#N/A,TRUE,"GENERAL"}</definedName>
    <definedName name="eryhrf" hidden="1">{"TAB1",#N/A,TRUE,"GENERAL";"TAB2",#N/A,TRUE,"GENERAL";"TAB3",#N/A,TRUE,"GENERAL";"TAB4",#N/A,TRUE,"GENERAL";"TAB5",#N/A,TRUE,"GENERAL"}</definedName>
    <definedName name="eryre" localSheetId="38" hidden="1">{"TAB1",#N/A,TRUE,"GENERAL";"TAB2",#N/A,TRUE,"GENERAL";"TAB3",#N/A,TRUE,"GENERAL";"TAB4",#N/A,TRUE,"GENERAL";"TAB5",#N/A,TRUE,"GENERAL"}</definedName>
    <definedName name="eryre" hidden="1">{"TAB1",#N/A,TRUE,"GENERAL";"TAB2",#N/A,TRUE,"GENERAL";"TAB3",#N/A,TRUE,"GENERAL";"TAB4",#N/A,TRUE,"GENERAL";"TAB5",#N/A,TRUE,"GENERAL"}</definedName>
    <definedName name="erytd" localSheetId="38" hidden="1">{"via1",#N/A,TRUE,"general";"via2",#N/A,TRUE,"general";"via3",#N/A,TRUE,"general"}</definedName>
    <definedName name="erytd" hidden="1">{"via1",#N/A,TRUE,"general";"via2",#N/A,TRUE,"general";"via3",#N/A,TRUE,"general"}</definedName>
    <definedName name="eryty" localSheetId="38" hidden="1">{"via1",#N/A,TRUE,"general";"via2",#N/A,TRUE,"general";"via3",#N/A,TRUE,"general"}</definedName>
    <definedName name="eryty" hidden="1">{"via1",#N/A,TRUE,"general";"via2",#N/A,TRUE,"general";"via3",#N/A,TRUE,"general"}</definedName>
    <definedName name="eryy" localSheetId="38" hidden="1">{"via1",#N/A,TRUE,"general";"via2",#N/A,TRUE,"general";"via3",#N/A,TRUE,"general"}</definedName>
    <definedName name="eryy" hidden="1">{"via1",#N/A,TRUE,"general";"via2",#N/A,TRUE,"general";"via3",#N/A,TRUE,"general"}</definedName>
    <definedName name="ES" localSheetId="38">[0]!ERR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38" hidden="1">{#N/A,#N/A,TRUE,"INGENIERIA";#N/A,#N/A,TRUE,"COMPRAS";#N/A,#N/A,TRUE,"DIRECCION";#N/A,#N/A,TRUE,"RESUMEN"}</definedName>
    <definedName name="ESTRUCTURA" hidden="1">{#N/A,#N/A,TRUE,"INGENIERIA";#N/A,#N/A,TRUE,"COMPRAS";#N/A,#N/A,TRUE,"DIRECCION";#N/A,#N/A,TRUE,"RESUMEN"}</definedName>
    <definedName name="ESTRUCTURAS">#REF!</definedName>
    <definedName name="ETAP">#REF!</definedName>
    <definedName name="ETAPA_PACC">#REF!</definedName>
    <definedName name="etertgg" localSheetId="38" hidden="1">{"via1",#N/A,TRUE,"general";"via2",#N/A,TRUE,"general";"via3",#N/A,TRUE,"general"}</definedName>
    <definedName name="etertgg" hidden="1">{"via1",#N/A,TRUE,"general";"via2",#N/A,TRUE,"general";"via3",#N/A,TRUE,"general"}</definedName>
    <definedName name="etertt" localSheetId="38" hidden="1">{#N/A,#N/A,TRUE,"1842CWN0"}</definedName>
    <definedName name="etertt" hidden="1">{#N/A,#N/A,TRUE,"1842CWN0"}</definedName>
    <definedName name="etewt" localSheetId="38" hidden="1">{"TAB1",#N/A,TRUE,"GENERAL";"TAB2",#N/A,TRUE,"GENERAL";"TAB3",#N/A,TRUE,"GENERAL";"TAB4",#N/A,TRUE,"GENERAL";"TAB5",#N/A,TRUE,"GENERAL"}</definedName>
    <definedName name="etewt" hidden="1">{"TAB1",#N/A,TRUE,"GENERAL";"TAB2",#N/A,TRUE,"GENERAL";"TAB3",#N/A,TRUE,"GENERAL";"TAB4",#N/A,TRUE,"GENERAL";"TAB5",#N/A,TRUE,"GENERAL"}</definedName>
    <definedName name="etu" localSheetId="38" hidden="1">{"via1",#N/A,TRUE,"general";"via2",#N/A,TRUE,"general";"via3",#N/A,TRUE,"general"}</definedName>
    <definedName name="etu" hidden="1">{"via1",#N/A,TRUE,"general";"via2",#N/A,TRUE,"general";"via3",#N/A,TRUE,"general"}</definedName>
    <definedName name="etueh" localSheetId="38" hidden="1">{"via1",#N/A,TRUE,"general";"via2",#N/A,TRUE,"general";"via3",#N/A,TRUE,"general"}</definedName>
    <definedName name="etueh" hidden="1">{"via1",#N/A,TRUE,"general";"via2",#N/A,TRUE,"general";"via3",#N/A,TRUE,"general"}</definedName>
    <definedName name="etyty" localSheetId="38" hidden="1">{"via1",#N/A,TRUE,"general";"via2",#N/A,TRUE,"general";"via3",#N/A,TRUE,"general"}</definedName>
    <definedName name="etyty" hidden="1">{"via1",#N/A,TRUE,"general";"via2",#N/A,TRUE,"general";"via3",#N/A,TRUE,"general"}</definedName>
    <definedName name="etyu" localSheetId="38" hidden="1">{"TAB1",#N/A,TRUE,"GENERAL";"TAB2",#N/A,TRUE,"GENERAL";"TAB3",#N/A,TRUE,"GENERAL";"TAB4",#N/A,TRUE,"GENERAL";"TAB5",#N/A,TRUE,"GENERAL"}</definedName>
    <definedName name="etyu" hidden="1">{"TAB1",#N/A,TRUE,"GENERAL";"TAB2",#N/A,TRUE,"GENERAL";"TAB3",#N/A,TRUE,"GENERAL";"TAB4",#N/A,TRUE,"GENERAL";"TAB5",#N/A,TRUE,"GENERAL"}</definedName>
    <definedName name="eu" localSheetId="38" hidden="1">{"via1",#N/A,TRUE,"general";"via2",#N/A,TRUE,"general";"via3",#N/A,TRUE,"general"}</definedName>
    <definedName name="eu" hidden="1">{"via1",#N/A,TRUE,"general";"via2",#N/A,TRUE,"general";"via3",#N/A,TRUE,"general"}</definedName>
    <definedName name="eut" localSheetId="38" hidden="1">{"via1",#N/A,TRUE,"general";"via2",#N/A,TRUE,"general";"via3",#N/A,TRUE,"general"}</definedName>
    <definedName name="eut" hidden="1">{"via1",#N/A,TRUE,"general";"via2",#N/A,TRUE,"general";"via3",#N/A,TRUE,"general"}</definedName>
    <definedName name="euyt" localSheetId="38"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8" hidden="1">{"TAB1",#N/A,TRUE,"GENERAL";"TAB2",#N/A,TRUE,"GENERAL";"TAB3",#N/A,TRUE,"GENERAL";"TAB4",#N/A,TRUE,"GENERAL";"TAB5",#N/A,TRUE,"GENERAL"}</definedName>
    <definedName name="ewegt" hidden="1">{"TAB1",#N/A,TRUE,"GENERAL";"TAB2",#N/A,TRUE,"GENERAL";"TAB3",#N/A,TRUE,"GENERAL";"TAB4",#N/A,TRUE,"GENERAL";"TAB5",#N/A,TRUE,"GENERAL"}</definedName>
    <definedName name="ewfewfg" localSheetId="38" hidden="1">{"TAB1",#N/A,TRUE,"GENERAL";"TAB2",#N/A,TRUE,"GENERAL";"TAB3",#N/A,TRUE,"GENERAL";"TAB4",#N/A,TRUE,"GENERAL";"TAB5",#N/A,TRUE,"GENERAL"}</definedName>
    <definedName name="ewfewfg" hidden="1">{"TAB1",#N/A,TRUE,"GENERAL";"TAB2",#N/A,TRUE,"GENERAL";"TAB3",#N/A,TRUE,"GENERAL";"TAB4",#N/A,TRUE,"GENERAL";"TAB5",#N/A,TRUE,"GENERAL"}</definedName>
    <definedName name="ewre" localSheetId="38" hidden="1">{"TAB1",#N/A,TRUE,"GENERAL";"TAB2",#N/A,TRUE,"GENERAL";"TAB3",#N/A,TRUE,"GENERAL";"TAB4",#N/A,TRUE,"GENERAL";"TAB5",#N/A,TRUE,"GENERAL"}</definedName>
    <definedName name="ewre" hidden="1">{"TAB1",#N/A,TRUE,"GENERAL";"TAB2",#N/A,TRUE,"GENERAL";"TAB3",#N/A,TRUE,"GENERAL";"TAB4",#N/A,TRUE,"GENERAL";"TAB5",#N/A,TRUE,"GENERAL"}</definedName>
    <definedName name="ewrewf" localSheetId="38" hidden="1">{"TAB1",#N/A,TRUE,"GENERAL";"TAB2",#N/A,TRUE,"GENERAL";"TAB3",#N/A,TRUE,"GENERAL";"TAB4",#N/A,TRUE,"GENERAL";"TAB5",#N/A,TRUE,"GENERAL"}</definedName>
    <definedName name="ewrewf" hidden="1">{"TAB1",#N/A,TRUE,"GENERAL";"TAB2",#N/A,TRUE,"GENERAL";"TAB3",#N/A,TRUE,"GENERAL";"TAB4",#N/A,TRUE,"GENERAL";"TAB5",#N/A,TRUE,"GENERAL"}</definedName>
    <definedName name="ewrr" localSheetId="38" hidden="1">{"TAB1",#N/A,TRUE,"GENERAL";"TAB2",#N/A,TRUE,"GENERAL";"TAB3",#N/A,TRUE,"GENERAL";"TAB4",#N/A,TRUE,"GENERAL";"TAB5",#N/A,TRUE,"GENERAL"}</definedName>
    <definedName name="ewrr" hidden="1">{"TAB1",#N/A,TRUE,"GENERAL";"TAB2",#N/A,TRUE,"GENERAL";"TAB3",#N/A,TRUE,"GENERAL";"TAB4",#N/A,TRUE,"GENERAL";"TAB5",#N/A,TRUE,"GENERAL"}</definedName>
    <definedName name="ewrt" localSheetId="38" hidden="1">{"TAB1",#N/A,TRUE,"GENERAL";"TAB2",#N/A,TRUE,"GENERAL";"TAB3",#N/A,TRUE,"GENERAL";"TAB4",#N/A,TRUE,"GENERAL";"TAB5",#N/A,TRUE,"GENERAL"}</definedName>
    <definedName name="ewrt" hidden="1">{"TAB1",#N/A,TRUE,"GENERAL";"TAB2",#N/A,TRUE,"GENERAL";"TAB3",#N/A,TRUE,"GENERAL";"TAB4",#N/A,TRUE,"GENERAL";"TAB5",#N/A,TRUE,"GENERAL"}</definedName>
    <definedName name="ewrwer" localSheetId="38"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5">#REF!</definedName>
    <definedName name="FareWellStmnt" localSheetId="16">#REF!</definedName>
    <definedName name="FareWellStmnt" localSheetId="18">#REF!</definedName>
    <definedName name="FareWellStmnt" localSheetId="19">#REF!</definedName>
    <definedName name="FareWellStmnt" localSheetId="21">#REF!</definedName>
    <definedName name="FareWellStmnt" localSheetId="22">#REF!</definedName>
    <definedName name="FareWellStmnt" localSheetId="6">#REF!</definedName>
    <definedName name="FareWellStmnt" localSheetId="24">#REF!</definedName>
    <definedName name="FareWellStmnt" localSheetId="25">#REF!</definedName>
    <definedName name="FareWellStmnt" localSheetId="26">#REF!</definedName>
    <definedName name="FareWellStmnt" localSheetId="27">#REF!</definedName>
    <definedName name="FareWellStmnt" localSheetId="28">#REF!</definedName>
    <definedName name="FareWellStmnt" localSheetId="30">#REF!</definedName>
    <definedName name="FareWellStmnt" localSheetId="31">#REF!</definedName>
    <definedName name="FareWellStmnt" localSheetId="33">#REF!</definedName>
    <definedName name="FareWellStmnt" localSheetId="7">#REF!</definedName>
    <definedName name="FareWellStmnt" localSheetId="34">#REF!</definedName>
    <definedName name="FareWellStmnt" localSheetId="36">#REF!</definedName>
    <definedName name="FareWellStmnt" localSheetId="37">#REF!</definedName>
    <definedName name="FareWellStmnt" localSheetId="9">#REF!</definedName>
    <definedName name="FareWellStmnt" localSheetId="10">#REF!</definedName>
    <definedName name="FareWellStmnt" localSheetId="12">#REF!</definedName>
    <definedName name="FareWellStmnt" localSheetId="13">#REF!</definedName>
    <definedName name="FareWellStmnt">#REF!</definedName>
    <definedName name="FaseProyecto">#REF!</definedName>
    <definedName name="FD" localSheetId="38">[0]!ERR</definedName>
    <definedName name="FD">[0]!ERR</definedName>
    <definedName name="fda" localSheetId="38" hidden="1">{"TAB1",#N/A,TRUE,"GENERAL";"TAB2",#N/A,TRUE,"GENERAL";"TAB3",#N/A,TRUE,"GENERAL";"TAB4",#N/A,TRUE,"GENERAL";"TAB5",#N/A,TRUE,"GENERAL"}</definedName>
    <definedName name="fda" hidden="1">{"TAB1",#N/A,TRUE,"GENERAL";"TAB2",#N/A,TRUE,"GENERAL";"TAB3",#N/A,TRUE,"GENERAL";"TAB4",#N/A,TRUE,"GENERAL";"TAB5",#N/A,TRUE,"GENERAL"}</definedName>
    <definedName name="fdbjp" localSheetId="38" hidden="1">{"TAB1",#N/A,TRUE,"GENERAL";"TAB2",#N/A,TRUE,"GENERAL";"TAB3",#N/A,TRUE,"GENERAL";"TAB4",#N/A,TRUE,"GENERAL";"TAB5",#N/A,TRUE,"GENERAL"}</definedName>
    <definedName name="fdbjp" hidden="1">{"TAB1",#N/A,TRUE,"GENERAL";"TAB2",#N/A,TRUE,"GENERAL";"TAB3",#N/A,TRUE,"GENERAL";"TAB4",#N/A,TRUE,"GENERAL";"TAB5",#N/A,TRUE,"GENERAL"}</definedName>
    <definedName name="fdf" localSheetId="38" hidden="1">{"TAB1",#N/A,TRUE,"GENERAL";"TAB2",#N/A,TRUE,"GENERAL";"TAB3",#N/A,TRUE,"GENERAL";"TAB4",#N/A,TRUE,"GENERAL";"TAB5",#N/A,TRUE,"GENERAL"}</definedName>
    <definedName name="fdf" hidden="1">{"TAB1",#N/A,TRUE,"GENERAL";"TAB2",#N/A,TRUE,"GENERAL";"TAB3",#N/A,TRUE,"GENERAL";"TAB4",#N/A,TRUE,"GENERAL";"TAB5",#N/A,TRUE,"GENERAL"}</definedName>
    <definedName name="fdg" localSheetId="38" hidden="1">{"via1",#N/A,TRUE,"general";"via2",#N/A,TRUE,"general";"via3",#N/A,TRUE,"general"}</definedName>
    <definedName name="fdg" hidden="1">{"via1",#N/A,TRUE,"general";"via2",#N/A,TRUE,"general";"via3",#N/A,TRUE,"general"}</definedName>
    <definedName name="FDGD" localSheetId="38" hidden="1">{"TAB1",#N/A,TRUE,"GENERAL";"TAB2",#N/A,TRUE,"GENERAL";"TAB3",#N/A,TRUE,"GENERAL";"TAB4",#N/A,TRUE,"GENERAL";"TAB5",#N/A,TRUE,"GENERAL"}</definedName>
    <definedName name="FDGD" hidden="1">{"TAB1",#N/A,TRUE,"GENERAL";"TAB2",#N/A,TRUE,"GENERAL";"TAB3",#N/A,TRUE,"GENERAL";"TAB4",#N/A,TRUE,"GENERAL";"TAB5",#N/A,TRUE,"GENERAL"}</definedName>
    <definedName name="FDGFDBBP" localSheetId="38" hidden="1">{"TAB1",#N/A,TRUE,"GENERAL";"TAB2",#N/A,TRUE,"GENERAL";"TAB3",#N/A,TRUE,"GENERAL";"TAB4",#N/A,TRUE,"GENERAL";"TAB5",#N/A,TRUE,"GENERAL"}</definedName>
    <definedName name="FDGFDBBP" hidden="1">{"TAB1",#N/A,TRUE,"GENERAL";"TAB2",#N/A,TRUE,"GENERAL";"TAB3",#N/A,TRUE,"GENERAL";"TAB4",#N/A,TRUE,"GENERAL";"TAB5",#N/A,TRUE,"GENERAL"}</definedName>
    <definedName name="fdh" localSheetId="38" hidden="1">{"TAB1",#N/A,TRUE,"GENERAL";"TAB2",#N/A,TRUE,"GENERAL";"TAB3",#N/A,TRUE,"GENERAL";"TAB4",#N/A,TRUE,"GENERAL";"TAB5",#N/A,TRUE,"GENERAL"}</definedName>
    <definedName name="fdh" hidden="1">{"TAB1",#N/A,TRUE,"GENERAL";"TAB2",#N/A,TRUE,"GENERAL";"TAB3",#N/A,TRUE,"GENERAL";"TAB4",#N/A,TRUE,"GENERAL";"TAB5",#N/A,TRUE,"GENERAL"}</definedName>
    <definedName name="fdsf" localSheetId="38" hidden="1">{"TAB1",#N/A,TRUE,"GENERAL";"TAB2",#N/A,TRUE,"GENERAL";"TAB3",#N/A,TRUE,"GENERAL";"TAB4",#N/A,TRUE,"GENERAL";"TAB5",#N/A,TRUE,"GENERAL"}</definedName>
    <definedName name="fdsf" hidden="1">{"TAB1",#N/A,TRUE,"GENERAL";"TAB2",#N/A,TRUE,"GENERAL";"TAB3",#N/A,TRUE,"GENERAL";"TAB4",#N/A,TRUE,"GENERAL";"TAB5",#N/A,TRUE,"GENERAL"}</definedName>
    <definedName name="fdsfds" localSheetId="38" hidden="1">{"TAB1",#N/A,TRUE,"GENERAL";"TAB2",#N/A,TRUE,"GENERAL";"TAB3",#N/A,TRUE,"GENERAL";"TAB4",#N/A,TRUE,"GENERAL";"TAB5",#N/A,TRUE,"GENERAL"}</definedName>
    <definedName name="fdsfds" hidden="1">{"TAB1",#N/A,TRUE,"GENERAL";"TAB2",#N/A,TRUE,"GENERAL";"TAB3",#N/A,TRUE,"GENERAL";"TAB4",#N/A,TRUE,"GENERAL";"TAB5",#N/A,TRUE,"GENERAL"}</definedName>
    <definedName name="fdsfdsf" localSheetId="38" hidden="1">{"via1",#N/A,TRUE,"general";"via2",#N/A,TRUE,"general";"via3",#N/A,TRUE,"general"}</definedName>
    <definedName name="fdsfdsf" hidden="1">{"via1",#N/A,TRUE,"general";"via2",#N/A,TRUE,"general";"via3",#N/A,TRUE,"general"}</definedName>
    <definedName name="fdsgfds" localSheetId="38" hidden="1">{"via1",#N/A,TRUE,"general";"via2",#N/A,TRUE,"general";"via3",#N/A,TRUE,"general"}</definedName>
    <definedName name="fdsgfds" hidden="1">{"via1",#N/A,TRUE,"general";"via2",#N/A,TRUE,"general";"via3",#N/A,TRUE,"general"}</definedName>
    <definedName name="fdsgsdfu" localSheetId="38" hidden="1">{"TAB1",#N/A,TRUE,"GENERAL";"TAB2",#N/A,TRUE,"GENERAL";"TAB3",#N/A,TRUE,"GENERAL";"TAB4",#N/A,TRUE,"GENERAL";"TAB5",#N/A,TRUE,"GENERAL"}</definedName>
    <definedName name="fdsgsdfu" hidden="1">{"TAB1",#N/A,TRUE,"GENERAL";"TAB2",#N/A,TRUE,"GENERAL";"TAB3",#N/A,TRUE,"GENERAL";"TAB4",#N/A,TRUE,"GENERAL";"TAB5",#N/A,TRUE,"GENERAL"}</definedName>
    <definedName name="FDSIO" localSheetId="38"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localSheetId="38" hidden="1">{"via1",#N/A,TRUE,"general";"via2",#N/A,TRUE,"general";"via3",#N/A,TRUE,"general"}</definedName>
    <definedName name="ferfer" hidden="1">{"via1",#N/A,TRUE,"general";"via2",#N/A,TRUE,"general";"via3",#N/A,TRUE,"general"}</definedName>
    <definedName name="ff" localSheetId="38">[0]!ERR</definedName>
    <definedName name="ff">[0]!ERR</definedName>
    <definedName name="fff" localSheetId="38" hidden="1">{"via1",#N/A,TRUE,"general";"via2",#N/A,TRUE,"general";"via3",#N/A,TRUE,"general"}</definedName>
    <definedName name="fff" hidden="1">{"via1",#N/A,TRUE,"general";"via2",#N/A,TRUE,"general";"via3",#N/A,TRUE,"general"}</definedName>
    <definedName name="ffffd" localSheetId="38" hidden="1">{"via1",#N/A,TRUE,"general";"via2",#N/A,TRUE,"general";"via3",#N/A,TRUE,"general"}</definedName>
    <definedName name="ffffd" hidden="1">{"via1",#N/A,TRUE,"general";"via2",#N/A,TRUE,"general";"via3",#N/A,TRUE,"general"}</definedName>
    <definedName name="fffffft" localSheetId="38" hidden="1">{"TAB1",#N/A,TRUE,"GENERAL";"TAB2",#N/A,TRUE,"GENERAL";"TAB3",#N/A,TRUE,"GENERAL";"TAB4",#N/A,TRUE,"GENERAL";"TAB5",#N/A,TRUE,"GENERAL"}</definedName>
    <definedName name="fffffft" hidden="1">{"TAB1",#N/A,TRUE,"GENERAL";"TAB2",#N/A,TRUE,"GENERAL";"TAB3",#N/A,TRUE,"GENERAL";"TAB4",#N/A,TRUE,"GENERAL";"TAB5",#N/A,TRUE,"GENERAL"}</definedName>
    <definedName name="fffffik" localSheetId="38" hidden="1">{"TAB1",#N/A,TRUE,"GENERAL";"TAB2",#N/A,TRUE,"GENERAL";"TAB3",#N/A,TRUE,"GENERAL";"TAB4",#N/A,TRUE,"GENERAL";"TAB5",#N/A,TRUE,"GENERAL"}</definedName>
    <definedName name="fffffik" hidden="1">{"TAB1",#N/A,TRUE,"GENERAL";"TAB2",#N/A,TRUE,"GENERAL";"TAB3",#N/A,TRUE,"GENERAL";"TAB4",#N/A,TRUE,"GENERAL";"TAB5",#N/A,TRUE,"GENERAL"}</definedName>
    <definedName name="fffffj" localSheetId="38" hidden="1">{"TAB1",#N/A,TRUE,"GENERAL";"TAB2",#N/A,TRUE,"GENERAL";"TAB3",#N/A,TRUE,"GENERAL";"TAB4",#N/A,TRUE,"GENERAL";"TAB5",#N/A,TRUE,"GENERAL"}</definedName>
    <definedName name="fffffj" hidden="1">{"TAB1",#N/A,TRUE,"GENERAL";"TAB2",#N/A,TRUE,"GENERAL";"TAB3",#N/A,TRUE,"GENERAL";"TAB4",#N/A,TRUE,"GENERAL";"TAB5",#N/A,TRUE,"GENERAL"}</definedName>
    <definedName name="ffffrd" localSheetId="38" hidden="1">{"via1",#N/A,TRUE,"general";"via2",#N/A,TRUE,"general";"via3",#N/A,TRUE,"general"}</definedName>
    <definedName name="ffffrd" hidden="1">{"via1",#N/A,TRUE,"general";"via2",#N/A,TRUE,"general";"via3",#N/A,TRUE,"general"}</definedName>
    <definedName name="ffffy" localSheetId="38" hidden="1">{"TAB1",#N/A,TRUE,"GENERAL";"TAB2",#N/A,TRUE,"GENERAL";"TAB3",#N/A,TRUE,"GENERAL";"TAB4",#N/A,TRUE,"GENERAL";"TAB5",#N/A,TRUE,"GENERAL"}</definedName>
    <definedName name="ffffy" hidden="1">{"TAB1",#N/A,TRUE,"GENERAL";"TAB2",#N/A,TRUE,"GENERAL";"TAB3",#N/A,TRUE,"GENERAL";"TAB4",#N/A,TRUE,"GENERAL";"TAB5",#N/A,TRUE,"GENERAL"}</definedName>
    <definedName name="fffrfr" localSheetId="38" hidden="1">{"TAB1",#N/A,TRUE,"GENERAL";"TAB2",#N/A,TRUE,"GENERAL";"TAB3",#N/A,TRUE,"GENERAL";"TAB4",#N/A,TRUE,"GENERAL";"TAB5",#N/A,TRUE,"GENERAL"}</definedName>
    <definedName name="fffrfr" hidden="1">{"TAB1",#N/A,TRUE,"GENERAL";"TAB2",#N/A,TRUE,"GENERAL";"TAB3",#N/A,TRUE,"GENERAL";"TAB4",#N/A,TRUE,"GENERAL";"TAB5",#N/A,TRUE,"GENERAL"}</definedName>
    <definedName name="fffs" localSheetId="38" hidden="1">{"TAB1",#N/A,TRUE,"GENERAL";"TAB2",#N/A,TRUE,"GENERAL";"TAB3",#N/A,TRUE,"GENERAL";"TAB4",#N/A,TRUE,"GENERAL";"TAB5",#N/A,TRUE,"GENERAL"}</definedName>
    <definedName name="fffs" hidden="1">{"TAB1",#N/A,TRUE,"GENERAL";"TAB2",#N/A,TRUE,"GENERAL";"TAB3",#N/A,TRUE,"GENERAL";"TAB4",#N/A,TRUE,"GENERAL";"TAB5",#N/A,TRUE,"GENERAL"}</definedName>
    <definedName name="fg" localSheetId="38">[0]!ERR</definedName>
    <definedName name="fg">[0]!ERR</definedName>
    <definedName name="fgdfg" localSheetId="38" hidden="1">{"TAB1",#N/A,TRUE,"GENERAL";"TAB2",#N/A,TRUE,"GENERAL";"TAB3",#N/A,TRUE,"GENERAL";"TAB4",#N/A,TRUE,"GENERAL";"TAB5",#N/A,TRUE,"GENERAL"}</definedName>
    <definedName name="fgdfg" hidden="1">{"TAB1",#N/A,TRUE,"GENERAL";"TAB2",#N/A,TRUE,"GENERAL";"TAB3",#N/A,TRUE,"GENERAL";"TAB4",#N/A,TRUE,"GENERAL";"TAB5",#N/A,TRUE,"GENERAL"}</definedName>
    <definedName name="fgdfsgr" localSheetId="38" hidden="1">{"via1",#N/A,TRUE,"general";"via2",#N/A,TRUE,"general";"via3",#N/A,TRUE,"general"}</definedName>
    <definedName name="fgdfsgr" hidden="1">{"via1",#N/A,TRUE,"general";"via2",#N/A,TRUE,"general";"via3",#N/A,TRUE,"general"}</definedName>
    <definedName name="fgdsfg" localSheetId="38" hidden="1">{"TAB1",#N/A,TRUE,"GENERAL";"TAB2",#N/A,TRUE,"GENERAL";"TAB3",#N/A,TRUE,"GENERAL";"TAB4",#N/A,TRUE,"GENERAL";"TAB5",#N/A,TRUE,"GENERAL"}</definedName>
    <definedName name="fgdsfg" hidden="1">{"TAB1",#N/A,TRUE,"GENERAL";"TAB2",#N/A,TRUE,"GENERAL";"TAB3",#N/A,TRUE,"GENERAL";"TAB4",#N/A,TRUE,"GENERAL";"TAB5",#N/A,TRUE,"GENERAL"}</definedName>
    <definedName name="FGFDH" localSheetId="38" hidden="1">{"via1",#N/A,TRUE,"general";"via2",#N/A,TRUE,"general";"via3",#N/A,TRUE,"general"}</definedName>
    <definedName name="FGFDH" hidden="1">{"via1",#N/A,TRUE,"general";"via2",#N/A,TRUE,"general";"via3",#N/A,TRUE,"general"}</definedName>
    <definedName name="fgghhj" localSheetId="38" hidden="1">{"via1",#N/A,TRUE,"general";"via2",#N/A,TRUE,"general";"via3",#N/A,TRUE,"general"}</definedName>
    <definedName name="fgghhj" hidden="1">{"via1",#N/A,TRUE,"general";"via2",#N/A,TRUE,"general";"via3",#N/A,TRUE,"general"}</definedName>
    <definedName name="fgh">#REF!</definedName>
    <definedName name="FGHFBC" localSheetId="38" hidden="1">{"via1",#N/A,TRUE,"general";"via2",#N/A,TRUE,"general";"via3",#N/A,TRUE,"general"}</definedName>
    <definedName name="FGHFBC" hidden="1">{"via1",#N/A,TRUE,"general";"via2",#N/A,TRUE,"general";"via3",#N/A,TRUE,"general"}</definedName>
    <definedName name="fghfg" localSheetId="38" hidden="1">{"TAB1",#N/A,TRUE,"GENERAL";"TAB2",#N/A,TRUE,"GENERAL";"TAB3",#N/A,TRUE,"GENERAL";"TAB4",#N/A,TRUE,"GENERAL";"TAB5",#N/A,TRUE,"GENERAL"}</definedName>
    <definedName name="fghfg" hidden="1">{"TAB1",#N/A,TRUE,"GENERAL";"TAB2",#N/A,TRUE,"GENERAL";"TAB3",#N/A,TRUE,"GENERAL";"TAB4",#N/A,TRUE,"GENERAL";"TAB5",#N/A,TRUE,"GENERAL"}</definedName>
    <definedName name="fghfgh" localSheetId="38" hidden="1">{"via1",#N/A,TRUE,"general";"via2",#N/A,TRUE,"general";"via3",#N/A,TRUE,"general"}</definedName>
    <definedName name="fghfgh" hidden="1">{"via1",#N/A,TRUE,"general";"via2",#N/A,TRUE,"general";"via3",#N/A,TRUE,"general"}</definedName>
    <definedName name="FGHFW" localSheetId="38" hidden="1">{"via1",#N/A,TRUE,"general";"via2",#N/A,TRUE,"general";"via3",#N/A,TRUE,"general"}</definedName>
    <definedName name="FGHFW" hidden="1">{"via1",#N/A,TRUE,"general";"via2",#N/A,TRUE,"general";"via3",#N/A,TRUE,"general"}</definedName>
    <definedName name="fghhh" localSheetId="38" hidden="1">{"TAB1",#N/A,TRUE,"GENERAL";"TAB2",#N/A,TRUE,"GENERAL";"TAB3",#N/A,TRUE,"GENERAL";"TAB4",#N/A,TRUE,"GENERAL";"TAB5",#N/A,TRUE,"GENERAL"}</definedName>
    <definedName name="fghhh" hidden="1">{"TAB1",#N/A,TRUE,"GENERAL";"TAB2",#N/A,TRUE,"GENERAL";"TAB3",#N/A,TRUE,"GENERAL";"TAB4",#N/A,TRUE,"GENERAL";"TAB5",#N/A,TRUE,"GENERAL"}</definedName>
    <definedName name="fghsfgh" localSheetId="38" hidden="1">{"via1",#N/A,TRUE,"general";"via2",#N/A,TRUE,"general";"via3",#N/A,TRUE,"general"}</definedName>
    <definedName name="fghsfgh" hidden="1">{"via1",#N/A,TRUE,"general";"via2",#N/A,TRUE,"general";"via3",#N/A,TRUE,"general"}</definedName>
    <definedName name="fght" localSheetId="38" hidden="1">{"TAB1",#N/A,TRUE,"GENERAL";"TAB2",#N/A,TRUE,"GENERAL";"TAB3",#N/A,TRUE,"GENERAL";"TAB4",#N/A,TRUE,"GENERAL";"TAB5",#N/A,TRUE,"GENERAL"}</definedName>
    <definedName name="fght" hidden="1">{"TAB1",#N/A,TRUE,"GENERAL";"TAB2",#N/A,TRUE,"GENERAL";"TAB3",#N/A,TRUE,"GENERAL";"TAB4",#N/A,TRUE,"GENERAL";"TAB5",#N/A,TRUE,"GENERAL"}</definedName>
    <definedName name="fgjgryi" localSheetId="38" hidden="1">{"TAB1",#N/A,TRUE,"GENERAL";"TAB2",#N/A,TRUE,"GENERAL";"TAB3",#N/A,TRUE,"GENERAL";"TAB4",#N/A,TRUE,"GENERAL";"TAB5",#N/A,TRUE,"GENERAL"}</definedName>
    <definedName name="fgjgryi" hidden="1">{"TAB1",#N/A,TRUE,"GENERAL";"TAB2",#N/A,TRUE,"GENERAL";"TAB3",#N/A,TRUE,"GENERAL";"TAB4",#N/A,TRUE,"GENERAL";"TAB5",#N/A,TRUE,"GENERAL"}</definedName>
    <definedName name="fhfg" localSheetId="38" hidden="1">{"TAB1",#N/A,TRUE,"GENERAL";"TAB2",#N/A,TRUE,"GENERAL";"TAB3",#N/A,TRUE,"GENERAL";"TAB4",#N/A,TRUE,"GENERAL";"TAB5",#N/A,TRUE,"GENERAL"}</definedName>
    <definedName name="fhfg" hidden="1">{"TAB1",#N/A,TRUE,"GENERAL";"TAB2",#N/A,TRUE,"GENERAL";"TAB3",#N/A,TRUE,"GENERAL";"TAB4",#N/A,TRUE,"GENERAL";"TAB5",#N/A,TRUE,"GENERAL"}</definedName>
    <definedName name="fhfgh" localSheetId="38" hidden="1">{"via1",#N/A,TRUE,"general";"via2",#N/A,TRUE,"general";"via3",#N/A,TRUE,"general"}</definedName>
    <definedName name="fhfgh" hidden="1">{"via1",#N/A,TRUE,"general";"via2",#N/A,TRUE,"general";"via3",#N/A,TRUE,"general"}</definedName>
    <definedName name="fhg" localSheetId="38" hidden="1">{#N/A,#N/A,TRUE,"1842CWN0"}</definedName>
    <definedName name="fhg" hidden="1">{#N/A,#N/A,TRUE,"1842CWN0"}</definedName>
    <definedName name="fhgh" localSheetId="38" hidden="1">{"via1",#N/A,TRUE,"general";"via2",#N/A,TRUE,"general";"via3",#N/A,TRUE,"general"}</definedName>
    <definedName name="fhgh" hidden="1">{"via1",#N/A,TRUE,"general";"via2",#N/A,TRUE,"general";"via3",#N/A,TRUE,"general"}</definedName>
    <definedName name="fhpltyunh" localSheetId="38"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8">[0]!ERR</definedName>
    <definedName name="FINANCIACION">[0]!ERR</definedName>
    <definedName name="FinePrint" localSheetId="15">#REF!</definedName>
    <definedName name="FinePrint" localSheetId="16">#REF!</definedName>
    <definedName name="FinePrint" localSheetId="18">#REF!</definedName>
    <definedName name="FinePrint" localSheetId="19">#REF!</definedName>
    <definedName name="FinePrint" localSheetId="21">#REF!</definedName>
    <definedName name="FinePrint" localSheetId="22">#REF!</definedName>
    <definedName name="FinePrint" localSheetId="6">#REF!</definedName>
    <definedName name="FinePrint" localSheetId="24">#REF!</definedName>
    <definedName name="FinePrint" localSheetId="25">#REF!</definedName>
    <definedName name="FinePrint" localSheetId="26">#REF!</definedName>
    <definedName name="FinePrint" localSheetId="27">#REF!</definedName>
    <definedName name="FinePrint" localSheetId="28">#REF!</definedName>
    <definedName name="FinePrint" localSheetId="30">#REF!</definedName>
    <definedName name="FinePrint" localSheetId="31">#REF!</definedName>
    <definedName name="FinePrint" localSheetId="33">#REF!</definedName>
    <definedName name="FinePrint" localSheetId="7">#REF!</definedName>
    <definedName name="FinePrint" localSheetId="34">#REF!</definedName>
    <definedName name="FinePrint" localSheetId="36">#REF!</definedName>
    <definedName name="FinePrint" localSheetId="37">#REF!</definedName>
    <definedName name="FinePrint" localSheetId="9">#REF!</definedName>
    <definedName name="FinePrint" localSheetId="10">#REF!</definedName>
    <definedName name="FinePrint" localSheetId="12">#REF!</definedName>
    <definedName name="FinePrint" localSheetId="13">#REF!</definedName>
    <definedName name="FinePrint">#REF!</definedName>
    <definedName name="FM">#REF!</definedName>
    <definedName name="FMA">#REF!</definedName>
    <definedName name="FMB">#REF!</definedName>
    <definedName name="FMC">#REF!</definedName>
    <definedName name="FMD">#REF!</definedName>
    <definedName name="FME">#REF!</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38" hidden="1">{"TAB1",#N/A,TRUE,"GENERAL";"TAB2",#N/A,TRUE,"GENERAL";"TAB3",#N/A,TRUE,"GENERAL";"TAB4",#N/A,TRUE,"GENERAL";"TAB5",#N/A,TRUE,"GENERAL"}</definedName>
    <definedName name="frbgsd" hidden="1">{"TAB1",#N/A,TRUE,"GENERAL";"TAB2",#N/A,TRUE,"GENERAL";"TAB3",#N/A,TRUE,"GENERAL";"TAB4",#N/A,TRUE,"GENERAL";"TAB5",#N/A,TRUE,"GENERAL"}</definedName>
    <definedName name="frefr" localSheetId="38" hidden="1">{"via1",#N/A,TRUE,"general";"via2",#N/A,TRUE,"general";"via3",#N/A,TRUE,"general"}</definedName>
    <definedName name="frefr" hidden="1">{"via1",#N/A,TRUE,"general";"via2",#N/A,TRUE,"general";"via3",#N/A,TRUE,"general"}</definedName>
    <definedName name="frfa" localSheetId="38" hidden="1">{"via1",#N/A,TRUE,"general";"via2",#N/A,TRUE,"general";"via3",#N/A,TRUE,"general"}</definedName>
    <definedName name="frfa" hidden="1">{"via1",#N/A,TRUE,"general";"via2",#N/A,TRUE,"general";"via3",#N/A,TRUE,"general"}</definedName>
    <definedName name="frfr" localSheetId="38"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8">[0]!ERR</definedName>
    <definedName name="fu">[0]!ERR</definedName>
    <definedName name="Full_Print">#REF!</definedName>
    <definedName name="fwff" localSheetId="38" hidden="1">{"via1",#N/A,TRUE,"general";"via2",#N/A,TRUE,"general";"via3",#N/A,TRUE,"general"}</definedName>
    <definedName name="fwff" hidden="1">{"via1",#N/A,TRUE,"general";"via2",#N/A,TRUE,"general";"via3",#N/A,TRUE,"general"}</definedName>
    <definedName name="fwwe" localSheetId="38" hidden="1">{"via1",#N/A,TRUE,"general";"via2",#N/A,TRUE,"general";"via3",#N/A,TRUE,"general"}</definedName>
    <definedName name="fwwe" hidden="1">{"via1",#N/A,TRUE,"general";"via2",#N/A,TRUE,"general";"via3",#N/A,TRUE,"general"}</definedName>
    <definedName name="G">#REF!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Eg">#REF!</definedName>
    <definedName name="G.Em">#REF!</definedName>
    <definedName name="G.Eo">#REF!</definedName>
    <definedName name="G.Ew">#REF!</definedName>
    <definedName name="G1_">#REF!</definedName>
    <definedName name="GAJ">#REF!</definedName>
    <definedName name="GAS">#REF!</definedName>
    <definedName name="gastos_contrato">#REF!</definedName>
    <definedName name="gba" localSheetId="3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8"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38"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38"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localSheetId="38" hidden="1">{"TAB1",#N/A,TRUE,"GENERAL";"TAB2",#N/A,TRUE,"GENERAL";"TAB3",#N/A,TRUE,"GENERAL";"TAB4",#N/A,TRUE,"GENERAL";"TAB5",#N/A,TRUE,"GENERAL"}</definedName>
    <definedName name="gerg" hidden="1">{"TAB1",#N/A,TRUE,"GENERAL";"TAB2",#N/A,TRUE,"GENERAL";"TAB3",#N/A,TRUE,"GENERAL";"TAB4",#N/A,TRUE,"GENERAL";"TAB5",#N/A,TRUE,"GENERAL"}</definedName>
    <definedName name="gerg54" localSheetId="38" hidden="1">{"via1",#N/A,TRUE,"general";"via2",#N/A,TRUE,"general";"via3",#N/A,TRUE,"general"}</definedName>
    <definedName name="gerg54" hidden="1">{"via1",#N/A,TRUE,"general";"via2",#N/A,TRUE,"general";"via3",#N/A,TRUE,"general"}</definedName>
    <definedName name="gergew" localSheetId="38" hidden="1">{"TAB1",#N/A,TRUE,"GENERAL";"TAB2",#N/A,TRUE,"GENERAL";"TAB3",#N/A,TRUE,"GENERAL";"TAB4",#N/A,TRUE,"GENERAL";"TAB5",#N/A,TRUE,"GENERAL"}</definedName>
    <definedName name="gergew" hidden="1">{"TAB1",#N/A,TRUE,"GENERAL";"TAB2",#N/A,TRUE,"GENERAL";"TAB3",#N/A,TRUE,"GENERAL";"TAB4",#N/A,TRUE,"GENERAL";"TAB5",#N/A,TRUE,"GENERAL"}</definedName>
    <definedName name="gergw" localSheetId="38" hidden="1">{"TAB1",#N/A,TRUE,"GENERAL";"TAB2",#N/A,TRUE,"GENERAL";"TAB3",#N/A,TRUE,"GENERAL";"TAB4",#N/A,TRUE,"GENERAL";"TAB5",#N/A,TRUE,"GENERAL"}</definedName>
    <definedName name="gergw" hidden="1">{"TAB1",#N/A,TRUE,"GENERAL";"TAB2",#N/A,TRUE,"GENERAL";"TAB3",#N/A,TRUE,"GENERAL";"TAB4",#N/A,TRUE,"GENERAL";"TAB5",#N/A,TRUE,"GENERAL"}</definedName>
    <definedName name="gfd" localSheetId="38" hidden="1">{"TAB1",#N/A,TRUE,"GENERAL";"TAB2",#N/A,TRUE,"GENERAL";"TAB3",#N/A,TRUE,"GENERAL";"TAB4",#N/A,TRUE,"GENERAL";"TAB5",#N/A,TRUE,"GENERAL"}</definedName>
    <definedName name="gfd" hidden="1">{"TAB1",#N/A,TRUE,"GENERAL";"TAB2",#N/A,TRUE,"GENERAL";"TAB3",#N/A,TRUE,"GENERAL";"TAB4",#N/A,TRUE,"GENERAL";"TAB5",#N/A,TRUE,"GENERAL"}</definedName>
    <definedName name="gfdg" localSheetId="38" hidden="1">{"via1",#N/A,TRUE,"general";"via2",#N/A,TRUE,"general";"via3",#N/A,TRUE,"general"}</definedName>
    <definedName name="gfdg" hidden="1">{"via1",#N/A,TRUE,"general";"via2",#N/A,TRUE,"general";"via3",#N/A,TRUE,"general"}</definedName>
    <definedName name="gffgfhhf" localSheetId="38" hidden="1">{#N/A,#N/A,TRUE,"INGENIERIA";#N/A,#N/A,TRUE,"COMPRAS";#N/A,#N/A,TRUE,"DIRECCION";#N/A,#N/A,TRUE,"RESUMEN"}</definedName>
    <definedName name="gffgfhhf" hidden="1">{#N/A,#N/A,TRUE,"INGENIERIA";#N/A,#N/A,TRUE,"COMPRAS";#N/A,#N/A,TRUE,"DIRECCION";#N/A,#N/A,TRUE,"RESUMEN"}</definedName>
    <definedName name="gfgfgr" localSheetId="38" hidden="1">{"via1",#N/A,TRUE,"general";"via2",#N/A,TRUE,"general";"via3",#N/A,TRUE,"general"}</definedName>
    <definedName name="gfgfgr" hidden="1">{"via1",#N/A,TRUE,"general";"via2",#N/A,TRUE,"general";"via3",#N/A,TRUE,"general"}</definedName>
    <definedName name="gfhf" localSheetId="38" hidden="1">{"via1",#N/A,TRUE,"general";"via2",#N/A,TRUE,"general";"via3",#N/A,TRUE,"general"}</definedName>
    <definedName name="gfhf" hidden="1">{"via1",#N/A,TRUE,"general";"via2",#N/A,TRUE,"general";"via3",#N/A,TRUE,"general"}</definedName>
    <definedName name="gfhfdh" localSheetId="38" hidden="1">{"TAB1",#N/A,TRUE,"GENERAL";"TAB2",#N/A,TRUE,"GENERAL";"TAB3",#N/A,TRUE,"GENERAL";"TAB4",#N/A,TRUE,"GENERAL";"TAB5",#N/A,TRUE,"GENERAL"}</definedName>
    <definedName name="gfhfdh" hidden="1">{"TAB1",#N/A,TRUE,"GENERAL";"TAB2",#N/A,TRUE,"GENERAL";"TAB3",#N/A,TRUE,"GENERAL";"TAB4",#N/A,TRUE,"GENERAL";"TAB5",#N/A,TRUE,"GENERAL"}</definedName>
    <definedName name="gfhgfh" localSheetId="38" hidden="1">{"TAB1",#N/A,TRUE,"GENERAL";"TAB2",#N/A,TRUE,"GENERAL";"TAB3",#N/A,TRUE,"GENERAL";"TAB4",#N/A,TRUE,"GENERAL";"TAB5",#N/A,TRUE,"GENERAL"}</definedName>
    <definedName name="gfhgfh" hidden="1">{"TAB1",#N/A,TRUE,"GENERAL";"TAB2",#N/A,TRUE,"GENERAL";"TAB3",#N/A,TRUE,"GENERAL";"TAB4",#N/A,TRUE,"GENERAL";"TAB5",#N/A,TRUE,"GENERAL"}</definedName>
    <definedName name="GFJHGJ" localSheetId="38" hidden="1">{"TAB1",#N/A,TRUE,"GENERAL";"TAB2",#N/A,TRUE,"GENERAL";"TAB3",#N/A,TRUE,"GENERAL";"TAB4",#N/A,TRUE,"GENERAL";"TAB5",#N/A,TRUE,"GENERAL"}</definedName>
    <definedName name="GFJHGJ" hidden="1">{"TAB1",#N/A,TRUE,"GENERAL";"TAB2",#N/A,TRUE,"GENERAL";"TAB3",#N/A,TRUE,"GENERAL";"TAB4",#N/A,TRUE,"GENERAL";"TAB5",#N/A,TRUE,"GENERAL"}</definedName>
    <definedName name="gfjjh" localSheetId="38" hidden="1">{"via1",#N/A,TRUE,"general";"via2",#N/A,TRUE,"general";"via3",#N/A,TRUE,"general"}</definedName>
    <definedName name="gfjjh" hidden="1">{"via1",#N/A,TRUE,"general";"via2",#N/A,TRUE,"general";"via3",#N/A,TRUE,"general"}</definedName>
    <definedName name="GFN">#REF!</definedName>
    <definedName name="gfutyj6" localSheetId="38" hidden="1">{"via1",#N/A,TRUE,"general";"via2",#N/A,TRUE,"general";"via3",#N/A,TRUE,"general"}</definedName>
    <definedName name="gfutyj6" hidden="1">{"via1",#N/A,TRUE,"general";"via2",#N/A,TRUE,"general";"via3",#N/A,TRUE,"general"}</definedName>
    <definedName name="gg" localSheetId="38" hidden="1">{"TAB1",#N/A,TRUE,"GENERAL";"TAB2",#N/A,TRUE,"GENERAL";"TAB3",#N/A,TRUE,"GENERAL";"TAB4",#N/A,TRUE,"GENERAL";"TAB5",#N/A,TRUE,"GENERAL"}</definedName>
    <definedName name="gg" hidden="1">{"TAB1",#N/A,TRUE,"GENERAL";"TAB2",#N/A,TRUE,"GENERAL";"TAB3",#N/A,TRUE,"GENERAL";"TAB4",#N/A,TRUE,"GENERAL";"TAB5",#N/A,TRUE,"GENERAL"}</definedName>
    <definedName name="ggdr" localSheetId="38" hidden="1">{"via1",#N/A,TRUE,"general";"via2",#N/A,TRUE,"general";"via3",#N/A,TRUE,"general"}</definedName>
    <definedName name="ggdr" hidden="1">{"via1",#N/A,TRUE,"general";"via2",#N/A,TRUE,"general";"via3",#N/A,TRUE,"general"}</definedName>
    <definedName name="ggerg" localSheetId="38" hidden="1">{"TAB1",#N/A,TRUE,"GENERAL";"TAB2",#N/A,TRUE,"GENERAL";"TAB3",#N/A,TRUE,"GENERAL";"TAB4",#N/A,TRUE,"GENERAL";"TAB5",#N/A,TRUE,"GENERAL"}</definedName>
    <definedName name="ggerg" hidden="1">{"TAB1",#N/A,TRUE,"GENERAL";"TAB2",#N/A,TRUE,"GENERAL";"TAB3",#N/A,TRUE,"GENERAL";"TAB4",#N/A,TRUE,"GENERAL";"TAB5",#N/A,TRUE,"GENERAL"}</definedName>
    <definedName name="GGG" localSheetId="38">[0]!ERR</definedName>
    <definedName name="GGG">[0]!ERR</definedName>
    <definedName name="gggb" localSheetId="38" hidden="1">{"TAB1",#N/A,TRUE,"GENERAL";"TAB2",#N/A,TRUE,"GENERAL";"TAB3",#N/A,TRUE,"GENERAL";"TAB4",#N/A,TRUE,"GENERAL";"TAB5",#N/A,TRUE,"GENERAL"}</definedName>
    <definedName name="gggb" hidden="1">{"TAB1",#N/A,TRUE,"GENERAL";"TAB2",#N/A,TRUE,"GENERAL";"TAB3",#N/A,TRUE,"GENERAL";"TAB4",#N/A,TRUE,"GENERAL";"TAB5",#N/A,TRUE,"GENERAL"}</definedName>
    <definedName name="gggg" localSheetId="38" hidden="1">{"via1",#N/A,TRUE,"general";"via2",#N/A,TRUE,"general";"via3",#N/A,TRUE,"general"}</definedName>
    <definedName name="gggg" hidden="1">{"via1",#N/A,TRUE,"general";"via2",#N/A,TRUE,"general";"via3",#N/A,TRUE,"general"}</definedName>
    <definedName name="ggggd" localSheetId="38" hidden="1">{"TAB1",#N/A,TRUE,"GENERAL";"TAB2",#N/A,TRUE,"GENERAL";"TAB3",#N/A,TRUE,"GENERAL";"TAB4",#N/A,TRUE,"GENERAL";"TAB5",#N/A,TRUE,"GENERAL"}</definedName>
    <definedName name="ggggd" hidden="1">{"TAB1",#N/A,TRUE,"GENERAL";"TAB2",#N/A,TRUE,"GENERAL";"TAB3",#N/A,TRUE,"GENERAL";"TAB4",#N/A,TRUE,"GENERAL";"TAB5",#N/A,TRUE,"GENERAL"}</definedName>
    <definedName name="gggggt" localSheetId="38" hidden="1">{"via1",#N/A,TRUE,"general";"via2",#N/A,TRUE,"general";"via3",#N/A,TRUE,"general"}</definedName>
    <definedName name="gggggt" hidden="1">{"via1",#N/A,TRUE,"general";"via2",#N/A,TRUE,"general";"via3",#N/A,TRUE,"general"}</definedName>
    <definedName name="gggghn" localSheetId="38" hidden="1">{"TAB1",#N/A,TRUE,"GENERAL";"TAB2",#N/A,TRUE,"GENERAL";"TAB3",#N/A,TRUE,"GENERAL";"TAB4",#N/A,TRUE,"GENERAL";"TAB5",#N/A,TRUE,"GENERAL"}</definedName>
    <definedName name="gggghn" hidden="1">{"TAB1",#N/A,TRUE,"GENERAL";"TAB2",#N/A,TRUE,"GENERAL";"TAB3",#N/A,TRUE,"GENERAL";"TAB4",#N/A,TRUE,"GENERAL";"TAB5",#N/A,TRUE,"GENERAL"}</definedName>
    <definedName name="ggggt" localSheetId="38" hidden="1">{"TAB1",#N/A,TRUE,"GENERAL";"TAB2",#N/A,TRUE,"GENERAL";"TAB3",#N/A,TRUE,"GENERAL";"TAB4",#N/A,TRUE,"GENERAL";"TAB5",#N/A,TRUE,"GENERAL"}</definedName>
    <definedName name="ggggt" hidden="1">{"TAB1",#N/A,TRUE,"GENERAL";"TAB2",#N/A,TRUE,"GENERAL";"TAB3",#N/A,TRUE,"GENERAL";"TAB4",#N/A,TRUE,"GENERAL";"TAB5",#N/A,TRUE,"GENERAL"}</definedName>
    <definedName name="ggggy" localSheetId="38" hidden="1">{"TAB1",#N/A,TRUE,"GENERAL";"TAB2",#N/A,TRUE,"GENERAL";"TAB3",#N/A,TRUE,"GENERAL";"TAB4",#N/A,TRUE,"GENERAL";"TAB5",#N/A,TRUE,"GENERAL"}</definedName>
    <definedName name="ggggy" hidden="1">{"TAB1",#N/A,TRUE,"GENERAL";"TAB2",#N/A,TRUE,"GENERAL";"TAB3",#N/A,TRUE,"GENERAL";"TAB4",#N/A,TRUE,"GENERAL";"TAB5",#N/A,TRUE,"GENERAL"}</definedName>
    <definedName name="gggtgd" localSheetId="38" hidden="1">{"via1",#N/A,TRUE,"general";"via2",#N/A,TRUE,"general";"via3",#N/A,TRUE,"general"}</definedName>
    <definedName name="gggtgd" hidden="1">{"via1",#N/A,TRUE,"general";"via2",#N/A,TRUE,"general";"via3",#N/A,TRUE,"general"}</definedName>
    <definedName name="ggjgjkg" localSheetId="38" hidden="1">{#N/A,#N/A,TRUE,"1842CWN0"}</definedName>
    <definedName name="ggjgjkg" hidden="1">{#N/A,#N/A,TRUE,"1842CWN0"}</definedName>
    <definedName name="ggtgt" localSheetId="38" hidden="1">{"via1",#N/A,TRUE,"general";"via2",#N/A,TRUE,"general";"via3",#N/A,TRUE,"general"}</definedName>
    <definedName name="ggtgt" hidden="1">{"via1",#N/A,TRUE,"general";"via2",#N/A,TRUE,"general";"via3",#N/A,TRUE,"general"}</definedName>
    <definedName name="ghdghuy" localSheetId="38" hidden="1">{"via1",#N/A,TRUE,"general";"via2",#N/A,TRUE,"general";"via3",#N/A,TRUE,"general"}</definedName>
    <definedName name="ghdghuy" hidden="1">{"via1",#N/A,TRUE,"general";"via2",#N/A,TRUE,"general";"via3",#N/A,TRUE,"general"}</definedName>
    <definedName name="GHDP" localSheetId="38" hidden="1">{"via1",#N/A,TRUE,"general";"via2",#N/A,TRUE,"general";"via3",#N/A,TRUE,"general"}</definedName>
    <definedName name="GHDP" hidden="1">{"via1",#N/A,TRUE,"general";"via2",#N/A,TRUE,"general";"via3",#N/A,TRUE,"general"}</definedName>
    <definedName name="ghf">#REF!</definedName>
    <definedName name="ghfg" localSheetId="38" hidden="1">{"via1",#N/A,TRUE,"general";"via2",#N/A,TRUE,"general";"via3",#N/A,TRUE,"general"}</definedName>
    <definedName name="ghfg" hidden="1">{"via1",#N/A,TRUE,"general";"via2",#N/A,TRUE,"general";"via3",#N/A,TRUE,"general"}</definedName>
    <definedName name="ghghy">#REF!</definedName>
    <definedName name="ghjghj" localSheetId="38" hidden="1">{"TAB1",#N/A,TRUE,"GENERAL";"TAB2",#N/A,TRUE,"GENERAL";"TAB3",#N/A,TRUE,"GENERAL";"TAB4",#N/A,TRUE,"GENERAL";"TAB5",#N/A,TRUE,"GENERAL"}</definedName>
    <definedName name="ghjghj" hidden="1">{"TAB1",#N/A,TRUE,"GENERAL";"TAB2",#N/A,TRUE,"GENERAL";"TAB3",#N/A,TRUE,"GENERAL";"TAB4",#N/A,TRUE,"GENERAL";"TAB5",#N/A,TRUE,"GENERAL"}</definedName>
    <definedName name="GHKJHK" localSheetId="38" hidden="1">{"TAB1",#N/A,TRUE,"GENERAL";"TAB2",#N/A,TRUE,"GENERAL";"TAB3",#N/A,TRUE,"GENERAL";"TAB4",#N/A,TRUE,"GENERAL";"TAB5",#N/A,TRUE,"GENERAL"}</definedName>
    <definedName name="GHKJHK" hidden="1">{"TAB1",#N/A,TRUE,"GENERAL";"TAB2",#N/A,TRUE,"GENERAL";"TAB3",#N/A,TRUE,"GENERAL";"TAB4",#N/A,TRUE,"GENERAL";"TAB5",#N/A,TRUE,"GENERAL"}</definedName>
    <definedName name="ghnbbfr" localSheetId="38" hidden="1">{#N/A,#N/A,TRUE,"1842CWN0"}</definedName>
    <definedName name="ghnbbfr" hidden="1">{#N/A,#N/A,TRUE,"1842CWN0"}</definedName>
    <definedName name="GJHVCB" localSheetId="38" hidden="1">{"TAB1",#N/A,TRUE,"GENERAL";"TAB2",#N/A,TRUE,"GENERAL";"TAB3",#N/A,TRUE,"GENERAL";"TAB4",#N/A,TRUE,"GENERAL";"TAB5",#N/A,TRUE,"GENERAL"}</definedName>
    <definedName name="GJHVCB" hidden="1">{"TAB1",#N/A,TRUE,"GENERAL";"TAB2",#N/A,TRUE,"GENERAL";"TAB3",#N/A,TRUE,"GENERAL";"TAB4",#N/A,TRUE,"GENERAL";"TAB5",#N/A,TRUE,"GENERAL"}</definedName>
    <definedName name="gk" localSheetId="38"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_xlnm.Recorder">!#REF!</definedName>
    <definedName name="GRAF1ANO" localSheetId="38" hidden="1">{"via1",#N/A,TRUE,"general";"via2",#N/A,TRUE,"general";"via3",#N/A,TRUE,"general"}</definedName>
    <definedName name="GRAF1ANO" hidden="1">{"via1",#N/A,TRUE,"general";"via2",#N/A,TRUE,"general";"via3",#N/A,TRUE,"general"}</definedName>
    <definedName name="GRAF1AÑO" localSheetId="38"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localSheetId="38" hidden="1">{"TAB1",#N/A,TRUE,"GENERAL";"TAB2",#N/A,TRUE,"GENERAL";"TAB3",#N/A,TRUE,"GENERAL";"TAB4",#N/A,TRUE,"GENERAL";"TAB5",#N/A,TRUE,"GENERAL"}</definedName>
    <definedName name="gregds" hidden="1">{"TAB1",#N/A,TRUE,"GENERAL";"TAB2",#N/A,TRUE,"GENERAL";"TAB3",#N/A,TRUE,"GENERAL";"TAB4",#N/A,TRUE,"GENERAL";"TAB5",#N/A,TRUE,"GENERAL"}</definedName>
    <definedName name="grehrtyh" localSheetId="38" hidden="1">{"TAB1",#N/A,TRUE,"GENERAL";"TAB2",#N/A,TRUE,"GENERAL";"TAB3",#N/A,TRUE,"GENERAL";"TAB4",#N/A,TRUE,"GENERAL";"TAB5",#N/A,TRUE,"GENERAL"}</definedName>
    <definedName name="grehrtyh" hidden="1">{"TAB1",#N/A,TRUE,"GENERAL";"TAB2",#N/A,TRUE,"GENERAL";"TAB3",#N/A,TRUE,"GENERAL";"TAB4",#N/A,TRUE,"GENERAL";"TAB5",#N/A,TRUE,"GENERAL"}</definedName>
    <definedName name="grggwero" localSheetId="38"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38"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38" hidden="1">{"TAB1",#N/A,TRUE,"GENERAL";"TAB2",#N/A,TRUE,"GENERAL";"TAB3",#N/A,TRUE,"GENERAL";"TAB4",#N/A,TRUE,"GENERAL";"TAB5",#N/A,TRUE,"GENERAL"}</definedName>
    <definedName name="GSDG" hidden="1">{"TAB1",#N/A,TRUE,"GENERAL";"TAB2",#N/A,TRUE,"GENERAL";"TAB3",#N/A,TRUE,"GENERAL";"TAB4",#N/A,TRUE,"GENERAL";"TAB5",#N/A,TRUE,"GENERAL"}</definedName>
    <definedName name="gsfsf" localSheetId="38"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38" hidden="1">{"via1",#N/A,TRUE,"general";"via2",#N/A,TRUE,"general";"via3",#N/A,TRUE,"general"}</definedName>
    <definedName name="gtgt" hidden="1">{"via1",#N/A,TRUE,"general";"via2",#N/A,TRUE,"general";"via3",#N/A,TRUE,"general"}</definedName>
    <definedName name="gtgtg" localSheetId="38" hidden="1">{"via1",#N/A,TRUE,"general";"via2",#N/A,TRUE,"general";"via3",#N/A,TRUE,"general"}</definedName>
    <definedName name="gtgtg" hidden="1">{"via1",#N/A,TRUE,"general";"via2",#N/A,TRUE,"general";"via3",#N/A,TRUE,"general"}</definedName>
    <definedName name="gtgtgff" localSheetId="38" hidden="1">{"via1",#N/A,TRUE,"general";"via2",#N/A,TRUE,"general";"via3",#N/A,TRUE,"general"}</definedName>
    <definedName name="gtgtgff" hidden="1">{"via1",#N/A,TRUE,"general";"via2",#N/A,TRUE,"general";"via3",#N/A,TRUE,"general"}</definedName>
    <definedName name="gtgtgyh" localSheetId="38" hidden="1">{"TAB1",#N/A,TRUE,"GENERAL";"TAB2",#N/A,TRUE,"GENERAL";"TAB3",#N/A,TRUE,"GENERAL";"TAB4",#N/A,TRUE,"GENERAL";"TAB5",#N/A,TRUE,"GENERAL"}</definedName>
    <definedName name="gtgtgyh" hidden="1">{"TAB1",#N/A,TRUE,"GENERAL";"TAB2",#N/A,TRUE,"GENERAL";"TAB3",#N/A,TRUE,"GENERAL";"TAB4",#N/A,TRUE,"GENERAL";"TAB5",#N/A,TRUE,"GENERAL"}</definedName>
    <definedName name="gtgth" localSheetId="38"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localSheetId="38" hidden="1">{"via1",#N/A,TRUE,"general";"via2",#N/A,TRUE,"general";"via3",#N/A,TRUE,"general"}</definedName>
    <definedName name="h9h" hidden="1">{"via1",#N/A,TRUE,"general";"via2",#N/A,TRUE,"general";"via3",#N/A,TRUE,"general"}</definedName>
    <definedName name="Hazards">#REF!</definedName>
    <definedName name="hbfdhrw" localSheetId="38" hidden="1">{"TAB1",#N/A,TRUE,"GENERAL";"TAB2",#N/A,TRUE,"GENERAL";"TAB3",#N/A,TRUE,"GENERAL";"TAB4",#N/A,TRUE,"GENERAL";"TAB5",#N/A,TRUE,"GENERAL"}</definedName>
    <definedName name="hbfdhrw" hidden="1">{"TAB1",#N/A,TRUE,"GENERAL";"TAB2",#N/A,TRUE,"GENERAL";"TAB3",#N/A,TRUE,"GENERAL";"TAB4",#N/A,TRUE,"GENERAL";"TAB5",#N/A,TRUE,"GENERAL"}</definedName>
    <definedName name="hdfh" localSheetId="38" hidden="1">{"via1",#N/A,TRUE,"general";"via2",#N/A,TRUE,"general";"via3",#N/A,TRUE,"general"}</definedName>
    <definedName name="hdfh" hidden="1">{"via1",#N/A,TRUE,"general";"via2",#N/A,TRUE,"general";"via3",#N/A,TRUE,"general"}</definedName>
    <definedName name="hdfh4" localSheetId="38" hidden="1">{"TAB1",#N/A,TRUE,"GENERAL";"TAB2",#N/A,TRUE,"GENERAL";"TAB3",#N/A,TRUE,"GENERAL";"TAB4",#N/A,TRUE,"GENERAL";"TAB5",#N/A,TRUE,"GENERAL"}</definedName>
    <definedName name="hdfh4" hidden="1">{"TAB1",#N/A,TRUE,"GENERAL";"TAB2",#N/A,TRUE,"GENERAL";"TAB3",#N/A,TRUE,"GENERAL";"TAB4",#N/A,TRUE,"GENERAL";"TAB5",#N/A,TRUE,"GENERAL"}</definedName>
    <definedName name="hdfhwq" localSheetId="38" hidden="1">{"TAB1",#N/A,TRUE,"GENERAL";"TAB2",#N/A,TRUE,"GENERAL";"TAB3",#N/A,TRUE,"GENERAL";"TAB4",#N/A,TRUE,"GENERAL";"TAB5",#N/A,TRUE,"GENERAL"}</definedName>
    <definedName name="hdfhwq" hidden="1">{"TAB1",#N/A,TRUE,"GENERAL";"TAB2",#N/A,TRUE,"GENERAL";"TAB3",#N/A,TRUE,"GENERAL";"TAB4",#N/A,TRUE,"GENERAL";"TAB5",#N/A,TRUE,"GENERAL"}</definedName>
    <definedName name="hdgh" localSheetId="38" hidden="1">{"via1",#N/A,TRUE,"general";"via2",#N/A,TRUE,"general";"via3",#N/A,TRUE,"general"}</definedName>
    <definedName name="hdgh" hidden="1">{"via1",#N/A,TRUE,"general";"via2",#N/A,TRUE,"general";"via3",#N/A,TRUE,"general"}</definedName>
    <definedName name="hdhf" localSheetId="38" hidden="1">{"TAB1",#N/A,TRUE,"GENERAL";"TAB2",#N/A,TRUE,"GENERAL";"TAB3",#N/A,TRUE,"GENERAL";"TAB4",#N/A,TRUE,"GENERAL";"TAB5",#N/A,TRUE,"GENERAL"}</definedName>
    <definedName name="hdhf" hidden="1">{"TAB1",#N/A,TRUE,"GENERAL";"TAB2",#N/A,TRUE,"GENERAL";"TAB3",#N/A,TRUE,"GENERAL";"TAB4",#N/A,TRUE,"GENERAL";"TAB5",#N/A,TRUE,"GENERAL"}</definedName>
    <definedName name="Header_Row">#REF!</definedName>
    <definedName name="hed">#REF!</definedName>
    <definedName name="hen">#REF!</definedName>
    <definedName name="herramientas">#REF!</definedName>
    <definedName name="HERRERO">#REF!</definedName>
    <definedName name="hfgh" localSheetId="38" hidden="1">{"via1",#N/A,TRUE,"general";"via2",#N/A,TRUE,"general";"via3",#N/A,TRUE,"general"}</definedName>
    <definedName name="hfgh" hidden="1">{"via1",#N/A,TRUE,"general";"via2",#N/A,TRUE,"general";"via3",#N/A,TRUE,"general"}</definedName>
    <definedName name="hfh" localSheetId="38" hidden="1">{"TAB1",#N/A,TRUE,"GENERAL";"TAB2",#N/A,TRUE,"GENERAL";"TAB3",#N/A,TRUE,"GENERAL";"TAB4",#N/A,TRUE,"GENERAL";"TAB5",#N/A,TRUE,"GENERAL"}</definedName>
    <definedName name="hfh" hidden="1">{"TAB1",#N/A,TRUE,"GENERAL";"TAB2",#N/A,TRUE,"GENERAL";"TAB3",#N/A,TRUE,"GENERAL";"TAB4",#N/A,TRUE,"GENERAL";"TAB5",#N/A,TRUE,"GENERAL"}</definedName>
    <definedName name="hfhg" localSheetId="38" hidden="1">{"TAB1",#N/A,TRUE,"GENERAL";"TAB2",#N/A,TRUE,"GENERAL";"TAB3",#N/A,TRUE,"GENERAL";"TAB4",#N/A,TRUE,"GENERAL";"TAB5",#N/A,TRUE,"GENERAL"}</definedName>
    <definedName name="hfhg" hidden="1">{"TAB1",#N/A,TRUE,"GENERAL";"TAB2",#N/A,TRUE,"GENERAL";"TAB3",#N/A,TRUE,"GENERAL";"TAB4",#N/A,TRUE,"GENERAL";"TAB5",#N/A,TRUE,"GENERAL"}</definedName>
    <definedName name="hfthr" localSheetId="38" hidden="1">{"via1",#N/A,TRUE,"general";"via2",#N/A,TRUE,"general";"via3",#N/A,TRUE,"general"}</definedName>
    <definedName name="hfthr" hidden="1">{"via1",#N/A,TRUE,"general";"via2",#N/A,TRUE,"general";"via3",#N/A,TRUE,"general"}</definedName>
    <definedName name="hg" localSheetId="38" hidden="1">{"via1",#N/A,TRUE,"general";"via2",#N/A,TRUE,"general";"via3",#N/A,TRUE,"general"}</definedName>
    <definedName name="hg" hidden="1">{"via1",#N/A,TRUE,"general";"via2",#N/A,TRUE,"general";"via3",#N/A,TRUE,"general"}</definedName>
    <definedName name="HGFH" localSheetId="38" hidden="1">{"via1",#N/A,TRUE,"general";"via2",#N/A,TRUE,"general";"via3",#N/A,TRUE,"general"}</definedName>
    <definedName name="HGFH" hidden="1">{"via1",#N/A,TRUE,"general";"via2",#N/A,TRUE,"general";"via3",#N/A,TRUE,"general"}</definedName>
    <definedName name="hgfhty" localSheetId="38" hidden="1">{"via1",#N/A,TRUE,"general";"via2",#N/A,TRUE,"general";"via3",#N/A,TRUE,"general"}</definedName>
    <definedName name="hgfhty" hidden="1">{"via1",#N/A,TRUE,"general";"via2",#N/A,TRUE,"general";"via3",#N/A,TRUE,"general"}</definedName>
    <definedName name="HGHFH7" localSheetId="38" hidden="1">{"TAB1",#N/A,TRUE,"GENERAL";"TAB2",#N/A,TRUE,"GENERAL";"TAB3",#N/A,TRUE,"GENERAL";"TAB4",#N/A,TRUE,"GENERAL";"TAB5",#N/A,TRUE,"GENERAL"}</definedName>
    <definedName name="HGHFH7" hidden="1">{"TAB1",#N/A,TRUE,"GENERAL";"TAB2",#N/A,TRUE,"GENERAL";"TAB3",#N/A,TRUE,"GENERAL";"TAB4",#N/A,TRUE,"GENERAL";"TAB5",#N/A,TRUE,"GENERAL"}</definedName>
    <definedName name="hghhj" localSheetId="38" hidden="1">{"TAB1",#N/A,TRUE,"GENERAL";"TAB2",#N/A,TRUE,"GENERAL";"TAB3",#N/A,TRUE,"GENERAL";"TAB4",#N/A,TRUE,"GENERAL";"TAB5",#N/A,TRUE,"GENERAL"}</definedName>
    <definedName name="hghhj" hidden="1">{"TAB1",#N/A,TRUE,"GENERAL";"TAB2",#N/A,TRUE,"GENERAL";"TAB3",#N/A,TRUE,"GENERAL";"TAB4",#N/A,TRUE,"GENERAL";"TAB5",#N/A,TRUE,"GENERAL"}</definedName>
    <definedName name="hghydj" localSheetId="38" hidden="1">{"via1",#N/A,TRUE,"general";"via2",#N/A,TRUE,"general";"via3",#N/A,TRUE,"general"}</definedName>
    <definedName name="hghydj" hidden="1">{"via1",#N/A,TRUE,"general";"via2",#N/A,TRUE,"general";"via3",#N/A,TRUE,"general"}</definedName>
    <definedName name="hgjfjw" localSheetId="38" hidden="1">{"via1",#N/A,TRUE,"general";"via2",#N/A,TRUE,"general";"via3",#N/A,TRUE,"general"}</definedName>
    <definedName name="hgjfjw" hidden="1">{"via1",#N/A,TRUE,"general";"via2",#N/A,TRUE,"general";"via3",#N/A,TRUE,"general"}</definedName>
    <definedName name="HGJG" localSheetId="38" hidden="1">{"TAB1",#N/A,TRUE,"GENERAL";"TAB2",#N/A,TRUE,"GENERAL";"TAB3",#N/A,TRUE,"GENERAL";"TAB4",#N/A,TRUE,"GENERAL";"TAB5",#N/A,TRUE,"GENERAL"}</definedName>
    <definedName name="HGJG" hidden="1">{"TAB1",#N/A,TRUE,"GENERAL";"TAB2",#N/A,TRUE,"GENERAL";"TAB3",#N/A,TRUE,"GENERAL";"TAB4",#N/A,TRUE,"GENERAL";"TAB5",#N/A,TRUE,"GENERAL"}</definedName>
    <definedName name="hh" localSheetId="38">[0]!ERR</definedName>
    <definedName name="hh">[0]!ERR</definedName>
    <definedName name="hhg" localSheetId="38" hidden="1">{#N/A,#N/A,TRUE,"1842CWN0"}</definedName>
    <definedName name="hhg" hidden="1">{#N/A,#N/A,TRUE,"1842CWN0"}</definedName>
    <definedName name="hhh" localSheetId="38" hidden="1">{"TAB1",#N/A,TRUE,"GENERAL";"TAB2",#N/A,TRUE,"GENERAL";"TAB3",#N/A,TRUE,"GENERAL";"TAB4",#N/A,TRUE,"GENERAL";"TAB5",#N/A,TRUE,"GENERAL"}</definedName>
    <definedName name="hhh" hidden="1">{"TAB1",#N/A,TRUE,"GENERAL";"TAB2",#N/A,TRUE,"GENERAL";"TAB3",#N/A,TRUE,"GENERAL";"TAB4",#N/A,TRUE,"GENERAL";"TAB5",#N/A,TRUE,"GENERAL"}</definedName>
    <definedName name="hhhhhh" localSheetId="38" hidden="1">{"via1",#N/A,TRUE,"general";"via2",#N/A,TRUE,"general";"via3",#N/A,TRUE,"general"}</definedName>
    <definedName name="hhhhhh" hidden="1">{"via1",#N/A,TRUE,"general";"via2",#N/A,TRUE,"general";"via3",#N/A,TRUE,"general"}</definedName>
    <definedName name="hhhhhho" localSheetId="38" hidden="1">{"TAB1",#N/A,TRUE,"GENERAL";"TAB2",#N/A,TRUE,"GENERAL";"TAB3",#N/A,TRUE,"GENERAL";"TAB4",#N/A,TRUE,"GENERAL";"TAB5",#N/A,TRUE,"GENERAL"}</definedName>
    <definedName name="hhhhhho" hidden="1">{"TAB1",#N/A,TRUE,"GENERAL";"TAB2",#N/A,TRUE,"GENERAL";"TAB3",#N/A,TRUE,"GENERAL";"TAB4",#N/A,TRUE,"GENERAL";"TAB5",#N/A,TRUE,"GENERAL"}</definedName>
    <definedName name="hhhhhpy" localSheetId="38" hidden="1">{"TAB1",#N/A,TRUE,"GENERAL";"TAB2",#N/A,TRUE,"GENERAL";"TAB3",#N/A,TRUE,"GENERAL";"TAB4",#N/A,TRUE,"GENERAL";"TAB5",#N/A,TRUE,"GENERAL"}</definedName>
    <definedName name="hhhhhpy" hidden="1">{"TAB1",#N/A,TRUE,"GENERAL";"TAB2",#N/A,TRUE,"GENERAL";"TAB3",#N/A,TRUE,"GENERAL";"TAB4",#N/A,TRUE,"GENERAL";"TAB5",#N/A,TRUE,"GENERAL"}</definedName>
    <definedName name="hhhhth" localSheetId="38" hidden="1">{"via1",#N/A,TRUE,"general";"via2",#N/A,TRUE,"general";"via3",#N/A,TRUE,"general"}</definedName>
    <definedName name="hhhhth" hidden="1">{"via1",#N/A,TRUE,"general";"via2",#N/A,TRUE,"general";"via3",#N/A,TRUE,"general"}</definedName>
    <definedName name="hhhyhyh" localSheetId="38" hidden="1">{"TAB1",#N/A,TRUE,"GENERAL";"TAB2",#N/A,TRUE,"GENERAL";"TAB3",#N/A,TRUE,"GENERAL";"TAB4",#N/A,TRUE,"GENERAL";"TAB5",#N/A,TRUE,"GENERAL"}</definedName>
    <definedName name="hhhyhyh" hidden="1">{"TAB1",#N/A,TRUE,"GENERAL";"TAB2",#N/A,TRUE,"GENERAL";"TAB3",#N/A,TRUE,"GENERAL";"TAB4",#N/A,TRUE,"GENERAL";"TAB5",#N/A,TRUE,"GENERAL"}</definedName>
    <definedName name="hhtrhreh" localSheetId="38" hidden="1">{"via1",#N/A,TRUE,"general";"via2",#N/A,TRUE,"general";"via3",#N/A,TRUE,"general"}</definedName>
    <definedName name="hhtrhreh" hidden="1">{"via1",#N/A,TRUE,"general";"via2",#N/A,TRUE,"general";"via3",#N/A,TRUE,"general"}</definedName>
    <definedName name="Hid">#REF!</definedName>
    <definedName name="HIDE1">#REF!</definedName>
    <definedName name="hjfg" localSheetId="38" hidden="1">{"via1",#N/A,TRUE,"general";"via2",#N/A,TRUE,"general";"via3",#N/A,TRUE,"general"}</definedName>
    <definedName name="hjfg" hidden="1">{"via1",#N/A,TRUE,"general";"via2",#N/A,TRUE,"general";"via3",#N/A,TRUE,"general"}</definedName>
    <definedName name="hjgh" localSheetId="38" hidden="1">{"TAB1",#N/A,TRUE,"GENERAL";"TAB2",#N/A,TRUE,"GENERAL";"TAB3",#N/A,TRUE,"GENERAL";"TAB4",#N/A,TRUE,"GENERAL";"TAB5",#N/A,TRUE,"GENERAL"}</definedName>
    <definedName name="hjgh" hidden="1">{"TAB1",#N/A,TRUE,"GENERAL";"TAB2",#N/A,TRUE,"GENERAL";"TAB3",#N/A,TRUE,"GENERAL";"TAB4",#N/A,TRUE,"GENERAL";"TAB5",#N/A,TRUE,"GENERAL"}</definedName>
    <definedName name="hjghj" localSheetId="38" hidden="1">{"TAB1",#N/A,TRUE,"GENERAL";"TAB2",#N/A,TRUE,"GENERAL";"TAB3",#N/A,TRUE,"GENERAL";"TAB4",#N/A,TRUE,"GENERAL";"TAB5",#N/A,TRUE,"GENERAL"}</definedName>
    <definedName name="hjghj" hidden="1">{"TAB1",#N/A,TRUE,"GENERAL";"TAB2",#N/A,TRUE,"GENERAL";"TAB3",#N/A,TRUE,"GENERAL";"TAB4",#N/A,TRUE,"GENERAL";"TAB5",#N/A,TRUE,"GENERAL"}</definedName>
    <definedName name="hjhjhg" localSheetId="38" hidden="1">{"TAB1",#N/A,TRUE,"GENERAL";"TAB2",#N/A,TRUE,"GENERAL";"TAB3",#N/A,TRUE,"GENERAL";"TAB4",#N/A,TRUE,"GENERAL";"TAB5",#N/A,TRUE,"GENERAL"}</definedName>
    <definedName name="hjhjhg" hidden="1">{"TAB1",#N/A,TRUE,"GENERAL";"TAB2",#N/A,TRUE,"GENERAL";"TAB3",#N/A,TRUE,"GENERAL";"TAB4",#N/A,TRUE,"GENERAL";"TAB5",#N/A,TRUE,"GENERAL"}</definedName>
    <definedName name="HJKH" localSheetId="38" hidden="1">{"via1",#N/A,TRUE,"general";"via2",#N/A,TRUE,"general";"via3",#N/A,TRUE,"general"}</definedName>
    <definedName name="HJKH" hidden="1">{"via1",#N/A,TRUE,"general";"via2",#N/A,TRUE,"general";"via3",#N/A,TRUE,"general"}</definedName>
    <definedName name="hjkjk" localSheetId="38" hidden="1">{"via1",#N/A,TRUE,"general";"via2",#N/A,TRUE,"general";"via3",#N/A,TRUE,"general"}</definedName>
    <definedName name="hjkjk" hidden="1">{"via1",#N/A,TRUE,"general";"via2",#N/A,TRUE,"general";"via3",#N/A,TRUE,"general"}</definedName>
    <definedName name="HK" localSheetId="38">[0]!ERR</definedName>
    <definedName name="HK">[0]!ERR</definedName>
    <definedName name="HM">#REF!</definedName>
    <definedName name="hn" localSheetId="38"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#REF!</definedName>
    <definedName name="Hornos">#REF!</definedName>
    <definedName name="HP_stg_Hz">#REF!</definedName>
    <definedName name="hreer" localSheetId="38" hidden="1">{"TAB1",#N/A,TRUE,"GENERAL";"TAB2",#N/A,TRUE,"GENERAL";"TAB3",#N/A,TRUE,"GENERAL";"TAB4",#N/A,TRUE,"GENERAL";"TAB5",#N/A,TRUE,"GENERAL"}</definedName>
    <definedName name="hreer" hidden="1">{"TAB1",#N/A,TRUE,"GENERAL";"TAB2",#N/A,TRUE,"GENERAL";"TAB3",#N/A,TRUE,"GENERAL";"TAB4",#N/A,TRUE,"GENERAL";"TAB5",#N/A,TRUE,"GENERAL"}</definedName>
    <definedName name="hrhth" localSheetId="38"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38"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8" hidden="1">{"via1",#N/A,TRUE,"general";"via2",#N/A,TRUE,"general";"via3",#N/A,TRUE,"general"}</definedName>
    <definedName name="hsfg" hidden="1">{"via1",#N/A,TRUE,"general";"via2",#N/A,TRUE,"general";"via3",#N/A,TRUE,"general"}</definedName>
    <definedName name="HTAS">#REF!</definedName>
    <definedName name="HTAS1">#REF!</definedName>
    <definedName name="hthdrf" localSheetId="38" hidden="1">{"TAB1",#N/A,TRUE,"GENERAL";"TAB2",#N/A,TRUE,"GENERAL";"TAB3",#N/A,TRUE,"GENERAL";"TAB4",#N/A,TRUE,"GENERAL";"TAB5",#N/A,TRUE,"GENERAL"}</definedName>
    <definedName name="hthdrf" hidden="1">{"TAB1",#N/A,TRUE,"GENERAL";"TAB2",#N/A,TRUE,"GENERAL";"TAB3",#N/A,TRUE,"GENERAL";"TAB4",#N/A,TRUE,"GENERAL";"TAB5",#N/A,TRUE,"GENERAL"}</definedName>
    <definedName name="htryrt7" localSheetId="38" hidden="1">{"via1",#N/A,TRUE,"general";"via2",#N/A,TRUE,"general";"via3",#N/A,TRUE,"general"}</definedName>
    <definedName name="htryrt7" hidden="1">{"via1",#N/A,TRUE,"general";"via2",#N/A,TRUE,"general";"via3",#N/A,TRUE,"general"}</definedName>
    <definedName name="hut">#REF!</definedName>
    <definedName name="hxdfk">#REF!</definedName>
    <definedName name="hyhjop" localSheetId="38" hidden="1">{"TAB1",#N/A,TRUE,"GENERAL";"TAB2",#N/A,TRUE,"GENERAL";"TAB3",#N/A,TRUE,"GENERAL";"TAB4",#N/A,TRUE,"GENERAL";"TAB5",#N/A,TRUE,"GENERAL"}</definedName>
    <definedName name="hyhjop" hidden="1">{"TAB1",#N/A,TRUE,"GENERAL";"TAB2",#N/A,TRUE,"GENERAL";"TAB3",#N/A,TRUE,"GENERAL";"TAB4",#N/A,TRUE,"GENERAL";"TAB5",#N/A,TRUE,"GENERAL"}</definedName>
    <definedName name="hyhyh" localSheetId="38" hidden="1">{"TAB1",#N/A,TRUE,"GENERAL";"TAB2",#N/A,TRUE,"GENERAL";"TAB3",#N/A,TRUE,"GENERAL";"TAB4",#N/A,TRUE,"GENERAL";"TAB5",#N/A,TRUE,"GENERAL"}</definedName>
    <definedName name="hyhyh" hidden="1">{"TAB1",#N/A,TRUE,"GENERAL";"TAB2",#N/A,TRUE,"GENERAL";"TAB3",#N/A,TRUE,"GENERAL";"TAB4",#N/A,TRUE,"GENERAL";"TAB5",#N/A,TRUE,"GENERAL"}</definedName>
    <definedName name="hytirs" localSheetId="38" hidden="1">{"via1",#N/A,TRUE,"general";"via2",#N/A,TRUE,"general";"via3",#N/A,TRUE,"general"}</definedName>
    <definedName name="hytirs" hidden="1">{"via1",#N/A,TRUE,"general";"via2",#N/A,TRUE,"general";"via3",#N/A,TRUE,"general"}</definedName>
    <definedName name="I">#REF!</definedName>
    <definedName name="i0">#REF!</definedName>
    <definedName name="i8i" localSheetId="38"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38">[0]!ERR</definedName>
    <definedName name="ID">[0]!ERR</definedName>
    <definedName name="IF">#REF!</definedName>
    <definedName name="Ig">#REF!</definedName>
    <definedName name="ii" localSheetId="38" hidden="1">{"TAB1",#N/A,TRUE,"GENERAL";"TAB2",#N/A,TRUE,"GENERAL";"TAB3",#N/A,TRUE,"GENERAL";"TAB4",#N/A,TRUE,"GENERAL";"TAB5",#N/A,TRUE,"GENERAL"}</definedName>
    <definedName name="ii" hidden="1">{"TAB1",#N/A,TRUE,"GENERAL";"TAB2",#N/A,TRUE,"GENERAL";"TAB3",#N/A,TRUE,"GENERAL";"TAB4",#N/A,TRUE,"GENERAL";"TAB5",#N/A,TRUE,"GENERAL"}</definedName>
    <definedName name="iii" localSheetId="38" hidden="1">{"via1",#N/A,TRUE,"general";"via2",#N/A,TRUE,"general";"via3",#N/A,TRUE,"general"}</definedName>
    <definedName name="iii" hidden="1">{"via1",#N/A,TRUE,"general";"via2",#N/A,TRUE,"general";"via3",#N/A,TRUE,"general"}</definedName>
    <definedName name="iiii" localSheetId="38" hidden="1">{"via1",#N/A,TRUE,"general";"via2",#N/A,TRUE,"general";"via3",#N/A,TRUE,"general"}</definedName>
    <definedName name="iiii" hidden="1">{"via1",#N/A,TRUE,"general";"via2",#N/A,TRUE,"general";"via3",#N/A,TRUE,"general"}</definedName>
    <definedName name="iiiiiiik" localSheetId="38" hidden="1">{"via1",#N/A,TRUE,"general";"via2",#N/A,TRUE,"general";"via3",#N/A,TRUE,"general"}</definedName>
    <definedName name="iiiiiiik" hidden="1">{"via1",#N/A,TRUE,"general";"via2",#N/A,TRUE,"general";"via3",#N/A,TRUE,"general"}</definedName>
    <definedName name="iiiiuh" localSheetId="38" hidden="1">{"TAB1",#N/A,TRUE,"GENERAL";"TAB2",#N/A,TRUE,"GENERAL";"TAB3",#N/A,TRUE,"GENERAL";"TAB4",#N/A,TRUE,"GENERAL";"TAB5",#N/A,TRUE,"GENERAL"}</definedName>
    <definedName name="iiiiuh" hidden="1">{"TAB1",#N/A,TRUE,"GENERAL";"TAB2",#N/A,TRUE,"GENERAL";"TAB3",#N/A,TRUE,"GENERAL";"TAB4",#N/A,TRUE,"GENERAL";"TAB5",#N/A,TRUE,"GENERAL"}</definedName>
    <definedName name="iktgvfmu" localSheetId="38"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1">#REF!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t_provis">#REF!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5">#REF!</definedName>
    <definedName name="INV_Payments" localSheetId="16">#REF!</definedName>
    <definedName name="INV_Payments" localSheetId="18">#REF!</definedName>
    <definedName name="INV_Payments" localSheetId="19">#REF!</definedName>
    <definedName name="INV_Payments" localSheetId="21">#REF!</definedName>
    <definedName name="INV_Payments" localSheetId="22">#REF!</definedName>
    <definedName name="INV_Payments" localSheetId="6">#REF!</definedName>
    <definedName name="INV_Payments" localSheetId="24">#REF!</definedName>
    <definedName name="INV_Payments" localSheetId="25">#REF!</definedName>
    <definedName name="INV_Payments" localSheetId="26">#REF!</definedName>
    <definedName name="INV_Payments" localSheetId="27">#REF!</definedName>
    <definedName name="INV_Payments" localSheetId="28">#REF!</definedName>
    <definedName name="INV_Payments" localSheetId="30">#REF!</definedName>
    <definedName name="INV_Payments" localSheetId="31">#REF!</definedName>
    <definedName name="INV_Payments" localSheetId="33">#REF!</definedName>
    <definedName name="INV_Payments" localSheetId="7">#REF!</definedName>
    <definedName name="INV_Payments" localSheetId="34">#REF!</definedName>
    <definedName name="INV_Payments" localSheetId="36">#REF!</definedName>
    <definedName name="INV_Payments" localSheetId="37">#REF!</definedName>
    <definedName name="INV_Payments" localSheetId="9">#REF!</definedName>
    <definedName name="INV_Payments" localSheetId="10">#REF!</definedName>
    <definedName name="INV_Payments" localSheetId="12">#REF!</definedName>
    <definedName name="INV_Payments" localSheetId="13">#REF!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8">[0]!ERR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38" hidden="1">{"TAB1",#N/A,TRUE,"GENERAL";"TAB2",#N/A,TRUE,"GENERAL";"TAB3",#N/A,TRUE,"GENERAL";"TAB4",#N/A,TRUE,"GENERAL";"TAB5",#N/A,TRUE,"GENERAL"}</definedName>
    <definedName name="IUI" hidden="1">{"TAB1",#N/A,TRUE,"GENERAL";"TAB2",#N/A,TRUE,"GENERAL";"TAB3",#N/A,TRUE,"GENERAL";"TAB4",#N/A,TRUE,"GENERAL";"TAB5",#N/A,TRUE,"GENERAL"}</definedName>
    <definedName name="iuit7" localSheetId="38" hidden="1">{"TAB1",#N/A,TRUE,"GENERAL";"TAB2",#N/A,TRUE,"GENERAL";"TAB3",#N/A,TRUE,"GENERAL";"TAB4",#N/A,TRUE,"GENERAL";"TAB5",#N/A,TRUE,"GENERAL"}</definedName>
    <definedName name="iuit7" hidden="1">{"TAB1",#N/A,TRUE,"GENERAL";"TAB2",#N/A,TRUE,"GENERAL";"TAB3",#N/A,TRUE,"GENERAL";"TAB4",#N/A,TRUE,"GENERAL";"TAB5",#N/A,TRUE,"GENERAL"}</definedName>
    <definedName name="iul" localSheetId="38" hidden="1">{"via1",#N/A,TRUE,"general";"via2",#N/A,TRUE,"general";"via3",#N/A,TRUE,"general"}</definedName>
    <definedName name="iul" hidden="1">{"via1",#N/A,TRUE,"general";"via2",#N/A,TRUE,"general";"via3",#N/A,TRUE,"general"}</definedName>
    <definedName name="iuouio" localSheetId="38" hidden="1">{"via1",#N/A,TRUE,"general";"via2",#N/A,TRUE,"general";"via3",#N/A,TRUE,"general"}</definedName>
    <definedName name="iuouio" hidden="1">{"via1",#N/A,TRUE,"general";"via2",#N/A,TRUE,"general";"via3",#N/A,TRUE,"general"}</definedName>
    <definedName name="iuyi9" localSheetId="38"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38" hidden="1">{"via1",#N/A,TRUE,"general";"via2",#N/A,TRUE,"general";"via3",#N/A,TRUE,"general"}</definedName>
    <definedName name="iyuiuyi" hidden="1">{"via1",#N/A,TRUE,"general";"via2",#N/A,TRUE,"general";"via3",#N/A,TRUE,"general"}</definedName>
    <definedName name="j" localSheetId="38" hidden="1">{"TAB1",#N/A,TRUE,"GENERAL";"TAB2",#N/A,TRUE,"GENERAL";"TAB3",#N/A,TRUE,"GENERAL";"TAB4",#N/A,TRUE,"GENERAL";"TAB5",#N/A,TRUE,"GENERAL"}</definedName>
    <definedName name="j" hidden="1">{"TAB1",#N/A,TRUE,"GENERAL";"TAB2",#N/A,TRUE,"GENERAL";"TAB3",#N/A,TRUE,"GENERAL";"TAB4",#N/A,TRUE,"GENERAL";"TAB5",#N/A,TRUE,"GENERAL"}</definedName>
    <definedName name="jd" localSheetId="38" hidden="1">{"via1",#N/A,TRUE,"general";"via2",#N/A,TRUE,"general";"via3",#N/A,TRUE,"general"}</definedName>
    <definedName name="jd" hidden="1">{"via1",#N/A,TRUE,"general";"via2",#N/A,TRUE,"general";"via3",#N/A,TRUE,"general"}</definedName>
    <definedName name="jdh" localSheetId="38" hidden="1">{"TAB1",#N/A,TRUE,"GENERAL";"TAB2",#N/A,TRUE,"GENERAL";"TAB3",#N/A,TRUE,"GENERAL";"TAB4",#N/A,TRUE,"GENERAL";"TAB5",#N/A,TRUE,"GENERAL"}</definedName>
    <definedName name="jdh" hidden="1">{"TAB1",#N/A,TRUE,"GENERAL";"TAB2",#N/A,TRUE,"GENERAL";"TAB3",#N/A,TRUE,"GENERAL";"TAB4",#N/A,TRUE,"GENERAL";"TAB5",#N/A,TRUE,"GENERAL"}</definedName>
    <definedName name="jeytj" localSheetId="38"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8" hidden="1">{"TAB1",#N/A,TRUE,"GENERAL";"TAB2",#N/A,TRUE,"GENERAL";"TAB3",#N/A,TRUE,"GENERAL";"TAB4",#N/A,TRUE,"GENERAL";"TAB5",#N/A,TRUE,"GENERAL"}</definedName>
    <definedName name="jfhjfrt" hidden="1">{"TAB1",#N/A,TRUE,"GENERAL";"TAB2",#N/A,TRUE,"GENERAL";"TAB3",#N/A,TRUE,"GENERAL";"TAB4",#N/A,TRUE,"GENERAL";"TAB5",#N/A,TRUE,"GENERAL"}</definedName>
    <definedName name="jgfj" localSheetId="38" hidden="1">{"via1",#N/A,TRUE,"general";"via2",#N/A,TRUE,"general";"via3",#N/A,TRUE,"general"}</definedName>
    <definedName name="jgfj" hidden="1">{"via1",#N/A,TRUE,"general";"via2",#N/A,TRUE,"general";"via3",#N/A,TRUE,"general"}</definedName>
    <definedName name="jghj" localSheetId="38" hidden="1">{"TAB1",#N/A,TRUE,"GENERAL";"TAB2",#N/A,TRUE,"GENERAL";"TAB3",#N/A,TRUE,"GENERAL";"TAB4",#N/A,TRUE,"GENERAL";"TAB5",#N/A,TRUE,"GENERAL"}</definedName>
    <definedName name="jghj" hidden="1">{"TAB1",#N/A,TRUE,"GENERAL";"TAB2",#N/A,TRUE,"GENERAL";"TAB3",#N/A,TRUE,"GENERAL";"TAB4",#N/A,TRUE,"GENERAL";"TAB5",#N/A,TRUE,"GENERAL"}</definedName>
    <definedName name="jgj" localSheetId="38" hidden="1">{"TAB1",#N/A,TRUE,"GENERAL";"TAB2",#N/A,TRUE,"GENERAL";"TAB3",#N/A,TRUE,"GENERAL";"TAB4",#N/A,TRUE,"GENERAL";"TAB5",#N/A,TRUE,"GENERAL"}</definedName>
    <definedName name="jgj" hidden="1">{"TAB1",#N/A,TRUE,"GENERAL";"TAB2",#N/A,TRUE,"GENERAL";"TAB3",#N/A,TRUE,"GENERAL";"TAB4",#N/A,TRUE,"GENERAL";"TAB5",#N/A,TRUE,"GENERAL"}</definedName>
    <definedName name="jhg" localSheetId="38" hidden="1">{"TAB1",#N/A,TRUE,"GENERAL";"TAB2",#N/A,TRUE,"GENERAL";"TAB3",#N/A,TRUE,"GENERAL";"TAB4",#N/A,TRUE,"GENERAL";"TAB5",#N/A,TRUE,"GENERAL"}</definedName>
    <definedName name="jhg" hidden="1">{"TAB1",#N/A,TRUE,"GENERAL";"TAB2",#N/A,TRUE,"GENERAL";"TAB3",#N/A,TRUE,"GENERAL";"TAB4",#N/A,TRUE,"GENERAL";"TAB5",#N/A,TRUE,"GENERAL"}</definedName>
    <definedName name="jhjyj" localSheetId="38" hidden="1">{"via1",#N/A,TRUE,"general";"via2",#N/A,TRUE,"general";"via3",#N/A,TRUE,"general"}</definedName>
    <definedName name="jhjyj" hidden="1">{"via1",#N/A,TRUE,"general";"via2",#N/A,TRUE,"general";"via3",#N/A,TRUE,"general"}</definedName>
    <definedName name="JHK" localSheetId="38" hidden="1">{"TAB1",#N/A,TRUE,"GENERAL";"TAB2",#N/A,TRUE,"GENERAL";"TAB3",#N/A,TRUE,"GENERAL";"TAB4",#N/A,TRUE,"GENERAL";"TAB5",#N/A,TRUE,"GENERAL"}</definedName>
    <definedName name="JHK" hidden="1">{"TAB1",#N/A,TRUE,"GENERAL";"TAB2",#N/A,TRUE,"GENERAL";"TAB3",#N/A,TRUE,"GENERAL";"TAB4",#N/A,TRUE,"GENERAL";"TAB5",#N/A,TRUE,"GENERAL"}</definedName>
    <definedName name="jhkgjkvf" localSheetId="38" hidden="1">{"TAB1",#N/A,TRUE,"GENERAL";"TAB2",#N/A,TRUE,"GENERAL";"TAB3",#N/A,TRUE,"GENERAL";"TAB4",#N/A,TRUE,"GENERAL";"TAB5",#N/A,TRUE,"GENERAL"}</definedName>
    <definedName name="jhkgjkvf" hidden="1">{"TAB1",#N/A,TRUE,"GENERAL";"TAB2",#N/A,TRUE,"GENERAL";"TAB3",#N/A,TRUE,"GENERAL";"TAB4",#N/A,TRUE,"GENERAL";"TAB5",#N/A,TRUE,"GENERAL"}</definedName>
    <definedName name="jj" localSheetId="38">[0]!ERR</definedName>
    <definedName name="jj">[0]!ERR</definedName>
    <definedName name="jjfq" localSheetId="38" hidden="1">{"via1",#N/A,TRUE,"general";"via2",#N/A,TRUE,"general";"via3",#N/A,TRUE,"general"}</definedName>
    <definedName name="jjfq" hidden="1">{"via1",#N/A,TRUE,"general";"via2",#N/A,TRUE,"general";"via3",#N/A,TRUE,"general"}</definedName>
    <definedName name="JJJ" localSheetId="38" hidden="1">{#N/A,#N/A,FALSE,"Hoja1";#N/A,#N/A,FALSE,"Hoja2"}</definedName>
    <definedName name="JJJ" hidden="1">{#N/A,#N/A,FALSE,"Hoja1";#N/A,#N/A,FALSE,"Hoja2"}</definedName>
    <definedName name="jjjhjddfg" localSheetId="38" hidden="1">{"via1",#N/A,TRUE,"general";"via2",#N/A,TRUE,"general";"via3",#N/A,TRUE,"general"}</definedName>
    <definedName name="jjjhjddfg" hidden="1">{"via1",#N/A,TRUE,"general";"via2",#N/A,TRUE,"general";"via3",#N/A,TRUE,"general"}</definedName>
    <definedName name="jjjjju" localSheetId="38" hidden="1">{"via1",#N/A,TRUE,"general";"via2",#N/A,TRUE,"general";"via3",#N/A,TRUE,"general"}</definedName>
    <definedName name="jjjjju" hidden="1">{"via1",#N/A,TRUE,"general";"via2",#N/A,TRUE,"general";"via3",#N/A,TRUE,"general"}</definedName>
    <definedName name="jjujujty" localSheetId="38" hidden="1">{"TAB1",#N/A,TRUE,"GENERAL";"TAB2",#N/A,TRUE,"GENERAL";"TAB3",#N/A,TRUE,"GENERAL";"TAB4",#N/A,TRUE,"GENERAL";"TAB5",#N/A,TRUE,"GENERAL"}</definedName>
    <definedName name="jjujujty" hidden="1">{"TAB1",#N/A,TRUE,"GENERAL";"TAB2",#N/A,TRUE,"GENERAL";"TAB3",#N/A,TRUE,"GENERAL";"TAB4",#N/A,TRUE,"GENERAL";"TAB5",#N/A,TRUE,"GENERAL"}</definedName>
    <definedName name="jjyjy" localSheetId="38" hidden="1">{"via1",#N/A,TRUE,"general";"via2",#N/A,TRUE,"general";"via3",#N/A,TRUE,"general"}</definedName>
    <definedName name="jjyjy" hidden="1">{"via1",#N/A,TRUE,"general";"via2",#N/A,TRUE,"general";"via3",#N/A,TRUE,"general"}</definedName>
    <definedName name="jkk" localSheetId="38"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38">[0]!ERR</definedName>
    <definedName name="JOHNNY">[0]!ERR</definedName>
    <definedName name="JRYJ" localSheetId="38" hidden="1">{"via1",#N/A,TRUE,"general";"via2",#N/A,TRUE,"general";"via3",#N/A,TRUE,"general"}</definedName>
    <definedName name="JRYJ" hidden="1">{"via1",#N/A,TRUE,"general";"via2",#N/A,TRUE,"general";"via3",#N/A,TRUE,"general"}</definedName>
    <definedName name="jtyj" localSheetId="38" hidden="1">{"TAB1",#N/A,TRUE,"GENERAL";"TAB2",#N/A,TRUE,"GENERAL";"TAB3",#N/A,TRUE,"GENERAL";"TAB4",#N/A,TRUE,"GENERAL";"TAB5",#N/A,TRUE,"GENERAL"}</definedName>
    <definedName name="jtyj" hidden="1">{"TAB1",#N/A,TRUE,"GENERAL";"TAB2",#N/A,TRUE,"GENERAL";"TAB3",#N/A,TRUE,"GENERAL";"TAB4",#N/A,TRUE,"GENERAL";"TAB5",#N/A,TRUE,"GENERAL"}</definedName>
    <definedName name="jtyry" localSheetId="38" hidden="1">{"TAB1",#N/A,TRUE,"GENERAL";"TAB2",#N/A,TRUE,"GENERAL";"TAB3",#N/A,TRUE,"GENERAL";"TAB4",#N/A,TRUE,"GENERAL";"TAB5",#N/A,TRUE,"GENERAL"}</definedName>
    <definedName name="jtyry" hidden="1">{"TAB1",#N/A,TRUE,"GENERAL";"TAB2",#N/A,TRUE,"GENERAL";"TAB3",#N/A,TRUE,"GENERAL";"TAB4",#N/A,TRUE,"GENERAL";"TAB5",#N/A,TRUE,"GENERAL"}</definedName>
    <definedName name="juj" localSheetId="38" hidden="1">{"via1",#N/A,TRUE,"general";"via2",#N/A,TRUE,"general";"via3",#N/A,TRUE,"general"}</definedName>
    <definedName name="juj" hidden="1">{"via1",#N/A,TRUE,"general";"via2",#N/A,TRUE,"general";"via3",#N/A,TRUE,"general"}</definedName>
    <definedName name="jujcx" localSheetId="38" hidden="1">{"via1",#N/A,TRUE,"general";"via2",#N/A,TRUE,"general";"via3",#N/A,TRUE,"general"}</definedName>
    <definedName name="jujcx" hidden="1">{"via1",#N/A,TRUE,"general";"via2",#N/A,TRUE,"general";"via3",#N/A,TRUE,"general"}</definedName>
    <definedName name="jujuj" localSheetId="38" hidden="1">{"via1",#N/A,TRUE,"general";"via2",#N/A,TRUE,"general";"via3",#N/A,TRUE,"general"}</definedName>
    <definedName name="jujuj" hidden="1">{"via1",#N/A,TRUE,"general";"via2",#N/A,TRUE,"general";"via3",#N/A,TRUE,"general"}</definedName>
    <definedName name="jujujuju" localSheetId="38" hidden="1">{"TAB1",#N/A,TRUE,"GENERAL";"TAB2",#N/A,TRUE,"GENERAL";"TAB3",#N/A,TRUE,"GENERAL";"TAB4",#N/A,TRUE,"GENERAL";"TAB5",#N/A,TRUE,"GENERAL"}</definedName>
    <definedName name="jujujuju" hidden="1">{"TAB1",#N/A,TRUE,"GENERAL";"TAB2",#N/A,TRUE,"GENERAL";"TAB3",#N/A,TRUE,"GENERAL";"TAB4",#N/A,TRUE,"GENERAL";"TAB5",#N/A,TRUE,"GENERAL"}</definedName>
    <definedName name="juuuhb" localSheetId="38"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38" hidden="1">{"via1",#N/A,TRUE,"general";"via2",#N/A,TRUE,"general";"via3",#N/A,TRUE,"general"}</definedName>
    <definedName name="jyjt7" hidden="1">{"via1",#N/A,TRUE,"general";"via2",#N/A,TRUE,"general";"via3",#N/A,TRUE,"general"}</definedName>
    <definedName name="jyt" localSheetId="38" hidden="1">{"via1",#N/A,TRUE,"general";"via2",#N/A,TRUE,"general";"via3",#N/A,TRUE,"general"}</definedName>
    <definedName name="jyt" hidden="1">{"via1",#N/A,TRUE,"general";"via2",#N/A,TRUE,"general";"via3",#N/A,TRUE,"general"}</definedName>
    <definedName name="jytj" localSheetId="38" hidden="1">{"via1",#N/A,TRUE,"general";"via2",#N/A,TRUE,"general";"via3",#N/A,TRUE,"general"}</definedName>
    <definedName name="jytj" hidden="1">{"via1",#N/A,TRUE,"general";"via2",#N/A,TRUE,"general";"via3",#N/A,TRUE,"general"}</definedName>
    <definedName name="jyuju" localSheetId="38" hidden="1">{"via1",#N/A,TRUE,"general";"via2",#N/A,TRUE,"general";"via3",#N/A,TRUE,"general"}</definedName>
    <definedName name="jyuju" hidden="1">{"via1",#N/A,TRUE,"general";"via2",#N/A,TRUE,"general";"via3",#N/A,TRUE,"general"}</definedName>
    <definedName name="jyujyuj" localSheetId="38"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38" hidden="1">{"via1",#N/A,TRUE,"general";"via2",#N/A,TRUE,"general";"via3",#N/A,TRUE,"general"}</definedName>
    <definedName name="KHGGH" hidden="1">{"via1",#N/A,TRUE,"general";"via2",#N/A,TRUE,"general";"via3",#N/A,TRUE,"general"}</definedName>
    <definedName name="khjk7" localSheetId="38" hidden="1">{"TAB1",#N/A,TRUE,"GENERAL";"TAB2",#N/A,TRUE,"GENERAL";"TAB3",#N/A,TRUE,"GENERAL";"TAB4",#N/A,TRUE,"GENERAL";"TAB5",#N/A,TRUE,"GENERAL"}</definedName>
    <definedName name="khjk7" hidden="1">{"TAB1",#N/A,TRUE,"GENERAL";"TAB2",#N/A,TRUE,"GENERAL";"TAB3",#N/A,TRUE,"GENERAL";"TAB4",#N/A,TRUE,"GENERAL";"TAB5",#N/A,TRUE,"GENERAL"}</definedName>
    <definedName name="kikik" localSheetId="38" hidden="1">{"via1",#N/A,TRUE,"general";"via2",#N/A,TRUE,"general";"via3",#N/A,TRUE,"general"}</definedName>
    <definedName name="kikik" hidden="1">{"via1",#N/A,TRUE,"general";"via2",#N/A,TRUE,"general";"via3",#N/A,TRUE,"general"}</definedName>
    <definedName name="kj">#REF!</definedName>
    <definedName name="kjhkd" localSheetId="38" hidden="1">{"via1",#N/A,TRUE,"general";"via2",#N/A,TRUE,"general";"via3",#N/A,TRUE,"general"}</definedName>
    <definedName name="kjhkd" hidden="1">{"via1",#N/A,TRUE,"general";"via2",#N/A,TRUE,"general";"via3",#N/A,TRUE,"general"}</definedName>
    <definedName name="kjj">#REF!</definedName>
    <definedName name="kjk" localSheetId="38" hidden="1">{"via1",#N/A,TRUE,"general";"via2",#N/A,TRUE,"general";"via3",#N/A,TRUE,"general"}</definedName>
    <definedName name="kjk" hidden="1">{"via1",#N/A,TRUE,"general";"via2",#N/A,TRUE,"general";"via3",#N/A,TRUE,"general"}</definedName>
    <definedName name="kjtrkjr" localSheetId="38" hidden="1">{"via1",#N/A,TRUE,"general";"via2",#N/A,TRUE,"general";"via3",#N/A,TRUE,"general"}</definedName>
    <definedName name="kjtrkjr" hidden="1">{"via1",#N/A,TRUE,"general";"via2",#N/A,TRUE,"general";"via3",#N/A,TRUE,"general"}</definedName>
    <definedName name="kk">#REF!</definedName>
    <definedName name="kkkki" localSheetId="38" hidden="1">{"via1",#N/A,TRUE,"general";"via2",#N/A,TRUE,"general";"via3",#N/A,TRUE,"general"}</definedName>
    <definedName name="kkkki" hidden="1">{"via1",#N/A,TRUE,"general";"via2",#N/A,TRUE,"general";"via3",#N/A,TRUE,"general"}</definedName>
    <definedName name="kkkkkki" localSheetId="38" hidden="1">{"TAB1",#N/A,TRUE,"GENERAL";"TAB2",#N/A,TRUE,"GENERAL";"TAB3",#N/A,TRUE,"GENERAL";"TAB4",#N/A,TRUE,"GENERAL";"TAB5",#N/A,TRUE,"GENERAL"}</definedName>
    <definedName name="kkkkkki" hidden="1">{"TAB1",#N/A,TRUE,"GENERAL";"TAB2",#N/A,TRUE,"GENERAL";"TAB3",#N/A,TRUE,"GENERAL";"TAB4",#N/A,TRUE,"GENERAL";"TAB5",#N/A,TRUE,"GENERAL"}</definedName>
    <definedName name="kl" localSheetId="38">[0]!ERR</definedName>
    <definedName name="kl">[0]!ERR</definedName>
    <definedName name="klklk">#REF!</definedName>
    <definedName name="km">#REF!</definedName>
    <definedName name="krtrk" localSheetId="38"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8"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#REF!</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38" hidden="1">{"TAB1",#N/A,TRUE,"GENERAL";"TAB2",#N/A,TRUE,"GENERAL";"TAB3",#N/A,TRUE,"GENERAL";"TAB4",#N/A,TRUE,"GENERAL";"TAB5",#N/A,TRUE,"GENERAL"}</definedName>
    <definedName name="liuoo" hidden="1">{"TAB1",#N/A,TRUE,"GENERAL";"TAB2",#N/A,TRUE,"GENERAL";"TAB3",#N/A,TRUE,"GENERAL";"TAB4",#N/A,TRUE,"GENERAL";"TAB5",#N/A,TRUE,"GENERAL"}</definedName>
    <definedName name="lkj" localSheetId="38" hidden="1">{"via1",#N/A,TRUE,"general";"via2",#N/A,TRUE,"general";"via3",#N/A,TRUE,"general"}</definedName>
    <definedName name="lkj" hidden="1">{"via1",#N/A,TRUE,"general";"via2",#N/A,TRUE,"general";"via3",#N/A,TRUE,"general"}</definedName>
    <definedName name="LKJLJK" localSheetId="38" hidden="1">{"TAB1",#N/A,TRUE,"GENERAL";"TAB2",#N/A,TRUE,"GENERAL";"TAB3",#N/A,TRUE,"GENERAL";"TAB4",#N/A,TRUE,"GENERAL";"TAB5",#N/A,TRUE,"GENERAL"}</definedName>
    <definedName name="LKJLJK" hidden="1">{"TAB1",#N/A,TRUE,"GENERAL";"TAB2",#N/A,TRUE,"GENERAL";"TAB3",#N/A,TRUE,"GENERAL";"TAB4",#N/A,TRUE,"GENERAL";"TAB5",#N/A,TRUE,"GENERAL"}</definedName>
    <definedName name="LL" localSheetId="38"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#REF!</definedName>
    <definedName name="lllllh" localSheetId="38" hidden="1">{"via1",#N/A,TRUE,"general";"via2",#N/A,TRUE,"general";"via3",#N/A,TRUE,"general"}</definedName>
    <definedName name="lllllh" hidden="1">{"via1",#N/A,TRUE,"general";"via2",#N/A,TRUE,"general";"via3",#N/A,TRUE,"general"}</definedName>
    <definedName name="lllllllo" localSheetId="38"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5">#REF!</definedName>
    <definedName name="LOCA" localSheetId="16">#REF!</definedName>
    <definedName name="LOCA" localSheetId="18">#REF!</definedName>
    <definedName name="LOCA" localSheetId="19">#REF!</definedName>
    <definedName name="LOCA" localSheetId="21">#REF!</definedName>
    <definedName name="LOCA" localSheetId="22">#REF!</definedName>
    <definedName name="LOCA" localSheetId="6">#REF!</definedName>
    <definedName name="LOCA" localSheetId="24">#REF!</definedName>
    <definedName name="LOCA" localSheetId="25">#REF!</definedName>
    <definedName name="LOCA" localSheetId="26">#REF!</definedName>
    <definedName name="LOCA" localSheetId="27">#REF!</definedName>
    <definedName name="LOCA" localSheetId="28">#REF!</definedName>
    <definedName name="LOCA" localSheetId="30">#REF!</definedName>
    <definedName name="LOCA" localSheetId="31">#REF!</definedName>
    <definedName name="LOCA" localSheetId="33">#REF!</definedName>
    <definedName name="LOCA" localSheetId="7">#REF!</definedName>
    <definedName name="LOCA" localSheetId="34">#REF!</definedName>
    <definedName name="LOCA" localSheetId="36">#REF!</definedName>
    <definedName name="LOCA" localSheetId="37">#REF!</definedName>
    <definedName name="LOCA" localSheetId="9">#REF!</definedName>
    <definedName name="LOCA" localSheetId="10">#REF!</definedName>
    <definedName name="LOCA" localSheetId="12">#REF!</definedName>
    <definedName name="LOCA" localSheetId="13">#REF!</definedName>
    <definedName name="LOCA">#REF!</definedName>
    <definedName name="LOCA1">#REF!</definedName>
    <definedName name="LOCALIZACION_Y_REPLANTEO">#REF!</definedName>
    <definedName name="LOGO" localSheetId="38">[0]!ERR</definedName>
    <definedName name="LOGO">[0]!ERR</definedName>
    <definedName name="lolol" localSheetId="38"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8" hidden="1">{"via1",#N/A,TRUE,"general";"via2",#N/A,TRUE,"general";"via3",#N/A,TRUE,"general"}</definedName>
    <definedName name="lplpl" hidden="1">{"via1",#N/A,TRUE,"general";"via2",#N/A,TRUE,"general";"via3",#N/A,TRUE,"general"}</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localSheetId="38" hidden="1">{"via1",#N/A,TRUE,"general";"via2",#N/A,TRUE,"general";"via3",#N/A,TRUE,"general"}</definedName>
    <definedName name="mafdsf" hidden="1">{"via1",#N/A,TRUE,"general";"via2",#N/A,TRUE,"general";"via3",#N/A,TRUE,"general"}</definedName>
    <definedName name="mano_obra_apoyo">#REF!</definedName>
    <definedName name="mano_obra_direccion">#REF!</definedName>
    <definedName name="mano_obra_directa">#REF!</definedName>
    <definedName name="MANUAL">#REF!</definedName>
    <definedName name="mao" localSheetId="38" hidden="1">{"TAB1",#N/A,TRUE,"GENERAL";"TAB2",#N/A,TRUE,"GENERAL";"TAB3",#N/A,TRUE,"GENERAL";"TAB4",#N/A,TRUE,"GENERAL";"TAB5",#N/A,TRUE,"GENERAL"}</definedName>
    <definedName name="mao" hidden="1">{"TAB1",#N/A,TRUE,"GENERAL";"TAB2",#N/A,TRUE,"GENERAL";"TAB3",#N/A,TRUE,"GENERAL";"TAB4",#N/A,TRUE,"GENERAL";"TAB5",#N/A,TRUE,"GENERAL"}</definedName>
    <definedName name="maow" localSheetId="38" hidden="1">{"via1",#N/A,TRUE,"general";"via2",#N/A,TRUE,"general";"via3",#N/A,TRUE,"general"}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sor" localSheetId="38" hidden="1">{"via1",#N/A,TRUE,"general";"via2",#N/A,TRUE,"general";"via3",#N/A,TRUE,"general"}</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38" hidden="1">{"via1",#N/A,TRUE,"general";"via2",#N/A,TRUE,"general";"via3",#N/A,TRUE,"general"}</definedName>
    <definedName name="mdd" hidden="1">{"via1",#N/A,TRUE,"general";"via2",#N/A,TRUE,"general";"via3",#N/A,TRUE,"general"}</definedName>
    <definedName name="mediah_reposo_comida">#REF!</definedName>
    <definedName name="meg" localSheetId="38"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localSheetId="38" hidden="1">{"TAB1",#N/A,TRUE,"GENERAL";"TAB2",#N/A,TRUE,"GENERAL";"TAB3",#N/A,TRUE,"GENERAL";"TAB4",#N/A,TRUE,"GENERAL";"TAB5",#N/A,TRUE,"GENERAL"}</definedName>
    <definedName name="mfgjrdt" hidden="1">{"TAB1",#N/A,TRUE,"GENERAL";"TAB2",#N/A,TRUE,"GENERAL";"TAB3",#N/A,TRUE,"GENERAL";"TAB4",#N/A,TRUE,"GENERAL";"TAB5",#N/A,TRUE,"GENERAL"}</definedName>
    <definedName name="mghm" localSheetId="38"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8" hidden="1">{"via1",#N/A,TRUE,"general";"via2",#N/A,TRUE,"general";"via3",#N/A,TRUE,"general"}</definedName>
    <definedName name="mjmj" hidden="1">{"via1",#N/A,TRUE,"general";"via2",#N/A,TRUE,"general";"via3",#N/A,TRUE,"general"}</definedName>
    <definedName name="mjmjmn" localSheetId="38" hidden="1">{"via1",#N/A,TRUE,"general";"via2",#N/A,TRUE,"general";"via3",#N/A,TRUE,"general"}</definedName>
    <definedName name="mjmjmn" hidden="1">{"via1",#N/A,TRUE,"general";"via2",#N/A,TRUE,"general";"via3",#N/A,TRUE,"general"}</definedName>
    <definedName name="mjnhgkio" localSheetId="38" hidden="1">{"via1",#N/A,TRUE,"general";"via2",#N/A,TRUE,"general";"via3",#N/A,TRUE,"general"}</definedName>
    <definedName name="mjnhgkio" hidden="1">{"via1",#N/A,TRUE,"general";"via2",#N/A,TRUE,"general";"via3",#N/A,TRUE,"general"}</definedName>
    <definedName name="MJU">#REF!</definedName>
    <definedName name="mmjmjh" localSheetId="38" hidden="1">{"TAB1",#N/A,TRUE,"GENERAL";"TAB2",#N/A,TRUE,"GENERAL";"TAB3",#N/A,TRUE,"GENERAL";"TAB4",#N/A,TRUE,"GENERAL";"TAB5",#N/A,TRUE,"GENERAL"}</definedName>
    <definedName name="mmjmjh" hidden="1">{"TAB1",#N/A,TRUE,"GENERAL";"TAB2",#N/A,TRUE,"GENERAL";"TAB3",#N/A,TRUE,"GENERAL";"TAB4",#N/A,TRUE,"GENERAL";"TAB5",#N/A,TRUE,"GENERAL"}</definedName>
    <definedName name="mmm" localSheetId="38" hidden="1">{"TAB1",#N/A,TRUE,"GENERAL";"TAB2",#N/A,TRUE,"GENERAL";"TAB3",#N/A,TRUE,"GENERAL";"TAB4",#N/A,TRUE,"GENERAL";"TAB5",#N/A,TRUE,"GENERAL"}</definedName>
    <definedName name="mmm" hidden="1">{"TAB1",#N/A,TRUE,"GENERAL";"TAB2",#N/A,TRUE,"GENERAL";"TAB3",#N/A,TRUE,"GENERAL";"TAB4",#N/A,TRUE,"GENERAL";"TAB5",#N/A,TRUE,"GENERAL"}</definedName>
    <definedName name="mmmh" localSheetId="38" hidden="1">{"via1",#N/A,TRUE,"general";"via2",#N/A,TRUE,"general";"via3",#N/A,TRUE,"general"}</definedName>
    <definedName name="mmmh" hidden="1">{"via1",#N/A,TRUE,"general";"via2",#N/A,TRUE,"general";"via3",#N/A,TRUE,"general"}</definedName>
    <definedName name="mmmmmjyt" localSheetId="38" hidden="1">{"TAB1",#N/A,TRUE,"GENERAL";"TAB2",#N/A,TRUE,"GENERAL";"TAB3",#N/A,TRUE,"GENERAL";"TAB4",#N/A,TRUE,"GENERAL";"TAB5",#N/A,TRUE,"GENERAL"}</definedName>
    <definedName name="mmmmmjyt" hidden="1">{"TAB1",#N/A,TRUE,"GENERAL";"TAB2",#N/A,TRUE,"GENERAL";"TAB3",#N/A,TRUE,"GENERAL";"TAB4",#N/A,TRUE,"GENERAL";"TAB5",#N/A,TRUE,"GENERAL"}</definedName>
    <definedName name="mmmmmmg" localSheetId="38" hidden="1">{"via1",#N/A,TRUE,"general";"via2",#N/A,TRUE,"general";"via3",#N/A,TRUE,"general"}</definedName>
    <definedName name="mmmmmmg" hidden="1">{"via1",#N/A,TRUE,"general";"via2",#N/A,TRUE,"general";"via3",#N/A,TRUE,"general"}</definedName>
    <definedName name="MN" localSheetId="38" hidden="1">{"via1",#N/A,TRUE,"general";"via2",#N/A,TRUE,"general";"via3",#N/A,TRUE,"general"}</definedName>
    <definedName name="MN" hidden="1">{"via1",#N/A,TRUE,"general";"via2",#N/A,TRUE,"general";"via3",#N/A,TRUE,"general"}</definedName>
    <definedName name="MOA" localSheetId="38" hidden="1">{#N/A,#N/A,FALSE,"Hoja1";#N/A,#N/A,FALSE,"Hoja2"}</definedName>
    <definedName name="MOA" hidden="1">{#N/A,#N/A,FALSE,"Hoja1";#N/A,#N/A,FALSE,"Hoja2"}</definedName>
    <definedName name="MOD">#REF!</definedName>
    <definedName name="MODIVejec" localSheetId="38" hidden="1">{#N/A,#N/A,FALSE,"Hoja1";#N/A,#N/A,FALSE,"Hoja2"}</definedName>
    <definedName name="MODIVejec" hidden="1">{#N/A,#N/A,FALSE,"Hoja1";#N/A,#N/A,FALSE,"Hoja2"}</definedName>
    <definedName name="Módulo3.anexo1" localSheetId="15">#REF!</definedName>
    <definedName name="Módulo3.anexo1" localSheetId="16">#REF!</definedName>
    <definedName name="Módulo3.anexo1" localSheetId="18">#REF!</definedName>
    <definedName name="Módulo3.anexo1" localSheetId="19">#REF!</definedName>
    <definedName name="Módulo3.anexo1" localSheetId="21">#REF!</definedName>
    <definedName name="Módulo3.anexo1" localSheetId="22">#REF!</definedName>
    <definedName name="Módulo3.anexo1" localSheetId="6">#REF!</definedName>
    <definedName name="Módulo3.anexo1" localSheetId="24">#REF!</definedName>
    <definedName name="Módulo3.anexo1" localSheetId="25">#REF!</definedName>
    <definedName name="Módulo3.anexo1" localSheetId="26">#REF!</definedName>
    <definedName name="Módulo3.anexo1" localSheetId="27">#REF!</definedName>
    <definedName name="Módulo3.anexo1" localSheetId="28">#REF!</definedName>
    <definedName name="Módulo3.anexo1" localSheetId="30">#REF!</definedName>
    <definedName name="Módulo3.anexo1" localSheetId="31">#REF!</definedName>
    <definedName name="Módulo3.anexo1" localSheetId="33">#REF!</definedName>
    <definedName name="Módulo3.anexo1" localSheetId="7">#REF!</definedName>
    <definedName name="Módulo3.anexo1" localSheetId="34">#REF!</definedName>
    <definedName name="Módulo3.anexo1" localSheetId="36">#REF!</definedName>
    <definedName name="Módulo3.anexo1" localSheetId="37">#REF!</definedName>
    <definedName name="Módulo3.anexo1" localSheetId="9">#REF!</definedName>
    <definedName name="Módulo3.anexo1" localSheetId="10">#REF!</definedName>
    <definedName name="Módulo3.anexo1" localSheetId="12">#REF!</definedName>
    <definedName name="Módulo3.anexo1" localSheetId="13">#REF!</definedName>
    <definedName name="Módulo3.anexo1">#REF!</definedName>
    <definedName name="Módulo3.anexo10" localSheetId="15">#REF!</definedName>
    <definedName name="Módulo3.anexo10" localSheetId="16">#REF!</definedName>
    <definedName name="Módulo3.anexo10" localSheetId="18">#REF!</definedName>
    <definedName name="Módulo3.anexo10" localSheetId="19">#REF!</definedName>
    <definedName name="Módulo3.anexo10" localSheetId="21">#REF!</definedName>
    <definedName name="Módulo3.anexo10" localSheetId="22">#REF!</definedName>
    <definedName name="Módulo3.anexo10" localSheetId="6">#REF!</definedName>
    <definedName name="Módulo3.anexo10" localSheetId="24">#REF!</definedName>
    <definedName name="Módulo3.anexo10" localSheetId="25">#REF!</definedName>
    <definedName name="Módulo3.anexo10" localSheetId="26">#REF!</definedName>
    <definedName name="Módulo3.anexo10" localSheetId="27">#REF!</definedName>
    <definedName name="Módulo3.anexo10" localSheetId="28">#REF!</definedName>
    <definedName name="Módulo3.anexo10" localSheetId="30">#REF!</definedName>
    <definedName name="Módulo3.anexo10" localSheetId="31">#REF!</definedName>
    <definedName name="Módulo3.anexo10" localSheetId="33">#REF!</definedName>
    <definedName name="Módulo3.anexo10" localSheetId="7">#REF!</definedName>
    <definedName name="Módulo3.anexo10" localSheetId="34">#REF!</definedName>
    <definedName name="Módulo3.anexo10" localSheetId="36">#REF!</definedName>
    <definedName name="Módulo3.anexo10" localSheetId="37">#REF!</definedName>
    <definedName name="Módulo3.anexo10" localSheetId="9">#REF!</definedName>
    <definedName name="Módulo3.anexo10" localSheetId="10">#REF!</definedName>
    <definedName name="Módulo3.anexo10" localSheetId="12">#REF!</definedName>
    <definedName name="Módulo3.anexo10" localSheetId="13">#REF!</definedName>
    <definedName name="Módulo3.anexo10">#REF!</definedName>
    <definedName name="Módulo3.anexo11" localSheetId="15">#REF!</definedName>
    <definedName name="Módulo3.anexo11" localSheetId="16">#REF!</definedName>
    <definedName name="Módulo3.anexo11" localSheetId="18">#REF!</definedName>
    <definedName name="Módulo3.anexo11" localSheetId="19">#REF!</definedName>
    <definedName name="Módulo3.anexo11" localSheetId="21">#REF!</definedName>
    <definedName name="Módulo3.anexo11" localSheetId="22">#REF!</definedName>
    <definedName name="Módulo3.anexo11" localSheetId="6">#REF!</definedName>
    <definedName name="Módulo3.anexo11" localSheetId="24">#REF!</definedName>
    <definedName name="Módulo3.anexo11" localSheetId="25">#REF!</definedName>
    <definedName name="Módulo3.anexo11" localSheetId="26">#REF!</definedName>
    <definedName name="Módulo3.anexo11" localSheetId="27">#REF!</definedName>
    <definedName name="Módulo3.anexo11" localSheetId="28">#REF!</definedName>
    <definedName name="Módulo3.anexo11" localSheetId="30">#REF!</definedName>
    <definedName name="Módulo3.anexo11" localSheetId="31">#REF!</definedName>
    <definedName name="Módulo3.anexo11" localSheetId="33">#REF!</definedName>
    <definedName name="Módulo3.anexo11" localSheetId="7">#REF!</definedName>
    <definedName name="Módulo3.anexo11" localSheetId="34">#REF!</definedName>
    <definedName name="Módulo3.anexo11" localSheetId="36">#REF!</definedName>
    <definedName name="Módulo3.anexo11" localSheetId="37">#REF!</definedName>
    <definedName name="Módulo3.anexo11" localSheetId="9">#REF!</definedName>
    <definedName name="Módulo3.anexo11" localSheetId="10">#REF!</definedName>
    <definedName name="Módulo3.anexo11" localSheetId="12">#REF!</definedName>
    <definedName name="Módulo3.anexo11" localSheetId="13">#REF!</definedName>
    <definedName name="Módulo3.anexo11">#REF!</definedName>
    <definedName name="Módulo3.anexo12" localSheetId="15">#REF!</definedName>
    <definedName name="Módulo3.anexo12" localSheetId="16">#REF!</definedName>
    <definedName name="Módulo3.anexo12" localSheetId="18">#REF!</definedName>
    <definedName name="Módulo3.anexo12" localSheetId="19">#REF!</definedName>
    <definedName name="Módulo3.anexo12" localSheetId="21">#REF!</definedName>
    <definedName name="Módulo3.anexo12" localSheetId="22">#REF!</definedName>
    <definedName name="Módulo3.anexo12" localSheetId="6">#REF!</definedName>
    <definedName name="Módulo3.anexo12" localSheetId="24">#REF!</definedName>
    <definedName name="Módulo3.anexo12" localSheetId="25">#REF!</definedName>
    <definedName name="Módulo3.anexo12" localSheetId="26">#REF!</definedName>
    <definedName name="Módulo3.anexo12" localSheetId="27">#REF!</definedName>
    <definedName name="Módulo3.anexo12" localSheetId="28">#REF!</definedName>
    <definedName name="Módulo3.anexo12" localSheetId="30">#REF!</definedName>
    <definedName name="Módulo3.anexo12" localSheetId="31">#REF!</definedName>
    <definedName name="Módulo3.anexo12" localSheetId="33">#REF!</definedName>
    <definedName name="Módulo3.anexo12" localSheetId="7">#REF!</definedName>
    <definedName name="Módulo3.anexo12" localSheetId="34">#REF!</definedName>
    <definedName name="Módulo3.anexo12" localSheetId="36">#REF!</definedName>
    <definedName name="Módulo3.anexo12" localSheetId="37">#REF!</definedName>
    <definedName name="Módulo3.anexo12" localSheetId="9">#REF!</definedName>
    <definedName name="Módulo3.anexo12" localSheetId="10">#REF!</definedName>
    <definedName name="Módulo3.anexo12" localSheetId="12">#REF!</definedName>
    <definedName name="Módulo3.anexo12" localSheetId="13">#REF!</definedName>
    <definedName name="Módulo3.anexo12">#REF!</definedName>
    <definedName name="Módulo3.anexo3" localSheetId="15">#REF!</definedName>
    <definedName name="Módulo3.anexo3" localSheetId="16">#REF!</definedName>
    <definedName name="Módulo3.anexo3" localSheetId="18">#REF!</definedName>
    <definedName name="Módulo3.anexo3" localSheetId="19">#REF!</definedName>
    <definedName name="Módulo3.anexo3" localSheetId="21">#REF!</definedName>
    <definedName name="Módulo3.anexo3" localSheetId="22">#REF!</definedName>
    <definedName name="Módulo3.anexo3" localSheetId="6">#REF!</definedName>
    <definedName name="Módulo3.anexo3" localSheetId="24">#REF!</definedName>
    <definedName name="Módulo3.anexo3" localSheetId="25">#REF!</definedName>
    <definedName name="Módulo3.anexo3" localSheetId="26">#REF!</definedName>
    <definedName name="Módulo3.anexo3" localSheetId="27">#REF!</definedName>
    <definedName name="Módulo3.anexo3" localSheetId="28">#REF!</definedName>
    <definedName name="Módulo3.anexo3" localSheetId="30">#REF!</definedName>
    <definedName name="Módulo3.anexo3" localSheetId="31">#REF!</definedName>
    <definedName name="Módulo3.anexo3" localSheetId="33">#REF!</definedName>
    <definedName name="Módulo3.anexo3" localSheetId="7">#REF!</definedName>
    <definedName name="Módulo3.anexo3" localSheetId="34">#REF!</definedName>
    <definedName name="Módulo3.anexo3" localSheetId="36">#REF!</definedName>
    <definedName name="Módulo3.anexo3" localSheetId="37">#REF!</definedName>
    <definedName name="Módulo3.anexo3" localSheetId="9">#REF!</definedName>
    <definedName name="Módulo3.anexo3" localSheetId="10">#REF!</definedName>
    <definedName name="Módulo3.anexo3" localSheetId="12">#REF!</definedName>
    <definedName name="Módulo3.anexo3" localSheetId="13">#REF!</definedName>
    <definedName name="Módulo3.anexo3">#REF!</definedName>
    <definedName name="Módulo3.anexo4" localSheetId="15">#REF!</definedName>
    <definedName name="Módulo3.anexo4" localSheetId="16">#REF!</definedName>
    <definedName name="Módulo3.anexo4" localSheetId="18">#REF!</definedName>
    <definedName name="Módulo3.anexo4" localSheetId="19">#REF!</definedName>
    <definedName name="Módulo3.anexo4" localSheetId="21">#REF!</definedName>
    <definedName name="Módulo3.anexo4" localSheetId="22">#REF!</definedName>
    <definedName name="Módulo3.anexo4" localSheetId="6">#REF!</definedName>
    <definedName name="Módulo3.anexo4" localSheetId="24">#REF!</definedName>
    <definedName name="Módulo3.anexo4" localSheetId="25">#REF!</definedName>
    <definedName name="Módulo3.anexo4" localSheetId="26">#REF!</definedName>
    <definedName name="Módulo3.anexo4" localSheetId="27">#REF!</definedName>
    <definedName name="Módulo3.anexo4" localSheetId="28">#REF!</definedName>
    <definedName name="Módulo3.anexo4" localSheetId="30">#REF!</definedName>
    <definedName name="Módulo3.anexo4" localSheetId="31">#REF!</definedName>
    <definedName name="Módulo3.anexo4" localSheetId="33">#REF!</definedName>
    <definedName name="Módulo3.anexo4" localSheetId="7">#REF!</definedName>
    <definedName name="Módulo3.anexo4" localSheetId="34">#REF!</definedName>
    <definedName name="Módulo3.anexo4" localSheetId="36">#REF!</definedName>
    <definedName name="Módulo3.anexo4" localSheetId="37">#REF!</definedName>
    <definedName name="Módulo3.anexo4" localSheetId="9">#REF!</definedName>
    <definedName name="Módulo3.anexo4" localSheetId="10">#REF!</definedName>
    <definedName name="Módulo3.anexo4" localSheetId="12">#REF!</definedName>
    <definedName name="Módulo3.anexo4" localSheetId="13">#REF!</definedName>
    <definedName name="Módulo3.anexo4">#REF!</definedName>
    <definedName name="Módulo3.anexo5" localSheetId="15">#REF!</definedName>
    <definedName name="Módulo3.anexo5" localSheetId="16">#REF!</definedName>
    <definedName name="Módulo3.anexo5" localSheetId="18">#REF!</definedName>
    <definedName name="Módulo3.anexo5" localSheetId="19">#REF!</definedName>
    <definedName name="Módulo3.anexo5" localSheetId="21">#REF!</definedName>
    <definedName name="Módulo3.anexo5" localSheetId="22">#REF!</definedName>
    <definedName name="Módulo3.anexo5" localSheetId="6">#REF!</definedName>
    <definedName name="Módulo3.anexo5" localSheetId="24">#REF!</definedName>
    <definedName name="Módulo3.anexo5" localSheetId="25">#REF!</definedName>
    <definedName name="Módulo3.anexo5" localSheetId="26">#REF!</definedName>
    <definedName name="Módulo3.anexo5" localSheetId="27">#REF!</definedName>
    <definedName name="Módulo3.anexo5" localSheetId="28">#REF!</definedName>
    <definedName name="Módulo3.anexo5" localSheetId="30">#REF!</definedName>
    <definedName name="Módulo3.anexo5" localSheetId="31">#REF!</definedName>
    <definedName name="Módulo3.anexo5" localSheetId="33">#REF!</definedName>
    <definedName name="Módulo3.anexo5" localSheetId="7">#REF!</definedName>
    <definedName name="Módulo3.anexo5" localSheetId="34">#REF!</definedName>
    <definedName name="Módulo3.anexo5" localSheetId="36">#REF!</definedName>
    <definedName name="Módulo3.anexo5" localSheetId="37">#REF!</definedName>
    <definedName name="Módulo3.anexo5" localSheetId="9">#REF!</definedName>
    <definedName name="Módulo3.anexo5" localSheetId="10">#REF!</definedName>
    <definedName name="Módulo3.anexo5" localSheetId="12">#REF!</definedName>
    <definedName name="Módulo3.anexo5" localSheetId="13">#REF!</definedName>
    <definedName name="Módulo3.anexo5">#REF!</definedName>
    <definedName name="Módulo3.anexo6" localSheetId="15">#REF!</definedName>
    <definedName name="Módulo3.anexo6" localSheetId="16">#REF!</definedName>
    <definedName name="Módulo3.anexo6" localSheetId="18">#REF!</definedName>
    <definedName name="Módulo3.anexo6" localSheetId="19">#REF!</definedName>
    <definedName name="Módulo3.anexo6" localSheetId="21">#REF!</definedName>
    <definedName name="Módulo3.anexo6" localSheetId="22">#REF!</definedName>
    <definedName name="Módulo3.anexo6" localSheetId="6">#REF!</definedName>
    <definedName name="Módulo3.anexo6" localSheetId="24">#REF!</definedName>
    <definedName name="Módulo3.anexo6" localSheetId="25">#REF!</definedName>
    <definedName name="Módulo3.anexo6" localSheetId="26">#REF!</definedName>
    <definedName name="Módulo3.anexo6" localSheetId="27">#REF!</definedName>
    <definedName name="Módulo3.anexo6" localSheetId="28">#REF!</definedName>
    <definedName name="Módulo3.anexo6" localSheetId="30">#REF!</definedName>
    <definedName name="Módulo3.anexo6" localSheetId="31">#REF!</definedName>
    <definedName name="Módulo3.anexo6" localSheetId="33">#REF!</definedName>
    <definedName name="Módulo3.anexo6" localSheetId="7">#REF!</definedName>
    <definedName name="Módulo3.anexo6" localSheetId="34">#REF!</definedName>
    <definedName name="Módulo3.anexo6" localSheetId="36">#REF!</definedName>
    <definedName name="Módulo3.anexo6" localSheetId="37">#REF!</definedName>
    <definedName name="Módulo3.anexo6" localSheetId="9">#REF!</definedName>
    <definedName name="Módulo3.anexo6" localSheetId="10">#REF!</definedName>
    <definedName name="Módulo3.anexo6" localSheetId="12">#REF!</definedName>
    <definedName name="Módulo3.anexo6" localSheetId="13">#REF!</definedName>
    <definedName name="Módulo3.anexo6">#REF!</definedName>
    <definedName name="Módulo8.anexo16" localSheetId="15">#REF!</definedName>
    <definedName name="Módulo8.anexo16" localSheetId="16">#REF!</definedName>
    <definedName name="Módulo8.anexo16" localSheetId="18">#REF!</definedName>
    <definedName name="Módulo8.anexo16" localSheetId="19">#REF!</definedName>
    <definedName name="Módulo8.anexo16" localSheetId="21">#REF!</definedName>
    <definedName name="Módulo8.anexo16" localSheetId="22">#REF!</definedName>
    <definedName name="Módulo8.anexo16" localSheetId="6">#REF!</definedName>
    <definedName name="Módulo8.anexo16" localSheetId="24">#REF!</definedName>
    <definedName name="Módulo8.anexo16" localSheetId="25">#REF!</definedName>
    <definedName name="Módulo8.anexo16" localSheetId="26">#REF!</definedName>
    <definedName name="Módulo8.anexo16" localSheetId="27">#REF!</definedName>
    <definedName name="Módulo8.anexo16" localSheetId="28">#REF!</definedName>
    <definedName name="Módulo8.anexo16" localSheetId="30">#REF!</definedName>
    <definedName name="Módulo8.anexo16" localSheetId="31">#REF!</definedName>
    <definedName name="Módulo8.anexo16" localSheetId="33">#REF!</definedName>
    <definedName name="Módulo8.anexo16" localSheetId="7">#REF!</definedName>
    <definedName name="Módulo8.anexo16" localSheetId="34">#REF!</definedName>
    <definedName name="Módulo8.anexo16" localSheetId="36">#REF!</definedName>
    <definedName name="Módulo8.anexo16" localSheetId="37">#REF!</definedName>
    <definedName name="Módulo8.anexo16" localSheetId="9">#REF!</definedName>
    <definedName name="Módulo8.anexo16" localSheetId="10">#REF!</definedName>
    <definedName name="Módulo8.anexo16" localSheetId="12">#REF!</definedName>
    <definedName name="Módulo8.anexo16" localSheetId="13">#REF!</definedName>
    <definedName name="Módulo8.anexo16">#REF!</definedName>
    <definedName name="MOE" localSheetId="38"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38" hidden="1">{"via1",#N/A,TRUE,"general";"via2",#N/A,TRUE,"general";"via3",#N/A,TRUE,"general"}</definedName>
    <definedName name="n" hidden="1">{"via1",#N/A,TRUE,"general";"via2",#N/A,TRUE,"general";"via3",#N/A,TRUE,"general"}</definedName>
    <definedName name="Nada" localSheetId="15">#REF!</definedName>
    <definedName name="Nada" localSheetId="16">#REF!</definedName>
    <definedName name="Nada" localSheetId="18">#REF!</definedName>
    <definedName name="Nada" localSheetId="19">#REF!</definedName>
    <definedName name="Nada" localSheetId="21">#REF!</definedName>
    <definedName name="Nada" localSheetId="22">#REF!</definedName>
    <definedName name="Nada" localSheetId="6">#REF!</definedName>
    <definedName name="Nada" localSheetId="24">#REF!</definedName>
    <definedName name="Nada" localSheetId="25">#REF!</definedName>
    <definedName name="Nada" localSheetId="26">#REF!</definedName>
    <definedName name="Nada" localSheetId="27">#REF!</definedName>
    <definedName name="Nada" localSheetId="28">#REF!</definedName>
    <definedName name="Nada" localSheetId="30">#REF!</definedName>
    <definedName name="Nada" localSheetId="31">#REF!</definedName>
    <definedName name="Nada" localSheetId="33">#REF!</definedName>
    <definedName name="Nada" localSheetId="7">#REF!</definedName>
    <definedName name="Nada" localSheetId="34">#REF!</definedName>
    <definedName name="Nada" localSheetId="36">#REF!</definedName>
    <definedName name="Nada" localSheetId="37">#REF!</definedName>
    <definedName name="Nada" localSheetId="9">#REF!</definedName>
    <definedName name="Nada" localSheetId="10">#REF!</definedName>
    <definedName name="Nada" localSheetId="12">#REF!</definedName>
    <definedName name="Nada" localSheetId="13">#REF!</definedName>
    <definedName name="Nada">#REF!</definedName>
    <definedName name="Nafta_2">#REF!</definedName>
    <definedName name="Nafta2">#REF!</definedName>
    <definedName name="Nafta3">#REF!</definedName>
    <definedName name="nbvnv" localSheetId="38" hidden="1">{"via1",#N/A,TRUE,"general";"via2",#N/A,TRUE,"general";"via3",#N/A,TRUE,"general"}</definedName>
    <definedName name="nbvnv" hidden="1">{"via1",#N/A,TRUE,"general";"via2",#N/A,TRUE,"general";"via3",#N/A,TRUE,"general"}</definedName>
    <definedName name="NDHS" localSheetId="38" hidden="1">{"TAB1",#N/A,TRUE,"GENERAL";"TAB2",#N/A,TRUE,"GENERAL";"TAB3",#N/A,TRUE,"GENERAL";"TAB4",#N/A,TRUE,"GENERAL";"TAB5",#N/A,TRUE,"GENERAL"}</definedName>
    <definedName name="NDHS" hidden="1">{"TAB1",#N/A,TRUE,"GENERAL";"TAB2",#N/A,TRUE,"GENERAL";"TAB3",#N/A,TRUE,"GENERAL";"TAB4",#N/A,TRUE,"GENERAL";"TAB5",#N/A,TRUE,"GENERAL"}</definedName>
    <definedName name="nf" localSheetId="38" hidden="1">{"TAB1",#N/A,TRUE,"GENERAL";"TAB2",#N/A,TRUE,"GENERAL";"TAB3",#N/A,TRUE,"GENERAL";"TAB4",#N/A,TRUE,"GENERAL";"TAB5",#N/A,TRUE,"GENERAL"}</definedName>
    <definedName name="nf" hidden="1">{"TAB1",#N/A,TRUE,"GENERAL";"TAB2",#N/A,TRUE,"GENERAL";"TAB3",#N/A,TRUE,"GENERAL";"TAB4",#N/A,TRUE,"GENERAL";"TAB5",#N/A,TRUE,"GENERAL"}</definedName>
    <definedName name="nfg" localSheetId="38" hidden="1">{"via1",#N/A,TRUE,"general";"via2",#N/A,TRUE,"general";"via3",#N/A,TRUE,"general"}</definedName>
    <definedName name="nfg" hidden="1">{"via1",#N/A,TRUE,"general";"via2",#N/A,TRUE,"general";"via3",#N/A,TRUE,"general"}</definedName>
    <definedName name="nfgn" localSheetId="38" hidden="1">{"via1",#N/A,TRUE,"general";"via2",#N/A,TRUE,"general";"via3",#N/A,TRUE,"general"}</definedName>
    <definedName name="nfgn" hidden="1">{"via1",#N/A,TRUE,"general";"via2",#N/A,TRUE,"general";"via3",#N/A,TRUE,"general"}</definedName>
    <definedName name="ng">#REF!</definedName>
    <definedName name="ngdn" localSheetId="38" hidden="1">{"TAB1",#N/A,TRUE,"GENERAL";"TAB2",#N/A,TRUE,"GENERAL";"TAB3",#N/A,TRUE,"GENERAL";"TAB4",#N/A,TRUE,"GENERAL";"TAB5",#N/A,TRUE,"GENERAL"}</definedName>
    <definedName name="ngdn" hidden="1">{"TAB1",#N/A,TRUE,"GENERAL";"TAB2",#N/A,TRUE,"GENERAL";"TAB3",#N/A,TRUE,"GENERAL";"TAB4",#N/A,TRUE,"GENERAL";"TAB5",#N/A,TRUE,"GENERAL"}</definedName>
    <definedName name="ngfh" localSheetId="38" hidden="1">{"via1",#N/A,TRUE,"general";"via2",#N/A,TRUE,"general";"via3",#N/A,TRUE,"general"}</definedName>
    <definedName name="ngfh" hidden="1">{"via1",#N/A,TRUE,"general";"via2",#N/A,TRUE,"general";"via3",#N/A,TRUE,"general"}</definedName>
    <definedName name="NH">#REF!</definedName>
    <definedName name="nhn" localSheetId="38" hidden="1">{"via1",#N/A,TRUE,"general";"via2",#N/A,TRUE,"general";"via3",#N/A,TRUE,"general"}</definedName>
    <definedName name="nhn" hidden="1">{"via1",#N/A,TRUE,"general";"via2",#N/A,TRUE,"general";"via3",#N/A,TRUE,"general"}</definedName>
    <definedName name="nhncfgn" localSheetId="38" hidden="1">{"TAB1",#N/A,TRUE,"GENERAL";"TAB2",#N/A,TRUE,"GENERAL";"TAB3",#N/A,TRUE,"GENERAL";"TAB4",#N/A,TRUE,"GENERAL";"TAB5",#N/A,TRUE,"GENERAL"}</definedName>
    <definedName name="nhncfgn" hidden="1">{"TAB1",#N/A,TRUE,"GENERAL";"TAB2",#N/A,TRUE,"GENERAL";"TAB3",#N/A,TRUE,"GENERAL";"TAB4",#N/A,TRUE,"GENERAL";"TAB5",#N/A,TRUE,"GENERAL"}</definedName>
    <definedName name="nhndr" localSheetId="38"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38" hidden="1">{"via1",#N/A,TRUE,"general";"via2",#N/A,TRUE,"general";"via3",#N/A,TRUE,"general"}</definedName>
    <definedName name="nmmmm" hidden="1">{"via1",#N/A,TRUE,"general";"via2",#N/A,TRUE,"general";"via3",#N/A,TRUE,"general"}</definedName>
    <definedName name="NN" localSheetId="38" hidden="1">{"TAB1",#N/A,TRUE,"GENERAL";"TAB2",#N/A,TRUE,"GENERAL";"TAB3",#N/A,TRUE,"GENERAL";"TAB4",#N/A,TRUE,"GENERAL";"TAB5",#N/A,TRUE,"GENERAL"}</definedName>
    <definedName name="NN" hidden="1">{"TAB1",#N/A,TRUE,"GENERAL";"TAB2",#N/A,TRUE,"GENERAL";"TAB3",#N/A,TRUE,"GENERAL";"TAB4",#N/A,TRUE,"GENERAL";"TAB5",#N/A,TRUE,"GENERAL"}</definedName>
    <definedName name="nndng" localSheetId="38" hidden="1">{"TAB1",#N/A,TRUE,"GENERAL";"TAB2",#N/A,TRUE,"GENERAL";"TAB3",#N/A,TRUE,"GENERAL";"TAB4",#N/A,TRUE,"GENERAL";"TAB5",#N/A,TRUE,"GENERAL"}</definedName>
    <definedName name="nndng" hidden="1">{"TAB1",#N/A,TRUE,"GENERAL";"TAB2",#N/A,TRUE,"GENERAL";"TAB3",#N/A,TRUE,"GENERAL";"TAB4",#N/A,TRUE,"GENERAL";"TAB5",#N/A,TRUE,"GENERAL"}</definedName>
    <definedName name="nnn" localSheetId="38" hidden="1">{"TAB1",#N/A,TRUE,"GENERAL";"TAB2",#N/A,TRUE,"GENERAL";"TAB3",#N/A,TRUE,"GENERAL";"TAB4",#N/A,TRUE,"GENERAL";"TAB5",#N/A,TRUE,"GENERAL"}</definedName>
    <definedName name="nnn" hidden="1">{"TAB1",#N/A,TRUE,"GENERAL";"TAB2",#N/A,TRUE,"GENERAL";"TAB3",#N/A,TRUE,"GENERAL";"TAB4",#N/A,TRUE,"GENERAL";"TAB5",#N/A,TRUE,"GENERAL"}</definedName>
    <definedName name="nnnhd" localSheetId="38" hidden="1">{"via1",#N/A,TRUE,"general";"via2",#N/A,TRUE,"general";"via3",#N/A,TRUE,"general"}</definedName>
    <definedName name="nnnhd" hidden="1">{"via1",#N/A,TRUE,"general";"via2",#N/A,TRUE,"general";"via3",#N/A,TRUE,"general"}</definedName>
    <definedName name="nnnnn" localSheetId="38" hidden="1">{"via1",#N/A,TRUE,"general";"via2",#N/A,TRUE,"general";"via3",#N/A,TRUE,"general"}</definedName>
    <definedName name="nnnnn" hidden="1">{"via1",#N/A,TRUE,"general";"via2",#N/A,TRUE,"general";"via3",#N/A,TRUE,"general"}</definedName>
    <definedName name="nnnnnd" localSheetId="38" hidden="1">{"TAB1",#N/A,TRUE,"GENERAL";"TAB2",#N/A,TRUE,"GENERAL";"TAB3",#N/A,TRUE,"GENERAL";"TAB4",#N/A,TRUE,"GENERAL";"TAB5",#N/A,TRUE,"GENERAL"}</definedName>
    <definedName name="nnnnnd" hidden="1">{"TAB1",#N/A,TRUE,"GENERAL";"TAB2",#N/A,TRUE,"GENERAL";"TAB3",#N/A,TRUE,"GENERAL";"TAB4",#N/A,TRUE,"GENERAL";"TAB5",#N/A,TRUE,"GENERAL"}</definedName>
    <definedName name="nnnnnf" localSheetId="38" hidden="1">{"TAB1",#N/A,TRUE,"GENERAL";"TAB2",#N/A,TRUE,"GENERAL";"TAB3",#N/A,TRUE,"GENERAL";"TAB4",#N/A,TRUE,"GENERAL";"TAB5",#N/A,TRUE,"GENERAL"}</definedName>
    <definedName name="nnnnnf" hidden="1">{"TAB1",#N/A,TRUE,"GENERAL";"TAB2",#N/A,TRUE,"GENERAL";"TAB3",#N/A,TRUE,"GENERAL";"TAB4",#N/A,TRUE,"GENERAL";"TAB5",#N/A,TRUE,"GENERAL"}</definedName>
    <definedName name="nnnnnh" localSheetId="38" hidden="1">{"via1",#N/A,TRUE,"general";"via2",#N/A,TRUE,"general";"via3",#N/A,TRUE,"general"}</definedName>
    <definedName name="nnnnnh" hidden="1">{"via1",#N/A,TRUE,"general";"via2",#N/A,TRUE,"general";"via3",#N/A,TRUE,"general"}</definedName>
    <definedName name="NO" localSheetId="38">[0]!ERR</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 localSheetId="38">MATCH(0.01,[0]!End_Bal,-1)+1</definedName>
    <definedName name="Number_of_Payments">MATCH(0.01,[0]!End_Bal,-1)+1</definedName>
    <definedName name="nxn" localSheetId="38" hidden="1">{"via1",#N/A,TRUE,"general";"via2",#N/A,TRUE,"general";"via3",#N/A,TRUE,"general"}</definedName>
    <definedName name="nxn" hidden="1">{"via1",#N/A,TRUE,"general";"via2",#N/A,TRUE,"general";"via3",#N/A,TRUE,"general"}</definedName>
    <definedName name="ñpñpñ" localSheetId="38" hidden="1">{"via1",#N/A,TRUE,"general";"via2",#N/A,TRUE,"general";"via3",#N/A,TRUE,"general"}</definedName>
    <definedName name="ñpñpñ" hidden="1">{"via1",#N/A,TRUE,"general";"via2",#N/A,TRUE,"general";"via3",#N/A,TRUE,"general"}</definedName>
    <definedName name="º1">#REF!</definedName>
    <definedName name="o9o9" localSheetId="38" hidden="1">{"via1",#N/A,TRUE,"general";"via2",#N/A,TRUE,"general";"via3",#N/A,TRUE,"general"}</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 localSheetId="15">DATE(YEAR(#REF!),MONTH(#REF!)+Payment_Number,DAY(#REF!))</definedName>
    <definedName name="obras1" localSheetId="16">DATE(YEAR(#REF!),MONTH(#REF!)+Payment_Number,DAY(#REF!))</definedName>
    <definedName name="obras1" localSheetId="18">DATE(YEAR(#REF!),MONTH(#REF!)+Payment_Number,DAY(#REF!))</definedName>
    <definedName name="obras1" localSheetId="19">DATE(YEAR(#REF!),MONTH(#REF!)+Payment_Number,DAY(#REF!))</definedName>
    <definedName name="obras1" localSheetId="21">DATE(YEAR(#REF!),MONTH(#REF!)+Payment_Number,DAY(#REF!))</definedName>
    <definedName name="obras1" localSheetId="22">DATE(YEAR(#REF!),MONTH(#REF!)+Payment_Number,DAY(#REF!))</definedName>
    <definedName name="obras1" localSheetId="6">DATE(YEAR(#REF!),MONTH(#REF!)+Payment_Number,DAY(#REF!))</definedName>
    <definedName name="obras1" localSheetId="24">DATE(YEAR(#REF!),MONTH(#REF!)+Payment_Number,DAY(#REF!))</definedName>
    <definedName name="obras1" localSheetId="25">DATE(YEAR(#REF!),MONTH(#REF!)+Payment_Number,DAY(#REF!))</definedName>
    <definedName name="obras1" localSheetId="26">DATE(YEAR(#REF!),MONTH(#REF!)+Payment_Number,DAY(#REF!))</definedName>
    <definedName name="obras1" localSheetId="27">DATE(YEAR(#REF!),MONTH(#REF!)+Payment_Number,DAY(#REF!))</definedName>
    <definedName name="obras1" localSheetId="28">DATE(YEAR(#REF!),MONTH(#REF!)+Payment_Number,DAY(#REF!))</definedName>
    <definedName name="obras1" localSheetId="30">DATE(YEAR(#REF!),MONTH(#REF!)+Payment_Number,DAY(#REF!))</definedName>
    <definedName name="obras1" localSheetId="31">DATE(YEAR(#REF!),MONTH(#REF!)+Payment_Number,DAY(#REF!))</definedName>
    <definedName name="obras1" localSheetId="33">DATE(YEAR(#REF!),MONTH(#REF!)+Payment_Number,DAY(#REF!))</definedName>
    <definedName name="obras1" localSheetId="7">DATE(YEAR(#REF!),MONTH(#REF!)+Payment_Number,DAY(#REF!))</definedName>
    <definedName name="obras1" localSheetId="34">DATE(YEAR(#REF!),MONTH(#REF!)+Payment_Number,DAY(#REF!))</definedName>
    <definedName name="obras1" localSheetId="36">DATE(YEAR(#REF!),MONTH(#REF!)+Payment_Number,DAY(#REF!))</definedName>
    <definedName name="obras1" localSheetId="37">DATE(YEAR(#REF!),MONTH(#REF!)+Payment_Number,DAY(#REF!))</definedName>
    <definedName name="obras1" localSheetId="9">DATE(YEAR(#REF!),MONTH(#REF!)+Payment_Number,DAY(#REF!))</definedName>
    <definedName name="obras1" localSheetId="10">DATE(YEAR(#REF!),MONTH(#REF!)+Payment_Number,DAY(#REF!))</definedName>
    <definedName name="obras1" localSheetId="12">DATE(YEAR(#REF!),MONTH(#REF!)+Payment_Number,DAY(#REF!))</definedName>
    <definedName name="obras1" localSheetId="13">DATE(YEAR(#REF!),MONTH(#REF!)+Payment_Number,DAY(#REF!))</definedName>
    <definedName name="obras1" localSheetId="38">DATE(YEAR(#REF!),MONTH(#REF!)+Payment_Number,DAY(#REF!))</definedName>
    <definedName name="obras1">DATE(YEAR(#REF!),MONTH(#REF!)+Payment_Number,DAY(#REF!))</definedName>
    <definedName name="obras11" hidden="1">#REF!</definedName>
    <definedName name="obras111" localSheetId="15">DATE(YEAR(#REF!),MONTH(#REF!)+Payment_Number,DAY(#REF!))</definedName>
    <definedName name="obras111" localSheetId="16">DATE(YEAR(#REF!),MONTH(#REF!)+Payment_Number,DAY(#REF!))</definedName>
    <definedName name="obras111" localSheetId="18">DATE(YEAR(#REF!),MONTH(#REF!)+Payment_Number,DAY(#REF!))</definedName>
    <definedName name="obras111" localSheetId="19">DATE(YEAR(#REF!),MONTH(#REF!)+Payment_Number,DAY(#REF!))</definedName>
    <definedName name="obras111" localSheetId="21">DATE(YEAR(#REF!),MONTH(#REF!)+Payment_Number,DAY(#REF!))</definedName>
    <definedName name="obras111" localSheetId="22">DATE(YEAR(#REF!),MONTH(#REF!)+Payment_Number,DAY(#REF!))</definedName>
    <definedName name="obras111" localSheetId="6">DATE(YEAR(#REF!),MONTH(#REF!)+Payment_Number,DAY(#REF!))</definedName>
    <definedName name="obras111" localSheetId="24">DATE(YEAR(#REF!),MONTH(#REF!)+Payment_Number,DAY(#REF!))</definedName>
    <definedName name="obras111" localSheetId="25">DATE(YEAR(#REF!),MONTH(#REF!)+Payment_Number,DAY(#REF!))</definedName>
    <definedName name="obras111" localSheetId="26">DATE(YEAR(#REF!),MONTH(#REF!)+Payment_Number,DAY(#REF!))</definedName>
    <definedName name="obras111" localSheetId="27">DATE(YEAR(#REF!),MONTH(#REF!)+Payment_Number,DAY(#REF!))</definedName>
    <definedName name="obras111" localSheetId="28">DATE(YEAR(#REF!),MONTH(#REF!)+Payment_Number,DAY(#REF!))</definedName>
    <definedName name="obras111" localSheetId="30">DATE(YEAR(#REF!),MONTH(#REF!)+Payment_Number,DAY(#REF!))</definedName>
    <definedName name="obras111" localSheetId="31">DATE(YEAR(#REF!),MONTH(#REF!)+Payment_Number,DAY(#REF!))</definedName>
    <definedName name="obras111" localSheetId="33">DATE(YEAR(#REF!),MONTH(#REF!)+Payment_Number,DAY(#REF!))</definedName>
    <definedName name="obras111" localSheetId="7">DATE(YEAR(#REF!),MONTH(#REF!)+Payment_Number,DAY(#REF!))</definedName>
    <definedName name="obras111" localSheetId="34">DATE(YEAR(#REF!),MONTH(#REF!)+Payment_Number,DAY(#REF!))</definedName>
    <definedName name="obras111" localSheetId="36">DATE(YEAR(#REF!),MONTH(#REF!)+Payment_Number,DAY(#REF!))</definedName>
    <definedName name="obras111" localSheetId="37">DATE(YEAR(#REF!),MONTH(#REF!)+Payment_Number,DAY(#REF!))</definedName>
    <definedName name="obras111" localSheetId="9">DATE(YEAR(#REF!),MONTH(#REF!)+Payment_Number,DAY(#REF!))</definedName>
    <definedName name="obras111" localSheetId="10">DATE(YEAR(#REF!),MONTH(#REF!)+Payment_Number,DAY(#REF!))</definedName>
    <definedName name="obras111" localSheetId="12">DATE(YEAR(#REF!),MONTH(#REF!)+Payment_Number,DAY(#REF!))</definedName>
    <definedName name="obras111" localSheetId="13">DATE(YEAR(#REF!),MONTH(#REF!)+Payment_Number,DAY(#REF!))</definedName>
    <definedName name="obras111" localSheetId="38">DATE(YEAR(#REF!),MONTH(#REF!)+Payment_Number,DAY(#REF!))</definedName>
    <definedName name="obras111">DATE(YEAR(#REF!),MONTH(#REF!)+Payment_Number,DAY(#REF!))</definedName>
    <definedName name="obser">#REF!</definedName>
    <definedName name="OCD">#REF!</definedName>
    <definedName name="OCD1_1">#REF!</definedName>
    <definedName name="OCD1_1_1">#REF!</definedName>
    <definedName name="OCI">#REF!</definedName>
    <definedName name="OCI1_1">#REF!</definedName>
    <definedName name="OCI1_1_1">#REF!</definedName>
    <definedName name="OCTUBRE" localSheetId="3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38" hidden="1">{"TAB1",#N/A,TRUE,"GENERAL";"TAB2",#N/A,TRUE,"GENERAL";"TAB3",#N/A,TRUE,"GENERAL";"TAB4",#N/A,TRUE,"GENERAL";"TAB5",#N/A,TRUE,"GENERAL"}</definedName>
    <definedName name="oiret" hidden="1">{"TAB1",#N/A,TRUE,"GENERAL";"TAB2",#N/A,TRUE,"GENERAL";"TAB3",#N/A,TRUE,"GENERAL";"TAB4",#N/A,TRUE,"GENERAL";"TAB5",#N/A,TRUE,"GENERAL"}</definedName>
    <definedName name="oirgrth" localSheetId="38" hidden="1">{"TAB1",#N/A,TRUE,"GENERAL";"TAB2",#N/A,TRUE,"GENERAL";"TAB3",#N/A,TRUE,"GENERAL";"TAB4",#N/A,TRUE,"GENERAL";"TAB5",#N/A,TRUE,"GENERAL"}</definedName>
    <definedName name="oirgrth" hidden="1">{"TAB1",#N/A,TRUE,"GENERAL";"TAB2",#N/A,TRUE,"GENERAL";"TAB3",#N/A,TRUE,"GENERAL";"TAB4",#N/A,TRUE,"GENERAL";"TAB5",#N/A,TRUE,"GENERAL"}</definedName>
    <definedName name="OIUOIU" localSheetId="38" hidden="1">{"via1",#N/A,TRUE,"general";"via2",#N/A,TRUE,"general";"via3",#N/A,TRUE,"general"}</definedName>
    <definedName name="OIUOIU" hidden="1">{"via1",#N/A,TRUE,"general";"via2",#N/A,TRUE,"general";"via3",#N/A,TRUE,"general"}</definedName>
    <definedName name="OnceThru">0</definedName>
    <definedName name="OÑ">#REF!</definedName>
    <definedName name="ooo" localSheetId="38" hidden="1">{"via1",#N/A,TRUE,"general";"via2",#N/A,TRUE,"general";"via3",#N/A,TRUE,"general"}</definedName>
    <definedName name="ooo" hidden="1">{"via1",#N/A,TRUE,"general";"via2",#N/A,TRUE,"general";"via3",#N/A,TRUE,"general"}</definedName>
    <definedName name="ooooiii" localSheetId="38" hidden="1">{"TAB1",#N/A,TRUE,"GENERAL";"TAB2",#N/A,TRUE,"GENERAL";"TAB3",#N/A,TRUE,"GENERAL";"TAB4",#N/A,TRUE,"GENERAL";"TAB5",#N/A,TRUE,"GENERAL"}</definedName>
    <definedName name="ooooiii" hidden="1">{"TAB1",#N/A,TRUE,"GENERAL";"TAB2",#N/A,TRUE,"GENERAL";"TAB3",#N/A,TRUE,"GENERAL";"TAB4",#N/A,TRUE,"GENERAL";"TAB5",#N/A,TRUE,"GENERAL"}</definedName>
    <definedName name="oooos" localSheetId="38"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3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38"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6">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33">DATE(YEAR([0]!Loan_Start),MONTH([0]!Loan_Start)+Payment_Number,DAY([0]!Loan_Start))</definedName>
    <definedName name="Payment_Date" localSheetId="7">DATE(YEAR([0]!Loan_Start),MONTH([0]!Loan_Start)+Payment_Number,DAY([0]!Loan_Start))</definedName>
    <definedName name="Payment_Date" localSheetId="34">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38">DATE(YEAR([0]!Loan_Start),MONTH([0]!Loan_Start)+Payment_Number,DAY([0]!Loan_Start))</definedName>
    <definedName name="Payment_Date">DATE(YEAR([0]!Loan_Start),MONTH([0]!Loan_Start)+Payment_Number,DAY([0]!Loan_Start))</definedName>
    <definedName name="Payment_Date1" localSheetId="15">DATE(YEAR(#REF!),MONTH(#REF!)+Payment_Number,DAY(#REF!))</definedName>
    <definedName name="Payment_Date1" localSheetId="16">DATE(YEAR(#REF!),MONTH(#REF!)+Payment_Number,DAY(#REF!))</definedName>
    <definedName name="Payment_Date1" localSheetId="18">DATE(YEAR(#REF!),MONTH(#REF!)+Payment_Number,DAY(#REF!))</definedName>
    <definedName name="Payment_Date1" localSheetId="19">DATE(YEAR(#REF!),MONTH(#REF!)+Payment_Number,DAY(#REF!))</definedName>
    <definedName name="Payment_Date1" localSheetId="21">DATE(YEAR(#REF!),MONTH(#REF!)+Payment_Number,DAY(#REF!))</definedName>
    <definedName name="Payment_Date1" localSheetId="22">DATE(YEAR(#REF!),MONTH(#REF!)+Payment_Number,DAY(#REF!))</definedName>
    <definedName name="Payment_Date1" localSheetId="6">DATE(YEAR(#REF!),MONTH(#REF!)+Payment_Number,DAY(#REF!))</definedName>
    <definedName name="Payment_Date1" localSheetId="24">DATE(YEAR(#REF!),MONTH(#REF!)+Payment_Number,DAY(#REF!))</definedName>
    <definedName name="Payment_Date1" localSheetId="25">DATE(YEAR(#REF!),MONTH(#REF!)+Payment_Number,DAY(#REF!))</definedName>
    <definedName name="Payment_Date1" localSheetId="26">DATE(YEAR(#REF!),MONTH(#REF!)+Payment_Number,DAY(#REF!))</definedName>
    <definedName name="Payment_Date1" localSheetId="27">DATE(YEAR(#REF!),MONTH(#REF!)+Payment_Number,DAY(#REF!))</definedName>
    <definedName name="Payment_Date1" localSheetId="28">DATE(YEAR(#REF!),MONTH(#REF!)+Payment_Number,DAY(#REF!))</definedName>
    <definedName name="Payment_Date1" localSheetId="30">DATE(YEAR(#REF!),MONTH(#REF!)+Payment_Number,DAY(#REF!))</definedName>
    <definedName name="Payment_Date1" localSheetId="31">DATE(YEAR(#REF!),MONTH(#REF!)+Payment_Number,DAY(#REF!))</definedName>
    <definedName name="Payment_Date1" localSheetId="33">DATE(YEAR(#REF!),MONTH(#REF!)+Payment_Number,DAY(#REF!))</definedName>
    <definedName name="Payment_Date1" localSheetId="7">DATE(YEAR(#REF!),MONTH(#REF!)+Payment_Number,DAY(#REF!))</definedName>
    <definedName name="Payment_Date1" localSheetId="34">DATE(YEAR(#REF!),MONTH(#REF!)+Payment_Number,DAY(#REF!))</definedName>
    <definedName name="Payment_Date1" localSheetId="36">DATE(YEAR(#REF!),MONTH(#REF!)+Payment_Number,DAY(#REF!))</definedName>
    <definedName name="Payment_Date1" localSheetId="37">DATE(YEAR(#REF!),MONTH(#REF!)+Payment_Number,DAY(#REF!))</definedName>
    <definedName name="Payment_Date1" localSheetId="9">DATE(YEAR(#REF!),MONTH(#REF!)+Payment_Number,DAY(#REF!))</definedName>
    <definedName name="Payment_Date1" localSheetId="10">DATE(YEAR(#REF!),MONTH(#REF!)+Payment_Number,DAY(#REF!))</definedName>
    <definedName name="Payment_Date1" localSheetId="12">DATE(YEAR(#REF!),MONTH(#REF!)+Payment_Number,DAY(#REF!))</definedName>
    <definedName name="Payment_Date1" localSheetId="13">DATE(YEAR(#REF!),MONTH(#REF!)+Payment_Number,DAY(#REF!))</definedName>
    <definedName name="Payment_Date1" localSheetId="38">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38">[0]!ERR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38" hidden="1">{"TAB1",#N/A,TRUE,"GENERAL";"TAB2",#N/A,TRUE,"GENERAL";"TAB3",#N/A,TRUE,"GENERAL";"TAB4",#N/A,TRUE,"GENERAL";"TAB5",#N/A,TRUE,"GENERAL"}</definedName>
    <definedName name="PKHK" hidden="1">{"TAB1",#N/A,TRUE,"GENERAL";"TAB2",#N/A,TRUE,"GENERAL";"TAB3",#N/A,TRUE,"GENERAL";"TAB4",#N/A,TRUE,"GENERAL";"TAB5",#N/A,TRUE,"GENERAL"}</definedName>
    <definedName name="pkj" localSheetId="38"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8"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#REF!</definedName>
    <definedName name="PLPLUNN" localSheetId="38"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38" hidden="1">{"via1",#N/A,TRUE,"general";"via2",#N/A,TRUE,"general";"via3",#N/A,TRUE,"general"}</definedName>
    <definedName name="POIUP" hidden="1">{"via1",#N/A,TRUE,"general";"via2",#N/A,TRUE,"general";"via3",#N/A,TRUE,"general"}</definedName>
    <definedName name="popop" localSheetId="38" hidden="1">{"via1",#N/A,TRUE,"general";"via2",#N/A,TRUE,"general";"via3",#N/A,TRUE,"general"}</definedName>
    <definedName name="popop" hidden="1">{"via1",#N/A,TRUE,"general";"via2",#N/A,TRUE,"general";"via3",#N/A,TRUE,"general"}</definedName>
    <definedName name="popp" localSheetId="38" hidden="1">{"via1",#N/A,TRUE,"general";"via2",#N/A,TRUE,"general";"via3",#N/A,TRUE,"general"}</definedName>
    <definedName name="popp" hidden="1">{"via1",#N/A,TRUE,"general";"via2",#N/A,TRUE,"general";"via3",#N/A,TRUE,"general"}</definedName>
    <definedName name="popu">#REF!</definedName>
    <definedName name="popvds" localSheetId="38"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38" hidden="1">{"via1",#N/A,TRUE,"general";"via2",#N/A,TRUE,"general";"via3",#N/A,TRUE,"general"}</definedName>
    <definedName name="pouig" hidden="1">{"via1",#N/A,TRUE,"general";"via2",#N/A,TRUE,"general";"via3",#N/A,TRUE,"general"}</definedName>
    <definedName name="POZO">#REF!</definedName>
    <definedName name="PPPP" localSheetId="38"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8" hidden="1">{"via1",#N/A,TRUE,"general";"via2",#N/A,TRUE,"general";"via3",#N/A,TRUE,"general"}</definedName>
    <definedName name="ppppp9" hidden="1">{"via1",#N/A,TRUE,"general";"via2",#N/A,TRUE,"general";"via3",#N/A,TRUE,"general"}</definedName>
    <definedName name="pppppd" localSheetId="38"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8"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localSheetId="38" hidden="1">{"via1",#N/A,TRUE,"general";"via2",#N/A,TRUE,"general";"via3",#N/A,TRUE,"general"}</definedName>
    <definedName name="PRIMER" hidden="1">{"via1",#N/A,TRUE,"general";"via2",#N/A,TRUE,"general";"via3",#N/A,TRUE,"general"}</definedName>
    <definedName name="PRIMERO">#REF!</definedName>
    <definedName name="PRIMET" localSheetId="38"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#REF!</definedName>
    <definedName name="PRINT_AREA_MI">#REF!</definedName>
    <definedName name="Print_Area_Reset" localSheetId="38">OFFSET([0]!Full_Print,0,0,[0]!Last_Row)</definedName>
    <definedName name="Print_Area_Reset">OFFSET([0]!Full_Print,0,0,[0]!Last_Row)</definedName>
    <definedName name="PRINT_TITLES">#REF!</definedName>
    <definedName name="PRINT_TITLES_MI">#REF!</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38">[0]!ERR</definedName>
    <definedName name="programainv">[0]!ERR</definedName>
    <definedName name="Proponente">#REF!</definedName>
    <definedName name="PRUEBA" localSheetId="15">#REF!</definedName>
    <definedName name="PRUEBA" localSheetId="16">#REF!</definedName>
    <definedName name="PRUEBA" localSheetId="18">#REF!</definedName>
    <definedName name="PRUEBA" localSheetId="19">#REF!</definedName>
    <definedName name="PRUEBA" localSheetId="21">#REF!</definedName>
    <definedName name="PRUEBA" localSheetId="22">#REF!</definedName>
    <definedName name="PRUEBA" localSheetId="6">#REF!</definedName>
    <definedName name="PRUEBA" localSheetId="24">#REF!</definedName>
    <definedName name="PRUEBA" localSheetId="25">#REF!</definedName>
    <definedName name="PRUEBA" localSheetId="26">#REF!</definedName>
    <definedName name="PRUEBA" localSheetId="27">#REF!</definedName>
    <definedName name="PRUEBA" localSheetId="28">#REF!</definedName>
    <definedName name="PRUEBA" localSheetId="30">#REF!</definedName>
    <definedName name="PRUEBA" localSheetId="31">#REF!</definedName>
    <definedName name="PRUEBA" localSheetId="33">#REF!</definedName>
    <definedName name="PRUEBA" localSheetId="7">#REF!</definedName>
    <definedName name="PRUEBA" localSheetId="34">#REF!</definedName>
    <definedName name="PRUEBA" localSheetId="36">#REF!</definedName>
    <definedName name="PRUEBA" localSheetId="37">#REF!</definedName>
    <definedName name="PRUEBA" localSheetId="9">#REF!</definedName>
    <definedName name="PRUEBA" localSheetId="10">#REF!</definedName>
    <definedName name="PRUEBA" localSheetId="12">#REF!</definedName>
    <definedName name="PRUEBA" localSheetId="13">#REF!</definedName>
    <definedName name="PRUEBA">#REF!</definedName>
    <definedName name="prueba1" localSheetId="15">#REF!</definedName>
    <definedName name="prueba1" localSheetId="16">#REF!</definedName>
    <definedName name="prueba1" localSheetId="18">#REF!</definedName>
    <definedName name="prueba1" localSheetId="19">#REF!</definedName>
    <definedName name="prueba1" localSheetId="21">#REF!</definedName>
    <definedName name="prueba1" localSheetId="22">#REF!</definedName>
    <definedName name="prueba1" localSheetId="6">#REF!</definedName>
    <definedName name="prueba1" localSheetId="24">#REF!</definedName>
    <definedName name="prueba1" localSheetId="25">#REF!</definedName>
    <definedName name="prueba1" localSheetId="26">#REF!</definedName>
    <definedName name="prueba1" localSheetId="27">#REF!</definedName>
    <definedName name="prueba1" localSheetId="28">#REF!</definedName>
    <definedName name="prueba1" localSheetId="30">#REF!</definedName>
    <definedName name="prueba1" localSheetId="31">#REF!</definedName>
    <definedName name="prueba1" localSheetId="33">#REF!</definedName>
    <definedName name="prueba1" localSheetId="7">#REF!</definedName>
    <definedName name="prueba1" localSheetId="34">#REF!</definedName>
    <definedName name="prueba1" localSheetId="36">#REF!</definedName>
    <definedName name="prueba1" localSheetId="37">#REF!</definedName>
    <definedName name="prueba1" localSheetId="9">#REF!</definedName>
    <definedName name="prueba1" localSheetId="10">#REF!</definedName>
    <definedName name="prueba1" localSheetId="12">#REF!</definedName>
    <definedName name="prueba1" localSheetId="13">#REF!</definedName>
    <definedName name="prueba1">#REF!</definedName>
    <definedName name="PRUEBA2">#REF!</definedName>
    <definedName name="ps">#REF!</definedName>
    <definedName name="PSTRESS_RELIEVI">#REF!</definedName>
    <definedName name="PTAR" localSheetId="3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8" hidden="1">{"TAB1",#N/A,TRUE,"GENERAL";"TAB2",#N/A,TRUE,"GENERAL";"TAB3",#N/A,TRUE,"GENERAL";"TAB4",#N/A,TRUE,"GENERAL";"TAB5",#N/A,TRUE,"GENERAL"}</definedName>
    <definedName name="ptope" hidden="1">{"TAB1",#N/A,TRUE,"GENERAL";"TAB2",#N/A,TRUE,"GENERAL";"TAB3",#N/A,TRUE,"GENERAL";"TAB4",#N/A,TRUE,"GENERAL";"TAB5",#N/A,TRUE,"GENERAL"}</definedName>
    <definedName name="ptopes" localSheetId="38"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localSheetId="38" hidden="1">{"via1",#N/A,TRUE,"general";"via2",#N/A,TRUE,"general";"via3",#N/A,TRUE,"general"}</definedName>
    <definedName name="q1q1q" hidden="1">{"via1",#N/A,TRUE,"general";"via2",#N/A,TRUE,"general";"via3",#N/A,TRUE,"general"}</definedName>
    <definedName name="qaedtguj" localSheetId="38" hidden="1">{"via1",#N/A,TRUE,"general";"via2",#N/A,TRUE,"general";"via3",#N/A,TRUE,"general"}</definedName>
    <definedName name="qaedtguj" hidden="1">{"via1",#N/A,TRUE,"general";"via2",#N/A,TRUE,"general";"via3",#N/A,TRUE,"general"}</definedName>
    <definedName name="QAQSWS" localSheetId="38" hidden="1">{"via1",#N/A,TRUE,"general";"via2",#N/A,TRUE,"general";"via3",#N/A,TRUE,"general"}</definedName>
    <definedName name="QAQSWS" hidden="1">{"via1",#N/A,TRUE,"general";"via2",#N/A,TRUE,"general";"via3",#N/A,TRUE,"general"}</definedName>
    <definedName name="qaqwwxcr" localSheetId="38" hidden="1">{"via1",#N/A,TRUE,"general";"via2",#N/A,TRUE,"general";"via3",#N/A,TRUE,"general"}</definedName>
    <definedName name="qaqwwxcr" hidden="1">{"via1",#N/A,TRUE,"general";"via2",#N/A,TRUE,"general";"via3",#N/A,TRUE,"general"}</definedName>
    <definedName name="qaz">#REF!</definedName>
    <definedName name="qedcd" localSheetId="38" hidden="1">{"via1",#N/A,TRUE,"general";"via2",#N/A,TRUE,"general";"via3",#N/A,TRUE,"general"}</definedName>
    <definedName name="qedcd" hidden="1">{"via1",#N/A,TRUE,"general";"via2",#N/A,TRUE,"general";"via3",#N/A,TRUE,"general"}</definedName>
    <definedName name="qeqewe" localSheetId="38" hidden="1">{"TAB1",#N/A,TRUE,"GENERAL";"TAB2",#N/A,TRUE,"GENERAL";"TAB3",#N/A,TRUE,"GENERAL";"TAB4",#N/A,TRUE,"GENERAL";"TAB5",#N/A,TRUE,"GENERAL"}</definedName>
    <definedName name="qeqewe" hidden="1">{"TAB1",#N/A,TRUE,"GENERAL";"TAB2",#N/A,TRUE,"GENERAL";"TAB3",#N/A,TRUE,"GENERAL";"TAB4",#N/A,TRUE,"GENERAL";"TAB5",#N/A,TRUE,"GENERAL"}</definedName>
    <definedName name="qewj" localSheetId="38" hidden="1">{"via1",#N/A,TRUE,"general";"via2",#N/A,TRUE,"general";"via3",#N/A,TRUE,"general"}</definedName>
    <definedName name="qewj" hidden="1">{"via1",#N/A,TRUE,"general";"via2",#N/A,TRUE,"general";"via3",#N/A,TRUE,"general"}</definedName>
    <definedName name="Qmax">#REF!</definedName>
    <definedName name="qqqqqw" localSheetId="38"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38" hidden="1">{"via1",#N/A,TRUE,"general";"via2",#N/A,TRUE,"general";"via3",#N/A,TRUE,"general"}</definedName>
    <definedName name="qw" hidden="1">{"via1",#N/A,TRUE,"general";"via2",#N/A,TRUE,"general";"via3",#N/A,TRUE,"general"}</definedName>
    <definedName name="qwdas2" localSheetId="38" hidden="1">{"via1",#N/A,TRUE,"general";"via2",#N/A,TRUE,"general";"via3",#N/A,TRUE,"general"}</definedName>
    <definedName name="qwdas2" hidden="1">{"via1",#N/A,TRUE,"general";"via2",#N/A,TRUE,"general";"via3",#N/A,TRUE,"general"}</definedName>
    <definedName name="QWE">#REF!</definedName>
    <definedName name="qweqe" localSheetId="38" hidden="1">{"TAB1",#N/A,TRUE,"GENERAL";"TAB2",#N/A,TRUE,"GENERAL";"TAB3",#N/A,TRUE,"GENERAL";"TAB4",#N/A,TRUE,"GENERAL";"TAB5",#N/A,TRUE,"GENERAL"}</definedName>
    <definedName name="qweqe" hidden="1">{"TAB1",#N/A,TRUE,"GENERAL";"TAB2",#N/A,TRUE,"GENERAL";"TAB3",#N/A,TRUE,"GENERAL";"TAB4",#N/A,TRUE,"GENERAL";"TAB5",#N/A,TRUE,"GENERAL"}</definedName>
    <definedName name="QWERTY" localSheetId="38">[0]!ERR</definedName>
    <definedName name="QWERTY">[0]!ERR</definedName>
    <definedName name="qwewertet" localSheetId="38" hidden="1">{#N/A,#N/A,TRUE,"1842CWN0"}</definedName>
    <definedName name="qwewertet" hidden="1">{#N/A,#N/A,TRUE,"1842CWN0"}</definedName>
    <definedName name="qwqwqwj" localSheetId="38"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38"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38" hidden="1">{"TAB1",#N/A,TRUE,"GENERAL";"TAB2",#N/A,TRUE,"GENERAL";"TAB3",#N/A,TRUE,"GENERAL";"TAB4",#N/A,TRUE,"GENERAL";"TAB5",#N/A,TRUE,"GENERAL"}</definedName>
    <definedName name="regresd" hidden="1">{"TAB1",#N/A,TRUE,"GENERAL";"TAB2",#N/A,TRUE,"GENERAL";"TAB3",#N/A,TRUE,"GENERAL";"TAB4",#N/A,TRUE,"GENERAL";"TAB5",#N/A,TRUE,"GENERAL"}</definedName>
    <definedName name="regthio" localSheetId="38" hidden="1">{"TAB1",#N/A,TRUE,"GENERAL";"TAB2",#N/A,TRUE,"GENERAL";"TAB3",#N/A,TRUE,"GENERAL";"TAB4",#N/A,TRUE,"GENERAL";"TAB5",#N/A,TRUE,"GENERAL"}</definedName>
    <definedName name="regthio" hidden="1">{"TAB1",#N/A,TRUE,"GENERAL";"TAB2",#N/A,TRUE,"GENERAL";"TAB3",#N/A,TRUE,"GENERAL";"TAB4",#N/A,TRUE,"GENERAL";"TAB5",#N/A,TRUE,"GENERAL"}</definedName>
    <definedName name="REICIO" localSheetId="38">[0]!ERR</definedName>
    <definedName name="REICIO">[0]!ERR</definedName>
    <definedName name="Reimbursement">"Reembolso"</definedName>
    <definedName name="reinicio" localSheetId="38">[0]!ERR</definedName>
    <definedName name="reinicio">[0]!ERR</definedName>
    <definedName name="REJHE" localSheetId="38" hidden="1">{"via1",#N/A,TRUE,"general";"via2",#N/A,TRUE,"general";"via3",#N/A,TRUE,"general"}</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38" hidden="1">{"via1",#N/A,TRUE,"general";"via2",#N/A,TRUE,"general";"via3",#N/A,TRUE,"general"}</definedName>
    <definedName name="rer" hidden="1">{"via1",#N/A,TRUE,"general";"via2",#N/A,TRUE,"general";"via3",#N/A,TRUE,"general"}</definedName>
    <definedName name="rererw" localSheetId="38" hidden="1">{"TAB1",#N/A,TRUE,"GENERAL";"TAB2",#N/A,TRUE,"GENERAL";"TAB3",#N/A,TRUE,"GENERAL";"TAB4",#N/A,TRUE,"GENERAL";"TAB5",#N/A,TRUE,"GENERAL"}</definedName>
    <definedName name="rererw" hidden="1">{"TAB1",#N/A,TRUE,"GENERAL";"TAB2",#N/A,TRUE,"GENERAL";"TAB3",#N/A,TRUE,"GENERAL";"TAB4",#N/A,TRUE,"GENERAL";"TAB5",#N/A,TRUE,"GENERAL"}</definedName>
    <definedName name="rerg" localSheetId="38" hidden="1">{"TAB1",#N/A,TRUE,"GENERAL";"TAB2",#N/A,TRUE,"GENERAL";"TAB3",#N/A,TRUE,"GENERAL";"TAB4",#N/A,TRUE,"GENERAL";"TAB5",#N/A,TRUE,"GENERAL"}</definedName>
    <definedName name="rerg" hidden="1">{"TAB1",#N/A,TRUE,"GENERAL";"TAB2",#N/A,TRUE,"GENERAL";"TAB3",#N/A,TRUE,"GENERAL";"TAB4",#N/A,TRUE,"GENERAL";"TAB5",#N/A,TRUE,"GENERAL"}</definedName>
    <definedName name="rerrrrw" localSheetId="38"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5">#REF!</definedName>
    <definedName name="resu8" localSheetId="16">#REF!</definedName>
    <definedName name="resu8" localSheetId="18">#REF!</definedName>
    <definedName name="resu8" localSheetId="19">#REF!</definedName>
    <definedName name="resu8" localSheetId="21">#REF!</definedName>
    <definedName name="resu8" localSheetId="22">#REF!</definedName>
    <definedName name="resu8" localSheetId="6">#REF!</definedName>
    <definedName name="resu8" localSheetId="24">#REF!</definedName>
    <definedName name="resu8" localSheetId="25">#REF!</definedName>
    <definedName name="resu8" localSheetId="26">#REF!</definedName>
    <definedName name="resu8" localSheetId="27">#REF!</definedName>
    <definedName name="resu8" localSheetId="28">#REF!</definedName>
    <definedName name="resu8" localSheetId="30">#REF!</definedName>
    <definedName name="resu8" localSheetId="31">#REF!</definedName>
    <definedName name="resu8" localSheetId="33">#REF!</definedName>
    <definedName name="resu8" localSheetId="7">#REF!</definedName>
    <definedName name="resu8" localSheetId="34">#REF!</definedName>
    <definedName name="resu8" localSheetId="36">#REF!</definedName>
    <definedName name="resu8" localSheetId="37">#REF!</definedName>
    <definedName name="resu8" localSheetId="9">#REF!</definedName>
    <definedName name="resu8" localSheetId="10">#REF!</definedName>
    <definedName name="resu8" localSheetId="12">#REF!</definedName>
    <definedName name="resu8" localSheetId="13">#REF!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38" hidden="1">{"via1",#N/A,TRUE,"general";"via2",#N/A,TRUE,"general";"via3",#N/A,TRUE,"general"}</definedName>
    <definedName name="RETTRE" hidden="1">{"via1",#N/A,TRUE,"general";"via2",#N/A,TRUE,"general";"via3",#N/A,TRUE,"general"}</definedName>
    <definedName name="rety" localSheetId="38" hidden="1">{"TAB1",#N/A,TRUE,"GENERAL";"TAB2",#N/A,TRUE,"GENERAL";"TAB3",#N/A,TRUE,"GENERAL";"TAB4",#N/A,TRUE,"GENERAL";"TAB5",#N/A,TRUE,"GENERAL"}</definedName>
    <definedName name="rety" hidden="1">{"TAB1",#N/A,TRUE,"GENERAL";"TAB2",#N/A,TRUE,"GENERAL";"TAB3",#N/A,TRUE,"GENERAL";"TAB4",#N/A,TRUE,"GENERAL";"TAB5",#N/A,TRUE,"GENERAL"}</definedName>
    <definedName name="rewfreg" localSheetId="38" hidden="1">{"via1",#N/A,TRUE,"general";"via2",#N/A,TRUE,"general";"via3",#N/A,TRUE,"general"}</definedName>
    <definedName name="rewfreg" hidden="1">{"via1",#N/A,TRUE,"general";"via2",#N/A,TRUE,"general";"via3",#N/A,TRUE,"general"}</definedName>
    <definedName name="rewr" localSheetId="38" hidden="1">{"via1",#N/A,TRUE,"general";"via2",#N/A,TRUE,"general";"via3",#N/A,TRUE,"general"}</definedName>
    <definedName name="rewr" hidden="1">{"via1",#N/A,TRUE,"general";"via2",#N/A,TRUE,"general";"via3",#N/A,TRUE,"general"}</definedName>
    <definedName name="REWWER" localSheetId="38" hidden="1">{"TAB1",#N/A,TRUE,"GENERAL";"TAB2",#N/A,TRUE,"GENERAL";"TAB3",#N/A,TRUE,"GENERAL";"TAB4",#N/A,TRUE,"GENERAL";"TAB5",#N/A,TRUE,"GENERAL"}</definedName>
    <definedName name="REWWER" hidden="1">{"TAB1",#N/A,TRUE,"GENERAL";"TAB2",#N/A,TRUE,"GENERAL";"TAB3",#N/A,TRUE,"GENERAL";"TAB4",#N/A,TRUE,"GENERAL";"TAB5",#N/A,TRUE,"GENERAL"}</definedName>
    <definedName name="reyepoi" localSheetId="38" hidden="1">{"TAB1",#N/A,TRUE,"GENERAL";"TAB2",#N/A,TRUE,"GENERAL";"TAB3",#N/A,TRUE,"GENERAL";"TAB4",#N/A,TRUE,"GENERAL";"TAB5",#N/A,TRUE,"GENERAL"}</definedName>
    <definedName name="reyepoi" hidden="1">{"TAB1",#N/A,TRUE,"GENERAL";"TAB2",#N/A,TRUE,"GENERAL";"TAB3",#N/A,TRUE,"GENERAL";"TAB4",#N/A,TRUE,"GENERAL";"TAB5",#N/A,TRUE,"GENERAL"}</definedName>
    <definedName name="reyety" localSheetId="38" hidden="1">{"via1",#N/A,TRUE,"general";"via2",#N/A,TRUE,"general";"via3",#N/A,TRUE,"general"}</definedName>
    <definedName name="reyety" hidden="1">{"via1",#N/A,TRUE,"general";"via2",#N/A,TRUE,"general";"via3",#N/A,TRUE,"general"}</definedName>
    <definedName name="reyty" localSheetId="38" hidden="1">{"via1",#N/A,TRUE,"general";"via2",#N/A,TRUE,"general";"via3",#N/A,TRUE,"general"}</definedName>
    <definedName name="reyty" hidden="1">{"via1",#N/A,TRUE,"general";"via2",#N/A,TRUE,"general";"via3",#N/A,TRUE,"general"}</definedName>
    <definedName name="reyyt" localSheetId="38" hidden="1">{"via1",#N/A,TRUE,"general";"via2",#N/A,TRUE,"general";"via3",#N/A,TRUE,"general"}</definedName>
    <definedName name="reyyt" hidden="1">{"via1",#N/A,TRUE,"general";"via2",#N/A,TRUE,"general";"via3",#N/A,TRUE,"general"}</definedName>
    <definedName name="rfhnhjyu" localSheetId="38" hidden="1">{"TAB1",#N/A,TRUE,"GENERAL";"TAB2",#N/A,TRUE,"GENERAL";"TAB3",#N/A,TRUE,"GENERAL";"TAB4",#N/A,TRUE,"GENERAL";"TAB5",#N/A,TRUE,"GENERAL"}</definedName>
    <definedName name="rfhnhjyu" hidden="1">{"TAB1",#N/A,TRUE,"GENERAL";"TAB2",#N/A,TRUE,"GENERAL";"TAB3",#N/A,TRUE,"GENERAL";"TAB4",#N/A,TRUE,"GENERAL";"TAB5",#N/A,TRUE,"GENERAL"}</definedName>
    <definedName name="rfrf" localSheetId="38" hidden="1">{"via1",#N/A,TRUE,"general";"via2",#N/A,TRUE,"general";"via3",#N/A,TRUE,"general"}</definedName>
    <definedName name="rfrf" hidden="1">{"via1",#N/A,TRUE,"general";"via2",#N/A,TRUE,"general";"via3",#N/A,TRUE,"general"}</definedName>
    <definedName name="RFV">#REF!</definedName>
    <definedName name="RG">#REF!</definedName>
    <definedName name="rge" localSheetId="38" hidden="1">{"via1",#N/A,TRUE,"general";"via2",#N/A,TRUE,"general";"via3",#N/A,TRUE,"general"}</definedName>
    <definedName name="rge" hidden="1">{"via1",#N/A,TRUE,"general";"via2",#N/A,TRUE,"general";"via3",#N/A,TRUE,"general"}</definedName>
    <definedName name="rgegg" localSheetId="38" hidden="1">{"via1",#N/A,TRUE,"general";"via2",#N/A,TRUE,"general";"via3",#N/A,TRUE,"general"}</definedName>
    <definedName name="rgegg" hidden="1">{"via1",#N/A,TRUE,"general";"via2",#N/A,TRUE,"general";"via3",#N/A,TRUE,"general"}</definedName>
    <definedName name="rhh" localSheetId="38" hidden="1">{"TAB1",#N/A,TRUE,"GENERAL";"TAB2",#N/A,TRUE,"GENERAL";"TAB3",#N/A,TRUE,"GENERAL";"TAB4",#N/A,TRUE,"GENERAL";"TAB5",#N/A,TRUE,"GENERAL"}</definedName>
    <definedName name="rhh" hidden="1">{"TAB1",#N/A,TRUE,"GENERAL";"TAB2",#N/A,TRUE,"GENERAL";"TAB3",#N/A,TRUE,"GENERAL";"TAB4",#N/A,TRUE,"GENERAL";"TAB5",#N/A,TRUE,"GENERAL"}</definedName>
    <definedName name="rhrtd" localSheetId="38" hidden="1">{"TAB1",#N/A,TRUE,"GENERAL";"TAB2",#N/A,TRUE,"GENERAL";"TAB3",#N/A,TRUE,"GENERAL";"TAB4",#N/A,TRUE,"GENERAL";"TAB5",#N/A,TRUE,"GENERAL"}</definedName>
    <definedName name="rhrtd" hidden="1">{"TAB1",#N/A,TRUE,"GENERAL";"TAB2",#N/A,TRUE,"GENERAL";"TAB3",#N/A,TRUE,"GENERAL";"TAB4",#N/A,TRUE,"GENERAL";"TAB5",#N/A,TRUE,"GENERAL"}</definedName>
    <definedName name="rhtry" localSheetId="38"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38" hidden="1">{"TAB1",#N/A,TRUE,"GENERAL";"TAB2",#N/A,TRUE,"GENERAL";"TAB3",#N/A,TRUE,"GENERAL";"TAB4",#N/A,TRUE,"GENERAL";"TAB5",#N/A,TRUE,"GENERAL"}</definedName>
    <definedName name="rj" hidden="1">{"TAB1",#N/A,TRUE,"GENERAL";"TAB2",#N/A,TRUE,"GENERAL";"TAB3",#N/A,TRUE,"GENERAL";"TAB4",#N/A,TRUE,"GENERAL";"TAB5",#N/A,TRUE,"GENERAL"}</definedName>
    <definedName name="rjjth" localSheetId="38" hidden="1">{"TAB1",#N/A,TRUE,"GENERAL";"TAB2",#N/A,TRUE,"GENERAL";"TAB3",#N/A,TRUE,"GENERAL";"TAB4",#N/A,TRUE,"GENERAL";"TAB5",#N/A,TRUE,"GENERAL"}</definedName>
    <definedName name="rjjth" hidden="1">{"TAB1",#N/A,TRUE,"GENERAL";"TAB2",#N/A,TRUE,"GENERAL";"TAB3",#N/A,TRUE,"GENERAL";"TAB4",#N/A,TRUE,"GENERAL";"TAB5",#N/A,TRUE,"GENERAL"}</definedName>
    <definedName name="rjy" localSheetId="38" hidden="1">{"via1",#N/A,TRUE,"general";"via2",#N/A,TRUE,"general";"via3",#N/A,TRUE,"general"}</definedName>
    <definedName name="rjy" hidden="1">{"via1",#N/A,TRUE,"general";"via2",#N/A,TRUE,"general";"via3",#N/A,TRUE,"general"}</definedName>
    <definedName name="rkjyk" localSheetId="38" hidden="1">{"TAB1",#N/A,TRUE,"GENERAL";"TAB2",#N/A,TRUE,"GENERAL";"TAB3",#N/A,TRUE,"GENERAL";"TAB4",#N/A,TRUE,"GENERAL";"TAB5",#N/A,TRUE,"GENERAL"}</definedName>
    <definedName name="rkjyk" hidden="1">{"TAB1",#N/A,TRUE,"GENERAL";"TAB2",#N/A,TRUE,"GENERAL";"TAB3",#N/A,TRUE,"GENERAL";"TAB4",#N/A,TRUE,"GENERAL";"TAB5",#N/A,TRUE,"GENERAL"}</definedName>
    <definedName name="rkru" localSheetId="38" hidden="1">{"via1",#N/A,TRUE,"general";"via2",#N/A,TRUE,"general";"via3",#N/A,TRUE,"general"}</definedName>
    <definedName name="rkru" hidden="1">{"via1",#N/A,TRUE,"general";"via2",#N/A,TRUE,"general";"via3",#N/A,TRUE,"general"}</definedName>
    <definedName name="rky" localSheetId="38"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definedName>
    <definedName name="rr" localSheetId="38">[0]!ERR</definedName>
    <definedName name="rr">[0]!ERR</definedName>
    <definedName name="rrr" localSheetId="38" hidden="1">{"via1",#N/A,TRUE,"general";"via2",#N/A,TRUE,"general";"via3",#N/A,TRUE,"general"}</definedName>
    <definedName name="rrr" hidden="1">{"via1",#N/A,TRUE,"general";"via2",#N/A,TRUE,"general";"via3",#N/A,TRUE,"general"}</definedName>
    <definedName name="rrrr">#REF!</definedName>
    <definedName name="rrrrrb" localSheetId="38" hidden="1">{"via1",#N/A,TRUE,"general";"via2",#N/A,TRUE,"general";"via3",#N/A,TRUE,"general"}</definedName>
    <definedName name="rrrrrb" hidden="1">{"via1",#N/A,TRUE,"general";"via2",#N/A,TRUE,"general";"via3",#N/A,TRUE,"general"}</definedName>
    <definedName name="rrrrrrre" localSheetId="38" hidden="1">{"TAB1",#N/A,TRUE,"GENERAL";"TAB2",#N/A,TRUE,"GENERAL";"TAB3",#N/A,TRUE,"GENERAL";"TAB4",#N/A,TRUE,"GENERAL";"TAB5",#N/A,TRUE,"GENERAL"}</definedName>
    <definedName name="rrrrrrre" hidden="1">{"TAB1",#N/A,TRUE,"GENERAL";"TAB2",#N/A,TRUE,"GENERAL";"TAB3",#N/A,TRUE,"GENERAL";"TAB4",#N/A,TRUE,"GENERAL";"TAB5",#N/A,TRUE,"GENERAL"}</definedName>
    <definedName name="rrrrt" localSheetId="38" hidden="1">{"via1",#N/A,TRUE,"general";"via2",#N/A,TRUE,"general";"via3",#N/A,TRUE,"general"}</definedName>
    <definedName name="rrrrt" hidden="1">{"via1",#N/A,TRUE,"general";"via2",#N/A,TRUE,"general";"via3",#N/A,TRUE,"general"}</definedName>
    <definedName name="Rs">#REF!</definedName>
    <definedName name="rsdgsd5" localSheetId="38"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8" hidden="1">{"TAB1",#N/A,TRUE,"GENERAL";"TAB2",#N/A,TRUE,"GENERAL";"TAB3",#N/A,TRUE,"GENERAL";"TAB4",#N/A,TRUE,"GENERAL";"TAB5",#N/A,TRUE,"GENERAL"}</definedName>
    <definedName name="rt" hidden="1">{"TAB1",#N/A,TRUE,"GENERAL";"TAB2",#N/A,TRUE,"GENERAL";"TAB3",#N/A,TRUE,"GENERAL";"TAB4",#N/A,TRUE,"GENERAL";"TAB5",#N/A,TRUE,"GENERAL"}</definedName>
    <definedName name="rte" localSheetId="38" hidden="1">{"TAB1",#N/A,TRUE,"GENERAL";"TAB2",#N/A,TRUE,"GENERAL";"TAB3",#N/A,TRUE,"GENERAL";"TAB4",#N/A,TRUE,"GENERAL";"TAB5",#N/A,TRUE,"GENERAL"}</definedName>
    <definedName name="rte" hidden="1">{"TAB1",#N/A,TRUE,"GENERAL";"TAB2",#N/A,TRUE,"GENERAL";"TAB3",#N/A,TRUE,"GENERAL";"TAB4",#N/A,TRUE,"GENERAL";"TAB5",#N/A,TRUE,"GENERAL"}</definedName>
    <definedName name="rteg" localSheetId="38" hidden="1">{"via1",#N/A,TRUE,"general";"via2",#N/A,TRUE,"general";"via3",#N/A,TRUE,"general"}</definedName>
    <definedName name="rteg" hidden="1">{"via1",#N/A,TRUE,"general";"via2",#N/A,TRUE,"general";"via3",#N/A,TRUE,"general"}</definedName>
    <definedName name="rtert" localSheetId="38" hidden="1">{"TAB1",#N/A,TRUE,"GENERAL";"TAB2",#N/A,TRUE,"GENERAL";"TAB3",#N/A,TRUE,"GENERAL";"TAB4",#N/A,TRUE,"GENERAL";"TAB5",#N/A,TRUE,"GENERAL"}</definedName>
    <definedName name="rtert" hidden="1">{"TAB1",#N/A,TRUE,"GENERAL";"TAB2",#N/A,TRUE,"GENERAL";"TAB3",#N/A,TRUE,"GENERAL";"TAB4",#N/A,TRUE,"GENERAL";"TAB5",#N/A,TRUE,"GENERAL"}</definedName>
    <definedName name="rtes" localSheetId="38" hidden="1">{"via1",#N/A,TRUE,"general";"via2",#N/A,TRUE,"general";"via3",#N/A,TRUE,"general"}</definedName>
    <definedName name="rtes" hidden="1">{"via1",#N/A,TRUE,"general";"via2",#N/A,TRUE,"general";"via3",#N/A,TRUE,"general"}</definedName>
    <definedName name="rtewth" localSheetId="38" hidden="1">{"TAB1",#N/A,TRUE,"GENERAL";"TAB2",#N/A,TRUE,"GENERAL";"TAB3",#N/A,TRUE,"GENERAL";"TAB4",#N/A,TRUE,"GENERAL";"TAB5",#N/A,TRUE,"GENERAL"}</definedName>
    <definedName name="rtewth" hidden="1">{"TAB1",#N/A,TRUE,"GENERAL";"TAB2",#N/A,TRUE,"GENERAL";"TAB3",#N/A,TRUE,"GENERAL";"TAB4",#N/A,TRUE,"GENERAL";"TAB5",#N/A,TRUE,"GENERAL"}</definedName>
    <definedName name="rthjtj" localSheetId="38" hidden="1">{"TAB1",#N/A,TRUE,"GENERAL";"TAB2",#N/A,TRUE,"GENERAL";"TAB3",#N/A,TRUE,"GENERAL";"TAB4",#N/A,TRUE,"GENERAL";"TAB5",#N/A,TRUE,"GENERAL"}</definedName>
    <definedName name="rthjtj" hidden="1">{"TAB1",#N/A,TRUE,"GENERAL";"TAB2",#N/A,TRUE,"GENERAL";"TAB3",#N/A,TRUE,"GENERAL";"TAB4",#N/A,TRUE,"GENERAL";"TAB5",#N/A,TRUE,"GENERAL"}</definedName>
    <definedName name="rthrthg" localSheetId="38" hidden="1">{"via1",#N/A,TRUE,"general";"via2",#N/A,TRUE,"general";"via3",#N/A,TRUE,"general"}</definedName>
    <definedName name="rthrthg" hidden="1">{"via1",#N/A,TRUE,"general";"via2",#N/A,TRUE,"general";"via3",#N/A,TRUE,"general"}</definedName>
    <definedName name="rthtrh" localSheetId="38" hidden="1">{"via1",#N/A,TRUE,"general";"via2",#N/A,TRUE,"general";"via3",#N/A,TRUE,"general"}</definedName>
    <definedName name="rthtrh" hidden="1">{"via1",#N/A,TRUE,"general";"via2",#N/A,TRUE,"general";"via3",#N/A,TRUE,"general"}</definedName>
    <definedName name="rtkk" localSheetId="38" hidden="1">{"via1",#N/A,TRUE,"general";"via2",#N/A,TRUE,"general";"via3",#N/A,TRUE,"general"}</definedName>
    <definedName name="rtkk" hidden="1">{"via1",#N/A,TRUE,"general";"via2",#N/A,TRUE,"general";"via3",#N/A,TRUE,"general"}</definedName>
    <definedName name="rttthy" localSheetId="38" hidden="1">{"via1",#N/A,TRUE,"general";"via2",#N/A,TRUE,"general";"via3",#N/A,TRUE,"general"}</definedName>
    <definedName name="rttthy" hidden="1">{"via1",#N/A,TRUE,"general";"via2",#N/A,TRUE,"general";"via3",#N/A,TRUE,"general"}</definedName>
    <definedName name="rtu" localSheetId="38" hidden="1">{"via1",#N/A,TRUE,"general";"via2",#N/A,TRUE,"general";"via3",#N/A,TRUE,"general"}</definedName>
    <definedName name="rtu" hidden="1">{"via1",#N/A,TRUE,"general";"via2",#N/A,TRUE,"general";"via3",#N/A,TRUE,"general"}</definedName>
    <definedName name="rtug" localSheetId="38" hidden="1">{"TAB1",#N/A,TRUE,"GENERAL";"TAB2",#N/A,TRUE,"GENERAL";"TAB3",#N/A,TRUE,"GENERAL";"TAB4",#N/A,TRUE,"GENERAL";"TAB5",#N/A,TRUE,"GENERAL"}</definedName>
    <definedName name="rtug" hidden="1">{"TAB1",#N/A,TRUE,"GENERAL";"TAB2",#N/A,TRUE,"GENERAL";"TAB3",#N/A,TRUE,"GENERAL";"TAB4",#N/A,TRUE,"GENERAL";"TAB5",#N/A,TRUE,"GENERAL"}</definedName>
    <definedName name="rtugsd" localSheetId="38" hidden="1">{"TAB1",#N/A,TRUE,"GENERAL";"TAB2",#N/A,TRUE,"GENERAL";"TAB3",#N/A,TRUE,"GENERAL";"TAB4",#N/A,TRUE,"GENERAL";"TAB5",#N/A,TRUE,"GENERAL"}</definedName>
    <definedName name="rtugsd" hidden="1">{"TAB1",#N/A,TRUE,"GENERAL";"TAB2",#N/A,TRUE,"GENERAL";"TAB3",#N/A,TRUE,"GENERAL";"TAB4",#N/A,TRUE,"GENERAL";"TAB5",#N/A,TRUE,"GENERAL"}</definedName>
    <definedName name="rturtu" localSheetId="38" hidden="1">{"via1",#N/A,TRUE,"general";"via2",#N/A,TRUE,"general";"via3",#N/A,TRUE,"general"}</definedName>
    <definedName name="rturtu" hidden="1">{"via1",#N/A,TRUE,"general";"via2",#N/A,TRUE,"general";"via3",#N/A,TRUE,"general"}</definedName>
    <definedName name="rturu" localSheetId="38" hidden="1">{"via1",#N/A,TRUE,"general";"via2",#N/A,TRUE,"general";"via3",#N/A,TRUE,"general"}</definedName>
    <definedName name="rturu" hidden="1">{"via1",#N/A,TRUE,"general";"via2",#N/A,TRUE,"general";"via3",#N/A,TRUE,"general"}</definedName>
    <definedName name="rtut" localSheetId="38" hidden="1">{"via1",#N/A,TRUE,"general";"via2",#N/A,TRUE,"general";"via3",#N/A,TRUE,"general"}</definedName>
    <definedName name="rtut" hidden="1">{"via1",#N/A,TRUE,"general";"via2",#N/A,TRUE,"general";"via3",#N/A,TRUE,"general"}</definedName>
    <definedName name="rtutru" localSheetId="38" hidden="1">{"via1",#N/A,TRUE,"general";"via2",#N/A,TRUE,"general";"via3",#N/A,TRUE,"general"}</definedName>
    <definedName name="rtutru" hidden="1">{"via1",#N/A,TRUE,"general";"via2",#N/A,TRUE,"general";"via3",#N/A,TRUE,"general"}</definedName>
    <definedName name="rtuy" localSheetId="38" hidden="1">{"via1",#N/A,TRUE,"general";"via2",#N/A,TRUE,"general";"via3",#N/A,TRUE,"general"}</definedName>
    <definedName name="rtuy" hidden="1">{"via1",#N/A,TRUE,"general";"via2",#N/A,TRUE,"general";"via3",#N/A,TRUE,"general"}</definedName>
    <definedName name="rtyhr" localSheetId="38" hidden="1">{"TAB1",#N/A,TRUE,"GENERAL";"TAB2",#N/A,TRUE,"GENERAL";"TAB3",#N/A,TRUE,"GENERAL";"TAB4",#N/A,TRUE,"GENERAL";"TAB5",#N/A,TRUE,"GENERAL"}</definedName>
    <definedName name="rtyhr" hidden="1">{"TAB1",#N/A,TRUE,"GENERAL";"TAB2",#N/A,TRUE,"GENERAL";"TAB3",#N/A,TRUE,"GENERAL";"TAB4",#N/A,TRUE,"GENERAL";"TAB5",#N/A,TRUE,"GENERAL"}</definedName>
    <definedName name="rtym" localSheetId="38" hidden="1">{"via1",#N/A,TRUE,"general";"via2",#N/A,TRUE,"general";"via3",#N/A,TRUE,"general"}</definedName>
    <definedName name="rtym" hidden="1">{"via1",#N/A,TRUE,"general";"via2",#N/A,TRUE,"general";"via3",#N/A,TRUE,"general"}</definedName>
    <definedName name="rtyrey" localSheetId="38" hidden="1">{"TAB1",#N/A,TRUE,"GENERAL";"TAB2",#N/A,TRUE,"GENERAL";"TAB3",#N/A,TRUE,"GENERAL";"TAB4",#N/A,TRUE,"GENERAL";"TAB5",#N/A,TRUE,"GENERAL"}</definedName>
    <definedName name="rtyrey" hidden="1">{"TAB1",#N/A,TRUE,"GENERAL";"TAB2",#N/A,TRUE,"GENERAL";"TAB3",#N/A,TRUE,"GENERAL";"TAB4",#N/A,TRUE,"GENERAL";"TAB5",#N/A,TRUE,"GENERAL"}</definedName>
    <definedName name="rtyrh" localSheetId="38" hidden="1">{"via1",#N/A,TRUE,"general";"via2",#N/A,TRUE,"general";"via3",#N/A,TRUE,"general"}</definedName>
    <definedName name="rtyrh" hidden="1">{"via1",#N/A,TRUE,"general";"via2",#N/A,TRUE,"general";"via3",#N/A,TRUE,"general"}</definedName>
    <definedName name="RTYRTY" localSheetId="38" hidden="1">{"via1",#N/A,TRUE,"general";"via2",#N/A,TRUE,"general";"via3",#N/A,TRUE,"general"}</definedName>
    <definedName name="RTYRTY" hidden="1">{"via1",#N/A,TRUE,"general";"via2",#N/A,TRUE,"general";"via3",#N/A,TRUE,"general"}</definedName>
    <definedName name="rtyt" localSheetId="38" hidden="1">{"TAB1",#N/A,TRUE,"GENERAL";"TAB2",#N/A,TRUE,"GENERAL";"TAB3",#N/A,TRUE,"GENERAL";"TAB4",#N/A,TRUE,"GENERAL";"TAB5",#N/A,TRUE,"GENERAL"}</definedName>
    <definedName name="rtyt" hidden="1">{"TAB1",#N/A,TRUE,"GENERAL";"TAB2",#N/A,TRUE,"GENERAL";"TAB3",#N/A,TRUE,"GENERAL";"TAB4",#N/A,TRUE,"GENERAL";"TAB5",#N/A,TRUE,"GENERAL"}</definedName>
    <definedName name="rtytry" localSheetId="38" hidden="1">{"via1",#N/A,TRUE,"general";"via2",#N/A,TRUE,"general";"via3",#N/A,TRUE,"general"}</definedName>
    <definedName name="rtytry" hidden="1">{"via1",#N/A,TRUE,"general";"via2",#N/A,TRUE,"general";"via3",#N/A,TRUE,"general"}</definedName>
    <definedName name="ruru" localSheetId="38"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8" hidden="1">{"via1",#N/A,TRUE,"general";"via2",#N/A,TRUE,"general";"via3",#N/A,TRUE,"general"}</definedName>
    <definedName name="rutu" hidden="1">{"via1",#N/A,TRUE,"general";"via2",#N/A,TRUE,"general";"via3",#N/A,TRUE,"general"}</definedName>
    <definedName name="rwt" localSheetId="38" hidden="1">{"via1",#N/A,TRUE,"general";"via2",#N/A,TRUE,"general";"via3",#N/A,TRUE,"general"}</definedName>
    <definedName name="rwt" hidden="1">{"via1",#N/A,TRUE,"general";"via2",#N/A,TRUE,"general";"via3",#N/A,TRUE,"general"}</definedName>
    <definedName name="ry" localSheetId="38" hidden="1">{"via1",#N/A,TRUE,"general";"via2",#N/A,TRUE,"general";"via3",#N/A,TRUE,"general"}</definedName>
    <definedName name="ry" hidden="1">{"via1",#N/A,TRUE,"general";"via2",#N/A,TRUE,"general";"via3",#N/A,TRUE,"general"}</definedName>
    <definedName name="ryeryb" localSheetId="38" hidden="1">{"TAB1",#N/A,TRUE,"GENERAL";"TAB2",#N/A,TRUE,"GENERAL";"TAB3",#N/A,TRUE,"GENERAL";"TAB4",#N/A,TRUE,"GENERAL";"TAB5",#N/A,TRUE,"GENERAL"}</definedName>
    <definedName name="ryeryb" hidden="1">{"TAB1",#N/A,TRUE,"GENERAL";"TAB2",#N/A,TRUE,"GENERAL";"TAB3",#N/A,TRUE,"GENERAL";"TAB4",#N/A,TRUE,"GENERAL";"TAB5",#N/A,TRUE,"GENERAL"}</definedName>
    <definedName name="rytrsdg" localSheetId="38" hidden="1">{"via1",#N/A,TRUE,"general";"via2",#N/A,TRUE,"general";"via3",#N/A,TRUE,"general"}</definedName>
    <definedName name="rytrsdg" hidden="1">{"via1",#N/A,TRUE,"general";"via2",#N/A,TRUE,"general";"via3",#N/A,TRUE,"general"}</definedName>
    <definedName name="s" localSheetId="38">[0]!ERR</definedName>
    <definedName name="s">[0]!ERR</definedName>
    <definedName name="saa" localSheetId="38" hidden="1">{"via1",#N/A,TRUE,"general";"via2",#N/A,TRUE,"general";"via3",#N/A,TRUE,"general"}</definedName>
    <definedName name="saa" hidden="1">{"via1",#N/A,TRUE,"general";"via2",#N/A,TRUE,"general";"via3",#N/A,TRUE,"general"}</definedName>
    <definedName name="SAD" localSheetId="38" hidden="1">{"via1",#N/A,TRUE,"general";"via2",#N/A,TRUE,"general";"via3",#N/A,TRUE,"general"}</definedName>
    <definedName name="SAD" hidden="1">{"via1",#N/A,TRUE,"general";"via2",#N/A,TRUE,"general";"via3",#N/A,TRUE,"general"}</definedName>
    <definedName name="SADF" localSheetId="38" hidden="1">{"via1",#N/A,TRUE,"general";"via2",#N/A,TRUE,"general";"via3",#N/A,TRUE,"general"}</definedName>
    <definedName name="SADF" hidden="1">{"via1",#N/A,TRUE,"general";"via2",#N/A,TRUE,"general";"via3",#N/A,TRUE,"general"}</definedName>
    <definedName name="sadff" localSheetId="38" hidden="1">{"TAB1",#N/A,TRUE,"GENERAL";"TAB2",#N/A,TRUE,"GENERAL";"TAB3",#N/A,TRUE,"GENERAL";"TAB4",#N/A,TRUE,"GENERAL";"TAB5",#N/A,TRUE,"GENERAL"}</definedName>
    <definedName name="sadff" hidden="1">{"TAB1",#N/A,TRUE,"GENERAL";"TAB2",#N/A,TRUE,"GENERAL";"TAB3",#N/A,TRUE,"GENERAL";"TAB4",#N/A,TRUE,"GENERAL";"TAB5",#N/A,TRUE,"GENERAL"}</definedName>
    <definedName name="sadfo" localSheetId="38" hidden="1">{"via1",#N/A,TRUE,"general";"via2",#N/A,TRUE,"general";"via3",#N/A,TRUE,"general"}</definedName>
    <definedName name="sadfo" hidden="1">{"via1",#N/A,TRUE,"general";"via2",#N/A,TRUE,"general";"via3",#N/A,TRUE,"general"}</definedName>
    <definedName name="safdp" localSheetId="38" hidden="1">{"TAB1",#N/A,TRUE,"GENERAL";"TAB2",#N/A,TRUE,"GENERAL";"TAB3",#N/A,TRUE,"GENERAL";"TAB4",#N/A,TRUE,"GENERAL";"TAB5",#N/A,TRUE,"GENERAL"}</definedName>
    <definedName name="safdp" hidden="1">{"TAB1",#N/A,TRUE,"GENERAL";"TAB2",#N/A,TRUE,"GENERAL";"TAB3",#N/A,TRUE,"GENERAL";"TAB4",#N/A,TRUE,"GENERAL";"TAB5",#N/A,TRUE,"GENERAL"}</definedName>
    <definedName name="salarios" localSheetId="38">[0]!ERR</definedName>
    <definedName name="salarios">[0]!ERR</definedName>
    <definedName name="SalConv">#REF!</definedName>
    <definedName name="SALID1">#REF!</definedName>
    <definedName name="SalMinimo">#REF!</definedName>
    <definedName name="sbgfbgdr" localSheetId="38"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8" hidden="1">{"TAB1",#N/A,TRUE,"GENERAL";"TAB2",#N/A,TRUE,"GENERAL";"TAB3",#N/A,TRUE,"GENERAL";"TAB4",#N/A,TRUE,"GENERAL";"TAB5",#N/A,TRUE,"GENERAL"}</definedName>
    <definedName name="sd" hidden="1">{"TAB1",#N/A,TRUE,"GENERAL";"TAB2",#N/A,TRUE,"GENERAL";"TAB3",#N/A,TRUE,"GENERAL";"TAB4",#N/A,TRUE,"GENERAL";"TAB5",#N/A,TRUE,"GENERAL"}</definedName>
    <definedName name="sdaf" localSheetId="38" hidden="1">{"via1",#N/A,TRUE,"general";"via2",#N/A,TRUE,"general";"via3",#N/A,TRUE,"general"}</definedName>
    <definedName name="sdaf" hidden="1">{"via1",#N/A,TRUE,"general";"via2",#N/A,TRUE,"general";"via3",#N/A,TRUE,"general"}</definedName>
    <definedName name="sdas" localSheetId="38" hidden="1">{"via1",#N/A,TRUE,"general";"via2",#N/A,TRUE,"general";"via3",#N/A,TRUE,"general"}</definedName>
    <definedName name="sdas" hidden="1">{"via1",#N/A,TRUE,"general";"via2",#N/A,TRUE,"general";"via3",#N/A,TRUE,"general"}</definedName>
    <definedName name="sdasdf" localSheetId="38" hidden="1">{"via1",#N/A,TRUE,"general";"via2",#N/A,TRUE,"general";"via3",#N/A,TRUE,"general"}</definedName>
    <definedName name="sdasdf" hidden="1">{"via1",#N/A,TRUE,"general";"via2",#N/A,TRUE,"general";"via3",#N/A,TRUE,"general"}</definedName>
    <definedName name="SDCDSCT" localSheetId="38" hidden="1">{"TAB1",#N/A,TRUE,"GENERAL";"TAB2",#N/A,TRUE,"GENERAL";"TAB3",#N/A,TRUE,"GENERAL";"TAB4",#N/A,TRUE,"GENERAL";"TAB5",#N/A,TRUE,"GENERAL"}</definedName>
    <definedName name="SDCDSCT" hidden="1">{"TAB1",#N/A,TRUE,"GENERAL";"TAB2",#N/A,TRUE,"GENERAL";"TAB3",#N/A,TRUE,"GENERAL";"TAB4",#N/A,TRUE,"GENERAL";"TAB5",#N/A,TRUE,"GENERAL"}</definedName>
    <definedName name="SDDSAFF" localSheetId="38" hidden="1">{#N/A,#N/A,TRUE,"1842CWN0"}</definedName>
    <definedName name="SDDSAFF" hidden="1">{#N/A,#N/A,TRUE,"1842CWN0"}</definedName>
    <definedName name="SDFCE" localSheetId="38" hidden="1">{"TAB1",#N/A,TRUE,"GENERAL";"TAB2",#N/A,TRUE,"GENERAL";"TAB3",#N/A,TRUE,"GENERAL";"TAB4",#N/A,TRUE,"GENERAL";"TAB5",#N/A,TRUE,"GENERAL"}</definedName>
    <definedName name="SDFCE" hidden="1">{"TAB1",#N/A,TRUE,"GENERAL";"TAB2",#N/A,TRUE,"GENERAL";"TAB3",#N/A,TRUE,"GENERAL";"TAB4",#N/A,TRUE,"GENERAL";"TAB5",#N/A,TRUE,"GENERAL"}</definedName>
    <definedName name="sdfd" localSheetId="38" hidden="1">{"via1",#N/A,TRUE,"general";"via2",#N/A,TRUE,"general";"via3",#N/A,TRUE,"general"}</definedName>
    <definedName name="sdfd" hidden="1">{"via1",#N/A,TRUE,"general";"via2",#N/A,TRUE,"general";"via3",#N/A,TRUE,"general"}</definedName>
    <definedName name="SDFDG" localSheetId="38" hidden="1">{#N/A,#N/A,TRUE,"1842CWN0"}</definedName>
    <definedName name="SDFDG" hidden="1">{#N/A,#N/A,TRUE,"1842CWN0"}</definedName>
    <definedName name="sdfds" localSheetId="38" hidden="1">{"via1",#N/A,TRUE,"general";"via2",#N/A,TRUE,"general";"via3",#N/A,TRUE,"general"}</definedName>
    <definedName name="sdfds" hidden="1">{"via1",#N/A,TRUE,"general";"via2",#N/A,TRUE,"general";"via3",#N/A,TRUE,"general"}</definedName>
    <definedName name="SDFDSO" localSheetId="38" hidden="1">{"via1",#N/A,TRUE,"general";"via2",#N/A,TRUE,"general";"via3",#N/A,TRUE,"general"}</definedName>
    <definedName name="SDFDSO" hidden="1">{"via1",#N/A,TRUE,"general";"via2",#N/A,TRUE,"general";"via3",#N/A,TRUE,"general"}</definedName>
    <definedName name="sdfdstp" localSheetId="38" hidden="1">{"TAB1",#N/A,TRUE,"GENERAL";"TAB2",#N/A,TRUE,"GENERAL";"TAB3",#N/A,TRUE,"GENERAL";"TAB4",#N/A,TRUE,"GENERAL";"TAB5",#N/A,TRUE,"GENERAL"}</definedName>
    <definedName name="sdfdstp" hidden="1">{"TAB1",#N/A,TRUE,"GENERAL";"TAB2",#N/A,TRUE,"GENERAL";"TAB3",#N/A,TRUE,"GENERAL";"TAB4",#N/A,TRUE,"GENERAL";"TAB5",#N/A,TRUE,"GENERAL"}</definedName>
    <definedName name="SDFEO" localSheetId="38" hidden="1">{"via1",#N/A,TRUE,"general";"via2",#N/A,TRUE,"general";"via3",#N/A,TRUE,"general"}</definedName>
    <definedName name="SDFEO" hidden="1">{"via1",#N/A,TRUE,"general";"via2",#N/A,TRUE,"general";"via3",#N/A,TRUE,"general"}</definedName>
    <definedName name="sdfg" localSheetId="38" hidden="1">{"TAB1",#N/A,TRUE,"GENERAL";"TAB2",#N/A,TRUE,"GENERAL";"TAB3",#N/A,TRUE,"GENERAL";"TAB4",#N/A,TRUE,"GENERAL";"TAB5",#N/A,TRUE,"GENERAL"}</definedName>
    <definedName name="sdfg" hidden="1">{"TAB1",#N/A,TRUE,"GENERAL";"TAB2",#N/A,TRUE,"GENERAL";"TAB3",#N/A,TRUE,"GENERAL";"TAB4",#N/A,TRUE,"GENERAL";"TAB5",#N/A,TRUE,"GENERAL"}</definedName>
    <definedName name="sdfgdsfk" localSheetId="38" hidden="1">{"via1",#N/A,TRUE,"general";"via2",#N/A,TRUE,"general";"via3",#N/A,TRUE,"general"}</definedName>
    <definedName name="sdfgdsfk" hidden="1">{"via1",#N/A,TRUE,"general";"via2",#N/A,TRUE,"general";"via3",#N/A,TRUE,"general"}</definedName>
    <definedName name="sdfgsg" localSheetId="38" hidden="1">{"via1",#N/A,TRUE,"general";"via2",#N/A,TRUE,"general";"via3",#N/A,TRUE,"general"}</definedName>
    <definedName name="sdfgsg" hidden="1">{"via1",#N/A,TRUE,"general";"via2",#N/A,TRUE,"general";"via3",#N/A,TRUE,"general"}</definedName>
    <definedName name="SDFLJK" localSheetId="38"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8" hidden="1">{"via1",#N/A,TRUE,"general";"via2",#N/A,TRUE,"general";"via3",#N/A,TRUE,"general"}</definedName>
    <definedName name="sdfsd4" hidden="1">{"via1",#N/A,TRUE,"general";"via2",#N/A,TRUE,"general";"via3",#N/A,TRUE,"general"}</definedName>
    <definedName name="SDFSDF" localSheetId="38" hidden="1">{"TAB1",#N/A,TRUE,"GENERAL";"TAB2",#N/A,TRUE,"GENERAL";"TAB3",#N/A,TRUE,"GENERAL";"TAB4",#N/A,TRUE,"GENERAL";"TAB5",#N/A,TRUE,"GENERAL"}</definedName>
    <definedName name="SDFSDF" hidden="1">{"TAB1",#N/A,TRUE,"GENERAL";"TAB2",#N/A,TRUE,"GENERAL";"TAB3",#N/A,TRUE,"GENERAL";"TAB4",#N/A,TRUE,"GENERAL";"TAB5",#N/A,TRUE,"GENERAL"}</definedName>
    <definedName name="sdfsdfb" localSheetId="38" hidden="1">{"via1",#N/A,TRUE,"general";"via2",#N/A,TRUE,"general";"via3",#N/A,TRUE,"general"}</definedName>
    <definedName name="sdfsdfb" hidden="1">{"via1",#N/A,TRUE,"general";"via2",#N/A,TRUE,"general";"via3",#N/A,TRUE,"general"}</definedName>
    <definedName name="sdfsdgg" localSheetId="38" hidden="1">{#N/A,#N/A,TRUE,"INGENIERIA";#N/A,#N/A,TRUE,"COMPRAS";#N/A,#N/A,TRUE,"DIRECCION";#N/A,#N/A,TRUE,"RESUMEN"}</definedName>
    <definedName name="sdfsdgg" hidden="1">{#N/A,#N/A,TRUE,"INGENIERIA";#N/A,#N/A,TRUE,"COMPRAS";#N/A,#N/A,TRUE,"DIRECCION";#N/A,#N/A,TRUE,"RESUMEN"}</definedName>
    <definedName name="SDFSF" localSheetId="38" hidden="1">{"TAB1",#N/A,TRUE,"GENERAL";"TAB2",#N/A,TRUE,"GENERAL";"TAB3",#N/A,TRUE,"GENERAL";"TAB4",#N/A,TRUE,"GENERAL";"TAB5",#N/A,TRUE,"GENERAL"}</definedName>
    <definedName name="SDFSF" hidden="1">{"TAB1",#N/A,TRUE,"GENERAL";"TAB2",#N/A,TRUE,"GENERAL";"TAB3",#N/A,TRUE,"GENERAL";"TAB4",#N/A,TRUE,"GENERAL";"TAB5",#N/A,TRUE,"GENERAL"}</definedName>
    <definedName name="sdfsv" localSheetId="38" hidden="1">{"TAB1",#N/A,TRUE,"GENERAL";"TAB2",#N/A,TRUE,"GENERAL";"TAB3",#N/A,TRUE,"GENERAL";"TAB4",#N/A,TRUE,"GENERAL";"TAB5",#N/A,TRUE,"GENERAL"}</definedName>
    <definedName name="sdfsv" hidden="1">{"TAB1",#N/A,TRUE,"GENERAL";"TAB2",#N/A,TRUE,"GENERAL";"TAB3",#N/A,TRUE,"GENERAL";"TAB4",#N/A,TRUE,"GENERAL";"TAB5",#N/A,TRUE,"GENERAL"}</definedName>
    <definedName name="sdgfd" localSheetId="38" hidden="1">{"TAB1",#N/A,TRUE,"GENERAL";"TAB2",#N/A,TRUE,"GENERAL";"TAB3",#N/A,TRUE,"GENERAL";"TAB4",#N/A,TRUE,"GENERAL";"TAB5",#N/A,TRUE,"GENERAL"}</definedName>
    <definedName name="sdgfd" hidden="1">{"TAB1",#N/A,TRUE,"GENERAL";"TAB2",#N/A,TRUE,"GENERAL";"TAB3",#N/A,TRUE,"GENERAL";"TAB4",#N/A,TRUE,"GENERAL";"TAB5",#N/A,TRUE,"GENERAL"}</definedName>
    <definedName name="sdgfgp" localSheetId="38" hidden="1">{"via1",#N/A,TRUE,"general";"via2",#N/A,TRUE,"general";"via3",#N/A,TRUE,"general"}</definedName>
    <definedName name="sdgfgp" hidden="1">{"via1",#N/A,TRUE,"general";"via2",#N/A,TRUE,"general";"via3",#N/A,TRUE,"general"}</definedName>
    <definedName name="sdgfiu" localSheetId="38" hidden="1">{"via1",#N/A,TRUE,"general";"via2",#N/A,TRUE,"general";"via3",#N/A,TRUE,"general"}</definedName>
    <definedName name="sdgfiu" hidden="1">{"via1",#N/A,TRUE,"general";"via2",#N/A,TRUE,"general";"via3",#N/A,TRUE,"general"}</definedName>
    <definedName name="sdgsd" localSheetId="38" hidden="1">{"TAB1",#N/A,TRUE,"GENERAL";"TAB2",#N/A,TRUE,"GENERAL";"TAB3",#N/A,TRUE,"GENERAL";"TAB4",#N/A,TRUE,"GENERAL";"TAB5",#N/A,TRUE,"GENERAL"}</definedName>
    <definedName name="sdgsd" hidden="1">{"TAB1",#N/A,TRUE,"GENERAL";"TAB2",#N/A,TRUE,"GENERAL";"TAB3",#N/A,TRUE,"GENERAL";"TAB4",#N/A,TRUE,"GENERAL";"TAB5",#N/A,TRUE,"GENERAL"}</definedName>
    <definedName name="sdgsg" localSheetId="38" hidden="1">{"via1",#N/A,TRUE,"general";"via2",#N/A,TRUE,"general";"via3",#N/A,TRUE,"general"}</definedName>
    <definedName name="sdgsg" hidden="1">{"via1",#N/A,TRUE,"general";"via2",#N/A,TRUE,"general";"via3",#N/A,TRUE,"general"}</definedName>
    <definedName name="SDIKOM" localSheetId="38" hidden="1">{"TAB1",#N/A,TRUE,"GENERAL";"TAB2",#N/A,TRUE,"GENERAL";"TAB3",#N/A,TRUE,"GENERAL";"TAB4",#N/A,TRUE,"GENERAL";"TAB5",#N/A,TRUE,"GENERAL"}</definedName>
    <definedName name="SDIKOM" hidden="1">{"TAB1",#N/A,TRUE,"GENERAL";"TAB2",#N/A,TRUE,"GENERAL";"TAB3",#N/A,TRUE,"GENERAL";"TAB4",#N/A,TRUE,"GENERAL";"TAB5",#N/A,TRUE,"GENERAL"}</definedName>
    <definedName name="sdsdfh" localSheetId="38" hidden="1">{"via1",#N/A,TRUE,"general";"via2",#N/A,TRUE,"general";"via3",#N/A,TRUE,"general"}</definedName>
    <definedName name="sdsdfh" hidden="1">{"via1",#N/A,TRUE,"general";"via2",#N/A,TRUE,"general";"via3",#N/A,TRUE,"general"}</definedName>
    <definedName name="sdsdfsdff" localSheetId="38" hidden="1">{#N/A,#N/A,TRUE,"1842CWN0"}</definedName>
    <definedName name="sdsdfsdff" hidden="1">{#N/A,#N/A,TRUE,"1842CWN0"}</definedName>
    <definedName name="SECTOR">#REF!</definedName>
    <definedName name="SEM_02">#REF!</definedName>
    <definedName name="SEMANA_C3">#REF!</definedName>
    <definedName name="sena">#REF!</definedName>
    <definedName name="SERO" localSheetId="38">[0]!ERR</definedName>
    <definedName name="SERO">[0]!ERR</definedName>
    <definedName name="servicios">#REF!</definedName>
    <definedName name="setrj" localSheetId="38" hidden="1">{"via1",#N/A,TRUE,"general";"via2",#N/A,TRUE,"general";"via3",#N/A,TRUE,"general"}</definedName>
    <definedName name="setrj" hidden="1">{"via1",#N/A,TRUE,"general";"via2",#N/A,TRUE,"general";"via3",#N/A,TRUE,"general"}</definedName>
    <definedName name="sett" localSheetId="38" hidden="1">{"via1",#N/A,TRUE,"general";"via2",#N/A,TRUE,"general";"via3",#N/A,TRUE,"general"}</definedName>
    <definedName name="sett" hidden="1">{"via1",#N/A,TRUE,"general";"via2",#N/A,TRUE,"general";"via3",#N/A,TRUE,"general"}</definedName>
    <definedName name="sf">#REF!</definedName>
    <definedName name="sfasf" localSheetId="38" hidden="1">{"TAB1",#N/A,TRUE,"GENERAL";"TAB2",#N/A,TRUE,"GENERAL";"TAB3",#N/A,TRUE,"GENERAL";"TAB4",#N/A,TRUE,"GENERAL";"TAB5",#N/A,TRUE,"GENERAL"}</definedName>
    <definedName name="sfasf" hidden="1">{"TAB1",#N/A,TRUE,"GENERAL";"TAB2",#N/A,TRUE,"GENERAL";"TAB3",#N/A,TRUE,"GENERAL";"TAB4",#N/A,TRUE,"GENERAL";"TAB5",#N/A,TRUE,"GENERAL"}</definedName>
    <definedName name="SFHSGFH" localSheetId="38" hidden="1">{"TAB1",#N/A,TRUE,"GENERAL";"TAB2",#N/A,TRUE,"GENERAL";"TAB3",#N/A,TRUE,"GENERAL";"TAB4",#N/A,TRUE,"GENERAL";"TAB5",#N/A,TRUE,"GENERAL"}</definedName>
    <definedName name="SFHSGFH" hidden="1">{"TAB1",#N/A,TRUE,"GENERAL";"TAB2",#N/A,TRUE,"GENERAL";"TAB3",#N/A,TRUE,"GENERAL";"TAB4",#N/A,TRUE,"GENERAL";"TAB5",#N/A,TRUE,"GENERAL"}</definedName>
    <definedName name="sfsd" localSheetId="38" hidden="1">{"via1",#N/A,TRUE,"general";"via2",#N/A,TRUE,"general";"via3",#N/A,TRUE,"general"}</definedName>
    <definedName name="sfsd" hidden="1">{"via1",#N/A,TRUE,"general";"via2",#N/A,TRUE,"general";"via3",#N/A,TRUE,"general"}</definedName>
    <definedName name="sfsdf" localSheetId="38" hidden="1">{"TAB1",#N/A,TRUE,"GENERAL";"TAB2",#N/A,TRUE,"GENERAL";"TAB3",#N/A,TRUE,"GENERAL";"TAB4",#N/A,TRUE,"GENERAL";"TAB5",#N/A,TRUE,"GENERAL"}</definedName>
    <definedName name="sfsdf" hidden="1">{"TAB1",#N/A,TRUE,"GENERAL";"TAB2",#N/A,TRUE,"GENERAL";"TAB3",#N/A,TRUE,"GENERAL";"TAB4",#N/A,TRUE,"GENERAL";"TAB5",#N/A,TRUE,"GENERAL"}</definedName>
    <definedName name="sfsdferg" localSheetId="38" hidden="1">{"TAB1",#N/A,TRUE,"GENERAL";"TAB2",#N/A,TRUE,"GENERAL";"TAB3",#N/A,TRUE,"GENERAL";"TAB4",#N/A,TRUE,"GENERAL";"TAB5",#N/A,TRUE,"GENERAL"}</definedName>
    <definedName name="sfsdferg" hidden="1">{"TAB1",#N/A,TRUE,"GENERAL";"TAB2",#N/A,TRUE,"GENERAL";"TAB3",#N/A,TRUE,"GENERAL";"TAB4",#N/A,TRUE,"GENERAL";"TAB5",#N/A,TRUE,"GENERAL"}</definedName>
    <definedName name="sfsdfs" localSheetId="38"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8">[0]!ERR</definedName>
    <definedName name="SI">[0]!ERR</definedName>
    <definedName name="SINGOLO">#REF!</definedName>
    <definedName name="SISISIS" localSheetId="38">[0]!ERR</definedName>
    <definedName name="SISISIS">[0]!ERR</definedName>
    <definedName name="SMLMV">#REF!</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rwrwr" localSheetId="38"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 localSheetId="15">MODULO10.auto_abrir</definedName>
    <definedName name="sss" localSheetId="16">MODULO10.auto_abrir</definedName>
    <definedName name="sss" localSheetId="18">MODULO10.auto_abrir</definedName>
    <definedName name="sss" localSheetId="19">MODULO10.auto_abrir</definedName>
    <definedName name="sss" localSheetId="21">MODULO10.auto_abrir</definedName>
    <definedName name="sss" localSheetId="22">MODULO10.auto_abrir</definedName>
    <definedName name="sss" localSheetId="6">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30">MODULO10.auto_abrir</definedName>
    <definedName name="sss" localSheetId="31">MODULO10.auto_abrir</definedName>
    <definedName name="sss" localSheetId="33">MODULO10.auto_abrir</definedName>
    <definedName name="sss" localSheetId="7">MODULO10.auto_abrir</definedName>
    <definedName name="sss" localSheetId="34">MODULO10.auto_abrir</definedName>
    <definedName name="sss" localSheetId="36">MODULO10.auto_abrir</definedName>
    <definedName name="sss" localSheetId="37">MODULO10.auto_abrir</definedName>
    <definedName name="sss" localSheetId="9">MODULO10.auto_abrir</definedName>
    <definedName name="sss" localSheetId="10">MODULO10.auto_abrir</definedName>
    <definedName name="sss" localSheetId="12">MODULO10.auto_abrir</definedName>
    <definedName name="sss" localSheetId="13">MODULO10.auto_abrir</definedName>
    <definedName name="sss" localSheetId="38">MODULO10.auto_abrir</definedName>
    <definedName name="sss">MODULO10.auto_abrir</definedName>
    <definedName name="SSSS" localSheetId="38">[0]!ERR</definedName>
    <definedName name="SSSS">[0]!ERR</definedName>
    <definedName name="sssss7" localSheetId="38" hidden="1">{"via1",#N/A,TRUE,"general";"via2",#N/A,TRUE,"general";"via3",#N/A,TRUE,"general"}</definedName>
    <definedName name="sssss7" hidden="1">{"via1",#N/A,TRUE,"general";"via2",#N/A,TRUE,"general";"via3",#N/A,TRUE,"general"}</definedName>
    <definedName name="sssssa" localSheetId="38" hidden="1">{"TAB1",#N/A,TRUE,"GENERAL";"TAB2",#N/A,TRUE,"GENERAL";"TAB3",#N/A,TRUE,"GENERAL";"TAB4",#N/A,TRUE,"GENERAL";"TAB5",#N/A,TRUE,"GENERAL"}</definedName>
    <definedName name="sssssa" hidden="1">{"TAB1",#N/A,TRUE,"GENERAL";"TAB2",#N/A,TRUE,"GENERAL";"TAB3",#N/A,TRUE,"GENERAL";"TAB4",#N/A,TRUE,"GENERAL";"TAB5",#N/A,TRUE,"GENERAL"}</definedName>
    <definedName name="sssssy" localSheetId="38"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38" hidden="1">{"via1",#N/A,TRUE,"general";"via2",#N/A,TRUE,"general";"via3",#N/A,TRUE,"general"}</definedName>
    <definedName name="stt" hidden="1">{"via1",#N/A,TRUE,"general";"via2",#N/A,TRUE,"general";"via3",#N/A,TRUE,"general"}</definedName>
    <definedName name="subcontratos">#REF!</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38">[0]!ERR</definedName>
    <definedName name="sw">[0]!ERR</definedName>
    <definedName name="swsw" localSheetId="38" hidden="1">{"via1",#N/A,TRUE,"general";"via2",#N/A,TRUE,"general";"via3",#N/A,TRUE,"general"}</definedName>
    <definedName name="swsw" hidden="1">{"via1",#N/A,TRUE,"general";"via2",#N/A,TRUE,"general";"via3",#N/A,TRUE,"general"}</definedName>
    <definedName name="swsw3" localSheetId="38" hidden="1">{"TAB1",#N/A,TRUE,"GENERAL";"TAB2",#N/A,TRUE,"GENERAL";"TAB3",#N/A,TRUE,"GENERAL";"TAB4",#N/A,TRUE,"GENERAL";"TAB5",#N/A,TRUE,"GENERAL"}</definedName>
    <definedName name="swsw3" hidden="1">{"TAB1",#N/A,TRUE,"GENERAL";"TAB2",#N/A,TRUE,"GENERAL";"TAB3",#N/A,TRUE,"GENERAL";"TAB4",#N/A,TRUE,"GENERAL";"TAB5",#N/A,TRUE,"GENERAL"}</definedName>
    <definedName name="t" localSheetId="15">#REF!</definedName>
    <definedName name="t" localSheetId="16">#REF!</definedName>
    <definedName name="t" localSheetId="18">#REF!</definedName>
    <definedName name="t" localSheetId="19">#REF!</definedName>
    <definedName name="t" localSheetId="21">#REF!</definedName>
    <definedName name="t" localSheetId="22">#REF!</definedName>
    <definedName name="t" localSheetId="6">#REF!</definedName>
    <definedName name="t" localSheetId="24">#REF!</definedName>
    <definedName name="t" localSheetId="25">#REF!</definedName>
    <definedName name="t" localSheetId="26">#REF!</definedName>
    <definedName name="t" localSheetId="27">#REF!</definedName>
    <definedName name="t" localSheetId="28">#REF!</definedName>
    <definedName name="t" localSheetId="30">#REF!</definedName>
    <definedName name="t" localSheetId="31">#REF!</definedName>
    <definedName name="t" localSheetId="33">#REF!</definedName>
    <definedName name="t" localSheetId="7">#REF!</definedName>
    <definedName name="t" localSheetId="34">#REF!</definedName>
    <definedName name="t" localSheetId="36">#REF!</definedName>
    <definedName name="t" localSheetId="37">#REF!</definedName>
    <definedName name="t" localSheetId="9">#REF!</definedName>
    <definedName name="t" localSheetId="10">#REF!</definedName>
    <definedName name="t" localSheetId="12">#REF!</definedName>
    <definedName name="t" localSheetId="13">#REF!</definedName>
    <definedName name="t">#REF!</definedName>
    <definedName name="t_1" localSheetId="15">Scheduled_Payment+Extra_Payment</definedName>
    <definedName name="t_1" localSheetId="16">Scheduled_Payment+Extra_Payment</definedName>
    <definedName name="t_1" localSheetId="18">Scheduled_Payment+Extra_Payment</definedName>
    <definedName name="t_1" localSheetId="19">Scheduled_Payment+Extra_Payment</definedName>
    <definedName name="t_1" localSheetId="21">Scheduled_Payment+Extra_Payment</definedName>
    <definedName name="t_1" localSheetId="22">Scheduled_Payment+Extra_Payment</definedName>
    <definedName name="t_1" localSheetId="6">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30">Scheduled_Payment+Extra_Payment</definedName>
    <definedName name="t_1" localSheetId="31">Scheduled_Payment+Extra_Payment</definedName>
    <definedName name="t_1" localSheetId="33">Scheduled_Payment+Extra_Payment</definedName>
    <definedName name="t_1" localSheetId="7">Scheduled_Payment+Extra_Payment</definedName>
    <definedName name="t_1" localSheetId="34">Scheduled_Payment+Extra_Payment</definedName>
    <definedName name="t_1" localSheetId="36">Scheduled_Payment+Extra_Payment</definedName>
    <definedName name="t_1" localSheetId="37">Scheduled_Payment+Extra_Payment</definedName>
    <definedName name="t_1" localSheetId="9">Scheduled_Payment+Extra_Payment</definedName>
    <definedName name="t_1" localSheetId="10">Scheduled_Payment+Extra_Payment</definedName>
    <definedName name="t_1" localSheetId="12">Scheduled_Payment+Extra_Payment</definedName>
    <definedName name="t_1" localSheetId="13">Scheduled_Payment+Extra_Payment</definedName>
    <definedName name="t_1" localSheetId="38">Scheduled_Payment+Extra_Payment</definedName>
    <definedName name="t_1">Scheduled_Payment+Extra_Payment</definedName>
    <definedName name="t5t5" localSheetId="38"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38"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8">[0]!ERR</definedName>
    <definedName name="TER">[0]!ERR</definedName>
    <definedName name="TERM" localSheetId="38">[0]!ERR</definedName>
    <definedName name="TERM">[0]!ERR</definedName>
    <definedName name="TÉRMINOS" localSheetId="38">[0]!ERR</definedName>
    <definedName name="TÉRMINOS">[0]!ERR</definedName>
    <definedName name="TERR">#REF!</definedName>
    <definedName name="tewst" localSheetId="38" hidden="1">{"TAB1",#N/A,TRUE,"GENERAL";"TAB2",#N/A,TRUE,"GENERAL";"TAB3",#N/A,TRUE,"GENERAL";"TAB4",#N/A,TRUE,"GENERAL";"TAB5",#N/A,TRUE,"GENERAL"}</definedName>
    <definedName name="tewst" hidden="1">{"TAB1",#N/A,TRUE,"GENERAL";"TAB2",#N/A,TRUE,"GENERAL";"TAB3",#N/A,TRUE,"GENERAL";"TAB4",#N/A,TRUE,"GENERAL";"TAB5",#N/A,TRUE,"GENERAL"}</definedName>
    <definedName name="teytrh" localSheetId="38" hidden="1">{"via1",#N/A,TRUE,"general";"via2",#N/A,TRUE,"general";"via3",#N/A,TRUE,"general"}</definedName>
    <definedName name="teytrh" hidden="1">{"via1",#N/A,TRUE,"general";"via2",#N/A,TRUE,"general";"via3",#N/A,TRUE,"general"}</definedName>
    <definedName name="TGB">#REF!</definedName>
    <definedName name="TH">#REF!</definedName>
    <definedName name="thdh" localSheetId="38"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8"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38" hidden="1">{"TAB1",#N/A,TRUE,"GENERAL";"TAB2",#N/A,TRUE,"GENERAL";"TAB3",#N/A,TRUE,"GENERAL";"TAB4",#N/A,TRUE,"GENERAL";"TAB5",#N/A,TRUE,"GENERAL"}</definedName>
    <definedName name="tortas" hidden="1">{"TAB1",#N/A,TRUE,"GENERAL";"TAB2",#N/A,TRUE,"GENERAL";"TAB3",#N/A,TRUE,"GENERAL";"TAB4",#N/A,TRUE,"GENERAL";"TAB5",#N/A,TRUE,"GENERAL"}</definedName>
    <definedName name="tortas2" localSheetId="38" hidden="1">{"via1",#N/A,TRUE,"general";"via2",#N/A,TRUE,"general";"via3",#N/A,TRUE,"general"}</definedName>
    <definedName name="tortas2" hidden="1">{"via1",#N/A,TRUE,"general";"via2",#N/A,TRUE,"general";"via3",#N/A,TRUE,"general"}</definedName>
    <definedName name="TOT">#REF!</definedName>
    <definedName name="TOTAL">#REF!</definedName>
    <definedName name="total_hh">#REF!</definedName>
    <definedName name="Total_Interest">#REF!</definedName>
    <definedName name="Total_Pay">#REF!</definedName>
    <definedName name="Total_Payment" localSheetId="15">Scheduled_Payment+Extra_Payment</definedName>
    <definedName name="Total_Payment" localSheetId="16">Scheduled_Payment+Extra_Payment</definedName>
    <definedName name="Total_Payment" localSheetId="18">Scheduled_Payment+Extra_Payment</definedName>
    <definedName name="Total_Payment" localSheetId="19">Scheduled_Payment+Extra_Payment</definedName>
    <definedName name="Total_Payment" localSheetId="21">Scheduled_Payment+Extra_Payment</definedName>
    <definedName name="Total_Payment" localSheetId="22">Scheduled_Payment+Extra_Payment</definedName>
    <definedName name="Total_Payment" localSheetId="6">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30">Scheduled_Payment+Extra_Payment</definedName>
    <definedName name="Total_Payment" localSheetId="31">Scheduled_Payment+Extra_Payment</definedName>
    <definedName name="Total_Payment" localSheetId="33">Scheduled_Payment+Extra_Payment</definedName>
    <definedName name="Total_Payment" localSheetId="7">Scheduled_Payment+Extra_Payment</definedName>
    <definedName name="Total_Payment" localSheetId="34">Scheduled_Payment+Extra_Payment</definedName>
    <definedName name="Total_Payment" localSheetId="36">Scheduled_Payment+Extra_Payment</definedName>
    <definedName name="Total_Payment" localSheetId="37">Scheduled_Payment+Extra_Payment</definedName>
    <definedName name="Total_Payment" localSheetId="9">Scheduled_Payment+Extra_Payment</definedName>
    <definedName name="Total_Payment" localSheetId="10">Scheduled_Payment+Extra_Payment</definedName>
    <definedName name="Total_Payment" localSheetId="12">Scheduled_Payment+Extra_Payment</definedName>
    <definedName name="Total_Payment" localSheetId="13">Scheduled_Payment+Extra_Payment</definedName>
    <definedName name="Total_Payment" localSheetId="38">Scheduled_Payment+Extra_Payment</definedName>
    <definedName name="Total_Payment">Scheduled_Payment+Extra_Payment</definedName>
    <definedName name="Total_Payment1" localSheetId="15">Scheduled_Payment+Extra_Payment</definedName>
    <definedName name="Total_Payment1" localSheetId="16">Scheduled_Payment+Extra_Payment</definedName>
    <definedName name="Total_Payment1" localSheetId="18">Scheduled_Payment+Extra_Payment</definedName>
    <definedName name="Total_Payment1" localSheetId="19">Scheduled_Payment+Extra_Payment</definedName>
    <definedName name="Total_Payment1" localSheetId="21">Scheduled_Payment+Extra_Payment</definedName>
    <definedName name="Total_Payment1" localSheetId="22">Scheduled_Payment+Extra_Payment</definedName>
    <definedName name="Total_Payment1" localSheetId="6">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30">Scheduled_Payment+Extra_Payment</definedName>
    <definedName name="Total_Payment1" localSheetId="31">Scheduled_Payment+Extra_Payment</definedName>
    <definedName name="Total_Payment1" localSheetId="33">Scheduled_Payment+Extra_Payment</definedName>
    <definedName name="Total_Payment1" localSheetId="7">Scheduled_Payment+Extra_Payment</definedName>
    <definedName name="Total_Payment1" localSheetId="34">Scheduled_Payment+Extra_Payment</definedName>
    <definedName name="Total_Payment1" localSheetId="36">Scheduled_Payment+Extra_Payment</definedName>
    <definedName name="Total_Payment1" localSheetId="37">Scheduled_Payment+Extra_Payment</definedName>
    <definedName name="Total_Payment1" localSheetId="9">Scheduled_Payment+Extra_Payment</definedName>
    <definedName name="Total_Payment1" localSheetId="10">Scheduled_Payment+Extra_Payment</definedName>
    <definedName name="Total_Payment1" localSheetId="12">Scheduled_Payment+Extra_Payment</definedName>
    <definedName name="Total_Payment1" localSheetId="13">Scheduled_Payment+Extra_Payment</definedName>
    <definedName name="Total_Payment1" localSheetId="38">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38"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localSheetId="38" hidden="1">{"TAB1",#N/A,TRUE,"GENERAL";"TAB2",#N/A,TRUE,"GENERAL";"TAB3",#N/A,TRUE,"GENERAL";"TAB4",#N/A,TRUE,"GENERAL";"TAB5",#N/A,TRUE,"GENERAL"}</definedName>
    <definedName name="trest" hidden="1">{"TAB1",#N/A,TRUE,"GENERAL";"TAB2",#N/A,TRUE,"GENERAL";"TAB3",#N/A,TRUE,"GENERAL";"TAB4",#N/A,TRUE,"GENERAL";"TAB5",#N/A,TRUE,"GENERAL"}</definedName>
    <definedName name="tret" localSheetId="38" hidden="1">{"TAB1",#N/A,TRUE,"GENERAL";"TAB2",#N/A,TRUE,"GENERAL";"TAB3",#N/A,TRUE,"GENERAL";"TAB4",#N/A,TRUE,"GENERAL";"TAB5",#N/A,TRUE,"GENERAL"}</definedName>
    <definedName name="tret" hidden="1">{"TAB1",#N/A,TRUE,"GENERAL";"TAB2",#N/A,TRUE,"GENERAL";"TAB3",#N/A,TRUE,"GENERAL";"TAB4",#N/A,TRUE,"GENERAL";"TAB5",#N/A,TRUE,"GENERAL"}</definedName>
    <definedName name="trh" localSheetId="38" hidden="1">{"via1",#N/A,TRUE,"general";"via2",#N/A,TRUE,"general";"via3",#N/A,TRUE,"general"}</definedName>
    <definedName name="trh" hidden="1">{"via1",#N/A,TRUE,"general";"via2",#N/A,TRUE,"general";"via3",#N/A,TRUE,"general"}</definedName>
    <definedName name="trhfh" localSheetId="38"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8" hidden="1">{"via1",#N/A,TRUE,"general";"via2",#N/A,TRUE,"general";"via3",#N/A,TRUE,"general"}</definedName>
    <definedName name="trjfgjh" hidden="1">{"via1",#N/A,TRUE,"general";"via2",#N/A,TRUE,"general";"via3",#N/A,TRUE,"general"}</definedName>
    <definedName name="TRM">#REF!</definedName>
    <definedName name="tru" localSheetId="38" hidden="1">{"via1",#N/A,TRUE,"general";"via2",#N/A,TRUE,"general";"via3",#N/A,TRUE,"general"}</definedName>
    <definedName name="tru" hidden="1">{"via1",#N/A,TRUE,"general";"via2",#N/A,TRUE,"general";"via3",#N/A,TRUE,"general"}</definedName>
    <definedName name="truds" localSheetId="38" hidden="1">{"via1",#N/A,TRUE,"general";"via2",#N/A,TRUE,"general";"via3",#N/A,TRUE,"general"}</definedName>
    <definedName name="truds" hidden="1">{"via1",#N/A,TRUE,"general";"via2",#N/A,TRUE,"general";"via3",#N/A,TRUE,"general"}</definedName>
    <definedName name="trutu" localSheetId="38" hidden="1">{"via1",#N/A,TRUE,"general";"via2",#N/A,TRUE,"general";"via3",#N/A,TRUE,"general"}</definedName>
    <definedName name="trutu" hidden="1">{"via1",#N/A,TRUE,"general";"via2",#N/A,TRUE,"general";"via3",#N/A,TRUE,"general"}</definedName>
    <definedName name="trydfg" localSheetId="38" hidden="1">{"via1",#N/A,TRUE,"general";"via2",#N/A,TRUE,"general";"via3",#N/A,TRUE,"general"}</definedName>
    <definedName name="trydfg" hidden="1">{"via1",#N/A,TRUE,"general";"via2",#N/A,TRUE,"general";"via3",#N/A,TRUE,"general"}</definedName>
    <definedName name="trydtrygf" localSheetId="38" hidden="1">{"via1",#N/A,TRUE,"general";"via2",#N/A,TRUE,"general";"via3",#N/A,TRUE,"general"}</definedName>
    <definedName name="trydtrygf" hidden="1">{"via1",#N/A,TRUE,"general";"via2",#N/A,TRUE,"general";"via3",#N/A,TRUE,"general"}</definedName>
    <definedName name="tryery" localSheetId="38" hidden="1">{"TAB1",#N/A,TRUE,"GENERAL";"TAB2",#N/A,TRUE,"GENERAL";"TAB3",#N/A,TRUE,"GENERAL";"TAB4",#N/A,TRUE,"GENERAL";"TAB5",#N/A,TRUE,"GENERAL"}</definedName>
    <definedName name="tryery" hidden="1">{"TAB1",#N/A,TRUE,"GENERAL";"TAB2",#N/A,TRUE,"GENERAL";"TAB3",#N/A,TRUE,"GENERAL";"TAB4",#N/A,TRUE,"GENERAL";"TAB5",#N/A,TRUE,"GENERAL"}</definedName>
    <definedName name="tryi6" localSheetId="38" hidden="1">{"TAB1",#N/A,TRUE,"GENERAL";"TAB2",#N/A,TRUE,"GENERAL";"TAB3",#N/A,TRUE,"GENERAL";"TAB4",#N/A,TRUE,"GENERAL";"TAB5",#N/A,TRUE,"GENERAL"}</definedName>
    <definedName name="tryi6" hidden="1">{"TAB1",#N/A,TRUE,"GENERAL";"TAB2",#N/A,TRUE,"GENERAL";"TAB3",#N/A,TRUE,"GENERAL";"TAB4",#N/A,TRUE,"GENERAL";"TAB5",#N/A,TRUE,"GENERAL"}</definedName>
    <definedName name="tryrth" localSheetId="38" hidden="1">{"via1",#N/A,TRUE,"general";"via2",#N/A,TRUE,"general";"via3",#N/A,TRUE,"general"}</definedName>
    <definedName name="tryrth" hidden="1">{"via1",#N/A,TRUE,"general";"via2",#N/A,TRUE,"general";"via3",#N/A,TRUE,"general"}</definedName>
    <definedName name="tsert" localSheetId="38"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38" hidden="1">{"via1",#N/A,TRUE,"general";"via2",#N/A,TRUE,"general";"via3",#N/A,TRUE,"general"}</definedName>
    <definedName name="TTR" hidden="1">{"via1",#N/A,TRUE,"general";"via2",#N/A,TRUE,"general";"via3",#N/A,TRUE,"general"}</definedName>
    <definedName name="ttrff" localSheetId="38" hidden="1">{"via1",#N/A,TRUE,"general";"via2",#N/A,TRUE,"general";"via3",#N/A,TRUE,"general"}</definedName>
    <definedName name="ttrff" hidden="1">{"via1",#N/A,TRUE,"general";"via2",#N/A,TRUE,"general";"via3",#N/A,TRUE,"general"}</definedName>
    <definedName name="ttt" localSheetId="38" hidden="1">{"TAB1",#N/A,TRUE,"GENERAL";"TAB2",#N/A,TRUE,"GENERAL";"TAB3",#N/A,TRUE,"GENERAL";"TAB4",#N/A,TRUE,"GENERAL";"TAB5",#N/A,TRUE,"GENERAL"}</definedName>
    <definedName name="ttt" hidden="1">{"TAB1",#N/A,TRUE,"GENERAL";"TAB2",#N/A,TRUE,"GENERAL";"TAB3",#N/A,TRUE,"GENERAL";"TAB4",#N/A,TRUE,"GENERAL";"TAB5",#N/A,TRUE,"GENERAL"}</definedName>
    <definedName name="tttt7" localSheetId="38" hidden="1">{"via1",#N/A,TRUE,"general";"via2",#N/A,TRUE,"general";"via3",#N/A,TRUE,"general"}</definedName>
    <definedName name="tttt7" hidden="1">{"via1",#N/A,TRUE,"general";"via2",#N/A,TRUE,"general";"via3",#N/A,TRUE,"general"}</definedName>
    <definedName name="tttthy" localSheetId="38" hidden="1">{"TAB1",#N/A,TRUE,"GENERAL";"TAB2",#N/A,TRUE,"GENERAL";"TAB3",#N/A,TRUE,"GENERAL";"TAB4",#N/A,TRUE,"GENERAL";"TAB5",#N/A,TRUE,"GENERAL"}</definedName>
    <definedName name="tttthy" hidden="1">{"TAB1",#N/A,TRUE,"GENERAL";"TAB2",#N/A,TRUE,"GENERAL";"TAB3",#N/A,TRUE,"GENERAL";"TAB4",#N/A,TRUE,"GENERAL";"TAB5",#N/A,TRUE,"GENERAL"}</definedName>
    <definedName name="ttttr" localSheetId="38" hidden="1">{"via1",#N/A,TRUE,"general";"via2",#N/A,TRUE,"general";"via3",#N/A,TRUE,"general"}</definedName>
    <definedName name="ttttr" hidden="1">{"via1",#N/A,TRUE,"general";"via2",#N/A,TRUE,"general";"via3",#N/A,TRUE,"general"}</definedName>
    <definedName name="ttttt" localSheetId="38" hidden="1">{"TAB1",#N/A,TRUE,"GENERAL";"TAB2",#N/A,TRUE,"GENERAL";"TAB3",#N/A,TRUE,"GENERAL";"TAB4",#N/A,TRUE,"GENERAL";"TAB5",#N/A,TRUE,"GENERAL"}</definedName>
    <definedName name="ttttt" hidden="1">{"TAB1",#N/A,TRUE,"GENERAL";"TAB2",#N/A,TRUE,"GENERAL";"TAB3",#N/A,TRUE,"GENERAL";"TAB4",#N/A,TRUE,"GENERAL";"TAB5",#N/A,TRUE,"GENERAL"}</definedName>
    <definedName name="tu" localSheetId="38"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8" hidden="1">{"TAB1",#N/A,TRUE,"GENERAL";"TAB2",#N/A,TRUE,"GENERAL";"TAB3",#N/A,TRUE,"GENERAL";"TAB4",#N/A,TRUE,"GENERAL";"TAB5",#N/A,TRUE,"GENERAL"}</definedName>
    <definedName name="tur" hidden="1">{"TAB1",#N/A,TRUE,"GENERAL";"TAB2",#N/A,TRUE,"GENERAL";"TAB3",#N/A,TRUE,"GENERAL";"TAB4",#N/A,TRUE,"GENERAL";"TAB5",#N/A,TRUE,"GENERAL"}</definedName>
    <definedName name="turu" localSheetId="38"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38" hidden="1">{"TAB1",#N/A,TRUE,"GENERAL";"TAB2",#N/A,TRUE,"GENERAL";"TAB3",#N/A,TRUE,"GENERAL";"TAB4",#N/A,TRUE,"GENERAL";"TAB5",#N/A,TRUE,"GENERAL"}</definedName>
    <definedName name="twer" hidden="1">{"TAB1",#N/A,TRUE,"GENERAL";"TAB2",#N/A,TRUE,"GENERAL";"TAB3",#N/A,TRUE,"GENERAL";"TAB4",#N/A,TRUE,"GENERAL";"TAB5",#N/A,TRUE,"GENERAL"}</definedName>
    <definedName name="twet" localSheetId="38" hidden="1">{"TAB1",#N/A,TRUE,"GENERAL";"TAB2",#N/A,TRUE,"GENERAL";"TAB3",#N/A,TRUE,"GENERAL";"TAB4",#N/A,TRUE,"GENERAL";"TAB5",#N/A,TRUE,"GENERAL"}</definedName>
    <definedName name="twet" hidden="1">{"TAB1",#N/A,TRUE,"GENERAL";"TAB2",#N/A,TRUE,"GENERAL";"TAB3",#N/A,TRUE,"GENERAL";"TAB4",#N/A,TRUE,"GENERAL";"TAB5",#N/A,TRUE,"GENERAL"}</definedName>
    <definedName name="ty" localSheetId="38" hidden="1">{"via1",#N/A,TRUE,"general";"via2",#N/A,TRUE,"general";"via3",#N/A,TRUE,"general"}</definedName>
    <definedName name="ty" hidden="1">{"via1",#N/A,TRUE,"general";"via2",#N/A,TRUE,"general";"via3",#N/A,TRUE,"general"}</definedName>
    <definedName name="tyery" localSheetId="38" hidden="1">{"via1",#N/A,TRUE,"general";"via2",#N/A,TRUE,"general";"via3",#N/A,TRUE,"general"}</definedName>
    <definedName name="tyery" hidden="1">{"via1",#N/A,TRUE,"general";"via2",#N/A,TRUE,"general";"via3",#N/A,TRUE,"general"}</definedName>
    <definedName name="tyj" localSheetId="38" hidden="1">{"TAB1",#N/A,TRUE,"GENERAL";"TAB2",#N/A,TRUE,"GENERAL";"TAB3",#N/A,TRUE,"GENERAL";"TAB4",#N/A,TRUE,"GENERAL";"TAB5",#N/A,TRUE,"GENERAL"}</definedName>
    <definedName name="tyj" hidden="1">{"TAB1",#N/A,TRUE,"GENERAL";"TAB2",#N/A,TRUE,"GENERAL";"TAB3",#N/A,TRUE,"GENERAL";"TAB4",#N/A,TRUE,"GENERAL";"TAB5",#N/A,TRUE,"GENERAL"}</definedName>
    <definedName name="tyjtyj" localSheetId="38" hidden="1">{"TAB1",#N/A,TRUE,"GENERAL";"TAB2",#N/A,TRUE,"GENERAL";"TAB3",#N/A,TRUE,"GENERAL";"TAB4",#N/A,TRUE,"GENERAL";"TAB5",#N/A,TRUE,"GENERAL"}</definedName>
    <definedName name="tyjtyj"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hidden="1">{"TAB1",#N/A,TRUE,"GENERAL";"TAB2",#N/A,TRUE,"GENERAL";"TAB3",#N/A,TRUE,"GENERAL";"TAB4",#N/A,TRUE,"GENERAL";"TAB5",#N/A,TRUE,"GENERAL"}</definedName>
    <definedName name="tyk" localSheetId="38" hidden="1">{"via1",#N/A,TRUE,"general";"via2",#N/A,TRUE,"general";"via3",#N/A,TRUE,"general"}</definedName>
    <definedName name="tyk" hidden="1">{"via1",#N/A,TRUE,"general";"via2",#N/A,TRUE,"general";"via3",#N/A,TRUE,"general"}</definedName>
    <definedName name="tym" localSheetId="38" hidden="1">{"via1",#N/A,TRUE,"general";"via2",#N/A,TRUE,"general";"via3",#N/A,TRUE,"general"}</definedName>
    <definedName name="tym" hidden="1">{"via1",#N/A,TRUE,"general";"via2",#N/A,TRUE,"general";"via3",#N/A,TRUE,"general"}</definedName>
    <definedName name="tyr" localSheetId="38" hidden="1">{"via1",#N/A,TRUE,"general";"via2",#N/A,TRUE,"general";"via3",#N/A,TRUE,"general"}</definedName>
    <definedName name="tyr" hidden="1">{"via1",#N/A,TRUE,"general";"via2",#N/A,TRUE,"general";"via3",#N/A,TRUE,"general"}</definedName>
    <definedName name="tytgfhgfh" localSheetId="38" hidden="1">{"TAB1",#N/A,TRUE,"GENERAL";"TAB2",#N/A,TRUE,"GENERAL";"TAB3",#N/A,TRUE,"GENERAL";"TAB4",#N/A,TRUE,"GENERAL";"TAB5",#N/A,TRUE,"GENERAL"}</definedName>
    <definedName name="tytgfhgfh" hidden="1">{"TAB1",#N/A,TRUE,"GENERAL";"TAB2",#N/A,TRUE,"GENERAL";"TAB3",#N/A,TRUE,"GENERAL";"TAB4",#N/A,TRUE,"GENERAL";"TAB5",#N/A,TRUE,"GENERAL"}</definedName>
    <definedName name="tyty" localSheetId="38" hidden="1">{"TAB1",#N/A,TRUE,"GENERAL";"TAB2",#N/A,TRUE,"GENERAL";"TAB3",#N/A,TRUE,"GENERAL";"TAB4",#N/A,TRUE,"GENERAL";"TAB5",#N/A,TRUE,"GENERAL"}</definedName>
    <definedName name="tyty" hidden="1">{"TAB1",#N/A,TRUE,"GENERAL";"TAB2",#N/A,TRUE,"GENERAL";"TAB3",#N/A,TRUE,"GENERAL";"TAB4",#N/A,TRUE,"GENERAL";"TAB5",#N/A,TRUE,"GENERAL"}</definedName>
    <definedName name="TYUIYI" localSheetId="38" hidden="1">{"TAB1",#N/A,TRUE,"GENERAL";"TAB2",#N/A,TRUE,"GENERAL";"TAB3",#N/A,TRUE,"GENERAL";"TAB4",#N/A,TRUE,"GENERAL";"TAB5",#N/A,TRUE,"GENERAL"}</definedName>
    <definedName name="TYUIYI" hidden="1">{"TAB1",#N/A,TRUE,"GENERAL";"TAB2",#N/A,TRUE,"GENERAL";"TAB3",#N/A,TRUE,"GENERAL";"TAB4",#N/A,TRUE,"GENERAL";"TAB5",#N/A,TRUE,"GENERAL"}</definedName>
    <definedName name="tyujh" localSheetId="38" hidden="1">{"TAB1",#N/A,TRUE,"GENERAL";"TAB2",#N/A,TRUE,"GENERAL";"TAB3",#N/A,TRUE,"GENERAL";"TAB4",#N/A,TRUE,"GENERAL";"TAB5",#N/A,TRUE,"GENERAL"}</definedName>
    <definedName name="tyujh" hidden="1">{"TAB1",#N/A,TRUE,"GENERAL";"TAB2",#N/A,TRUE,"GENERAL";"TAB3",#N/A,TRUE,"GENERAL";"TAB4",#N/A,TRUE,"GENERAL";"TAB5",#N/A,TRUE,"GENERAL"}</definedName>
    <definedName name="tyuty" localSheetId="38" hidden="1">{"TAB1",#N/A,TRUE,"GENERAL";"TAB2",#N/A,TRUE,"GENERAL";"TAB3",#N/A,TRUE,"GENERAL";"TAB4",#N/A,TRUE,"GENERAL";"TAB5",#N/A,TRUE,"GENERAL"}</definedName>
    <definedName name="tyuty" hidden="1">{"TAB1",#N/A,TRUE,"GENERAL";"TAB2",#N/A,TRUE,"GENERAL";"TAB3",#N/A,TRUE,"GENERAL";"TAB4",#N/A,TRUE,"GENERAL";"TAB5",#N/A,TRUE,"GENERAL"}</definedName>
    <definedName name="tyutyu" localSheetId="38" hidden="1">{"via1",#N/A,TRUE,"general";"via2",#N/A,TRUE,"general";"via3",#N/A,TRUE,"general"}</definedName>
    <definedName name="tyutyu" hidden="1">{"via1",#N/A,TRUE,"general";"via2",#N/A,TRUE,"general";"via3",#N/A,TRUE,"general"}</definedName>
    <definedName name="tyxg" localSheetId="38" hidden="1">{"via1",#N/A,TRUE,"general";"via2",#N/A,TRUE,"general";"via3",#N/A,TRUE,"general"}</definedName>
    <definedName name="tyxg" hidden="1">{"via1",#N/A,TRUE,"general";"via2",#N/A,TRUE,"general";"via3",#N/A,TRUE,"general"}</definedName>
    <definedName name="U">#REF!</definedName>
    <definedName name="u3u" localSheetId="38" hidden="1">{"TAB1",#N/A,TRUE,"GENERAL";"TAB2",#N/A,TRUE,"GENERAL";"TAB3",#N/A,TRUE,"GENERAL";"TAB4",#N/A,TRUE,"GENERAL";"TAB5",#N/A,TRUE,"GENERAL"}</definedName>
    <definedName name="u3u" hidden="1">{"TAB1",#N/A,TRUE,"GENERAL";"TAB2",#N/A,TRUE,"GENERAL";"TAB3",#N/A,TRUE,"GENERAL";"TAB4",#N/A,TRUE,"GENERAL";"TAB5",#N/A,TRUE,"GENERAL"}</definedName>
    <definedName name="u7u7" localSheetId="38"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38" hidden="1">{"via1",#N/A,TRUE,"general";"via2",#N/A,TRUE,"general";"via3",#N/A,TRUE,"general"}</definedName>
    <definedName name="UI" hidden="1">{"via1",#N/A,TRUE,"general";"via2",#N/A,TRUE,"general";"via3",#N/A,TRUE,"general"}</definedName>
    <definedName name="UIC">#REF!</definedName>
    <definedName name="uijhj" localSheetId="38" hidden="1">{"via1",#N/A,TRUE,"general";"via2",#N/A,TRUE,"general";"via3",#N/A,TRUE,"general"}</definedName>
    <definedName name="uijhj" hidden="1">{"via1",#N/A,TRUE,"general";"via2",#N/A,TRUE,"general";"via3",#N/A,TRUE,"general"}</definedName>
    <definedName name="uio" localSheetId="38" hidden="1">{"TAB1",#N/A,TRUE,"GENERAL";"TAB2",#N/A,TRUE,"GENERAL";"TAB3",#N/A,TRUE,"GENERAL";"TAB4",#N/A,TRUE,"GENERAL";"TAB5",#N/A,TRUE,"GENERAL"}</definedName>
    <definedName name="uio" hidden="1">{"TAB1",#N/A,TRUE,"GENERAL";"TAB2",#N/A,TRUE,"GENERAL";"TAB3",#N/A,TRUE,"GENERAL";"TAB4",#N/A,TRUE,"GENERAL";"TAB5",#N/A,TRUE,"GENERAL"}</definedName>
    <definedName name="uiou" localSheetId="38" hidden="1">{"TAB1",#N/A,TRUE,"GENERAL";"TAB2",#N/A,TRUE,"GENERAL";"TAB3",#N/A,TRUE,"GENERAL";"TAB4",#N/A,TRUE,"GENERAL";"TAB5",#N/A,TRUE,"GENERAL"}</definedName>
    <definedName name="uiou" hidden="1">{"TAB1",#N/A,TRUE,"GENERAL";"TAB2",#N/A,TRUE,"GENERAL";"TAB3",#N/A,TRUE,"GENERAL";"TAB4",#N/A,TRUE,"GENERAL";"TAB5",#N/A,TRUE,"GENERAL"}</definedName>
    <definedName name="uir" localSheetId="38" hidden="1">{"via1",#N/A,TRUE,"general";"via2",#N/A,TRUE,"general";"via3",#N/A,TRUE,"general"}</definedName>
    <definedName name="uir" hidden="1">{"via1",#N/A,TRUE,"general";"via2",#N/A,TRUE,"general";"via3",#N/A,TRUE,"general"}</definedName>
    <definedName name="uituii" localSheetId="38" hidden="1">{"TAB1",#N/A,TRUE,"GENERAL";"TAB2",#N/A,TRUE,"GENERAL";"TAB3",#N/A,TRUE,"GENERAL";"TAB4",#N/A,TRUE,"GENERAL";"TAB5",#N/A,TRUE,"GENERAL"}</definedName>
    <definedName name="uituii" hidden="1">{"TAB1",#N/A,TRUE,"GENERAL";"TAB2",#N/A,TRUE,"GENERAL";"TAB3",#N/A,TRUE,"GENERAL";"TAB4",#N/A,TRUE,"GENERAL";"TAB5",#N/A,TRUE,"GENERAL"}</definedName>
    <definedName name="uityjj" localSheetId="38" hidden="1">{"via1",#N/A,TRUE,"general";"via2",#N/A,TRUE,"general";"via3",#N/A,TRUE,"general"}</definedName>
    <definedName name="uityjj" hidden="1">{"via1",#N/A,TRUE,"general";"via2",#N/A,TRUE,"general";"via3",#N/A,TRUE,"general"}</definedName>
    <definedName name="uiufgj" localSheetId="38" hidden="1">{"TAB1",#N/A,TRUE,"GENERAL";"TAB2",#N/A,TRUE,"GENERAL";"TAB3",#N/A,TRUE,"GENERAL";"TAB4",#N/A,TRUE,"GENERAL";"TAB5",#N/A,TRUE,"GENERAL"}</definedName>
    <definedName name="uiufgj" hidden="1">{"TAB1",#N/A,TRUE,"GENERAL";"TAB2",#N/A,TRUE,"GENERAL";"TAB3",#N/A,TRUE,"GENERAL";"TAB4",#N/A,TRUE,"GENERAL";"TAB5",#N/A,TRUE,"GENERAL"}</definedName>
    <definedName name="UIUYI" localSheetId="38"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 localSheetId="38">[0]!ERR</definedName>
    <definedName name="uno">[0]!ERR</definedName>
    <definedName name="UOUIV" localSheetId="38" hidden="1">{"TAB1",#N/A,TRUE,"GENERAL";"TAB2",#N/A,TRUE,"GENERAL";"TAB3",#N/A,TRUE,"GENERAL";"TAB4",#N/A,TRUE,"GENERAL";"TAB5",#N/A,TRUE,"GENERAL"}</definedName>
    <definedName name="UOUIV" hidden="1">{"TAB1",#N/A,TRUE,"GENERAL";"TAB2",#N/A,TRUE,"GENERAL";"TAB3",#N/A,TRUE,"GENERAL";"TAB4",#N/A,TRUE,"GENERAL";"TAB5",#N/A,TRUE,"GENERAL"}</definedName>
    <definedName name="uriel" localSheetId="38">[0]!ERR</definedName>
    <definedName name="uriel">[0]!ERR</definedName>
    <definedName name="uryur" localSheetId="38"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38" hidden="1">{"TAB1",#N/A,TRUE,"GENERAL";"TAB2",#N/A,TRUE,"GENERAL";"TAB3",#N/A,TRUE,"GENERAL";"TAB4",#N/A,TRUE,"GENERAL";"TAB5",#N/A,TRUE,"GENERAL"}</definedName>
    <definedName name="uu" hidden="1">{"TAB1",#N/A,TRUE,"GENERAL";"TAB2",#N/A,TRUE,"GENERAL";"TAB3",#N/A,TRUE,"GENERAL";"TAB4",#N/A,TRUE,"GENERAL";"TAB5",#N/A,TRUE,"GENERAL"}</definedName>
    <definedName name="uuu" localSheetId="38" hidden="1">{"TAB1",#N/A,TRUE,"GENERAL";"TAB2",#N/A,TRUE,"GENERAL";"TAB3",#N/A,TRUE,"GENERAL";"TAB4",#N/A,TRUE,"GENERAL";"TAB5",#N/A,TRUE,"GENERAL"}</definedName>
    <definedName name="uuu" hidden="1">{"TAB1",#N/A,TRUE,"GENERAL";"TAB2",#N/A,TRUE,"GENERAL";"TAB3",#N/A,TRUE,"GENERAL";"TAB4",#N/A,TRUE,"GENERAL";"TAB5",#N/A,TRUE,"GENERAL"}</definedName>
    <definedName name="uuuuo" localSheetId="38" hidden="1">{"TAB1",#N/A,TRUE,"GENERAL";"TAB2",#N/A,TRUE,"GENERAL";"TAB3",#N/A,TRUE,"GENERAL";"TAB4",#N/A,TRUE,"GENERAL";"TAB5",#N/A,TRUE,"GENERAL"}</definedName>
    <definedName name="uuuuo" hidden="1">{"TAB1",#N/A,TRUE,"GENERAL";"TAB2",#N/A,TRUE,"GENERAL";"TAB3",#N/A,TRUE,"GENERAL";"TAB4",#N/A,TRUE,"GENERAL";"TAB5",#N/A,TRUE,"GENERAL"}</definedName>
    <definedName name="uuuuuj" localSheetId="38" hidden="1">{"via1",#N/A,TRUE,"general";"via2",#N/A,TRUE,"general";"via3",#N/A,TRUE,"general"}</definedName>
    <definedName name="uuuuuj" hidden="1">{"via1",#N/A,TRUE,"general";"via2",#N/A,TRUE,"general";"via3",#N/A,TRUE,"general"}</definedName>
    <definedName name="uv">375000</definedName>
    <definedName name="uwkap" localSheetId="38" hidden="1">{"TAB1",#N/A,TRUE,"GENERAL";"TAB2",#N/A,TRUE,"GENERAL";"TAB3",#N/A,TRUE,"GENERAL";"TAB4",#N/A,TRUE,"GENERAL";"TAB5",#N/A,TRUE,"GENERAL"}</definedName>
    <definedName name="uwkap" hidden="1">{"TAB1",#N/A,TRUE,"GENERAL";"TAB2",#N/A,TRUE,"GENERAL";"TAB3",#N/A,TRUE,"GENERAL";"TAB4",#N/A,TRUE,"GENERAL";"TAB5",#N/A,TRUE,"GENERAL"}</definedName>
    <definedName name="uyiyiy" localSheetId="38" hidden="1">{"TAB1",#N/A,TRUE,"GENERAL";"TAB2",#N/A,TRUE,"GENERAL";"TAB3",#N/A,TRUE,"GENERAL";"TAB4",#N/A,TRUE,"GENERAL";"TAB5",#N/A,TRUE,"GENERAL"}</definedName>
    <definedName name="uyiyiy" hidden="1">{"TAB1",#N/A,TRUE,"GENERAL";"TAB2",#N/A,TRUE,"GENERAL";"TAB3",#N/A,TRUE,"GENERAL";"TAB4",#N/A,TRUE,"GENERAL";"TAB5",#N/A,TRUE,"GENERAL"}</definedName>
    <definedName name="uytu" localSheetId="38" hidden="1">{"TAB1",#N/A,TRUE,"GENERAL";"TAB2",#N/A,TRUE,"GENERAL";"TAB3",#N/A,TRUE,"GENERAL";"TAB4",#N/A,TRUE,"GENERAL";"TAB5",#N/A,TRUE,"GENERAL"}</definedName>
    <definedName name="uytu" hidden="1">{"TAB1",#N/A,TRUE,"GENERAL";"TAB2",#N/A,TRUE,"GENERAL";"TAB3",#N/A,TRUE,"GENERAL";"TAB4",#N/A,TRUE,"GENERAL";"TAB5",#N/A,TRUE,"GENERAL"}</definedName>
    <definedName name="uyur" localSheetId="38" hidden="1">{"via1",#N/A,TRUE,"general";"via2",#N/A,TRUE,"general";"via3",#N/A,TRUE,"general"}</definedName>
    <definedName name="uyur" hidden="1">{"via1",#N/A,TRUE,"general";"via2",#N/A,TRUE,"general";"via3",#N/A,TRUE,"general"}</definedName>
    <definedName name="v" localSheetId="38"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_final">#REF!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 localSheetId="38">IF([0]!Loan_Amount*[0]!Interest_Rate*[0]!Loan_Years*[0]!Loan_Start&gt;0,1,0)</definedName>
    <definedName name="Values_Entered">IF([0]!Loan_Amount*[0]!Interest_Rate*[0]!Loan_Years*[0]!Loan_Start&gt;0,1,0)</definedName>
    <definedName name="Válvulas">#REF!</definedName>
    <definedName name="Var">#REF!</definedName>
    <definedName name="VARIACION1">#REF!</definedName>
    <definedName name="Varios">#REF!</definedName>
    <definedName name="vbvbvbvb" localSheetId="38"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3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8" hidden="1">{"via1",#N/A,TRUE,"general";"via2",#N/A,TRUE,"general";"via3",#N/A,TRUE,"general"}</definedName>
    <definedName name="vdfvuio" hidden="1">{"via1",#N/A,TRUE,"general";"via2",#N/A,TRUE,"general";"via3",#N/A,TRUE,"general"}</definedName>
    <definedName name="vdsvnj" localSheetId="38"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38" hidden="1">{"via1",#N/A,TRUE,"general";"via2",#N/A,TRUE,"general";"via3",#N/A,TRUE,"general"}</definedName>
    <definedName name="vfbgnhyt" hidden="1">{"via1",#N/A,TRUE,"general";"via2",#N/A,TRUE,"general";"via3",#N/A,TRUE,"general"}</definedName>
    <definedName name="vfh">#REF!</definedName>
    <definedName name="VFR">#REF!</definedName>
    <definedName name="vfvdv" localSheetId="38" hidden="1">{"TAB1",#N/A,TRUE,"GENERAL";"TAB2",#N/A,TRUE,"GENERAL";"TAB3",#N/A,TRUE,"GENERAL";"TAB4",#N/A,TRUE,"GENERAL";"TAB5",#N/A,TRUE,"GENERAL"}</definedName>
    <definedName name="vfvdv" hidden="1">{"TAB1",#N/A,TRUE,"GENERAL";"TAB2",#N/A,TRUE,"GENERAL";"TAB3",#N/A,TRUE,"GENERAL";"TAB4",#N/A,TRUE,"GENERAL";"TAB5",#N/A,TRUE,"GENERAL"}</definedName>
    <definedName name="vfvf" localSheetId="38"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38" hidden="1">{"via1",#N/A,TRUE,"general";"via2",#N/A,TRUE,"general";"via3",#N/A,TRUE,"general"}</definedName>
    <definedName name="vk" hidden="1">{"via1",#N/A,TRUE,"general";"via2",#N/A,TRUE,"general";"via3",#N/A,TRUE,"general"}</definedName>
    <definedName name="vnbvxb" localSheetId="38" hidden="1">{"via1",#N/A,TRUE,"general";"via2",#N/A,TRUE,"general";"via3",#N/A,TRUE,"general"}</definedName>
    <definedName name="vnbvxb" hidden="1">{"via1",#N/A,TRUE,"general";"via2",#N/A,TRUE,"general";"via3",#N/A,TRUE,"general"}</definedName>
    <definedName name="VNVBN" localSheetId="38"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38"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38" hidden="1">{"via1",#N/A,TRUE,"general";"via2",#N/A,TRUE,"general";"via3",#N/A,TRUE,"general"}</definedName>
    <definedName name="vt" hidden="1">{"via1",#N/A,TRUE,"general";"via2",#N/A,TRUE,"general";"via3",#N/A,TRUE,"general"}</definedName>
    <definedName name="vutil">#REF!</definedName>
    <definedName name="vvcxv" localSheetId="38"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38" hidden="1">{"via1",#N/A,TRUE,"general";"via2",#N/A,TRUE,"general";"via3",#N/A,TRUE,"general"}</definedName>
    <definedName name="vvvvt" hidden="1">{"via1",#N/A,TRUE,"general";"via2",#N/A,TRUE,"general";"via3",#N/A,TRUE,"general"}</definedName>
    <definedName name="vvvvvvf" localSheetId="38" hidden="1">{"via1",#N/A,TRUE,"general";"via2",#N/A,TRUE,"general";"via3",#N/A,TRUE,"general"}</definedName>
    <definedName name="vvvvvvf" hidden="1">{"via1",#N/A,TRUE,"general";"via2",#N/A,TRUE,"general";"via3",#N/A,TRUE,"general"}</definedName>
    <definedName name="vy" localSheetId="38" hidden="1">{"TAB1",#N/A,TRUE,"GENERAL";"TAB2",#N/A,TRUE,"GENERAL";"TAB3",#N/A,TRUE,"GENERAL";"TAB4",#N/A,TRUE,"GENERAL";"TAB5",#N/A,TRUE,"GENERAL"}</definedName>
    <definedName name="vy" hidden="1">{"TAB1",#N/A,TRUE,"GENERAL";"TAB2",#N/A,TRUE,"GENERAL";"TAB3",#N/A,TRUE,"GENERAL";"TAB4",#N/A,TRUE,"GENERAL";"TAB5",#N/A,TRUE,"GENERAL"}</definedName>
    <definedName name="w2w2w" localSheetId="38"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localSheetId="3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localSheetId="38" hidden="1">{"TAB1",#N/A,TRUE,"GENERAL";"TAB2",#N/A,TRUE,"GENERAL";"TAB3",#N/A,TRUE,"GENERAL";"TAB4",#N/A,TRUE,"GENERAL";"TAB5",#N/A,TRUE,"GENERAL"}</definedName>
    <definedName name="werew" hidden="1">{"TAB1",#N/A,TRUE,"GENERAL";"TAB2",#N/A,TRUE,"GENERAL";"TAB3",#N/A,TRUE,"GENERAL";"TAB4",#N/A,TRUE,"GENERAL";"TAB5",#N/A,TRUE,"GENERAL"}</definedName>
    <definedName name="WEREWR" localSheetId="38" hidden="1">{"via1",#N/A,TRUE,"general";"via2",#N/A,TRUE,"general";"via3",#N/A,TRUE,"general"}</definedName>
    <definedName name="WEREWR" hidden="1">{"via1",#N/A,TRUE,"general";"via2",#N/A,TRUE,"general";"via3",#N/A,TRUE,"general"}</definedName>
    <definedName name="werfdsf" localSheetId="38" hidden="1">{"TAB1",#N/A,TRUE,"GENERAL";"TAB2",#N/A,TRUE,"GENERAL";"TAB3",#N/A,TRUE,"GENERAL";"TAB4",#N/A,TRUE,"GENERAL";"TAB5",#N/A,TRUE,"GENERAL"}</definedName>
    <definedName name="werfdsf" hidden="1">{"TAB1",#N/A,TRUE,"GENERAL";"TAB2",#N/A,TRUE,"GENERAL";"TAB3",#N/A,TRUE,"GENERAL";"TAB4",#N/A,TRUE,"GENERAL";"TAB5",#N/A,TRUE,"GENERAL"}</definedName>
    <definedName name="werh" localSheetId="38" hidden="1">{"via1",#N/A,TRUE,"general";"via2",#N/A,TRUE,"general";"via3",#N/A,TRUE,"general"}</definedName>
    <definedName name="werh" hidden="1">{"via1",#N/A,TRUE,"general";"via2",#N/A,TRUE,"general";"via3",#N/A,TRUE,"general"}</definedName>
    <definedName name="wersfdfrguyo" localSheetId="38" hidden="1">{"via1",#N/A,TRUE,"general";"via2",#N/A,TRUE,"general";"via3",#N/A,TRUE,"general"}</definedName>
    <definedName name="wersfdfrguyo" hidden="1">{"via1",#N/A,TRUE,"general";"via2",#N/A,TRUE,"general";"via3",#N/A,TRUE,"general"}</definedName>
    <definedName name="werwr" localSheetId="38" hidden="1">{"via1",#N/A,TRUE,"general";"via2",#N/A,TRUE,"general";"via3",#N/A,TRUE,"general"}</definedName>
    <definedName name="werwr" hidden="1">{"via1",#N/A,TRUE,"general";"via2",#N/A,TRUE,"general";"via3",#N/A,TRUE,"general"}</definedName>
    <definedName name="WERWVN" localSheetId="38" hidden="1">{"TAB1",#N/A,TRUE,"GENERAL";"TAB2",#N/A,TRUE,"GENERAL";"TAB3",#N/A,TRUE,"GENERAL";"TAB4",#N/A,TRUE,"GENERAL";"TAB5",#N/A,TRUE,"GENERAL"}</definedName>
    <definedName name="WERWVN" hidden="1">{"TAB1",#N/A,TRUE,"GENERAL";"TAB2",#N/A,TRUE,"GENERAL";"TAB3",#N/A,TRUE,"GENERAL";"TAB4",#N/A,TRUE,"GENERAL";"TAB5",#N/A,TRUE,"GENERAL"}</definedName>
    <definedName name="wetrew" localSheetId="38" hidden="1">{"via1",#N/A,TRUE,"general";"via2",#N/A,TRUE,"general";"via3",#N/A,TRUE,"general"}</definedName>
    <definedName name="wetrew" hidden="1">{"via1",#N/A,TRUE,"general";"via2",#N/A,TRUE,"general";"via3",#N/A,TRUE,"general"}</definedName>
    <definedName name="wettt" localSheetId="38" hidden="1">{"via1",#N/A,TRUE,"general";"via2",#N/A,TRUE,"general";"via3",#N/A,TRUE,"general"}</definedName>
    <definedName name="wettt" hidden="1">{"via1",#N/A,TRUE,"general";"via2",#N/A,TRUE,"general";"via3",#N/A,TRUE,"general"}</definedName>
    <definedName name="wetwretd" localSheetId="38" hidden="1">{"via1",#N/A,TRUE,"general";"via2",#N/A,TRUE,"general";"via3",#N/A,TRUE,"general"}</definedName>
    <definedName name="wetwretd" hidden="1">{"via1",#N/A,TRUE,"general";"via2",#N/A,TRUE,"general";"via3",#N/A,TRUE,"general"}</definedName>
    <definedName name="wew" localSheetId="38" hidden="1">{"via1",#N/A,TRUE,"general";"via2",#N/A,TRUE,"general";"via3",#N/A,TRUE,"general"}</definedName>
    <definedName name="wew" hidden="1">{"via1",#N/A,TRUE,"general";"via2",#N/A,TRUE,"general";"via3",#N/A,TRUE,"general"}</definedName>
    <definedName name="wffag" localSheetId="38" hidden="1">{"via1",#N/A,TRUE,"general";"via2",#N/A,TRUE,"general";"via3",#N/A,TRUE,"general"}</definedName>
    <definedName name="wffag" hidden="1">{"via1",#N/A,TRUE,"general";"via2",#N/A,TRUE,"general";"via3",#N/A,TRUE,"general"}</definedName>
    <definedName name="WILSON">#REF!</definedName>
    <definedName name="WQ">#REF!</definedName>
    <definedName name="WQEEWQ" localSheetId="38" hidden="1">{"TAB1",#N/A,TRUE,"GENERAL";"TAB2",#N/A,TRUE,"GENERAL";"TAB3",#N/A,TRUE,"GENERAL";"TAB4",#N/A,TRUE,"GENERAL";"TAB5",#N/A,TRUE,"GENERAL"}</definedName>
    <definedName name="WQEEWQ" hidden="1">{"TAB1",#N/A,TRUE,"GENERAL";"TAB2",#N/A,TRUE,"GENERAL";"TAB3",#N/A,TRUE,"GENERAL";"TAB4",#N/A,TRUE,"GENERAL";"TAB5",#N/A,TRUE,"GENERAL"}</definedName>
    <definedName name="wrn.civil._.works." localSheetId="38" hidden="1">{#N/A,#N/A,TRUE,"1842CWN0"}</definedName>
    <definedName name="wrn.civil._.works." hidden="1">{#N/A,#N/A,TRUE,"1842CWN0"}</definedName>
    <definedName name="wrn.FINAN97." localSheetId="3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8" hidden="1">{"TAB1",#N/A,TRUE,"GENERAL";"TAB2",#N/A,TRUE,"GENERAL";"TAB3",#N/A,TRUE,"GENERAL";"TAB4",#N/A,TRUE,"GENERAL";"TAB5",#N/A,TRUE,"GENERAL"}</definedName>
    <definedName name="wrn.GENERAL." hidden="1">{"TAB1",#N/A,TRUE,"GENERAL";"TAB2",#N/A,TRUE,"GENERAL";"TAB3",#N/A,TRUE,"GENERAL";"TAB4",#N/A,TRUE,"GENERAL";"TAB5",#N/A,TRUE,"GENERAL"}</definedName>
    <definedName name="wrn.GERENCIA." localSheetId="38" hidden="1">{#N/A,#N/A,TRUE,"INGENIERIA";#N/A,#N/A,TRUE,"COMPRAS";#N/A,#N/A,TRUE,"DIRECCION";#N/A,#N/A,TRUE,"RESUMEN"}</definedName>
    <definedName name="wrn.GERENCIA." hidden="1">{#N/A,#N/A,TRUE,"INGENIERIA";#N/A,#N/A,TRUE,"COMPRAS";#N/A,#N/A,TRUE,"DIRECCION";#N/A,#N/A,TRUE,"RESUMEN"}</definedName>
    <definedName name="wrn.OPERADORES." localSheetId="38" hidden="1">{#N/A,#N/A,TRUE,"T1"}</definedName>
    <definedName name="wrn.OPERADORES." hidden="1">{#N/A,#N/A,TRUE,"T1"}</definedName>
    <definedName name="wrn.res7" localSheetId="38" hidden="1">{#N/A,#N/A,FALSE,"Hoja1";#N/A,#N/A,FALSE,"Hoja2"}</definedName>
    <definedName name="wrn.res7" hidden="1">{#N/A,#N/A,FALSE,"Hoja1";#N/A,#N/A,FALSE,"Hoja2"}</definedName>
    <definedName name="wrn.Resumen." localSheetId="38" hidden="1">{#N/A,#N/A,FALSE,"Hoja1";#N/A,#N/A,FALSE,"Hoja2"}</definedName>
    <definedName name="wrn.Resumen." hidden="1">{#N/A,#N/A,FALSE,"Hoja1";#N/A,#N/A,FALSE,"Hoja2"}</definedName>
    <definedName name="wrn.TRABFENO." localSheetId="3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8" hidden="1">{"via1",#N/A,TRUE,"general";"via2",#N/A,TRUE,"general";"via3",#N/A,TRUE,"general"}</definedName>
    <definedName name="wrn.via." hidden="1">{"via1",#N/A,TRUE,"general";"via2",#N/A,TRUE,"general";"via3",#N/A,TRUE,"general"}</definedName>
    <definedName name="wsnhed" localSheetId="38" hidden="1">{"via1",#N/A,TRUE,"general";"via2",#N/A,TRUE,"general";"via3",#N/A,TRUE,"general"}</definedName>
    <definedName name="wsnhed" hidden="1">{"via1",#N/A,TRUE,"general";"via2",#N/A,TRUE,"general";"via3",#N/A,TRUE,"general"}</definedName>
    <definedName name="wswswsqa" localSheetId="38" hidden="1">{"via1",#N/A,TRUE,"general";"via2",#N/A,TRUE,"general";"via3",#N/A,TRUE,"general"}</definedName>
    <definedName name="wswswsqa" hidden="1">{"via1",#N/A,TRUE,"general";"via2",#N/A,TRUE,"general";"via3",#N/A,TRUE,"general"}</definedName>
    <definedName name="WSX">#REF!</definedName>
    <definedName name="Wtot">#REF!</definedName>
    <definedName name="wtt" localSheetId="38"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38" hidden="1">{"via1",#N/A,TRUE,"general";"via2",#N/A,TRUE,"general";"via3",#N/A,TRUE,"general"}</definedName>
    <definedName name="wwded3" hidden="1">{"via1",#N/A,TRUE,"general";"via2",#N/A,TRUE,"general";"via3",#N/A,TRUE,"general"}</definedName>
    <definedName name="wwwwe" localSheetId="38" hidden="1">{"TAB1",#N/A,TRUE,"GENERAL";"TAB2",#N/A,TRUE,"GENERAL";"TAB3",#N/A,TRUE,"GENERAL";"TAB4",#N/A,TRUE,"GENERAL";"TAB5",#N/A,TRUE,"GENERAL"}</definedName>
    <definedName name="wwwwe" hidden="1">{"TAB1",#N/A,TRUE,"GENERAL";"TAB2",#N/A,TRUE,"GENERAL";"TAB3",#N/A,TRUE,"GENERAL";"TAB4",#N/A,TRUE,"GENERAL";"TAB5",#N/A,TRUE,"GENERAL"}</definedName>
    <definedName name="wyty" localSheetId="38" hidden="1">{"via1",#N/A,TRUE,"general";"via2",#N/A,TRUE,"general";"via3",#N/A,TRUE,"general"}</definedName>
    <definedName name="wyty" hidden="1">{"via1",#N/A,TRUE,"general";"via2",#N/A,TRUE,"general";"via3",#N/A,TRUE,"general"}</definedName>
    <definedName name="x">#REF!</definedName>
    <definedName name="xcbvbs" localSheetId="38"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38" hidden="1">{#N/A,#N/A,TRUE,"1842CWN0"}</definedName>
    <definedName name="XSW" hidden="1">{#N/A,#N/A,TRUE,"1842CWN0"}</definedName>
    <definedName name="xsxs" localSheetId="38"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38" hidden="1">{"via1",#N/A,TRUE,"general";"via2",#N/A,TRUE,"general";"via3",#N/A,TRUE,"general"}</definedName>
    <definedName name="xxfg" hidden="1">{"via1",#N/A,TRUE,"general";"via2",#N/A,TRUE,"general";"via3",#N/A,TRUE,"general"}</definedName>
    <definedName name="XXXX" hidden="1">#REF!</definedName>
    <definedName name="xxxxx" localSheetId="15">#REF!</definedName>
    <definedName name="xxxxx" localSheetId="16">#REF!</definedName>
    <definedName name="xxxxx" localSheetId="18">#REF!</definedName>
    <definedName name="xxxxx" localSheetId="19">#REF!</definedName>
    <definedName name="xxxxx" localSheetId="21">#REF!</definedName>
    <definedName name="xxxxx" localSheetId="22">#REF!</definedName>
    <definedName name="xxxxx" localSheetId="6">#REF!</definedName>
    <definedName name="xxxxx" localSheetId="24">#REF!</definedName>
    <definedName name="xxxxx" localSheetId="25">#REF!</definedName>
    <definedName name="xxxxx" localSheetId="26">#REF!</definedName>
    <definedName name="xxxxx" localSheetId="27">#REF!</definedName>
    <definedName name="xxxxx" localSheetId="28">#REF!</definedName>
    <definedName name="xxxxx" localSheetId="30">#REF!</definedName>
    <definedName name="xxxxx" localSheetId="31">#REF!</definedName>
    <definedName name="xxxxx" localSheetId="33">#REF!</definedName>
    <definedName name="xxxxx" localSheetId="7">#REF!</definedName>
    <definedName name="xxxxx" localSheetId="34">#REF!</definedName>
    <definedName name="xxxxx" localSheetId="36">#REF!</definedName>
    <definedName name="xxxxx" localSheetId="37">#REF!</definedName>
    <definedName name="xxxxx" localSheetId="9">#REF!</definedName>
    <definedName name="xxxxx" localSheetId="10">#REF!</definedName>
    <definedName name="xxxxx" localSheetId="12">#REF!</definedName>
    <definedName name="xxxxx" localSheetId="13">#REF!</definedName>
    <definedName name="xxxxx">#REF!</definedName>
    <definedName name="xxxxxds" localSheetId="38" hidden="1">{"via1",#N/A,TRUE,"general";"via2",#N/A,TRUE,"general";"via3",#N/A,TRUE,"general"}</definedName>
    <definedName name="xxxxxds" hidden="1">{"via1",#N/A,TRUE,"general";"via2",#N/A,TRUE,"general";"via3",#N/A,TRUE,"general"}</definedName>
    <definedName name="XXXXXX" localSheetId="3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38"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38" hidden="1">{"via1",#N/A,TRUE,"general";"via2",#N/A,TRUE,"general";"via3",#N/A,TRUE,"general"}</definedName>
    <definedName name="XZXZV" hidden="1">{"via1",#N/A,TRUE,"general";"via2",#N/A,TRUE,"general";"via3",#N/A,TRUE,"general"}</definedName>
    <definedName name="Y" localSheetId="15">#REF!</definedName>
    <definedName name="Y" localSheetId="16">#REF!</definedName>
    <definedName name="Y" localSheetId="18">#REF!</definedName>
    <definedName name="Y" localSheetId="19">#REF!</definedName>
    <definedName name="Y" localSheetId="21">#REF!</definedName>
    <definedName name="Y" localSheetId="22">#REF!</definedName>
    <definedName name="Y" localSheetId="6">#REF!</definedName>
    <definedName name="Y" localSheetId="24">#REF!</definedName>
    <definedName name="Y" localSheetId="25">#REF!</definedName>
    <definedName name="Y" localSheetId="26">#REF!</definedName>
    <definedName name="Y" localSheetId="27">#REF!</definedName>
    <definedName name="Y" localSheetId="28">#REF!</definedName>
    <definedName name="Y" localSheetId="30">#REF!</definedName>
    <definedName name="Y" localSheetId="31">#REF!</definedName>
    <definedName name="Y" localSheetId="33">#REF!</definedName>
    <definedName name="Y" localSheetId="7">#REF!</definedName>
    <definedName name="Y" localSheetId="34">#REF!</definedName>
    <definedName name="Y" localSheetId="36">#REF!</definedName>
    <definedName name="Y" localSheetId="37">#REF!</definedName>
    <definedName name="Y" localSheetId="9">#REF!</definedName>
    <definedName name="Y" localSheetId="10">#REF!</definedName>
    <definedName name="Y" localSheetId="12">#REF!</definedName>
    <definedName name="Y" localSheetId="13">#REF!</definedName>
    <definedName name="Y">#REF!</definedName>
    <definedName name="y6y6" localSheetId="38" hidden="1">{"via1",#N/A,TRUE,"general";"via2",#N/A,TRUE,"general";"via3",#N/A,TRUE,"general"}</definedName>
    <definedName name="y6y6" hidden="1">{"via1",#N/A,TRUE,"general";"via2",#N/A,TRUE,"general";"via3",#N/A,TRUE,"general"}</definedName>
    <definedName name="YA">#REF!</definedName>
    <definedName name="yery" localSheetId="38" hidden="1">{"via1",#N/A,TRUE,"general";"via2",#N/A,TRUE,"general";"via3",#N/A,TRUE,"general"}</definedName>
    <definedName name="yery" hidden="1">{"via1",#N/A,TRUE,"general";"via2",#N/A,TRUE,"general";"via3",#N/A,TRUE,"general"}</definedName>
    <definedName name="YHN">#REF!</definedName>
    <definedName name="yhy" localSheetId="38"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8"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38" hidden="1">{"via1",#N/A,TRUE,"general";"via2",#N/A,TRUE,"general";"via3",#N/A,TRUE,"general"}</definedName>
    <definedName name="yrey" hidden="1">{"via1",#N/A,TRUE,"general";"via2",#N/A,TRUE,"general";"via3",#N/A,TRUE,"general"}</definedName>
    <definedName name="yry" localSheetId="38" hidden="1">{"via1",#N/A,TRUE,"general";"via2",#N/A,TRUE,"general";"via3",#N/A,TRUE,"general"}</definedName>
    <definedName name="yry" hidden="1">{"via1",#N/A,TRUE,"general";"via2",#N/A,TRUE,"general";"via3",#N/A,TRUE,"general"}</definedName>
    <definedName name="YT">#REF!</definedName>
    <definedName name="ytj" localSheetId="38" hidden="1">{"TAB1",#N/A,TRUE,"GENERAL";"TAB2",#N/A,TRUE,"GENERAL";"TAB3",#N/A,TRUE,"GENERAL";"TAB4",#N/A,TRUE,"GENERAL";"TAB5",#N/A,TRUE,"GENERAL"}</definedName>
    <definedName name="ytj" hidden="1">{"TAB1",#N/A,TRUE,"GENERAL";"TAB2",#N/A,TRUE,"GENERAL";"TAB3",#N/A,TRUE,"GENERAL";"TAB4",#N/A,TRUE,"GENERAL";"TAB5",#N/A,TRUE,"GENERAL"}</definedName>
    <definedName name="ytjt6" localSheetId="38" hidden="1">{"via1",#N/A,TRUE,"general";"via2",#N/A,TRUE,"general";"via3",#N/A,TRUE,"general"}</definedName>
    <definedName name="ytjt6" hidden="1">{"via1",#N/A,TRUE,"general";"via2",#N/A,TRUE,"general";"via3",#N/A,TRUE,"general"}</definedName>
    <definedName name="ytrwyr" localSheetId="38" hidden="1">{"TAB1",#N/A,TRUE,"GENERAL";"TAB2",#N/A,TRUE,"GENERAL";"TAB3",#N/A,TRUE,"GENERAL";"TAB4",#N/A,TRUE,"GENERAL";"TAB5",#N/A,TRUE,"GENERAL"}</definedName>
    <definedName name="ytrwyr" hidden="1">{"TAB1",#N/A,TRUE,"GENERAL";"TAB2",#N/A,TRUE,"GENERAL";"TAB3",#N/A,TRUE,"GENERAL";"TAB4",#N/A,TRUE,"GENERAL";"TAB5",#N/A,TRUE,"GENERAL"}</definedName>
    <definedName name="ytry" localSheetId="38" hidden="1">{"via1",#N/A,TRUE,"general";"via2",#N/A,TRUE,"general";"via3",#N/A,TRUE,"general"}</definedName>
    <definedName name="ytry" hidden="1">{"via1",#N/A,TRUE,"general";"via2",#N/A,TRUE,"general";"via3",#N/A,TRUE,"general"}</definedName>
    <definedName name="ytryrty" localSheetId="38" hidden="1">{"via1",#N/A,TRUE,"general";"via2",#N/A,TRUE,"general";"via3",#N/A,TRUE,"general"}</definedName>
    <definedName name="ytryrty" hidden="1">{"via1",#N/A,TRUE,"general";"via2",#N/A,TRUE,"general";"via3",#N/A,TRUE,"general"}</definedName>
    <definedName name="YTRYUYT" localSheetId="38" hidden="1">{"TAB1",#N/A,TRUE,"GENERAL";"TAB2",#N/A,TRUE,"GENERAL";"TAB3",#N/A,TRUE,"GENERAL";"TAB4",#N/A,TRUE,"GENERAL";"TAB5",#N/A,TRUE,"GENERAL"}</definedName>
    <definedName name="YTRYUYT" hidden="1">{"TAB1",#N/A,TRUE,"GENERAL";"TAB2",#N/A,TRUE,"GENERAL";"TAB3",#N/A,TRUE,"GENERAL";"TAB4",#N/A,TRUE,"GENERAL";"TAB5",#N/A,TRUE,"GENERAL"}</definedName>
    <definedName name="ytudfgd" localSheetId="38" hidden="1">{"TAB1",#N/A,TRUE,"GENERAL";"TAB2",#N/A,TRUE,"GENERAL";"TAB3",#N/A,TRUE,"GENERAL";"TAB4",#N/A,TRUE,"GENERAL";"TAB5",#N/A,TRUE,"GENERAL"}</definedName>
    <definedName name="ytudfgd" hidden="1">{"TAB1",#N/A,TRUE,"GENERAL";"TAB2",#N/A,TRUE,"GENERAL";"TAB3",#N/A,TRUE,"GENERAL";"TAB4",#N/A,TRUE,"GENERAL";"TAB5",#N/A,TRUE,"GENERAL"}</definedName>
    <definedName name="yturtu7" localSheetId="38" hidden="1">{"TAB1",#N/A,TRUE,"GENERAL";"TAB2",#N/A,TRUE,"GENERAL";"TAB3",#N/A,TRUE,"GENERAL";"TAB4",#N/A,TRUE,"GENERAL";"TAB5",#N/A,TRUE,"GENERAL"}</definedName>
    <definedName name="yturtu7" hidden="1">{"TAB1",#N/A,TRUE,"GENERAL";"TAB2",#N/A,TRUE,"GENERAL";"TAB3",#N/A,TRUE,"GENERAL";"TAB4",#N/A,TRUE,"GENERAL";"TAB5",#N/A,TRUE,"GENERAL"}</definedName>
    <definedName name="yturu" localSheetId="38" hidden="1">{"TAB1",#N/A,TRUE,"GENERAL";"TAB2",#N/A,TRUE,"GENERAL";"TAB3",#N/A,TRUE,"GENERAL";"TAB4",#N/A,TRUE,"GENERAL";"TAB5",#N/A,TRUE,"GENERAL"}</definedName>
    <definedName name="yturu" hidden="1">{"TAB1",#N/A,TRUE,"GENERAL";"TAB2",#N/A,TRUE,"GENERAL";"TAB3",#N/A,TRUE,"GENERAL";"TAB4",#N/A,TRUE,"GENERAL";"TAB5",#N/A,TRUE,"GENERAL"}</definedName>
    <definedName name="ytuytfgh" localSheetId="38" hidden="1">{"via1",#N/A,TRUE,"general";"via2",#N/A,TRUE,"general";"via3",#N/A,TRUE,"general"}</definedName>
    <definedName name="ytuytfgh" hidden="1">{"via1",#N/A,TRUE,"general";"via2",#N/A,TRUE,"general";"via3",#N/A,TRUE,"general"}</definedName>
    <definedName name="yty" localSheetId="38" hidden="1">{"TAB1",#N/A,TRUE,"GENERAL";"TAB2",#N/A,TRUE,"GENERAL";"TAB3",#N/A,TRUE,"GENERAL";"TAB4",#N/A,TRUE,"GENERAL";"TAB5",#N/A,TRUE,"GENERAL"}</definedName>
    <definedName name="yty" hidden="1">{"TAB1",#N/A,TRUE,"GENERAL";"TAB2",#N/A,TRUE,"GENERAL";"TAB3",#N/A,TRUE,"GENERAL";"TAB4",#N/A,TRUE,"GENERAL";"TAB5",#N/A,TRUE,"GENERAL"}</definedName>
    <definedName name="ytyyh" localSheetId="38" hidden="1">{"via1",#N/A,TRUE,"general";"via2",#N/A,TRUE,"general";"via3",#N/A,TRUE,"general"}</definedName>
    <definedName name="ytyyh" hidden="1">{"via1",#N/A,TRUE,"general";"via2",#N/A,TRUE,"general";"via3",#N/A,TRUE,"general"}</definedName>
    <definedName name="ytzacdfg" localSheetId="38" hidden="1">{"TAB1",#N/A,TRUE,"GENERAL";"TAB2",#N/A,TRUE,"GENERAL";"TAB3",#N/A,TRUE,"GENERAL";"TAB4",#N/A,TRUE,"GENERAL";"TAB5",#N/A,TRUE,"GENERAL"}</definedName>
    <definedName name="ytzacdfg" hidden="1">{"TAB1",#N/A,TRUE,"GENERAL";"TAB2",#N/A,TRUE,"GENERAL";"TAB3",#N/A,TRUE,"GENERAL";"TAB4",#N/A,TRUE,"GENERAL";"TAB5",#N/A,TRUE,"GENERAL"}</definedName>
    <definedName name="yu" localSheetId="38" hidden="1">{"TAB1",#N/A,TRUE,"GENERAL";"TAB2",#N/A,TRUE,"GENERAL";"TAB3",#N/A,TRUE,"GENERAL";"TAB4",#N/A,TRUE,"GENERAL";"TAB5",#N/A,TRUE,"GENERAL"}</definedName>
    <definedName name="yu" hidden="1">{"TAB1",#N/A,TRUE,"GENERAL";"TAB2",#N/A,TRUE,"GENERAL";"TAB3",#N/A,TRUE,"GENERAL";"TAB4",#N/A,TRUE,"GENERAL";"TAB5",#N/A,TRUE,"GENERAL"}</definedName>
    <definedName name="yudre54" localSheetId="38" hidden="1">{"TAB1",#N/A,TRUE,"GENERAL";"TAB2",#N/A,TRUE,"GENERAL";"TAB3",#N/A,TRUE,"GENERAL";"TAB4",#N/A,TRUE,"GENERAL";"TAB5",#N/A,TRUE,"GENERAL"}</definedName>
    <definedName name="yudre54" hidden="1">{"TAB1",#N/A,TRUE,"GENERAL";"TAB2",#N/A,TRUE,"GENERAL";"TAB3",#N/A,TRUE,"GENERAL";"TAB4",#N/A,TRUE,"GENERAL";"TAB5",#N/A,TRUE,"GENERAL"}</definedName>
    <definedName name="yuhgh" localSheetId="38" hidden="1">{"TAB1",#N/A,TRUE,"GENERAL";"TAB2",#N/A,TRUE,"GENERAL";"TAB3",#N/A,TRUE,"GENERAL";"TAB4",#N/A,TRUE,"GENERAL";"TAB5",#N/A,TRUE,"GENERAL"}</definedName>
    <definedName name="yuhgh" hidden="1">{"TAB1",#N/A,TRUE,"GENERAL";"TAB2",#N/A,TRUE,"GENERAL";"TAB3",#N/A,TRUE,"GENERAL";"TAB4",#N/A,TRUE,"GENERAL";"TAB5",#N/A,TRUE,"GENERAL"}</definedName>
    <definedName name="yutu" localSheetId="38" hidden="1">{"via1",#N/A,TRUE,"general";"via2",#N/A,TRUE,"general";"via3",#N/A,TRUE,"general"}</definedName>
    <definedName name="yutu" hidden="1">{"via1",#N/A,TRUE,"general";"via2",#N/A,TRUE,"general";"via3",#N/A,TRUE,"general"}</definedName>
    <definedName name="yuuiiy" localSheetId="38" hidden="1">{"via1",#N/A,TRUE,"general";"via2",#N/A,TRUE,"general";"via3",#N/A,TRUE,"general"}</definedName>
    <definedName name="yuuiiy" hidden="1">{"via1",#N/A,TRUE,"general";"via2",#N/A,TRUE,"general";"via3",#N/A,TRUE,"general"}</definedName>
    <definedName name="yuuuuuu" localSheetId="38" hidden="1">{"via1",#N/A,TRUE,"general";"via2",#N/A,TRUE,"general";"via3",#N/A,TRUE,"general"}</definedName>
    <definedName name="yuuuuuu" hidden="1">{"via1",#N/A,TRUE,"general";"via2",#N/A,TRUE,"general";"via3",#N/A,TRUE,"general"}</definedName>
    <definedName name="yy" localSheetId="38" hidden="1">{"via1",#N/A,TRUE,"general";"via2",#N/A,TRUE,"general";"via3",#N/A,TRUE,"general"}</definedName>
    <definedName name="yy" hidden="1">{"via1",#N/A,TRUE,"general";"via2",#N/A,TRUE,"general";"via3",#N/A,TRUE,"general"}</definedName>
    <definedName name="yyy" localSheetId="38" hidden="1">{"TAB1",#N/A,TRUE,"GENERAL";"TAB2",#N/A,TRUE,"GENERAL";"TAB3",#N/A,TRUE,"GENERAL";"TAB4",#N/A,TRUE,"GENERAL";"TAB5",#N/A,TRUE,"GENERAL"}</definedName>
    <definedName name="yyy" hidden="1">{"TAB1",#N/A,TRUE,"GENERAL";"TAB2",#N/A,TRUE,"GENERAL";"TAB3",#N/A,TRUE,"GENERAL";"TAB4",#N/A,TRUE,"GENERAL";"TAB5",#N/A,TRUE,"GENERAL"}</definedName>
    <definedName name="yyyuh" localSheetId="38" hidden="1">{"TAB1",#N/A,TRUE,"GENERAL";"TAB2",#N/A,TRUE,"GENERAL";"TAB3",#N/A,TRUE,"GENERAL";"TAB4",#N/A,TRUE,"GENERAL";"TAB5",#N/A,TRUE,"GENERAL"}</definedName>
    <definedName name="yyyuh" hidden="1">{"TAB1",#N/A,TRUE,"GENERAL";"TAB2",#N/A,TRUE,"GENERAL";"TAB3",#N/A,TRUE,"GENERAL";"TAB4",#N/A,TRUE,"GENERAL";"TAB5",#N/A,TRUE,"GENERAL"}</definedName>
    <definedName name="yyyyhhh" localSheetId="38" hidden="1">{"TAB1",#N/A,TRUE,"GENERAL";"TAB2",#N/A,TRUE,"GENERAL";"TAB3",#N/A,TRUE,"GENERAL";"TAB4",#N/A,TRUE,"GENERAL";"TAB5",#N/A,TRUE,"GENERAL"}</definedName>
    <definedName name="yyyyhhh" hidden="1">{"TAB1",#N/A,TRUE,"GENERAL";"TAB2",#N/A,TRUE,"GENERAL";"TAB3",#N/A,TRUE,"GENERAL";"TAB4",#N/A,TRUE,"GENERAL";"TAB5",#N/A,TRUE,"GENERAL"}</definedName>
    <definedName name="yyyyyf" localSheetId="38" hidden="1">{"via1",#N/A,TRUE,"general";"via2",#N/A,TRUE,"general";"via3",#N/A,TRUE,"general"}</definedName>
    <definedName name="yyyyyf" hidden="1">{"via1",#N/A,TRUE,"general";"via2",#N/A,TRUE,"general";"via3",#N/A,TRUE,"general"}</definedName>
    <definedName name="ZAQ" localSheetId="38" hidden="1">{#N/A,#N/A,TRUE,"INGENIERIA";#N/A,#N/A,TRUE,"COMPRAS";#N/A,#N/A,TRUE,"DIRECCION";#N/A,#N/A,TRUE,"RESUMEN"}</definedName>
    <definedName name="ZAQ" hidden="1">{#N/A,#N/A,TRUE,"INGENIERIA";#N/A,#N/A,TRUE,"COMPRAS";#N/A,#N/A,TRUE,"DIRECCION";#N/A,#N/A,TRUE,"RESUMEN"}</definedName>
    <definedName name="zdervr" localSheetId="38"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38">[0]!ERR</definedName>
    <definedName name="zx">[0]!ERR</definedName>
    <definedName name="zxczds" localSheetId="38" hidden="1">{"TAB1",#N/A,TRUE,"GENERAL";"TAB2",#N/A,TRUE,"GENERAL";"TAB3",#N/A,TRUE,"GENERAL";"TAB4",#N/A,TRUE,"GENERAL";"TAB5",#N/A,TRUE,"GENERAL"}</definedName>
    <definedName name="zxczds" hidden="1">{"TAB1",#N/A,TRUE,"GENERAL";"TAB2",#N/A,TRUE,"GENERAL";"TAB3",#N/A,TRUE,"GENERAL";"TAB4",#N/A,TRUE,"GENERAL";"TAB5",#N/A,TRUE,"GENERAL"}</definedName>
    <definedName name="zxsdftyu" localSheetId="38" hidden="1">{"via1",#N/A,TRUE,"general";"via2",#N/A,TRUE,"general";"via3",#N/A,TRUE,"general"}</definedName>
    <definedName name="zxsdftyu" hidden="1">{"via1",#N/A,TRUE,"general";"via2",#N/A,TRUE,"general";"via3",#N/A,TRUE,"general"}</definedName>
    <definedName name="zxvxczv" localSheetId="38" hidden="1">{"via1",#N/A,TRUE,"general";"via2",#N/A,TRUE,"general";"via3",#N/A,TRUE,"general"}</definedName>
    <definedName name="zxvxczv" hidden="1">{"via1",#N/A,TRUE,"general";"via2",#N/A,TRUE,"general";"via3",#N/A,TRUE,"general"}</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1" i="16" l="1"/>
  <c r="G37" i="16"/>
  <c r="G34" i="16"/>
  <c r="G28" i="16"/>
  <c r="G23" i="16"/>
  <c r="G22" i="16"/>
  <c r="G20" i="16"/>
  <c r="G19" i="16"/>
  <c r="H43" i="16"/>
  <c r="H42" i="16"/>
  <c r="H41" i="16"/>
  <c r="H40" i="16"/>
  <c r="H39" i="16"/>
  <c r="H38" i="16"/>
  <c r="H37" i="16"/>
  <c r="H36" i="16"/>
  <c r="H35" i="16"/>
  <c r="H34" i="16"/>
  <c r="H33" i="16"/>
  <c r="H32" i="16"/>
  <c r="H31" i="16"/>
  <c r="H30" i="16"/>
  <c r="H29" i="16"/>
  <c r="H28" i="16"/>
  <c r="H27" i="16"/>
  <c r="H26" i="16"/>
  <c r="H25" i="16"/>
  <c r="H24" i="16"/>
  <c r="H23" i="16"/>
  <c r="H22" i="16"/>
  <c r="H21" i="16"/>
  <c r="H20" i="16"/>
  <c r="H19" i="16"/>
  <c r="H18" i="16"/>
  <c r="H17" i="16"/>
  <c r="H16" i="16"/>
  <c r="H15" i="16"/>
  <c r="H14" i="16"/>
  <c r="H13" i="16"/>
  <c r="H12" i="16"/>
  <c r="H11" i="16"/>
  <c r="M5" i="22"/>
  <c r="B42" i="16" l="1"/>
  <c r="B41" i="16"/>
  <c r="B40" i="16"/>
  <c r="B39" i="16"/>
  <c r="B38" i="16"/>
  <c r="B37" i="16"/>
  <c r="B36" i="16"/>
  <c r="B35" i="16"/>
  <c r="B34" i="16"/>
  <c r="B7" i="141"/>
  <c r="B8" i="141"/>
  <c r="B9" i="141"/>
  <c r="B10" i="141"/>
  <c r="B11" i="141"/>
  <c r="B12" i="141"/>
  <c r="B13" i="141"/>
  <c r="B14" i="141"/>
  <c r="B15" i="141"/>
  <c r="B16" i="141"/>
  <c r="B17" i="141"/>
  <c r="B18" i="141"/>
  <c r="B19" i="141"/>
  <c r="B20" i="141"/>
  <c r="B21" i="141"/>
  <c r="B22" i="141"/>
  <c r="B23" i="141"/>
  <c r="B24" i="141"/>
  <c r="B25" i="141"/>
  <c r="B26" i="141"/>
  <c r="B27" i="141"/>
  <c r="B28" i="141"/>
  <c r="B29" i="141"/>
  <c r="B30" i="141"/>
  <c r="B31" i="141"/>
  <c r="B32" i="141"/>
  <c r="B33" i="141"/>
  <c r="B34" i="141"/>
  <c r="B35" i="141"/>
  <c r="B36" i="141"/>
  <c r="B5" i="141"/>
  <c r="F55" i="134"/>
  <c r="G55" i="134"/>
  <c r="G58" i="139"/>
  <c r="G69" i="139" s="1"/>
  <c r="F58" i="139"/>
  <c r="F69" i="139" s="1"/>
  <c r="E58" i="139"/>
  <c r="E69" i="139" s="1"/>
  <c r="D58" i="139"/>
  <c r="D69" i="139" s="1"/>
  <c r="G55" i="138"/>
  <c r="G66" i="138" s="1"/>
  <c r="F55" i="138"/>
  <c r="F66" i="138" s="1"/>
  <c r="E55" i="138"/>
  <c r="E66" i="138" s="1"/>
  <c r="D55" i="138"/>
  <c r="D66" i="138" s="1"/>
  <c r="I55" i="137"/>
  <c r="I66" i="137" s="1"/>
  <c r="H55" i="137"/>
  <c r="H66" i="137" s="1"/>
  <c r="G55" i="137"/>
  <c r="G66" i="137" s="1"/>
  <c r="F55" i="137"/>
  <c r="F66" i="137" s="1"/>
  <c r="E55" i="137"/>
  <c r="E66" i="137" s="1"/>
  <c r="D55" i="137"/>
  <c r="D66" i="137" s="1"/>
  <c r="E55" i="136"/>
  <c r="E66" i="136" s="1"/>
  <c r="D55" i="136"/>
  <c r="D66" i="136" s="1"/>
  <c r="H55" i="135" l="1"/>
  <c r="H66" i="135" s="1"/>
  <c r="G55" i="135"/>
  <c r="G66" i="135" s="1"/>
  <c r="F55" i="135"/>
  <c r="F66" i="135" s="1"/>
  <c r="E55" i="135"/>
  <c r="E66" i="135" s="1"/>
  <c r="D55" i="135"/>
  <c r="D66" i="135" s="1"/>
  <c r="F66" i="134"/>
  <c r="E55" i="134"/>
  <c r="E66" i="134" s="1"/>
  <c r="D55" i="134"/>
  <c r="D66" i="134" s="1"/>
  <c r="D55" i="133"/>
  <c r="D66" i="133" s="1"/>
  <c r="G66" i="132"/>
  <c r="G55" i="132"/>
  <c r="F55" i="132"/>
  <c r="F66" i="132" s="1"/>
  <c r="E55" i="132"/>
  <c r="E66" i="132" s="1"/>
  <c r="D55" i="132"/>
  <c r="D66" i="132" s="1"/>
  <c r="G55" i="131" l="1"/>
  <c r="G66" i="131" s="1"/>
  <c r="F55" i="131"/>
  <c r="F66" i="131" s="1"/>
  <c r="E55" i="131"/>
  <c r="E66" i="131" s="1"/>
  <c r="D55" i="131"/>
  <c r="D66" i="131" s="1"/>
  <c r="F55" i="130"/>
  <c r="F66" i="130" s="1"/>
  <c r="E55" i="130"/>
  <c r="E66" i="130" s="1"/>
  <c r="D55" i="130"/>
  <c r="D66" i="130" s="1"/>
  <c r="F55" i="129"/>
  <c r="F66" i="129" s="1"/>
  <c r="E55" i="129"/>
  <c r="E66" i="129" s="1"/>
  <c r="D55" i="129"/>
  <c r="D66" i="129" s="1"/>
  <c r="H58" i="140"/>
  <c r="H69" i="140" s="1"/>
  <c r="G58" i="140"/>
  <c r="G69" i="140" s="1"/>
  <c r="F58" i="140"/>
  <c r="F69" i="140" s="1"/>
  <c r="E58" i="140"/>
  <c r="E69" i="140" s="1"/>
  <c r="D58" i="140"/>
  <c r="D69" i="140" s="1"/>
  <c r="L43" i="22" l="1"/>
  <c r="B43" i="22"/>
  <c r="L42" i="22"/>
  <c r="B42"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37" i="22"/>
  <c r="B38" i="22"/>
  <c r="B39" i="22"/>
  <c r="B40" i="22"/>
  <c r="B41" i="22"/>
  <c r="L41" i="22"/>
  <c r="L40" i="22"/>
  <c r="L39" i="22"/>
  <c r="I55" i="127"/>
  <c r="I66" i="127" s="1"/>
  <c r="H55" i="127"/>
  <c r="H66" i="127" s="1"/>
  <c r="G55" i="127"/>
  <c r="G66" i="127" s="1"/>
  <c r="F55" i="127"/>
  <c r="F66" i="127" s="1"/>
  <c r="E55" i="127"/>
  <c r="E66" i="127" s="1"/>
  <c r="D55" i="127"/>
  <c r="D66" i="127" s="1"/>
  <c r="F55" i="126"/>
  <c r="F66" i="126" s="1"/>
  <c r="E55" i="126"/>
  <c r="E66" i="126" s="1"/>
  <c r="D55" i="126"/>
  <c r="D66" i="126" s="1"/>
  <c r="E55" i="125"/>
  <c r="E66" i="125" s="1"/>
  <c r="D55" i="125"/>
  <c r="D66" i="125" s="1"/>
  <c r="E55" i="124"/>
  <c r="E66" i="124" s="1"/>
  <c r="D55" i="124"/>
  <c r="D66" i="124" s="1"/>
  <c r="E20" i="16" l="1"/>
  <c r="E21" i="16"/>
  <c r="E22" i="16"/>
  <c r="E23" i="16"/>
  <c r="E24" i="16"/>
  <c r="E25" i="16"/>
  <c r="E26" i="16"/>
  <c r="E27" i="16"/>
  <c r="E28" i="16"/>
  <c r="E29" i="16"/>
  <c r="E30" i="16"/>
  <c r="E31" i="16"/>
  <c r="E32" i="16"/>
  <c r="E33" i="16"/>
  <c r="E34" i="16"/>
  <c r="E35" i="16"/>
  <c r="E36" i="16"/>
  <c r="E37" i="16"/>
  <c r="E38" i="16"/>
  <c r="E39" i="16"/>
  <c r="E40" i="16"/>
  <c r="E41" i="16"/>
  <c r="E42" i="16"/>
  <c r="E43" i="16"/>
  <c r="H55" i="123"/>
  <c r="H66" i="123" s="1"/>
  <c r="G55" i="123"/>
  <c r="G66" i="123" s="1"/>
  <c r="F55" i="123"/>
  <c r="F66" i="123" s="1"/>
  <c r="E55" i="123"/>
  <c r="E66" i="123" s="1"/>
  <c r="D55" i="123"/>
  <c r="D66" i="123" s="1"/>
  <c r="G55" i="122"/>
  <c r="G66" i="122" s="1"/>
  <c r="F55" i="122"/>
  <c r="F66" i="122" s="1"/>
  <c r="E55" i="122"/>
  <c r="E66" i="122" s="1"/>
  <c r="D55" i="122"/>
  <c r="D66" i="122" s="1"/>
  <c r="E55" i="121"/>
  <c r="E66" i="121" s="1"/>
  <c r="D55" i="121"/>
  <c r="D66" i="121" s="1"/>
  <c r="E55" i="120"/>
  <c r="E66" i="120" s="1"/>
  <c r="D55" i="120"/>
  <c r="D66" i="120" s="1"/>
  <c r="J55" i="115" l="1"/>
  <c r="J66" i="115" s="1"/>
  <c r="I55" i="115"/>
  <c r="I66" i="115" s="1"/>
  <c r="H55" i="115"/>
  <c r="H66" i="115" s="1"/>
  <c r="G55" i="115"/>
  <c r="G66" i="115" s="1"/>
  <c r="F55" i="115"/>
  <c r="F66" i="115" s="1"/>
  <c r="E55" i="115"/>
  <c r="E66" i="115" s="1"/>
  <c r="D55" i="115"/>
  <c r="D66" i="115" s="1"/>
  <c r="F55" i="114"/>
  <c r="F66" i="114" s="1"/>
  <c r="E55" i="114"/>
  <c r="E66" i="114" s="1"/>
  <c r="D55" i="114"/>
  <c r="D66" i="114" s="1"/>
  <c r="D39" i="111" l="1"/>
  <c r="L13" i="22"/>
  <c r="L14" i="22"/>
  <c r="L15" i="22"/>
  <c r="L16" i="22"/>
  <c r="L17" i="22"/>
  <c r="L18" i="22"/>
  <c r="L19" i="22"/>
  <c r="L20" i="22"/>
  <c r="L21" i="22"/>
  <c r="L22" i="22"/>
  <c r="L23" i="22"/>
  <c r="L24" i="22"/>
  <c r="L25" i="22"/>
  <c r="L26" i="22"/>
  <c r="L27" i="22"/>
  <c r="L28" i="22"/>
  <c r="L29" i="22"/>
  <c r="L30" i="22"/>
  <c r="L31" i="22"/>
  <c r="L32" i="22"/>
  <c r="L33" i="22"/>
  <c r="L34" i="22"/>
  <c r="L35" i="22"/>
  <c r="L36" i="22"/>
  <c r="L37" i="22"/>
  <c r="L38" i="22"/>
  <c r="L12" i="22"/>
  <c r="E16" i="16" l="1"/>
  <c r="E17" i="16"/>
  <c r="E18" i="16"/>
  <c r="E19" i="16"/>
  <c r="E11" i="16"/>
  <c r="D55" i="113"/>
  <c r="D55" i="112"/>
  <c r="B6" i="141"/>
  <c r="B4" i="141"/>
  <c r="C11" i="140"/>
  <c r="D17" i="140" s="1"/>
  <c r="J69" i="140"/>
  <c r="I69" i="140"/>
  <c r="J58" i="140"/>
  <c r="I58" i="140"/>
  <c r="C57" i="140"/>
  <c r="C56" i="140"/>
  <c r="C55" i="140"/>
  <c r="C54" i="140"/>
  <c r="C53" i="140"/>
  <c r="C52" i="140"/>
  <c r="C51" i="140"/>
  <c r="C50" i="140"/>
  <c r="J48" i="140"/>
  <c r="I48" i="140"/>
  <c r="J47" i="140"/>
  <c r="I47" i="140"/>
  <c r="J45" i="140"/>
  <c r="I45" i="140"/>
  <c r="H45" i="140"/>
  <c r="G45" i="140"/>
  <c r="F45" i="140"/>
  <c r="E45" i="140"/>
  <c r="D45" i="140"/>
  <c r="J44" i="140"/>
  <c r="I44" i="140"/>
  <c r="H44" i="140"/>
  <c r="G44" i="140"/>
  <c r="F44" i="140"/>
  <c r="E44" i="140"/>
  <c r="D44" i="140"/>
  <c r="J42" i="140"/>
  <c r="I42" i="140"/>
  <c r="H42" i="140"/>
  <c r="G42" i="140"/>
  <c r="F42" i="140"/>
  <c r="E42" i="140"/>
  <c r="D42" i="140"/>
  <c r="J41" i="140"/>
  <c r="I41" i="140"/>
  <c r="H41" i="140"/>
  <c r="G41" i="140"/>
  <c r="F41" i="140"/>
  <c r="E41" i="140"/>
  <c r="D41" i="140"/>
  <c r="J39" i="140"/>
  <c r="I39" i="140"/>
  <c r="H39" i="140"/>
  <c r="H47" i="140" s="1"/>
  <c r="G39" i="140"/>
  <c r="G47" i="140" s="1"/>
  <c r="F39" i="140"/>
  <c r="F47" i="140" s="1"/>
  <c r="E39" i="140"/>
  <c r="E47" i="140" s="1"/>
  <c r="D39" i="140"/>
  <c r="D47" i="140" s="1"/>
  <c r="J38" i="140"/>
  <c r="I38" i="140"/>
  <c r="J36" i="140"/>
  <c r="I36" i="140"/>
  <c r="H36" i="140"/>
  <c r="H38" i="140" s="1"/>
  <c r="H48" i="140" s="1"/>
  <c r="G36" i="140"/>
  <c r="G38" i="140" s="1"/>
  <c r="G48" i="140" s="1"/>
  <c r="F36" i="140"/>
  <c r="F38" i="140" s="1"/>
  <c r="F48" i="140" s="1"/>
  <c r="E36" i="140"/>
  <c r="E38" i="140" s="1"/>
  <c r="E48" i="140" s="1"/>
  <c r="D36" i="140"/>
  <c r="D38" i="140" s="1"/>
  <c r="D48" i="140" s="1"/>
  <c r="I19" i="140" s="1"/>
  <c r="B22" i="140"/>
  <c r="C9" i="140"/>
  <c r="C10" i="140" s="1"/>
  <c r="C8" i="140"/>
  <c r="B4" i="140"/>
  <c r="J48" i="139"/>
  <c r="I48" i="139"/>
  <c r="H48" i="139"/>
  <c r="J47" i="139"/>
  <c r="I47" i="139"/>
  <c r="H47" i="139"/>
  <c r="L11" i="22"/>
  <c r="M27" i="22" s="1"/>
  <c r="M42" i="22" l="1"/>
  <c r="M40" i="22"/>
  <c r="M15" i="22"/>
  <c r="M11" i="22"/>
  <c r="M34" i="22"/>
  <c r="M32" i="22"/>
  <c r="M14" i="22"/>
  <c r="M36" i="22"/>
  <c r="M18" i="22"/>
  <c r="M24" i="22"/>
  <c r="M22" i="22"/>
  <c r="M28" i="22"/>
  <c r="M38" i="22"/>
  <c r="M16" i="22"/>
  <c r="M37" i="22"/>
  <c r="M20" i="22"/>
  <c r="M41" i="22"/>
  <c r="M43" i="22"/>
  <c r="M29" i="22"/>
  <c r="M12" i="22"/>
  <c r="M33" i="22"/>
  <c r="M39" i="22"/>
  <c r="M21" i="22"/>
  <c r="M25" i="22"/>
  <c r="M17" i="22"/>
  <c r="M31" i="22"/>
  <c r="M13" i="22"/>
  <c r="M26" i="22"/>
  <c r="M19" i="22"/>
  <c r="M35" i="22"/>
  <c r="M23" i="22"/>
  <c r="M30" i="22"/>
  <c r="D18" i="140"/>
  <c r="C15" i="140"/>
  <c r="E15" i="140" s="1"/>
  <c r="C16" i="140"/>
  <c r="E16" i="140" s="1"/>
  <c r="G16" i="140" s="1"/>
  <c r="D15" i="140"/>
  <c r="L10" i="140"/>
  <c r="J15" i="140" s="1"/>
  <c r="L9" i="140"/>
  <c r="L8" i="140"/>
  <c r="C17" i="140"/>
  <c r="D16" i="140"/>
  <c r="C19" i="140"/>
  <c r="D19" i="140"/>
  <c r="C18" i="140"/>
  <c r="F16" i="140" l="1"/>
  <c r="H16" i="140"/>
  <c r="E17" i="140"/>
  <c r="G17" i="140" s="1"/>
  <c r="H17" i="140" s="1"/>
  <c r="G15" i="140"/>
  <c r="H15" i="140" s="1"/>
  <c r="F19" i="140"/>
  <c r="E19" i="140"/>
  <c r="H19" i="140"/>
  <c r="G19" i="140"/>
  <c r="E80" i="140"/>
  <c r="E79" i="140"/>
  <c r="E82" i="140"/>
  <c r="E81" i="140"/>
  <c r="E18" i="140"/>
  <c r="F18" i="140" s="1"/>
  <c r="F15" i="140"/>
  <c r="E85" i="140"/>
  <c r="E84" i="140"/>
  <c r="E83" i="140"/>
  <c r="J19" i="140" s="1"/>
  <c r="K19" i="140" s="1"/>
  <c r="F17" i="140" l="1"/>
  <c r="F20" i="140" s="1"/>
  <c r="G20" i="140"/>
  <c r="E20" i="140"/>
  <c r="K15" i="140" s="1"/>
  <c r="L15" i="140" s="1"/>
  <c r="G18" i="140"/>
  <c r="H18" i="140" s="1"/>
  <c r="H20" i="140" s="1"/>
  <c r="I11" i="140" l="1"/>
  <c r="F32" i="16" s="1"/>
  <c r="C11" i="139" l="1"/>
  <c r="D15" i="139" s="1"/>
  <c r="C11" i="138"/>
  <c r="C16" i="138" s="1"/>
  <c r="C11" i="137"/>
  <c r="C11" i="136"/>
  <c r="D19" i="136" s="1"/>
  <c r="C11" i="135"/>
  <c r="D17" i="135" s="1"/>
  <c r="C11" i="134"/>
  <c r="C11" i="133"/>
  <c r="C18" i="133" s="1"/>
  <c r="H18" i="133" s="1"/>
  <c r="C11" i="132"/>
  <c r="D17" i="132" s="1"/>
  <c r="C11" i="131"/>
  <c r="D17" i="131" s="1"/>
  <c r="C11" i="130"/>
  <c r="C11" i="129"/>
  <c r="C11" i="127"/>
  <c r="C11" i="126"/>
  <c r="C11" i="125"/>
  <c r="C19" i="125" s="1"/>
  <c r="C11" i="124"/>
  <c r="C11" i="123"/>
  <c r="D16" i="123" s="1"/>
  <c r="C11" i="122"/>
  <c r="C11" i="121"/>
  <c r="C11" i="120"/>
  <c r="C15" i="120" s="1"/>
  <c r="C11" i="119"/>
  <c r="C11" i="118"/>
  <c r="C11" i="117"/>
  <c r="D15" i="117" s="1"/>
  <c r="C11" i="116"/>
  <c r="C19" i="116" s="1"/>
  <c r="C11" i="115"/>
  <c r="C19" i="115" s="1"/>
  <c r="C11" i="114"/>
  <c r="C11" i="113"/>
  <c r="C11" i="112"/>
  <c r="C11" i="111"/>
  <c r="C11" i="110"/>
  <c r="J69" i="139"/>
  <c r="I69" i="139"/>
  <c r="H69" i="139"/>
  <c r="J58" i="139"/>
  <c r="I58" i="139"/>
  <c r="H58" i="139"/>
  <c r="C57" i="139"/>
  <c r="C56" i="139"/>
  <c r="C55" i="139"/>
  <c r="C54" i="139"/>
  <c r="C53" i="139"/>
  <c r="C52" i="139"/>
  <c r="C51" i="139"/>
  <c r="C50" i="139"/>
  <c r="J45" i="139"/>
  <c r="I45" i="139"/>
  <c r="H45" i="139"/>
  <c r="G45" i="139"/>
  <c r="F45" i="139"/>
  <c r="E45" i="139"/>
  <c r="D45" i="139"/>
  <c r="J44" i="139"/>
  <c r="I44" i="139"/>
  <c r="H44" i="139"/>
  <c r="G44" i="139"/>
  <c r="F44" i="139"/>
  <c r="E44" i="139"/>
  <c r="D44" i="139"/>
  <c r="J42" i="139"/>
  <c r="I42" i="139"/>
  <c r="H42" i="139"/>
  <c r="G42" i="139"/>
  <c r="F42" i="139"/>
  <c r="E42" i="139"/>
  <c r="D42" i="139"/>
  <c r="J41" i="139"/>
  <c r="I41" i="139"/>
  <c r="H41" i="139"/>
  <c r="J39" i="139"/>
  <c r="I39" i="139"/>
  <c r="H39" i="139"/>
  <c r="G39" i="139"/>
  <c r="G47" i="139" s="1"/>
  <c r="F39" i="139"/>
  <c r="F47" i="139" s="1"/>
  <c r="E39" i="139"/>
  <c r="E47" i="139" s="1"/>
  <c r="D39" i="139"/>
  <c r="J38" i="139"/>
  <c r="I38" i="139"/>
  <c r="H38" i="139"/>
  <c r="J36" i="139"/>
  <c r="I36" i="139"/>
  <c r="H36" i="139"/>
  <c r="G36" i="139"/>
  <c r="G38" i="139" s="1"/>
  <c r="G48" i="139" s="1"/>
  <c r="F36" i="139"/>
  <c r="F38" i="139" s="1"/>
  <c r="F48" i="139" s="1"/>
  <c r="E36" i="139"/>
  <c r="E38" i="139" s="1"/>
  <c r="E48" i="139" s="1"/>
  <c r="D36" i="139"/>
  <c r="D38" i="139" s="1"/>
  <c r="D48" i="139" s="1"/>
  <c r="B22" i="139"/>
  <c r="D16" i="139"/>
  <c r="C9" i="139"/>
  <c r="C10" i="139" s="1"/>
  <c r="C8" i="139"/>
  <c r="B4" i="139"/>
  <c r="J66" i="138"/>
  <c r="I66" i="138"/>
  <c r="H66" i="138"/>
  <c r="J55" i="138"/>
  <c r="I55" i="138"/>
  <c r="H55" i="138"/>
  <c r="C54" i="138"/>
  <c r="C53" i="138"/>
  <c r="C52" i="138"/>
  <c r="C51" i="138"/>
  <c r="C50" i="138"/>
  <c r="C49" i="138"/>
  <c r="C48" i="138"/>
  <c r="C47" i="138"/>
  <c r="J45" i="138"/>
  <c r="I45" i="138"/>
  <c r="H45" i="138"/>
  <c r="G45" i="138"/>
  <c r="F45" i="138"/>
  <c r="E45" i="138"/>
  <c r="D45" i="138"/>
  <c r="J44" i="138"/>
  <c r="I44" i="138"/>
  <c r="H44" i="138"/>
  <c r="G44" i="138"/>
  <c r="F44" i="138"/>
  <c r="E44" i="138"/>
  <c r="D44" i="138"/>
  <c r="J42" i="138"/>
  <c r="I42" i="138"/>
  <c r="H42" i="138"/>
  <c r="G42" i="138"/>
  <c r="F42" i="138"/>
  <c r="E42" i="138"/>
  <c r="D42" i="138"/>
  <c r="J41" i="138"/>
  <c r="I41" i="138"/>
  <c r="H41" i="138"/>
  <c r="G41" i="138"/>
  <c r="D41" i="138"/>
  <c r="J39" i="138"/>
  <c r="I39" i="138"/>
  <c r="H39" i="138"/>
  <c r="G39" i="138"/>
  <c r="F39" i="138"/>
  <c r="E39" i="138"/>
  <c r="D39" i="138"/>
  <c r="J38" i="138"/>
  <c r="I38" i="138"/>
  <c r="H38" i="138"/>
  <c r="J36" i="138"/>
  <c r="I36" i="138"/>
  <c r="H36" i="138"/>
  <c r="G36" i="138"/>
  <c r="G38" i="138" s="1"/>
  <c r="F36" i="138"/>
  <c r="F41" i="138" s="1"/>
  <c r="E36" i="138"/>
  <c r="E38" i="138" s="1"/>
  <c r="D36" i="138"/>
  <c r="D38" i="138" s="1"/>
  <c r="B22" i="138"/>
  <c r="I19" i="138"/>
  <c r="C15" i="138"/>
  <c r="C17" i="138"/>
  <c r="C9" i="138"/>
  <c r="C10" i="138" s="1"/>
  <c r="C8" i="138"/>
  <c r="B4" i="138"/>
  <c r="J66" i="137"/>
  <c r="J55" i="137"/>
  <c r="C54" i="137"/>
  <c r="C53" i="137"/>
  <c r="C52" i="137"/>
  <c r="C51" i="137"/>
  <c r="C50" i="137"/>
  <c r="C49" i="137"/>
  <c r="C48" i="137"/>
  <c r="C47" i="137"/>
  <c r="J45" i="137"/>
  <c r="I45" i="137"/>
  <c r="H45" i="137"/>
  <c r="G45" i="137"/>
  <c r="F45" i="137"/>
  <c r="E45" i="137"/>
  <c r="D45" i="137"/>
  <c r="J44" i="137"/>
  <c r="I44" i="137"/>
  <c r="H44" i="137"/>
  <c r="G44" i="137"/>
  <c r="F44" i="137"/>
  <c r="E44" i="137"/>
  <c r="D44" i="137"/>
  <c r="J42" i="137"/>
  <c r="I42" i="137"/>
  <c r="H42" i="137"/>
  <c r="G42" i="137"/>
  <c r="F42" i="137"/>
  <c r="E42" i="137"/>
  <c r="D42" i="137"/>
  <c r="J41" i="137"/>
  <c r="I41" i="137"/>
  <c r="H41" i="137"/>
  <c r="G41" i="137"/>
  <c r="F41" i="137"/>
  <c r="E41" i="137"/>
  <c r="D41" i="137"/>
  <c r="J39" i="137"/>
  <c r="I39" i="137"/>
  <c r="H39" i="137"/>
  <c r="G39" i="137"/>
  <c r="F39" i="137"/>
  <c r="E39" i="137"/>
  <c r="D39" i="137"/>
  <c r="I19" i="137" s="1"/>
  <c r="J38" i="137"/>
  <c r="I38" i="137"/>
  <c r="J36" i="137"/>
  <c r="I36" i="137"/>
  <c r="H36" i="137"/>
  <c r="H38" i="137" s="1"/>
  <c r="G36" i="137"/>
  <c r="G38" i="137" s="1"/>
  <c r="F36" i="137"/>
  <c r="F38" i="137" s="1"/>
  <c r="E36" i="137"/>
  <c r="E38" i="137" s="1"/>
  <c r="D36" i="137"/>
  <c r="D38" i="137" s="1"/>
  <c r="B22" i="137"/>
  <c r="C18" i="137"/>
  <c r="H18" i="137" s="1"/>
  <c r="C9" i="137"/>
  <c r="C10" i="137" s="1"/>
  <c r="C8" i="137"/>
  <c r="B4" i="137"/>
  <c r="J66" i="136"/>
  <c r="I66" i="136"/>
  <c r="H66" i="136"/>
  <c r="G66" i="136"/>
  <c r="F66" i="136"/>
  <c r="J55" i="136"/>
  <c r="I55" i="136"/>
  <c r="H55" i="136"/>
  <c r="G55" i="136"/>
  <c r="F55" i="136"/>
  <c r="C54" i="136"/>
  <c r="C53" i="136"/>
  <c r="C52" i="136"/>
  <c r="C51" i="136"/>
  <c r="C50" i="136"/>
  <c r="C49" i="136"/>
  <c r="C48" i="136"/>
  <c r="C47" i="136"/>
  <c r="J45" i="136"/>
  <c r="I45" i="136"/>
  <c r="H45" i="136"/>
  <c r="G45" i="136"/>
  <c r="F45" i="136"/>
  <c r="E45" i="136"/>
  <c r="D45" i="136"/>
  <c r="J44" i="136"/>
  <c r="I44" i="136"/>
  <c r="H44" i="136"/>
  <c r="G44" i="136"/>
  <c r="F44" i="136"/>
  <c r="E44" i="136"/>
  <c r="D44" i="136"/>
  <c r="J42" i="136"/>
  <c r="I42" i="136"/>
  <c r="H42" i="136"/>
  <c r="G42" i="136"/>
  <c r="F42" i="136"/>
  <c r="E42" i="136"/>
  <c r="D42" i="136"/>
  <c r="I19" i="136" s="1"/>
  <c r="J41" i="136"/>
  <c r="I41" i="136"/>
  <c r="H41" i="136"/>
  <c r="G41" i="136"/>
  <c r="F41" i="136"/>
  <c r="E41" i="136"/>
  <c r="D41" i="136"/>
  <c r="J39" i="136"/>
  <c r="I39" i="136"/>
  <c r="H39" i="136"/>
  <c r="G39" i="136"/>
  <c r="F39" i="136"/>
  <c r="E39" i="136"/>
  <c r="D39" i="136"/>
  <c r="J38" i="136"/>
  <c r="I38" i="136"/>
  <c r="H38" i="136"/>
  <c r="G38" i="136"/>
  <c r="F38" i="136"/>
  <c r="J36" i="136"/>
  <c r="I36" i="136"/>
  <c r="H36" i="136"/>
  <c r="G36" i="136"/>
  <c r="F36" i="136"/>
  <c r="E36" i="136"/>
  <c r="E38" i="136" s="1"/>
  <c r="D36" i="136"/>
  <c r="D38" i="136" s="1"/>
  <c r="B22" i="136"/>
  <c r="C19" i="136"/>
  <c r="F19" i="136" s="1"/>
  <c r="C18" i="136"/>
  <c r="H18" i="136" s="1"/>
  <c r="C16" i="136"/>
  <c r="D15" i="136"/>
  <c r="D18" i="136"/>
  <c r="C10" i="136"/>
  <c r="L9" i="136" s="1"/>
  <c r="C9" i="136"/>
  <c r="C8" i="136"/>
  <c r="B4" i="136"/>
  <c r="J66" i="135"/>
  <c r="I66" i="135"/>
  <c r="J55" i="135"/>
  <c r="I55" i="135"/>
  <c r="C54" i="135"/>
  <c r="C53" i="135"/>
  <c r="C52" i="135"/>
  <c r="C51" i="135"/>
  <c r="C50" i="135"/>
  <c r="C49" i="135"/>
  <c r="C48" i="135"/>
  <c r="C47" i="135"/>
  <c r="J45" i="135"/>
  <c r="I45" i="135"/>
  <c r="H45" i="135"/>
  <c r="G45" i="135"/>
  <c r="F45" i="135"/>
  <c r="E45" i="135"/>
  <c r="D45" i="135"/>
  <c r="J44" i="135"/>
  <c r="I44" i="135"/>
  <c r="H44" i="135"/>
  <c r="G44" i="135"/>
  <c r="F44" i="135"/>
  <c r="E44" i="135"/>
  <c r="D44" i="135"/>
  <c r="J42" i="135"/>
  <c r="I42" i="135"/>
  <c r="H42" i="135"/>
  <c r="G42" i="135"/>
  <c r="F42" i="135"/>
  <c r="E42" i="135"/>
  <c r="D42" i="135"/>
  <c r="J41" i="135"/>
  <c r="I41" i="135"/>
  <c r="H41" i="135"/>
  <c r="G41" i="135"/>
  <c r="F41" i="135"/>
  <c r="E41" i="135"/>
  <c r="D41" i="135"/>
  <c r="J39" i="135"/>
  <c r="I39" i="135"/>
  <c r="H39" i="135"/>
  <c r="G39" i="135"/>
  <c r="F39" i="135"/>
  <c r="I19" i="135" s="1"/>
  <c r="E39" i="135"/>
  <c r="D39" i="135"/>
  <c r="J38" i="135"/>
  <c r="I38" i="135"/>
  <c r="G38" i="135"/>
  <c r="J36" i="135"/>
  <c r="I36" i="135"/>
  <c r="H36" i="135"/>
  <c r="H38" i="135" s="1"/>
  <c r="G36" i="135"/>
  <c r="F36" i="135"/>
  <c r="F38" i="135" s="1"/>
  <c r="E36" i="135"/>
  <c r="E38" i="135" s="1"/>
  <c r="D36" i="135"/>
  <c r="D38" i="135" s="1"/>
  <c r="B22" i="135"/>
  <c r="C19" i="135"/>
  <c r="H19" i="135" s="1"/>
  <c r="D16" i="135"/>
  <c r="C16" i="135"/>
  <c r="D15" i="135"/>
  <c r="C9" i="135"/>
  <c r="C10" i="135" s="1"/>
  <c r="C8" i="135"/>
  <c r="B4" i="135"/>
  <c r="J66" i="134"/>
  <c r="I66" i="134"/>
  <c r="H66" i="134"/>
  <c r="G66" i="134"/>
  <c r="J55" i="134"/>
  <c r="I55" i="134"/>
  <c r="H55" i="134"/>
  <c r="C54" i="134"/>
  <c r="C53" i="134"/>
  <c r="C52" i="134"/>
  <c r="C51" i="134"/>
  <c r="C50" i="134"/>
  <c r="C49" i="134"/>
  <c r="C48" i="134"/>
  <c r="C47" i="134"/>
  <c r="J45" i="134"/>
  <c r="I45" i="134"/>
  <c r="H45" i="134"/>
  <c r="G45" i="134"/>
  <c r="F45" i="134"/>
  <c r="E45" i="134"/>
  <c r="D45" i="134"/>
  <c r="J44" i="134"/>
  <c r="I44" i="134"/>
  <c r="H44" i="134"/>
  <c r="G44" i="134"/>
  <c r="F44" i="134"/>
  <c r="E44" i="134"/>
  <c r="D44" i="134"/>
  <c r="J42" i="134"/>
  <c r="I42" i="134"/>
  <c r="H42" i="134"/>
  <c r="G42" i="134"/>
  <c r="F42" i="134"/>
  <c r="E42" i="134"/>
  <c r="D42" i="134"/>
  <c r="J41" i="134"/>
  <c r="I41" i="134"/>
  <c r="H41" i="134"/>
  <c r="G41" i="134"/>
  <c r="F41" i="134"/>
  <c r="E41" i="134"/>
  <c r="D41" i="134"/>
  <c r="J39" i="134"/>
  <c r="I39" i="134"/>
  <c r="H39" i="134"/>
  <c r="G39" i="134"/>
  <c r="F39" i="134"/>
  <c r="E39" i="134"/>
  <c r="D39" i="134"/>
  <c r="I19" i="134" s="1"/>
  <c r="J38" i="134"/>
  <c r="I38" i="134"/>
  <c r="H38" i="134"/>
  <c r="G38" i="134"/>
  <c r="D38" i="134"/>
  <c r="J36" i="134"/>
  <c r="I36" i="134"/>
  <c r="H36" i="134"/>
  <c r="G36" i="134"/>
  <c r="F36" i="134"/>
  <c r="F38" i="134" s="1"/>
  <c r="E36" i="134"/>
  <c r="E38" i="134" s="1"/>
  <c r="D36" i="134"/>
  <c r="B22" i="134"/>
  <c r="D19" i="134"/>
  <c r="C19" i="134"/>
  <c r="H19" i="134" s="1"/>
  <c r="C18" i="134"/>
  <c r="H18" i="134" s="1"/>
  <c r="D17" i="134"/>
  <c r="C16" i="134"/>
  <c r="D15" i="134"/>
  <c r="C15" i="134"/>
  <c r="D16" i="134"/>
  <c r="C9" i="134"/>
  <c r="C10" i="134" s="1"/>
  <c r="C8" i="134"/>
  <c r="B4" i="134"/>
  <c r="J66" i="133"/>
  <c r="I66" i="133"/>
  <c r="H66" i="133"/>
  <c r="G66" i="133"/>
  <c r="F66" i="133"/>
  <c r="E66" i="133"/>
  <c r="J55" i="133"/>
  <c r="I55" i="133"/>
  <c r="H55" i="133"/>
  <c r="G55" i="133"/>
  <c r="F55" i="133"/>
  <c r="E55" i="133"/>
  <c r="C54" i="133"/>
  <c r="C53" i="133"/>
  <c r="C52" i="133"/>
  <c r="C51" i="133"/>
  <c r="C50" i="133"/>
  <c r="C49" i="133"/>
  <c r="C48" i="133"/>
  <c r="C47" i="133"/>
  <c r="J45" i="133"/>
  <c r="I45" i="133"/>
  <c r="H45" i="133"/>
  <c r="G45" i="133"/>
  <c r="F45" i="133"/>
  <c r="E45" i="133"/>
  <c r="D45" i="133"/>
  <c r="J44" i="133"/>
  <c r="I44" i="133"/>
  <c r="H44" i="133"/>
  <c r="G44" i="133"/>
  <c r="F44" i="133"/>
  <c r="E44" i="133"/>
  <c r="D44" i="133"/>
  <c r="J42" i="133"/>
  <c r="I42" i="133"/>
  <c r="H42" i="133"/>
  <c r="G42" i="133"/>
  <c r="F42" i="133"/>
  <c r="E42" i="133"/>
  <c r="D42" i="133"/>
  <c r="J41" i="133"/>
  <c r="I41" i="133"/>
  <c r="H41" i="133"/>
  <c r="G41" i="133"/>
  <c r="F41" i="133"/>
  <c r="E41" i="133"/>
  <c r="D41" i="133"/>
  <c r="J39" i="133"/>
  <c r="I39" i="133"/>
  <c r="H39" i="133"/>
  <c r="G39" i="133"/>
  <c r="F39" i="133"/>
  <c r="E39" i="133"/>
  <c r="D39" i="133"/>
  <c r="J38" i="133"/>
  <c r="I38" i="133"/>
  <c r="H38" i="133"/>
  <c r="G38" i="133"/>
  <c r="F38" i="133"/>
  <c r="E38" i="133"/>
  <c r="J36" i="133"/>
  <c r="I36" i="133"/>
  <c r="H36" i="133"/>
  <c r="G36" i="133"/>
  <c r="F36" i="133"/>
  <c r="E36" i="133"/>
  <c r="D36" i="133"/>
  <c r="D38" i="133" s="1"/>
  <c r="B22" i="133"/>
  <c r="I19" i="133"/>
  <c r="C9" i="133"/>
  <c r="C10" i="133" s="1"/>
  <c r="C8" i="133"/>
  <c r="B4" i="133"/>
  <c r="J66" i="132"/>
  <c r="I66" i="132"/>
  <c r="H66" i="132"/>
  <c r="J55" i="132"/>
  <c r="I55" i="132"/>
  <c r="H55" i="132"/>
  <c r="C54" i="132"/>
  <c r="C53" i="132"/>
  <c r="C52" i="132"/>
  <c r="C51" i="132"/>
  <c r="C50" i="132"/>
  <c r="C49" i="132"/>
  <c r="C48" i="132"/>
  <c r="C47" i="132"/>
  <c r="J45" i="132"/>
  <c r="I45" i="132"/>
  <c r="H45" i="132"/>
  <c r="G45" i="132"/>
  <c r="F45" i="132"/>
  <c r="E45" i="132"/>
  <c r="D45" i="132"/>
  <c r="J44" i="132"/>
  <c r="I44" i="132"/>
  <c r="H44" i="132"/>
  <c r="G44" i="132"/>
  <c r="F44" i="132"/>
  <c r="E44" i="132"/>
  <c r="D44" i="132"/>
  <c r="J42" i="132"/>
  <c r="I42" i="132"/>
  <c r="H42" i="132"/>
  <c r="G42" i="132"/>
  <c r="F42" i="132"/>
  <c r="E42" i="132"/>
  <c r="D42" i="132"/>
  <c r="J41" i="132"/>
  <c r="I41" i="132"/>
  <c r="H41" i="132"/>
  <c r="G41" i="132"/>
  <c r="F41" i="132"/>
  <c r="E41" i="132"/>
  <c r="D41" i="132"/>
  <c r="J39" i="132"/>
  <c r="I39" i="132"/>
  <c r="H39" i="132"/>
  <c r="G39" i="132"/>
  <c r="F39" i="132"/>
  <c r="E39" i="132"/>
  <c r="D39" i="132"/>
  <c r="I19" i="132" s="1"/>
  <c r="J38" i="132"/>
  <c r="I38" i="132"/>
  <c r="H38" i="132"/>
  <c r="J36" i="132"/>
  <c r="I36" i="132"/>
  <c r="H36" i="132"/>
  <c r="G36" i="132"/>
  <c r="G38" i="132" s="1"/>
  <c r="F36" i="132"/>
  <c r="F38" i="132" s="1"/>
  <c r="E36" i="132"/>
  <c r="E38" i="132" s="1"/>
  <c r="D36" i="132"/>
  <c r="D38" i="132" s="1"/>
  <c r="B22" i="132"/>
  <c r="C18" i="132"/>
  <c r="H18" i="132" s="1"/>
  <c r="C10" i="132"/>
  <c r="L9" i="132" s="1"/>
  <c r="J15" i="132" s="1"/>
  <c r="C9" i="132"/>
  <c r="C8" i="132"/>
  <c r="B4" i="132"/>
  <c r="J66" i="131"/>
  <c r="I66" i="131"/>
  <c r="H66" i="131"/>
  <c r="J55" i="131"/>
  <c r="I55" i="131"/>
  <c r="H55" i="131"/>
  <c r="C54" i="131"/>
  <c r="C53" i="131"/>
  <c r="C52" i="131"/>
  <c r="C51" i="131"/>
  <c r="C50" i="131"/>
  <c r="C49" i="131"/>
  <c r="C48" i="131"/>
  <c r="C47" i="131"/>
  <c r="J45" i="131"/>
  <c r="I45" i="131"/>
  <c r="H45" i="131"/>
  <c r="G45" i="131"/>
  <c r="F45" i="131"/>
  <c r="E45" i="131"/>
  <c r="D45" i="131"/>
  <c r="J44" i="131"/>
  <c r="I44" i="131"/>
  <c r="H44" i="131"/>
  <c r="G44" i="131"/>
  <c r="F44" i="131"/>
  <c r="E44" i="131"/>
  <c r="D44" i="131"/>
  <c r="J42" i="131"/>
  <c r="I42" i="131"/>
  <c r="H42" i="131"/>
  <c r="G42" i="131"/>
  <c r="F42" i="131"/>
  <c r="E42" i="131"/>
  <c r="D42" i="131"/>
  <c r="J41" i="131"/>
  <c r="I41" i="131"/>
  <c r="H41" i="131"/>
  <c r="G41" i="131"/>
  <c r="F41" i="131"/>
  <c r="D41" i="131"/>
  <c r="J39" i="131"/>
  <c r="I39" i="131"/>
  <c r="H39" i="131"/>
  <c r="G39" i="131"/>
  <c r="I19" i="131" s="1"/>
  <c r="F39" i="131"/>
  <c r="E39" i="131"/>
  <c r="D39" i="131"/>
  <c r="J38" i="131"/>
  <c r="I38" i="131"/>
  <c r="H38" i="131"/>
  <c r="J36" i="131"/>
  <c r="I36" i="131"/>
  <c r="H36" i="131"/>
  <c r="G36" i="131"/>
  <c r="G38" i="131" s="1"/>
  <c r="F36" i="131"/>
  <c r="F38" i="131" s="1"/>
  <c r="E36" i="131"/>
  <c r="E38" i="131" s="1"/>
  <c r="D36" i="131"/>
  <c r="D38" i="131" s="1"/>
  <c r="B22" i="131"/>
  <c r="C16" i="131"/>
  <c r="D15" i="131"/>
  <c r="C9" i="131"/>
  <c r="C10" i="131" s="1"/>
  <c r="C8" i="131"/>
  <c r="B4" i="131"/>
  <c r="J66" i="130"/>
  <c r="I66" i="130"/>
  <c r="H66" i="130"/>
  <c r="G66" i="130"/>
  <c r="J55" i="130"/>
  <c r="I55" i="130"/>
  <c r="H55" i="130"/>
  <c r="G55" i="130"/>
  <c r="C54" i="130"/>
  <c r="C53" i="130"/>
  <c r="C52" i="130"/>
  <c r="C51" i="130"/>
  <c r="C50" i="130"/>
  <c r="C49" i="130"/>
  <c r="C48" i="130"/>
  <c r="C47" i="130"/>
  <c r="J45" i="130"/>
  <c r="I45" i="130"/>
  <c r="H45" i="130"/>
  <c r="G45" i="130"/>
  <c r="F45" i="130"/>
  <c r="E45" i="130"/>
  <c r="D45" i="130"/>
  <c r="J44" i="130"/>
  <c r="I44" i="130"/>
  <c r="H44" i="130"/>
  <c r="G44" i="130"/>
  <c r="F44" i="130"/>
  <c r="E44" i="130"/>
  <c r="D44" i="130"/>
  <c r="J42" i="130"/>
  <c r="I42" i="130"/>
  <c r="H42" i="130"/>
  <c r="G42" i="130"/>
  <c r="F42" i="130"/>
  <c r="E42" i="130"/>
  <c r="D42" i="130"/>
  <c r="J41" i="130"/>
  <c r="I41" i="130"/>
  <c r="H41" i="130"/>
  <c r="G41" i="130"/>
  <c r="E41" i="130"/>
  <c r="D41" i="130"/>
  <c r="J39" i="130"/>
  <c r="I39" i="130"/>
  <c r="H39" i="130"/>
  <c r="G39" i="130"/>
  <c r="F39" i="130"/>
  <c r="E39" i="130"/>
  <c r="D39" i="130"/>
  <c r="I19" i="130" s="1"/>
  <c r="J38" i="130"/>
  <c r="I38" i="130"/>
  <c r="H38" i="130"/>
  <c r="G38" i="130"/>
  <c r="J36" i="130"/>
  <c r="I36" i="130"/>
  <c r="H36" i="130"/>
  <c r="G36" i="130"/>
  <c r="F36" i="130"/>
  <c r="F38" i="130" s="1"/>
  <c r="E36" i="130"/>
  <c r="E38" i="130" s="1"/>
  <c r="D36" i="130"/>
  <c r="D38" i="130" s="1"/>
  <c r="B22" i="130"/>
  <c r="D19" i="130"/>
  <c r="D16" i="130"/>
  <c r="C16" i="130"/>
  <c r="D15" i="130"/>
  <c r="D17" i="130"/>
  <c r="C10" i="130"/>
  <c r="L10" i="130" s="1"/>
  <c r="C9" i="130"/>
  <c r="C8" i="130"/>
  <c r="B4" i="130"/>
  <c r="J66" i="129"/>
  <c r="I66" i="129"/>
  <c r="H66" i="129"/>
  <c r="G66" i="129"/>
  <c r="J55" i="129"/>
  <c r="I55" i="129"/>
  <c r="H55" i="129"/>
  <c r="G55" i="129"/>
  <c r="C54" i="129"/>
  <c r="C53" i="129"/>
  <c r="C52" i="129"/>
  <c r="C51" i="129"/>
  <c r="C50" i="129"/>
  <c r="C49" i="129"/>
  <c r="C48" i="129"/>
  <c r="C47" i="129"/>
  <c r="J45" i="129"/>
  <c r="I45" i="129"/>
  <c r="H45" i="129"/>
  <c r="G45" i="129"/>
  <c r="F45" i="129"/>
  <c r="E45" i="129"/>
  <c r="D45" i="129"/>
  <c r="J44" i="129"/>
  <c r="I44" i="129"/>
  <c r="H44" i="129"/>
  <c r="G44" i="129"/>
  <c r="F44" i="129"/>
  <c r="E44" i="129"/>
  <c r="D44" i="129"/>
  <c r="J42" i="129"/>
  <c r="I42" i="129"/>
  <c r="H42" i="129"/>
  <c r="G42" i="129"/>
  <c r="F42" i="129"/>
  <c r="E42" i="129"/>
  <c r="D42" i="129"/>
  <c r="J41" i="129"/>
  <c r="I41" i="129"/>
  <c r="H41" i="129"/>
  <c r="G41" i="129"/>
  <c r="F41" i="129"/>
  <c r="E41" i="129"/>
  <c r="D41" i="129"/>
  <c r="J39" i="129"/>
  <c r="I39" i="129"/>
  <c r="H39" i="129"/>
  <c r="G39" i="129"/>
  <c r="F39" i="129"/>
  <c r="E39" i="129"/>
  <c r="D39" i="129"/>
  <c r="J38" i="129"/>
  <c r="I38" i="129"/>
  <c r="H38" i="129"/>
  <c r="G38" i="129"/>
  <c r="J36" i="129"/>
  <c r="I36" i="129"/>
  <c r="H36" i="129"/>
  <c r="G36" i="129"/>
  <c r="F36" i="129"/>
  <c r="F38" i="129" s="1"/>
  <c r="E36" i="129"/>
  <c r="E38" i="129" s="1"/>
  <c r="D36" i="129"/>
  <c r="D38" i="129" s="1"/>
  <c r="B22" i="129"/>
  <c r="I19" i="129"/>
  <c r="C19" i="129"/>
  <c r="H19" i="129" s="1"/>
  <c r="D16" i="129"/>
  <c r="C9" i="129"/>
  <c r="C10" i="129" s="1"/>
  <c r="C8" i="129"/>
  <c r="B4" i="129"/>
  <c r="J66" i="127"/>
  <c r="J55" i="127"/>
  <c r="C54" i="127"/>
  <c r="C53" i="127"/>
  <c r="C52" i="127"/>
  <c r="C51" i="127"/>
  <c r="C50" i="127"/>
  <c r="C49" i="127"/>
  <c r="C48" i="127"/>
  <c r="C47" i="127"/>
  <c r="J45" i="127"/>
  <c r="I45" i="127"/>
  <c r="H45" i="127"/>
  <c r="G45" i="127"/>
  <c r="F45" i="127"/>
  <c r="E45" i="127"/>
  <c r="D45" i="127"/>
  <c r="J44" i="127"/>
  <c r="I44" i="127"/>
  <c r="H44" i="127"/>
  <c r="G44" i="127"/>
  <c r="F44" i="127"/>
  <c r="E44" i="127"/>
  <c r="D44" i="127"/>
  <c r="J42" i="127"/>
  <c r="I42" i="127"/>
  <c r="H42" i="127"/>
  <c r="G42" i="127"/>
  <c r="F42" i="127"/>
  <c r="E42" i="127"/>
  <c r="D42" i="127"/>
  <c r="J41" i="127"/>
  <c r="I41" i="127"/>
  <c r="H41" i="127"/>
  <c r="G41" i="127"/>
  <c r="F41" i="127"/>
  <c r="E41" i="127"/>
  <c r="D41" i="127"/>
  <c r="J39" i="127"/>
  <c r="I39" i="127"/>
  <c r="H39" i="127"/>
  <c r="G39" i="127"/>
  <c r="F39" i="127"/>
  <c r="E39" i="127"/>
  <c r="D39" i="127"/>
  <c r="J38" i="127"/>
  <c r="F38" i="127"/>
  <c r="J36" i="127"/>
  <c r="I36" i="127"/>
  <c r="I38" i="127" s="1"/>
  <c r="H36" i="127"/>
  <c r="H38" i="127" s="1"/>
  <c r="G36" i="127"/>
  <c r="G38" i="127" s="1"/>
  <c r="F36" i="127"/>
  <c r="E36" i="127"/>
  <c r="E38" i="127" s="1"/>
  <c r="D36" i="127"/>
  <c r="D38" i="127" s="1"/>
  <c r="B22" i="127"/>
  <c r="I19" i="127"/>
  <c r="C19" i="127"/>
  <c r="F19" i="127" s="1"/>
  <c r="C18" i="127"/>
  <c r="G18" i="127" s="1"/>
  <c r="D17" i="127"/>
  <c r="C17" i="127"/>
  <c r="D16" i="127"/>
  <c r="C16" i="127"/>
  <c r="D15" i="127"/>
  <c r="C15" i="127"/>
  <c r="D18" i="127"/>
  <c r="C9" i="127"/>
  <c r="C10" i="127" s="1"/>
  <c r="C8" i="127"/>
  <c r="B4" i="127"/>
  <c r="J66" i="126"/>
  <c r="I66" i="126"/>
  <c r="H66" i="126"/>
  <c r="G66" i="126"/>
  <c r="J55" i="126"/>
  <c r="I55" i="126"/>
  <c r="H55" i="126"/>
  <c r="G55" i="126"/>
  <c r="C54" i="126"/>
  <c r="C53" i="126"/>
  <c r="C52" i="126"/>
  <c r="C51" i="126"/>
  <c r="C50" i="126"/>
  <c r="C49" i="126"/>
  <c r="C48" i="126"/>
  <c r="C47" i="126"/>
  <c r="J45" i="126"/>
  <c r="I45" i="126"/>
  <c r="H45" i="126"/>
  <c r="G45" i="126"/>
  <c r="F45" i="126"/>
  <c r="E45" i="126"/>
  <c r="D45" i="126"/>
  <c r="J44" i="126"/>
  <c r="I44" i="126"/>
  <c r="H44" i="126"/>
  <c r="G44" i="126"/>
  <c r="F44" i="126"/>
  <c r="E44" i="126"/>
  <c r="D44" i="126"/>
  <c r="J42" i="126"/>
  <c r="I42" i="126"/>
  <c r="H42" i="126"/>
  <c r="G42" i="126"/>
  <c r="F42" i="126"/>
  <c r="E42" i="126"/>
  <c r="D42" i="126"/>
  <c r="J41" i="126"/>
  <c r="I41" i="126"/>
  <c r="H41" i="126"/>
  <c r="G41" i="126"/>
  <c r="F41" i="126"/>
  <c r="J39" i="126"/>
  <c r="I39" i="126"/>
  <c r="H39" i="126"/>
  <c r="G39" i="126"/>
  <c r="F39" i="126"/>
  <c r="I19" i="126" s="1"/>
  <c r="E39" i="126"/>
  <c r="D39" i="126"/>
  <c r="J38" i="126"/>
  <c r="I38" i="126"/>
  <c r="H38" i="126"/>
  <c r="G38" i="126"/>
  <c r="J36" i="126"/>
  <c r="I36" i="126"/>
  <c r="H36" i="126"/>
  <c r="G36" i="126"/>
  <c r="F36" i="126"/>
  <c r="F38" i="126" s="1"/>
  <c r="E36" i="126"/>
  <c r="E41" i="126" s="1"/>
  <c r="D36" i="126"/>
  <c r="D41" i="126" s="1"/>
  <c r="B22" i="126"/>
  <c r="D19" i="126"/>
  <c r="C19" i="126"/>
  <c r="H19" i="126" s="1"/>
  <c r="C18" i="126"/>
  <c r="F18" i="126" s="1"/>
  <c r="C17" i="126"/>
  <c r="D16" i="126"/>
  <c r="C16" i="126"/>
  <c r="D15" i="126"/>
  <c r="D17" i="126"/>
  <c r="C9" i="126"/>
  <c r="C10" i="126" s="1"/>
  <c r="C8" i="126"/>
  <c r="B4" i="126"/>
  <c r="J66" i="125"/>
  <c r="I66" i="125"/>
  <c r="H66" i="125"/>
  <c r="G66" i="125"/>
  <c r="F66" i="125"/>
  <c r="J55" i="125"/>
  <c r="I55" i="125"/>
  <c r="H55" i="125"/>
  <c r="G55" i="125"/>
  <c r="F55" i="125"/>
  <c r="C54" i="125"/>
  <c r="C53" i="125"/>
  <c r="C52" i="125"/>
  <c r="C51" i="125"/>
  <c r="C50" i="125"/>
  <c r="C49" i="125"/>
  <c r="C48" i="125"/>
  <c r="C47" i="125"/>
  <c r="J45" i="125"/>
  <c r="I45" i="125"/>
  <c r="H45" i="125"/>
  <c r="G45" i="125"/>
  <c r="F45" i="125"/>
  <c r="E45" i="125"/>
  <c r="D45" i="125"/>
  <c r="J44" i="125"/>
  <c r="I44" i="125"/>
  <c r="H44" i="125"/>
  <c r="G44" i="125"/>
  <c r="F44" i="125"/>
  <c r="E44" i="125"/>
  <c r="D44" i="125"/>
  <c r="J42" i="125"/>
  <c r="I42" i="125"/>
  <c r="H42" i="125"/>
  <c r="G42" i="125"/>
  <c r="F42" i="125"/>
  <c r="E42" i="125"/>
  <c r="D42" i="125"/>
  <c r="J41" i="125"/>
  <c r="I41" i="125"/>
  <c r="H41" i="125"/>
  <c r="G41" i="125"/>
  <c r="F41" i="125"/>
  <c r="E41" i="125"/>
  <c r="D41" i="125"/>
  <c r="J39" i="125"/>
  <c r="I39" i="125"/>
  <c r="H39" i="125"/>
  <c r="G39" i="125"/>
  <c r="F39" i="125"/>
  <c r="E39" i="125"/>
  <c r="D39" i="125"/>
  <c r="J38" i="125"/>
  <c r="I38" i="125"/>
  <c r="H38" i="125"/>
  <c r="G38" i="125"/>
  <c r="F38" i="125"/>
  <c r="E38" i="125"/>
  <c r="J36" i="125"/>
  <c r="I36" i="125"/>
  <c r="H36" i="125"/>
  <c r="G36" i="125"/>
  <c r="F36" i="125"/>
  <c r="E36" i="125"/>
  <c r="D36" i="125"/>
  <c r="D38" i="125" s="1"/>
  <c r="B22" i="125"/>
  <c r="I19" i="125"/>
  <c r="C9" i="125"/>
  <c r="C10" i="125" s="1"/>
  <c r="L9" i="125" s="1"/>
  <c r="C8" i="125"/>
  <c r="B4" i="125"/>
  <c r="J66" i="124"/>
  <c r="I66" i="124"/>
  <c r="H66" i="124"/>
  <c r="G66" i="124"/>
  <c r="F66" i="124"/>
  <c r="J55" i="124"/>
  <c r="I55" i="124"/>
  <c r="H55" i="124"/>
  <c r="G55" i="124"/>
  <c r="F55" i="124"/>
  <c r="C54" i="124"/>
  <c r="C53" i="124"/>
  <c r="C52" i="124"/>
  <c r="C51" i="124"/>
  <c r="C50" i="124"/>
  <c r="C49" i="124"/>
  <c r="C48" i="124"/>
  <c r="C47" i="124"/>
  <c r="J45" i="124"/>
  <c r="I45" i="124"/>
  <c r="H45" i="124"/>
  <c r="G45" i="124"/>
  <c r="F45" i="124"/>
  <c r="E45" i="124"/>
  <c r="D45" i="124"/>
  <c r="J44" i="124"/>
  <c r="I44" i="124"/>
  <c r="H44" i="124"/>
  <c r="G44" i="124"/>
  <c r="F44" i="124"/>
  <c r="E44" i="124"/>
  <c r="D44" i="124"/>
  <c r="J42" i="124"/>
  <c r="I42" i="124"/>
  <c r="H42" i="124"/>
  <c r="G42" i="124"/>
  <c r="F42" i="124"/>
  <c r="E42" i="124"/>
  <c r="D42" i="124"/>
  <c r="J41" i="124"/>
  <c r="I41" i="124"/>
  <c r="H41" i="124"/>
  <c r="G41" i="124"/>
  <c r="F41" i="124"/>
  <c r="E41" i="124"/>
  <c r="D41" i="124"/>
  <c r="J39" i="124"/>
  <c r="I39" i="124"/>
  <c r="H39" i="124"/>
  <c r="G39" i="124"/>
  <c r="F39" i="124"/>
  <c r="E39" i="124"/>
  <c r="D39" i="124"/>
  <c r="J38" i="124"/>
  <c r="I38" i="124"/>
  <c r="H38" i="124"/>
  <c r="G38" i="124"/>
  <c r="F38" i="124"/>
  <c r="J36" i="124"/>
  <c r="I36" i="124"/>
  <c r="H36" i="124"/>
  <c r="G36" i="124"/>
  <c r="F36" i="124"/>
  <c r="E36" i="124"/>
  <c r="E38" i="124" s="1"/>
  <c r="D36" i="124"/>
  <c r="D38" i="124" s="1"/>
  <c r="B22" i="124"/>
  <c r="C19" i="124"/>
  <c r="G19" i="124" s="1"/>
  <c r="C18" i="124"/>
  <c r="D17" i="124"/>
  <c r="C16" i="124"/>
  <c r="D15" i="124"/>
  <c r="C15" i="124"/>
  <c r="C9" i="124"/>
  <c r="C10" i="124" s="1"/>
  <c r="C8" i="124"/>
  <c r="B4" i="124"/>
  <c r="J66" i="123"/>
  <c r="I66" i="123"/>
  <c r="J55" i="123"/>
  <c r="I55" i="123"/>
  <c r="C54" i="123"/>
  <c r="C53" i="123"/>
  <c r="C52" i="123"/>
  <c r="C51" i="123"/>
  <c r="C50" i="123"/>
  <c r="C49" i="123"/>
  <c r="C48" i="123"/>
  <c r="C47" i="123"/>
  <c r="J45" i="123"/>
  <c r="I45" i="123"/>
  <c r="H45" i="123"/>
  <c r="G45" i="123"/>
  <c r="F45" i="123"/>
  <c r="E45" i="123"/>
  <c r="D45" i="123"/>
  <c r="J44" i="123"/>
  <c r="I44" i="123"/>
  <c r="H44" i="123"/>
  <c r="G44" i="123"/>
  <c r="F44" i="123"/>
  <c r="E44" i="123"/>
  <c r="D44" i="123"/>
  <c r="J42" i="123"/>
  <c r="I42" i="123"/>
  <c r="H42" i="123"/>
  <c r="G42" i="123"/>
  <c r="F42" i="123"/>
  <c r="E42" i="123"/>
  <c r="D42" i="123"/>
  <c r="J41" i="123"/>
  <c r="I41" i="123"/>
  <c r="H41" i="123"/>
  <c r="G41" i="123"/>
  <c r="F41" i="123"/>
  <c r="E41" i="123"/>
  <c r="D41" i="123"/>
  <c r="J39" i="123"/>
  <c r="I39" i="123"/>
  <c r="H39" i="123"/>
  <c r="G39" i="123"/>
  <c r="F39" i="123"/>
  <c r="E39" i="123"/>
  <c r="D39" i="123"/>
  <c r="I19" i="123" s="1"/>
  <c r="J38" i="123"/>
  <c r="I38" i="123"/>
  <c r="J36" i="123"/>
  <c r="I36" i="123"/>
  <c r="H36" i="123"/>
  <c r="H38" i="123" s="1"/>
  <c r="G36" i="123"/>
  <c r="G38" i="123" s="1"/>
  <c r="F36" i="123"/>
  <c r="F38" i="123" s="1"/>
  <c r="E36" i="123"/>
  <c r="E38" i="123" s="1"/>
  <c r="D36" i="123"/>
  <c r="D38" i="123" s="1"/>
  <c r="B22" i="123"/>
  <c r="C19" i="123"/>
  <c r="F19" i="123" s="1"/>
  <c r="C17" i="123"/>
  <c r="C9" i="123"/>
  <c r="C10" i="123" s="1"/>
  <c r="C8" i="123"/>
  <c r="B4" i="123"/>
  <c r="J66" i="122"/>
  <c r="I66" i="122"/>
  <c r="H66" i="122"/>
  <c r="J55" i="122"/>
  <c r="I55" i="122"/>
  <c r="H55" i="122"/>
  <c r="C54" i="122"/>
  <c r="C53" i="122"/>
  <c r="C52" i="122"/>
  <c r="C51" i="122"/>
  <c r="C50" i="122"/>
  <c r="C49" i="122"/>
  <c r="C48" i="122"/>
  <c r="C47" i="122"/>
  <c r="J45" i="122"/>
  <c r="I45" i="122"/>
  <c r="H45" i="122"/>
  <c r="G45" i="122"/>
  <c r="F45" i="122"/>
  <c r="E45" i="122"/>
  <c r="D45" i="122"/>
  <c r="J44" i="122"/>
  <c r="I44" i="122"/>
  <c r="H44" i="122"/>
  <c r="G44" i="122"/>
  <c r="F44" i="122"/>
  <c r="E44" i="122"/>
  <c r="D44" i="122"/>
  <c r="J42" i="122"/>
  <c r="I42" i="122"/>
  <c r="H42" i="122"/>
  <c r="G42" i="122"/>
  <c r="F42" i="122"/>
  <c r="E42" i="122"/>
  <c r="D42" i="122"/>
  <c r="J41" i="122"/>
  <c r="I41" i="122"/>
  <c r="H41" i="122"/>
  <c r="G41" i="122"/>
  <c r="F41" i="122"/>
  <c r="E41" i="122"/>
  <c r="D41" i="122"/>
  <c r="J39" i="122"/>
  <c r="I39" i="122"/>
  <c r="H39" i="122"/>
  <c r="G39" i="122"/>
  <c r="F39" i="122"/>
  <c r="E39" i="122"/>
  <c r="D39" i="122"/>
  <c r="I19" i="122" s="1"/>
  <c r="J38" i="122"/>
  <c r="I38" i="122"/>
  <c r="H38" i="122"/>
  <c r="G38" i="122"/>
  <c r="J36" i="122"/>
  <c r="I36" i="122"/>
  <c r="H36" i="122"/>
  <c r="G36" i="122"/>
  <c r="F36" i="122"/>
  <c r="F38" i="122" s="1"/>
  <c r="E36" i="122"/>
  <c r="E38" i="122" s="1"/>
  <c r="D36" i="122"/>
  <c r="D38" i="122" s="1"/>
  <c r="B22" i="122"/>
  <c r="D19" i="122"/>
  <c r="C19" i="122"/>
  <c r="H19" i="122" s="1"/>
  <c r="C18" i="122"/>
  <c r="F18" i="122" s="1"/>
  <c r="C17" i="122"/>
  <c r="G17" i="122" s="1"/>
  <c r="C16" i="122"/>
  <c r="D15" i="122"/>
  <c r="D17" i="122"/>
  <c r="C9" i="122"/>
  <c r="C10" i="122" s="1"/>
  <c r="C8" i="122"/>
  <c r="B4" i="122"/>
  <c r="J66" i="121"/>
  <c r="I66" i="121"/>
  <c r="H66" i="121"/>
  <c r="G66" i="121"/>
  <c r="F66" i="121"/>
  <c r="J55" i="121"/>
  <c r="I55" i="121"/>
  <c r="H55" i="121"/>
  <c r="G55" i="121"/>
  <c r="F55" i="121"/>
  <c r="C54" i="121"/>
  <c r="C53" i="121"/>
  <c r="C52" i="121"/>
  <c r="C51" i="121"/>
  <c r="C50" i="121"/>
  <c r="C49" i="121"/>
  <c r="C48" i="121"/>
  <c r="C47" i="121"/>
  <c r="J45" i="121"/>
  <c r="I45" i="121"/>
  <c r="H45" i="121"/>
  <c r="G45" i="121"/>
  <c r="F45" i="121"/>
  <c r="E45" i="121"/>
  <c r="D45" i="121"/>
  <c r="J44" i="121"/>
  <c r="I44" i="121"/>
  <c r="H44" i="121"/>
  <c r="G44" i="121"/>
  <c r="F44" i="121"/>
  <c r="E44" i="121"/>
  <c r="D44" i="121"/>
  <c r="J42" i="121"/>
  <c r="I42" i="121"/>
  <c r="H42" i="121"/>
  <c r="G42" i="121"/>
  <c r="F42" i="121"/>
  <c r="E42" i="121"/>
  <c r="D42" i="121"/>
  <c r="J41" i="121"/>
  <c r="I41" i="121"/>
  <c r="H41" i="121"/>
  <c r="G41" i="121"/>
  <c r="F41" i="121"/>
  <c r="E41" i="121"/>
  <c r="D41" i="121"/>
  <c r="J39" i="121"/>
  <c r="I39" i="121"/>
  <c r="H39" i="121"/>
  <c r="G39" i="121"/>
  <c r="F39" i="121"/>
  <c r="E39" i="121"/>
  <c r="D39" i="121"/>
  <c r="I19" i="121" s="1"/>
  <c r="J38" i="121"/>
  <c r="I38" i="121"/>
  <c r="H38" i="121"/>
  <c r="G38" i="121"/>
  <c r="F38" i="121"/>
  <c r="J36" i="121"/>
  <c r="I36" i="121"/>
  <c r="H36" i="121"/>
  <c r="G36" i="121"/>
  <c r="F36" i="121"/>
  <c r="E36" i="121"/>
  <c r="E38" i="121" s="1"/>
  <c r="D36" i="121"/>
  <c r="D38" i="121" s="1"/>
  <c r="B22" i="121"/>
  <c r="C19" i="121"/>
  <c r="D16" i="121"/>
  <c r="L9" i="121"/>
  <c r="C9" i="121"/>
  <c r="C10" i="121" s="1"/>
  <c r="C8" i="121"/>
  <c r="B4" i="121"/>
  <c r="J66" i="120"/>
  <c r="I66" i="120"/>
  <c r="H66" i="120"/>
  <c r="G66" i="120"/>
  <c r="F66" i="120"/>
  <c r="J55" i="120"/>
  <c r="I55" i="120"/>
  <c r="H55" i="120"/>
  <c r="G55" i="120"/>
  <c r="F55" i="120"/>
  <c r="C54" i="120"/>
  <c r="C53" i="120"/>
  <c r="C52" i="120"/>
  <c r="C51" i="120"/>
  <c r="C50" i="120"/>
  <c r="C49" i="120"/>
  <c r="C48" i="120"/>
  <c r="C47" i="120"/>
  <c r="J45" i="120"/>
  <c r="I45" i="120"/>
  <c r="H45" i="120"/>
  <c r="G45" i="120"/>
  <c r="F45" i="120"/>
  <c r="E45" i="120"/>
  <c r="D45" i="120"/>
  <c r="J44" i="120"/>
  <c r="I44" i="120"/>
  <c r="H44" i="120"/>
  <c r="G44" i="120"/>
  <c r="F44" i="120"/>
  <c r="E44" i="120"/>
  <c r="D44" i="120"/>
  <c r="J42" i="120"/>
  <c r="I42" i="120"/>
  <c r="H42" i="120"/>
  <c r="G42" i="120"/>
  <c r="F42" i="120"/>
  <c r="E42" i="120"/>
  <c r="D42" i="120"/>
  <c r="J41" i="120"/>
  <c r="I41" i="120"/>
  <c r="H41" i="120"/>
  <c r="G41" i="120"/>
  <c r="F41" i="120"/>
  <c r="E41" i="120"/>
  <c r="D41" i="120"/>
  <c r="J39" i="120"/>
  <c r="I39" i="120"/>
  <c r="H39" i="120"/>
  <c r="G39" i="120"/>
  <c r="F39" i="120"/>
  <c r="E39" i="120"/>
  <c r="D39" i="120"/>
  <c r="I19" i="120" s="1"/>
  <c r="J38" i="120"/>
  <c r="I38" i="120"/>
  <c r="H38" i="120"/>
  <c r="G38" i="120"/>
  <c r="F38" i="120"/>
  <c r="J36" i="120"/>
  <c r="I36" i="120"/>
  <c r="H36" i="120"/>
  <c r="G36" i="120"/>
  <c r="F36" i="120"/>
  <c r="E36" i="120"/>
  <c r="E38" i="120" s="1"/>
  <c r="D36" i="120"/>
  <c r="D38" i="120" s="1"/>
  <c r="B22" i="120"/>
  <c r="D15" i="120"/>
  <c r="C9" i="120"/>
  <c r="C10" i="120" s="1"/>
  <c r="L10" i="120" s="1"/>
  <c r="C8" i="120"/>
  <c r="B4" i="120"/>
  <c r="J66" i="119"/>
  <c r="I66" i="119"/>
  <c r="H66" i="119"/>
  <c r="G66" i="119"/>
  <c r="F66" i="119"/>
  <c r="J55" i="119"/>
  <c r="I55" i="119"/>
  <c r="H55" i="119"/>
  <c r="G55" i="119"/>
  <c r="F55" i="119"/>
  <c r="E55" i="119"/>
  <c r="E66" i="119" s="1"/>
  <c r="D55" i="119"/>
  <c r="D66" i="119" s="1"/>
  <c r="C54" i="119"/>
  <c r="C53" i="119"/>
  <c r="C52" i="119"/>
  <c r="C51" i="119"/>
  <c r="C50" i="119"/>
  <c r="C49" i="119"/>
  <c r="C48" i="119"/>
  <c r="C47" i="119"/>
  <c r="J45" i="119"/>
  <c r="I45" i="119"/>
  <c r="H45" i="119"/>
  <c r="G45" i="119"/>
  <c r="F45" i="119"/>
  <c r="E45" i="119"/>
  <c r="D45" i="119"/>
  <c r="J44" i="119"/>
  <c r="I44" i="119"/>
  <c r="H44" i="119"/>
  <c r="G44" i="119"/>
  <c r="F44" i="119"/>
  <c r="E44" i="119"/>
  <c r="D44" i="119"/>
  <c r="J42" i="119"/>
  <c r="I42" i="119"/>
  <c r="H42" i="119"/>
  <c r="G42" i="119"/>
  <c r="F42" i="119"/>
  <c r="E42" i="119"/>
  <c r="D42" i="119"/>
  <c r="J41" i="119"/>
  <c r="I41" i="119"/>
  <c r="H41" i="119"/>
  <c r="G41" i="119"/>
  <c r="F41" i="119"/>
  <c r="E41" i="119"/>
  <c r="D41" i="119"/>
  <c r="J39" i="119"/>
  <c r="I39" i="119"/>
  <c r="H39" i="119"/>
  <c r="G39" i="119"/>
  <c r="F39" i="119"/>
  <c r="E39" i="119"/>
  <c r="I19" i="119" s="1"/>
  <c r="D39" i="119"/>
  <c r="J38" i="119"/>
  <c r="I38" i="119"/>
  <c r="H38" i="119"/>
  <c r="G38" i="119"/>
  <c r="F38" i="119"/>
  <c r="J36" i="119"/>
  <c r="I36" i="119"/>
  <c r="H36" i="119"/>
  <c r="G36" i="119"/>
  <c r="F36" i="119"/>
  <c r="E36" i="119"/>
  <c r="E38" i="119" s="1"/>
  <c r="D36" i="119"/>
  <c r="D38" i="119" s="1"/>
  <c r="B22" i="119"/>
  <c r="C19" i="119"/>
  <c r="F19" i="119" s="1"/>
  <c r="C18" i="119"/>
  <c r="F18" i="119" s="1"/>
  <c r="C17" i="119"/>
  <c r="F17" i="119" s="1"/>
  <c r="D16" i="119"/>
  <c r="C16" i="119"/>
  <c r="D15" i="119"/>
  <c r="D18" i="119"/>
  <c r="C9" i="119"/>
  <c r="C10" i="119" s="1"/>
  <c r="C8" i="119"/>
  <c r="B4" i="119"/>
  <c r="J66" i="118"/>
  <c r="I66" i="118"/>
  <c r="H66" i="118"/>
  <c r="G66" i="118"/>
  <c r="J55" i="118"/>
  <c r="I55" i="118"/>
  <c r="H55" i="118"/>
  <c r="G55" i="118"/>
  <c r="F55" i="118"/>
  <c r="F66" i="118" s="1"/>
  <c r="E55" i="118"/>
  <c r="E66" i="118" s="1"/>
  <c r="D55" i="118"/>
  <c r="D66" i="118" s="1"/>
  <c r="C54" i="118"/>
  <c r="C53" i="118"/>
  <c r="C52" i="118"/>
  <c r="C51" i="118"/>
  <c r="C50" i="118"/>
  <c r="C49" i="118"/>
  <c r="C48" i="118"/>
  <c r="C47" i="118"/>
  <c r="J45" i="118"/>
  <c r="I45" i="118"/>
  <c r="H45" i="118"/>
  <c r="G45" i="118"/>
  <c r="F45" i="118"/>
  <c r="E45" i="118"/>
  <c r="D45" i="118"/>
  <c r="J44" i="118"/>
  <c r="I44" i="118"/>
  <c r="H44" i="118"/>
  <c r="G44" i="118"/>
  <c r="F44" i="118"/>
  <c r="E44" i="118"/>
  <c r="D44" i="118"/>
  <c r="J42" i="118"/>
  <c r="I42" i="118"/>
  <c r="H42" i="118"/>
  <c r="G42" i="118"/>
  <c r="F42" i="118"/>
  <c r="E42" i="118"/>
  <c r="D42" i="118"/>
  <c r="J41" i="118"/>
  <c r="I41" i="118"/>
  <c r="H41" i="118"/>
  <c r="G41" i="118"/>
  <c r="F41" i="118"/>
  <c r="E41" i="118"/>
  <c r="D41" i="118"/>
  <c r="J39" i="118"/>
  <c r="I39" i="118"/>
  <c r="H39" i="118"/>
  <c r="G39" i="118"/>
  <c r="F39" i="118"/>
  <c r="E39" i="118"/>
  <c r="D39" i="118"/>
  <c r="I19" i="118" s="1"/>
  <c r="J38" i="118"/>
  <c r="I38" i="118"/>
  <c r="H38" i="118"/>
  <c r="G38" i="118"/>
  <c r="E38" i="118"/>
  <c r="J36" i="118"/>
  <c r="I36" i="118"/>
  <c r="H36" i="118"/>
  <c r="G36" i="118"/>
  <c r="F36" i="118"/>
  <c r="F38" i="118" s="1"/>
  <c r="E36" i="118"/>
  <c r="D36" i="118"/>
  <c r="D38" i="118" s="1"/>
  <c r="B22" i="118"/>
  <c r="C16" i="118"/>
  <c r="D15" i="118"/>
  <c r="D17" i="118"/>
  <c r="C9" i="118"/>
  <c r="C10" i="118" s="1"/>
  <c r="C8" i="118"/>
  <c r="B4" i="118"/>
  <c r="J66" i="117"/>
  <c r="I66" i="117"/>
  <c r="H66" i="117"/>
  <c r="J55" i="117"/>
  <c r="I55" i="117"/>
  <c r="H55" i="117"/>
  <c r="G55" i="117"/>
  <c r="G66" i="117" s="1"/>
  <c r="F55" i="117"/>
  <c r="F66" i="117" s="1"/>
  <c r="E55" i="117"/>
  <c r="E66" i="117" s="1"/>
  <c r="D55" i="117"/>
  <c r="D66" i="117" s="1"/>
  <c r="C54" i="117"/>
  <c r="C53" i="117"/>
  <c r="C52" i="117"/>
  <c r="C51" i="117"/>
  <c r="C50" i="117"/>
  <c r="C49" i="117"/>
  <c r="C48" i="117"/>
  <c r="C47" i="117"/>
  <c r="J45" i="117"/>
  <c r="I45" i="117"/>
  <c r="H45" i="117"/>
  <c r="G45" i="117"/>
  <c r="F45" i="117"/>
  <c r="E45" i="117"/>
  <c r="D45" i="117"/>
  <c r="J44" i="117"/>
  <c r="I44" i="117"/>
  <c r="H44" i="117"/>
  <c r="G44" i="117"/>
  <c r="F44" i="117"/>
  <c r="E44" i="117"/>
  <c r="D44" i="117"/>
  <c r="J42" i="117"/>
  <c r="I42" i="117"/>
  <c r="H42" i="117"/>
  <c r="G42" i="117"/>
  <c r="F42" i="117"/>
  <c r="E42" i="117"/>
  <c r="D42" i="117"/>
  <c r="J41" i="117"/>
  <c r="I41" i="117"/>
  <c r="H41" i="117"/>
  <c r="G41" i="117"/>
  <c r="F41" i="117"/>
  <c r="E41" i="117"/>
  <c r="D41" i="117"/>
  <c r="J39" i="117"/>
  <c r="I39" i="117"/>
  <c r="H39" i="117"/>
  <c r="G39" i="117"/>
  <c r="F39" i="117"/>
  <c r="I19" i="117" s="1"/>
  <c r="E39" i="117"/>
  <c r="D39" i="117"/>
  <c r="J38" i="117"/>
  <c r="I38" i="117"/>
  <c r="H38" i="117"/>
  <c r="J36" i="117"/>
  <c r="I36" i="117"/>
  <c r="H36" i="117"/>
  <c r="G36" i="117"/>
  <c r="G38" i="117" s="1"/>
  <c r="F36" i="117"/>
  <c r="F38" i="117" s="1"/>
  <c r="E36" i="117"/>
  <c r="E38" i="117" s="1"/>
  <c r="D36" i="117"/>
  <c r="D38" i="117" s="1"/>
  <c r="B22" i="117"/>
  <c r="D16" i="117"/>
  <c r="C9" i="117"/>
  <c r="C10" i="117" s="1"/>
  <c r="C8" i="117"/>
  <c r="B4" i="117"/>
  <c r="J66" i="116"/>
  <c r="I66" i="116"/>
  <c r="H66" i="116"/>
  <c r="G66" i="116"/>
  <c r="F66" i="116"/>
  <c r="J55" i="116"/>
  <c r="I55" i="116"/>
  <c r="H55" i="116"/>
  <c r="G55" i="116"/>
  <c r="F55" i="116"/>
  <c r="E55" i="116"/>
  <c r="E66" i="116" s="1"/>
  <c r="D55" i="116"/>
  <c r="D66" i="116" s="1"/>
  <c r="C54" i="116"/>
  <c r="C53" i="116"/>
  <c r="C52" i="116"/>
  <c r="C51" i="116"/>
  <c r="C50" i="116"/>
  <c r="C49" i="116"/>
  <c r="C48" i="116"/>
  <c r="C47" i="116"/>
  <c r="J45" i="116"/>
  <c r="I45" i="116"/>
  <c r="H45" i="116"/>
  <c r="G45" i="116"/>
  <c r="F45" i="116"/>
  <c r="E45" i="116"/>
  <c r="D45" i="116"/>
  <c r="J44" i="116"/>
  <c r="I44" i="116"/>
  <c r="H44" i="116"/>
  <c r="G44" i="116"/>
  <c r="F44" i="116"/>
  <c r="E44" i="116"/>
  <c r="D44" i="116"/>
  <c r="J42" i="116"/>
  <c r="I42" i="116"/>
  <c r="H42" i="116"/>
  <c r="G42" i="116"/>
  <c r="F42" i="116"/>
  <c r="E42" i="116"/>
  <c r="D42" i="116"/>
  <c r="J41" i="116"/>
  <c r="I41" i="116"/>
  <c r="H41" i="116"/>
  <c r="G41" i="116"/>
  <c r="F41" i="116"/>
  <c r="E41" i="116"/>
  <c r="D41" i="116"/>
  <c r="J39" i="116"/>
  <c r="I39" i="116"/>
  <c r="H39" i="116"/>
  <c r="G39" i="116"/>
  <c r="F39" i="116"/>
  <c r="E39" i="116"/>
  <c r="D39" i="116"/>
  <c r="J38" i="116"/>
  <c r="I38" i="116"/>
  <c r="H38" i="116"/>
  <c r="G38" i="116"/>
  <c r="F38" i="116"/>
  <c r="J36" i="116"/>
  <c r="I36" i="116"/>
  <c r="H36" i="116"/>
  <c r="G36" i="116"/>
  <c r="F36" i="116"/>
  <c r="E36" i="116"/>
  <c r="E38" i="116" s="1"/>
  <c r="D36" i="116"/>
  <c r="D38" i="116" s="1"/>
  <c r="B22" i="116"/>
  <c r="I19" i="116"/>
  <c r="D19" i="116"/>
  <c r="C16" i="116"/>
  <c r="D15" i="116"/>
  <c r="D17" i="116"/>
  <c r="C9" i="116"/>
  <c r="C10" i="116" s="1"/>
  <c r="C8" i="116"/>
  <c r="B4" i="116"/>
  <c r="C54" i="115"/>
  <c r="C53" i="115"/>
  <c r="C52" i="115"/>
  <c r="C51" i="115"/>
  <c r="C50" i="115"/>
  <c r="C49" i="115"/>
  <c r="C48" i="115"/>
  <c r="C47" i="115"/>
  <c r="J45" i="115"/>
  <c r="I45" i="115"/>
  <c r="H45" i="115"/>
  <c r="G45" i="115"/>
  <c r="F45" i="115"/>
  <c r="E45" i="115"/>
  <c r="D45" i="115"/>
  <c r="J44" i="115"/>
  <c r="I44" i="115"/>
  <c r="H44" i="115"/>
  <c r="G44" i="115"/>
  <c r="F44" i="115"/>
  <c r="E44" i="115"/>
  <c r="D44" i="115"/>
  <c r="J42" i="115"/>
  <c r="I42" i="115"/>
  <c r="H42" i="115"/>
  <c r="G42" i="115"/>
  <c r="F42" i="115"/>
  <c r="E42" i="115"/>
  <c r="D42" i="115"/>
  <c r="I41" i="115"/>
  <c r="H41" i="115"/>
  <c r="G41" i="115"/>
  <c r="F41" i="115"/>
  <c r="E41" i="115"/>
  <c r="D41" i="115"/>
  <c r="J39" i="115"/>
  <c r="I39" i="115"/>
  <c r="H39" i="115"/>
  <c r="G39" i="115"/>
  <c r="F39" i="115"/>
  <c r="E39" i="115"/>
  <c r="I19" i="115" s="1"/>
  <c r="D39" i="115"/>
  <c r="I38" i="115"/>
  <c r="J36" i="115"/>
  <c r="J38" i="115" s="1"/>
  <c r="I36" i="115"/>
  <c r="H36" i="115"/>
  <c r="H38" i="115" s="1"/>
  <c r="G36" i="115"/>
  <c r="G38" i="115" s="1"/>
  <c r="F36" i="115"/>
  <c r="F38" i="115" s="1"/>
  <c r="E36" i="115"/>
  <c r="E38" i="115" s="1"/>
  <c r="D36" i="115"/>
  <c r="D38" i="115" s="1"/>
  <c r="B22" i="115"/>
  <c r="D19" i="115"/>
  <c r="D15" i="115"/>
  <c r="C10" i="115"/>
  <c r="L9" i="115" s="1"/>
  <c r="C9" i="115"/>
  <c r="C8" i="115"/>
  <c r="B4" i="115"/>
  <c r="J66" i="114"/>
  <c r="I66" i="114"/>
  <c r="H66" i="114"/>
  <c r="G66" i="114"/>
  <c r="J55" i="114"/>
  <c r="I55" i="114"/>
  <c r="H55" i="114"/>
  <c r="G55" i="114"/>
  <c r="C54" i="114"/>
  <c r="C53" i="114"/>
  <c r="C52" i="114"/>
  <c r="C51" i="114"/>
  <c r="C50" i="114"/>
  <c r="C49" i="114"/>
  <c r="C48" i="114"/>
  <c r="C47" i="114"/>
  <c r="J45" i="114"/>
  <c r="I45" i="114"/>
  <c r="H45" i="114"/>
  <c r="G45" i="114"/>
  <c r="F45" i="114"/>
  <c r="E45" i="114"/>
  <c r="D45" i="114"/>
  <c r="J44" i="114"/>
  <c r="I44" i="114"/>
  <c r="H44" i="114"/>
  <c r="G44" i="114"/>
  <c r="F44" i="114"/>
  <c r="E44" i="114"/>
  <c r="D44" i="114"/>
  <c r="J42" i="114"/>
  <c r="I42" i="114"/>
  <c r="H42" i="114"/>
  <c r="G42" i="114"/>
  <c r="F42" i="114"/>
  <c r="E42" i="114"/>
  <c r="D42" i="114"/>
  <c r="J41" i="114"/>
  <c r="I41" i="114"/>
  <c r="H41" i="114"/>
  <c r="G41" i="114"/>
  <c r="E41" i="114"/>
  <c r="J39" i="114"/>
  <c r="I39" i="114"/>
  <c r="H39" i="114"/>
  <c r="G39" i="114"/>
  <c r="F39" i="114"/>
  <c r="E39" i="114"/>
  <c r="I19" i="114" s="1"/>
  <c r="D39" i="114"/>
  <c r="J38" i="114"/>
  <c r="I38" i="114"/>
  <c r="H38" i="114"/>
  <c r="G38" i="114"/>
  <c r="J36" i="114"/>
  <c r="I36" i="114"/>
  <c r="H36" i="114"/>
  <c r="G36" i="114"/>
  <c r="F36" i="114"/>
  <c r="F38" i="114" s="1"/>
  <c r="E36" i="114"/>
  <c r="E38" i="114" s="1"/>
  <c r="D36" i="114"/>
  <c r="D38" i="114" s="1"/>
  <c r="B22" i="114"/>
  <c r="C19" i="114"/>
  <c r="H19" i="114" s="1"/>
  <c r="C17" i="114"/>
  <c r="H17" i="114" s="1"/>
  <c r="C16" i="114"/>
  <c r="D15" i="114"/>
  <c r="D17" i="114"/>
  <c r="C9" i="114"/>
  <c r="C10" i="114" s="1"/>
  <c r="C8" i="114"/>
  <c r="B4" i="114"/>
  <c r="J66" i="113"/>
  <c r="I66" i="113"/>
  <c r="H66" i="113"/>
  <c r="G66" i="113"/>
  <c r="F66" i="113"/>
  <c r="E66" i="113"/>
  <c r="D66" i="113"/>
  <c r="J55" i="113"/>
  <c r="I55" i="113"/>
  <c r="H55" i="113"/>
  <c r="G55" i="113"/>
  <c r="F55" i="113"/>
  <c r="E55" i="113"/>
  <c r="C54" i="113"/>
  <c r="C53" i="113"/>
  <c r="C52" i="113"/>
  <c r="C51" i="113"/>
  <c r="C50" i="113"/>
  <c r="C49" i="113"/>
  <c r="C48" i="113"/>
  <c r="C47" i="113"/>
  <c r="J45" i="113"/>
  <c r="I45" i="113"/>
  <c r="H45" i="113"/>
  <c r="G45" i="113"/>
  <c r="F45" i="113"/>
  <c r="E45" i="113"/>
  <c r="D45" i="113"/>
  <c r="J44" i="113"/>
  <c r="I44" i="113"/>
  <c r="H44" i="113"/>
  <c r="G44" i="113"/>
  <c r="F44" i="113"/>
  <c r="E44" i="113"/>
  <c r="D44" i="113"/>
  <c r="J42" i="113"/>
  <c r="I42" i="113"/>
  <c r="H42" i="113"/>
  <c r="G42" i="113"/>
  <c r="F42" i="113"/>
  <c r="E42" i="113"/>
  <c r="D42" i="113"/>
  <c r="I19" i="113" s="1"/>
  <c r="J41" i="113"/>
  <c r="I41" i="113"/>
  <c r="H41" i="113"/>
  <c r="G41" i="113"/>
  <c r="F41" i="113"/>
  <c r="E41" i="113"/>
  <c r="D41" i="113"/>
  <c r="J39" i="113"/>
  <c r="I39" i="113"/>
  <c r="H39" i="113"/>
  <c r="G39" i="113"/>
  <c r="F39" i="113"/>
  <c r="E39" i="113"/>
  <c r="D39" i="113"/>
  <c r="J38" i="113"/>
  <c r="I38" i="113"/>
  <c r="H38" i="113"/>
  <c r="G38" i="113"/>
  <c r="F38" i="113"/>
  <c r="J36" i="113"/>
  <c r="I36" i="113"/>
  <c r="H36" i="113"/>
  <c r="G36" i="113"/>
  <c r="F36" i="113"/>
  <c r="E36" i="113"/>
  <c r="E38" i="113" s="1"/>
  <c r="D36" i="113"/>
  <c r="D38" i="113" s="1"/>
  <c r="B22" i="113"/>
  <c r="C19" i="113"/>
  <c r="H19" i="113" s="1"/>
  <c r="C18" i="113"/>
  <c r="H18" i="113" s="1"/>
  <c r="D17" i="113"/>
  <c r="C17" i="113"/>
  <c r="F17" i="113" s="1"/>
  <c r="C16" i="113"/>
  <c r="D15" i="113"/>
  <c r="C15" i="113"/>
  <c r="D16" i="113"/>
  <c r="C9" i="113"/>
  <c r="C10" i="113" s="1"/>
  <c r="C8" i="113"/>
  <c r="B4" i="113"/>
  <c r="J66" i="112"/>
  <c r="I66" i="112"/>
  <c r="H66" i="112"/>
  <c r="G66" i="112"/>
  <c r="F66" i="112"/>
  <c r="D66" i="112"/>
  <c r="J55" i="112"/>
  <c r="I55" i="112"/>
  <c r="H55" i="112"/>
  <c r="G55" i="112"/>
  <c r="F55" i="112"/>
  <c r="E55" i="112"/>
  <c r="E66" i="112" s="1"/>
  <c r="C54" i="112"/>
  <c r="C53" i="112"/>
  <c r="C52" i="112"/>
  <c r="C51" i="112"/>
  <c r="C50" i="112"/>
  <c r="C49" i="112"/>
  <c r="C48" i="112"/>
  <c r="C47" i="112"/>
  <c r="J45" i="112"/>
  <c r="I45" i="112"/>
  <c r="H45" i="112"/>
  <c r="G45" i="112"/>
  <c r="F45" i="112"/>
  <c r="E45" i="112"/>
  <c r="D45" i="112"/>
  <c r="J44" i="112"/>
  <c r="I44" i="112"/>
  <c r="H44" i="112"/>
  <c r="G44" i="112"/>
  <c r="F44" i="112"/>
  <c r="E44" i="112"/>
  <c r="D44" i="112"/>
  <c r="J42" i="112"/>
  <c r="I42" i="112"/>
  <c r="H42" i="112"/>
  <c r="G42" i="112"/>
  <c r="F42" i="112"/>
  <c r="E42" i="112"/>
  <c r="D42" i="112"/>
  <c r="J41" i="112"/>
  <c r="I41" i="112"/>
  <c r="H41" i="112"/>
  <c r="G41" i="112"/>
  <c r="F41" i="112"/>
  <c r="E41" i="112"/>
  <c r="D41" i="112"/>
  <c r="J39" i="112"/>
  <c r="I39" i="112"/>
  <c r="H39" i="112"/>
  <c r="G39" i="112"/>
  <c r="F39" i="112"/>
  <c r="E39" i="112"/>
  <c r="D39" i="112"/>
  <c r="J38" i="112"/>
  <c r="I38" i="112"/>
  <c r="H38" i="112"/>
  <c r="G38" i="112"/>
  <c r="F38" i="112"/>
  <c r="J36" i="112"/>
  <c r="I36" i="112"/>
  <c r="H36" i="112"/>
  <c r="G36" i="112"/>
  <c r="F36" i="112"/>
  <c r="E36" i="112"/>
  <c r="E38" i="112" s="1"/>
  <c r="D36" i="112"/>
  <c r="D38" i="112" s="1"/>
  <c r="B22" i="112"/>
  <c r="I19" i="112"/>
  <c r="C16" i="112"/>
  <c r="D15" i="112"/>
  <c r="D17" i="112"/>
  <c r="C9" i="112"/>
  <c r="C10" i="112" s="1"/>
  <c r="C8" i="112"/>
  <c r="B4" i="112"/>
  <c r="J66" i="111"/>
  <c r="I66" i="111"/>
  <c r="H66" i="111"/>
  <c r="G66" i="111"/>
  <c r="J55" i="111"/>
  <c r="I55" i="111"/>
  <c r="H55" i="111"/>
  <c r="G55" i="111"/>
  <c r="F55" i="111"/>
  <c r="F66" i="111" s="1"/>
  <c r="E55" i="111"/>
  <c r="E66" i="111" s="1"/>
  <c r="D55" i="111"/>
  <c r="D66" i="111" s="1"/>
  <c r="C54" i="111"/>
  <c r="C53" i="111"/>
  <c r="C52" i="111"/>
  <c r="C51" i="111"/>
  <c r="C50" i="111"/>
  <c r="C49" i="111"/>
  <c r="C48" i="111"/>
  <c r="C47" i="111"/>
  <c r="J45" i="111"/>
  <c r="I45" i="111"/>
  <c r="H45" i="111"/>
  <c r="G45" i="111"/>
  <c r="F45" i="111"/>
  <c r="E45" i="111"/>
  <c r="D45" i="111"/>
  <c r="J44" i="111"/>
  <c r="I44" i="111"/>
  <c r="H44" i="111"/>
  <c r="G44" i="111"/>
  <c r="F44" i="111"/>
  <c r="E44" i="111"/>
  <c r="D44" i="111"/>
  <c r="J42" i="111"/>
  <c r="I42" i="111"/>
  <c r="H42" i="111"/>
  <c r="G42" i="111"/>
  <c r="F42" i="111"/>
  <c r="E42" i="111"/>
  <c r="D42" i="111"/>
  <c r="J41" i="111"/>
  <c r="I41" i="111"/>
  <c r="H41" i="111"/>
  <c r="G41" i="111"/>
  <c r="F41" i="111"/>
  <c r="E41" i="111"/>
  <c r="D41" i="111"/>
  <c r="J39" i="111"/>
  <c r="I39" i="111"/>
  <c r="H39" i="111"/>
  <c r="G39" i="111"/>
  <c r="F39" i="111"/>
  <c r="E39" i="111"/>
  <c r="J38" i="111"/>
  <c r="I38" i="111"/>
  <c r="H38" i="111"/>
  <c r="G38" i="111"/>
  <c r="J36" i="111"/>
  <c r="I36" i="111"/>
  <c r="H36" i="111"/>
  <c r="G36" i="111"/>
  <c r="F36" i="111"/>
  <c r="F38" i="111" s="1"/>
  <c r="E36" i="111"/>
  <c r="E38" i="111" s="1"/>
  <c r="D36" i="111"/>
  <c r="D38" i="111" s="1"/>
  <c r="B22" i="111"/>
  <c r="I19" i="111"/>
  <c r="C19" i="111"/>
  <c r="H19" i="111" s="1"/>
  <c r="D16" i="111"/>
  <c r="C16" i="111"/>
  <c r="D15" i="111"/>
  <c r="D17" i="111"/>
  <c r="C9" i="111"/>
  <c r="C10" i="111" s="1"/>
  <c r="C8" i="111"/>
  <c r="B4" i="111"/>
  <c r="J66" i="110"/>
  <c r="I66" i="110"/>
  <c r="H66" i="110"/>
  <c r="G66" i="110"/>
  <c r="F66" i="110"/>
  <c r="J55" i="110"/>
  <c r="I55" i="110"/>
  <c r="H55" i="110"/>
  <c r="G55" i="110"/>
  <c r="F55" i="110"/>
  <c r="E55" i="110"/>
  <c r="E66" i="110" s="1"/>
  <c r="D55" i="110"/>
  <c r="D66" i="110" s="1"/>
  <c r="C54" i="110"/>
  <c r="C53" i="110"/>
  <c r="C52" i="110"/>
  <c r="C51" i="110"/>
  <c r="C50" i="110"/>
  <c r="C49" i="110"/>
  <c r="C48" i="110"/>
  <c r="C47" i="110"/>
  <c r="J45" i="110"/>
  <c r="I45" i="110"/>
  <c r="H45" i="110"/>
  <c r="G45" i="110"/>
  <c r="F45" i="110"/>
  <c r="E45" i="110"/>
  <c r="D45" i="110"/>
  <c r="J44" i="110"/>
  <c r="I44" i="110"/>
  <c r="H44" i="110"/>
  <c r="G44" i="110"/>
  <c r="F44" i="110"/>
  <c r="E44" i="110"/>
  <c r="D44" i="110"/>
  <c r="J42" i="110"/>
  <c r="I42" i="110"/>
  <c r="H42" i="110"/>
  <c r="G42" i="110"/>
  <c r="F42" i="110"/>
  <c r="E42" i="110"/>
  <c r="D42" i="110"/>
  <c r="J41" i="110"/>
  <c r="I41" i="110"/>
  <c r="H41" i="110"/>
  <c r="G41" i="110"/>
  <c r="F41" i="110"/>
  <c r="E41" i="110"/>
  <c r="D41" i="110"/>
  <c r="J39" i="110"/>
  <c r="I39" i="110"/>
  <c r="H39" i="110"/>
  <c r="G39" i="110"/>
  <c r="F39" i="110"/>
  <c r="E39" i="110"/>
  <c r="D39" i="110"/>
  <c r="J38" i="110"/>
  <c r="I38" i="110"/>
  <c r="H38" i="110"/>
  <c r="G38" i="110"/>
  <c r="F38" i="110"/>
  <c r="J36" i="110"/>
  <c r="I36" i="110"/>
  <c r="H36" i="110"/>
  <c r="G36" i="110"/>
  <c r="F36" i="110"/>
  <c r="E36" i="110"/>
  <c r="E38" i="110" s="1"/>
  <c r="D36" i="110"/>
  <c r="D38" i="110" s="1"/>
  <c r="B22" i="110"/>
  <c r="I19" i="110"/>
  <c r="D19" i="110"/>
  <c r="C19" i="110"/>
  <c r="H19" i="110" s="1"/>
  <c r="C18" i="110"/>
  <c r="H18" i="110" s="1"/>
  <c r="D16" i="110"/>
  <c r="C16" i="110"/>
  <c r="D15" i="110"/>
  <c r="D17" i="110"/>
  <c r="C9" i="110"/>
  <c r="C10" i="110" s="1"/>
  <c r="C8" i="110"/>
  <c r="B4" i="110"/>
  <c r="C11" i="109"/>
  <c r="C15" i="109" s="1"/>
  <c r="J66" i="109"/>
  <c r="I66" i="109"/>
  <c r="H66" i="109"/>
  <c r="G66" i="109"/>
  <c r="J55" i="109"/>
  <c r="I55" i="109"/>
  <c r="H55" i="109"/>
  <c r="G55" i="109"/>
  <c r="F55" i="109"/>
  <c r="F66" i="109" s="1"/>
  <c r="E55" i="109"/>
  <c r="E66" i="109" s="1"/>
  <c r="D55" i="109"/>
  <c r="D66" i="109" s="1"/>
  <c r="C54" i="109"/>
  <c r="C53" i="109"/>
  <c r="C52" i="109"/>
  <c r="C51" i="109"/>
  <c r="C50" i="109"/>
  <c r="C49" i="109"/>
  <c r="C48" i="109"/>
  <c r="C47" i="109"/>
  <c r="J45" i="109"/>
  <c r="I45" i="109"/>
  <c r="H45" i="109"/>
  <c r="G45" i="109"/>
  <c r="F45" i="109"/>
  <c r="E45" i="109"/>
  <c r="D45" i="109"/>
  <c r="J44" i="109"/>
  <c r="I44" i="109"/>
  <c r="H44" i="109"/>
  <c r="G44" i="109"/>
  <c r="F44" i="109"/>
  <c r="E44" i="109"/>
  <c r="D44" i="109"/>
  <c r="J42" i="109"/>
  <c r="I42" i="109"/>
  <c r="H42" i="109"/>
  <c r="G42" i="109"/>
  <c r="F42" i="109"/>
  <c r="E42" i="109"/>
  <c r="D42" i="109"/>
  <c r="J41" i="109"/>
  <c r="I41" i="109"/>
  <c r="H41" i="109"/>
  <c r="G41" i="109"/>
  <c r="F41" i="109"/>
  <c r="E41" i="109"/>
  <c r="D41" i="109"/>
  <c r="J39" i="109"/>
  <c r="I39" i="109"/>
  <c r="H39" i="109"/>
  <c r="G39" i="109"/>
  <c r="F39" i="109"/>
  <c r="E39" i="109"/>
  <c r="I19" i="109" s="1"/>
  <c r="D39" i="109"/>
  <c r="J38" i="109"/>
  <c r="I38" i="109"/>
  <c r="H38" i="109"/>
  <c r="G38" i="109"/>
  <c r="J36" i="109"/>
  <c r="I36" i="109"/>
  <c r="H36" i="109"/>
  <c r="G36" i="109"/>
  <c r="F36" i="109"/>
  <c r="F38" i="109" s="1"/>
  <c r="E36" i="109"/>
  <c r="E38" i="109" s="1"/>
  <c r="D36" i="109"/>
  <c r="D38" i="109" s="1"/>
  <c r="B22" i="109"/>
  <c r="C9" i="109"/>
  <c r="C10" i="109" s="1"/>
  <c r="C8" i="109"/>
  <c r="B4" i="109"/>
  <c r="C11" i="108"/>
  <c r="D16" i="108" s="1"/>
  <c r="J66" i="108"/>
  <c r="I66" i="108"/>
  <c r="H66" i="108"/>
  <c r="G66" i="108"/>
  <c r="F66" i="108"/>
  <c r="J55" i="108"/>
  <c r="I55" i="108"/>
  <c r="H55" i="108"/>
  <c r="G55" i="108"/>
  <c r="F55" i="108"/>
  <c r="E55" i="108"/>
  <c r="E66" i="108" s="1"/>
  <c r="D55" i="108"/>
  <c r="D66" i="108" s="1"/>
  <c r="C54" i="108"/>
  <c r="C53" i="108"/>
  <c r="C52" i="108"/>
  <c r="C51" i="108"/>
  <c r="C50" i="108"/>
  <c r="C49" i="108"/>
  <c r="C48" i="108"/>
  <c r="C47" i="108"/>
  <c r="J45" i="108"/>
  <c r="I45" i="108"/>
  <c r="H45" i="108"/>
  <c r="G45" i="108"/>
  <c r="F45" i="108"/>
  <c r="E45" i="108"/>
  <c r="D45" i="108"/>
  <c r="J44" i="108"/>
  <c r="I44" i="108"/>
  <c r="H44" i="108"/>
  <c r="G44" i="108"/>
  <c r="F44" i="108"/>
  <c r="E44" i="108"/>
  <c r="D44" i="108"/>
  <c r="J42" i="108"/>
  <c r="I42" i="108"/>
  <c r="H42" i="108"/>
  <c r="G42" i="108"/>
  <c r="F42" i="108"/>
  <c r="E42" i="108"/>
  <c r="D42" i="108"/>
  <c r="J41" i="108"/>
  <c r="I41" i="108"/>
  <c r="H41" i="108"/>
  <c r="G41" i="108"/>
  <c r="F41" i="108"/>
  <c r="E41" i="108"/>
  <c r="D41" i="108"/>
  <c r="J39" i="108"/>
  <c r="I39" i="108"/>
  <c r="H39" i="108"/>
  <c r="G39" i="108"/>
  <c r="F39" i="108"/>
  <c r="E39" i="108"/>
  <c r="I19" i="108" s="1"/>
  <c r="D39" i="108"/>
  <c r="J38" i="108"/>
  <c r="I38" i="108"/>
  <c r="H38" i="108"/>
  <c r="G38" i="108"/>
  <c r="F38" i="108"/>
  <c r="J36" i="108"/>
  <c r="I36" i="108"/>
  <c r="H36" i="108"/>
  <c r="G36" i="108"/>
  <c r="F36" i="108"/>
  <c r="E36" i="108"/>
  <c r="E38" i="108" s="1"/>
  <c r="D36" i="108"/>
  <c r="D38" i="108" s="1"/>
  <c r="B22" i="108"/>
  <c r="C9" i="108"/>
  <c r="C10" i="108" s="1"/>
  <c r="C8" i="108"/>
  <c r="B4" i="108"/>
  <c r="C11" i="8"/>
  <c r="L10" i="126" l="1"/>
  <c r="L8" i="126"/>
  <c r="L10" i="122"/>
  <c r="L8" i="122"/>
  <c r="C15" i="108"/>
  <c r="E15" i="135"/>
  <c r="C17" i="136"/>
  <c r="H17" i="136" s="1"/>
  <c r="L8" i="115"/>
  <c r="E77" i="115" s="1"/>
  <c r="J41" i="115"/>
  <c r="L8" i="130"/>
  <c r="E77" i="130" s="1"/>
  <c r="D38" i="126"/>
  <c r="C17" i="135"/>
  <c r="H17" i="135" s="1"/>
  <c r="D17" i="136"/>
  <c r="L10" i="115"/>
  <c r="I19" i="124"/>
  <c r="D41" i="139"/>
  <c r="C15" i="136"/>
  <c r="D15" i="138"/>
  <c r="D47" i="139"/>
  <c r="I19" i="139"/>
  <c r="D16" i="138"/>
  <c r="F38" i="138"/>
  <c r="D17" i="108"/>
  <c r="E41" i="139"/>
  <c r="F41" i="139"/>
  <c r="G41" i="139"/>
  <c r="E15" i="138"/>
  <c r="E41" i="138"/>
  <c r="E15" i="134"/>
  <c r="E41" i="131"/>
  <c r="F41" i="130"/>
  <c r="E38" i="126"/>
  <c r="D41" i="114"/>
  <c r="F41" i="114"/>
  <c r="L10" i="129"/>
  <c r="L9" i="129"/>
  <c r="L8" i="129"/>
  <c r="L8" i="113"/>
  <c r="J15" i="113" s="1"/>
  <c r="L10" i="113"/>
  <c r="E82" i="113" s="1"/>
  <c r="L9" i="113"/>
  <c r="E79" i="113" s="1"/>
  <c r="L8" i="110"/>
  <c r="L10" i="110"/>
  <c r="E82" i="110" s="1"/>
  <c r="L9" i="110"/>
  <c r="E78" i="110" s="1"/>
  <c r="L8" i="134"/>
  <c r="L9" i="134"/>
  <c r="L8" i="138"/>
  <c r="E77" i="138" s="1"/>
  <c r="L9" i="138"/>
  <c r="L10" i="132"/>
  <c r="L10" i="136"/>
  <c r="L8" i="132"/>
  <c r="E77" i="132" s="1"/>
  <c r="L8" i="136"/>
  <c r="E15" i="113"/>
  <c r="F15" i="113" s="1"/>
  <c r="C16" i="120"/>
  <c r="E16" i="120" s="1"/>
  <c r="C17" i="120"/>
  <c r="H17" i="120" s="1"/>
  <c r="D17" i="120"/>
  <c r="C18" i="120"/>
  <c r="F18" i="120" s="1"/>
  <c r="C19" i="120"/>
  <c r="G19" i="120" s="1"/>
  <c r="C16" i="139"/>
  <c r="D18" i="132"/>
  <c r="C15" i="132"/>
  <c r="E15" i="132" s="1"/>
  <c r="F15" i="132" s="1"/>
  <c r="D15" i="132"/>
  <c r="C16" i="132"/>
  <c r="H16" i="132" s="1"/>
  <c r="C17" i="132"/>
  <c r="H17" i="132" s="1"/>
  <c r="E18" i="132"/>
  <c r="E17" i="122"/>
  <c r="E19" i="120"/>
  <c r="G17" i="113"/>
  <c r="F19" i="115"/>
  <c r="E19" i="115"/>
  <c r="D15" i="108"/>
  <c r="D18" i="115"/>
  <c r="C16" i="117"/>
  <c r="H16" i="117" s="1"/>
  <c r="C18" i="123"/>
  <c r="G18" i="123" s="1"/>
  <c r="D16" i="125"/>
  <c r="E19" i="127"/>
  <c r="C16" i="108"/>
  <c r="D17" i="117"/>
  <c r="H18" i="119"/>
  <c r="D18" i="123"/>
  <c r="G18" i="126"/>
  <c r="D16" i="131"/>
  <c r="C16" i="115"/>
  <c r="C19" i="117"/>
  <c r="H19" i="117" s="1"/>
  <c r="D15" i="123"/>
  <c r="E16" i="127"/>
  <c r="C17" i="131"/>
  <c r="E16" i="113"/>
  <c r="G16" i="113" s="1"/>
  <c r="H16" i="113" s="1"/>
  <c r="C17" i="115"/>
  <c r="E17" i="115" s="1"/>
  <c r="C17" i="117"/>
  <c r="E17" i="117" s="1"/>
  <c r="G19" i="119"/>
  <c r="C19" i="131"/>
  <c r="H19" i="131" s="1"/>
  <c r="C18" i="115"/>
  <c r="H18" i="115" s="1"/>
  <c r="C15" i="117"/>
  <c r="E15" i="117" s="1"/>
  <c r="C16" i="123"/>
  <c r="G19" i="126"/>
  <c r="D17" i="139"/>
  <c r="E16" i="138"/>
  <c r="D17" i="138"/>
  <c r="C19" i="138"/>
  <c r="H19" i="138" s="1"/>
  <c r="D19" i="138"/>
  <c r="E19" i="136"/>
  <c r="G19" i="136"/>
  <c r="H19" i="136"/>
  <c r="E18" i="136"/>
  <c r="F18" i="136"/>
  <c r="E17" i="135"/>
  <c r="F17" i="135"/>
  <c r="G19" i="135"/>
  <c r="G18" i="134"/>
  <c r="E16" i="134"/>
  <c r="F18" i="132"/>
  <c r="E18" i="127"/>
  <c r="H18" i="127"/>
  <c r="E15" i="127"/>
  <c r="G19" i="127"/>
  <c r="E17" i="126"/>
  <c r="E18" i="126"/>
  <c r="E19" i="124"/>
  <c r="H19" i="124"/>
  <c r="E16" i="124"/>
  <c r="E19" i="123"/>
  <c r="G19" i="123"/>
  <c r="H17" i="122"/>
  <c r="E18" i="122"/>
  <c r="G18" i="122"/>
  <c r="G19" i="122"/>
  <c r="H19" i="120"/>
  <c r="G18" i="119"/>
  <c r="E19" i="119"/>
  <c r="E18" i="119"/>
  <c r="H19" i="116"/>
  <c r="E19" i="116"/>
  <c r="C15" i="116"/>
  <c r="D16" i="116"/>
  <c r="E16" i="116"/>
  <c r="C18" i="116"/>
  <c r="H18" i="116" s="1"/>
  <c r="G19" i="115"/>
  <c r="E17" i="114"/>
  <c r="G19" i="114"/>
  <c r="E17" i="113"/>
  <c r="G18" i="113"/>
  <c r="E16" i="111"/>
  <c r="E19" i="110"/>
  <c r="E16" i="110"/>
  <c r="L10" i="137"/>
  <c r="J15" i="137" s="1"/>
  <c r="L9" i="137"/>
  <c r="L8" i="137"/>
  <c r="L8" i="139"/>
  <c r="L10" i="139"/>
  <c r="L9" i="139"/>
  <c r="J15" i="139" s="1"/>
  <c r="L9" i="133"/>
  <c r="L10" i="133"/>
  <c r="L8" i="133"/>
  <c r="J15" i="133" s="1"/>
  <c r="E79" i="132"/>
  <c r="J19" i="132" s="1"/>
  <c r="K19" i="132" s="1"/>
  <c r="E78" i="132"/>
  <c r="E76" i="138"/>
  <c r="L10" i="131"/>
  <c r="L8" i="131"/>
  <c r="L9" i="131"/>
  <c r="J15" i="131" s="1"/>
  <c r="L10" i="135"/>
  <c r="J15" i="135" s="1"/>
  <c r="L9" i="135"/>
  <c r="L8" i="135"/>
  <c r="E17" i="138"/>
  <c r="E76" i="134"/>
  <c r="E77" i="134"/>
  <c r="E79" i="136"/>
  <c r="E78" i="136"/>
  <c r="E16" i="131"/>
  <c r="G18" i="132"/>
  <c r="C17" i="133"/>
  <c r="E18" i="133"/>
  <c r="L10" i="134"/>
  <c r="E19" i="134"/>
  <c r="E79" i="134"/>
  <c r="E16" i="135"/>
  <c r="G16" i="135" s="1"/>
  <c r="H16" i="135" s="1"/>
  <c r="G17" i="135"/>
  <c r="E17" i="136"/>
  <c r="G18" i="136"/>
  <c r="C17" i="137"/>
  <c r="E18" i="137"/>
  <c r="L10" i="138"/>
  <c r="C18" i="138"/>
  <c r="E79" i="138"/>
  <c r="J19" i="138" s="1"/>
  <c r="K19" i="138" s="1"/>
  <c r="C19" i="139"/>
  <c r="D18" i="133"/>
  <c r="D19" i="131"/>
  <c r="D16" i="132"/>
  <c r="E76" i="132"/>
  <c r="C15" i="133"/>
  <c r="D17" i="133"/>
  <c r="F18" i="133"/>
  <c r="D18" i="134"/>
  <c r="F19" i="134"/>
  <c r="D19" i="135"/>
  <c r="E15" i="136"/>
  <c r="D16" i="136"/>
  <c r="F17" i="136"/>
  <c r="E76" i="136"/>
  <c r="C15" i="137"/>
  <c r="D17" i="137"/>
  <c r="F18" i="137"/>
  <c r="D18" i="138"/>
  <c r="D19" i="139"/>
  <c r="C18" i="131"/>
  <c r="C19" i="132"/>
  <c r="D15" i="133"/>
  <c r="C16" i="133"/>
  <c r="G18" i="133"/>
  <c r="C17" i="134"/>
  <c r="E18" i="134"/>
  <c r="G19" i="134"/>
  <c r="C18" i="135"/>
  <c r="E19" i="135"/>
  <c r="E16" i="136"/>
  <c r="G17" i="136"/>
  <c r="D15" i="137"/>
  <c r="C16" i="137"/>
  <c r="G18" i="137"/>
  <c r="C18" i="139"/>
  <c r="D18" i="131"/>
  <c r="D19" i="132"/>
  <c r="D16" i="133"/>
  <c r="F18" i="134"/>
  <c r="D18" i="135"/>
  <c r="F19" i="135"/>
  <c r="D16" i="137"/>
  <c r="D18" i="139"/>
  <c r="D18" i="137"/>
  <c r="C19" i="133"/>
  <c r="C19" i="137"/>
  <c r="C17" i="139"/>
  <c r="C15" i="131"/>
  <c r="D19" i="133"/>
  <c r="C15" i="135"/>
  <c r="D19" i="137"/>
  <c r="C15" i="139"/>
  <c r="H19" i="125"/>
  <c r="F19" i="125"/>
  <c r="G19" i="125"/>
  <c r="E19" i="125"/>
  <c r="E79" i="121"/>
  <c r="E78" i="121"/>
  <c r="L8" i="125"/>
  <c r="J15" i="125" s="1"/>
  <c r="L10" i="125"/>
  <c r="E82" i="126"/>
  <c r="E81" i="126"/>
  <c r="E80" i="126"/>
  <c r="E82" i="120"/>
  <c r="E81" i="120"/>
  <c r="E80" i="120"/>
  <c r="E79" i="125"/>
  <c r="E78" i="125"/>
  <c r="E82" i="129"/>
  <c r="E81" i="129"/>
  <c r="E80" i="129"/>
  <c r="E16" i="122"/>
  <c r="L9" i="124"/>
  <c r="L8" i="124"/>
  <c r="J15" i="124" s="1"/>
  <c r="L10" i="123"/>
  <c r="J15" i="123" s="1"/>
  <c r="L9" i="123"/>
  <c r="L8" i="123"/>
  <c r="L10" i="124"/>
  <c r="F17" i="123"/>
  <c r="H17" i="123"/>
  <c r="G17" i="123"/>
  <c r="E17" i="123"/>
  <c r="E16" i="126"/>
  <c r="F16" i="126" s="1"/>
  <c r="L10" i="119"/>
  <c r="L9" i="119"/>
  <c r="L8" i="119"/>
  <c r="J15" i="119" s="1"/>
  <c r="E77" i="122"/>
  <c r="E76" i="122"/>
  <c r="H17" i="119"/>
  <c r="G17" i="119"/>
  <c r="E17" i="119"/>
  <c r="F19" i="121"/>
  <c r="H19" i="121"/>
  <c r="G19" i="121"/>
  <c r="E19" i="121"/>
  <c r="H18" i="124"/>
  <c r="F18" i="124"/>
  <c r="G18" i="124"/>
  <c r="E18" i="124"/>
  <c r="E82" i="130"/>
  <c r="E81" i="130"/>
  <c r="E80" i="130"/>
  <c r="L9" i="120"/>
  <c r="L8" i="120"/>
  <c r="J15" i="120" s="1"/>
  <c r="L8" i="121"/>
  <c r="J15" i="121" s="1"/>
  <c r="L10" i="121"/>
  <c r="E82" i="122"/>
  <c r="E81" i="122"/>
  <c r="E80" i="122"/>
  <c r="E77" i="126"/>
  <c r="E76" i="126"/>
  <c r="L10" i="127"/>
  <c r="J15" i="127" s="1"/>
  <c r="L9" i="127"/>
  <c r="L8" i="127"/>
  <c r="C15" i="119"/>
  <c r="D17" i="119"/>
  <c r="H19" i="119"/>
  <c r="D18" i="120"/>
  <c r="F19" i="120"/>
  <c r="D19" i="121"/>
  <c r="D16" i="122"/>
  <c r="F17" i="122"/>
  <c r="H18" i="122"/>
  <c r="C15" i="123"/>
  <c r="D17" i="123"/>
  <c r="H19" i="123"/>
  <c r="D18" i="124"/>
  <c r="F19" i="124"/>
  <c r="D19" i="125"/>
  <c r="H18" i="126"/>
  <c r="F18" i="127"/>
  <c r="H19" i="127"/>
  <c r="D19" i="129"/>
  <c r="E78" i="129"/>
  <c r="J19" i="129" s="1"/>
  <c r="K19" i="129" s="1"/>
  <c r="E76" i="130"/>
  <c r="C18" i="121"/>
  <c r="L9" i="122"/>
  <c r="J15" i="122" s="1"/>
  <c r="C17" i="124"/>
  <c r="C18" i="125"/>
  <c r="L9" i="126"/>
  <c r="J15" i="126" s="1"/>
  <c r="E17" i="127"/>
  <c r="F17" i="127" s="1"/>
  <c r="C18" i="129"/>
  <c r="E19" i="129"/>
  <c r="L9" i="130"/>
  <c r="J15" i="130" s="1"/>
  <c r="E16" i="130"/>
  <c r="F16" i="130" s="1"/>
  <c r="C19" i="130"/>
  <c r="D18" i="125"/>
  <c r="F19" i="129"/>
  <c r="E16" i="119"/>
  <c r="C17" i="121"/>
  <c r="E19" i="122"/>
  <c r="C17" i="125"/>
  <c r="E19" i="126"/>
  <c r="C17" i="129"/>
  <c r="G19" i="129"/>
  <c r="C18" i="130"/>
  <c r="D18" i="121"/>
  <c r="D18" i="129"/>
  <c r="D19" i="119"/>
  <c r="E15" i="120"/>
  <c r="G15" i="120" s="1"/>
  <c r="H15" i="120" s="1"/>
  <c r="D16" i="120"/>
  <c r="C15" i="121"/>
  <c r="D17" i="121"/>
  <c r="D18" i="122"/>
  <c r="F19" i="122"/>
  <c r="D19" i="123"/>
  <c r="E15" i="124"/>
  <c r="D16" i="124"/>
  <c r="C15" i="125"/>
  <c r="D17" i="125"/>
  <c r="D18" i="126"/>
  <c r="F19" i="126"/>
  <c r="D19" i="127"/>
  <c r="C15" i="129"/>
  <c r="D17" i="129"/>
  <c r="D18" i="130"/>
  <c r="D15" i="121"/>
  <c r="C16" i="121"/>
  <c r="D15" i="125"/>
  <c r="C16" i="125"/>
  <c r="D15" i="129"/>
  <c r="C16" i="129"/>
  <c r="C17" i="130"/>
  <c r="D19" i="120"/>
  <c r="C15" i="122"/>
  <c r="D19" i="124"/>
  <c r="C15" i="126"/>
  <c r="C15" i="130"/>
  <c r="L8" i="117"/>
  <c r="L9" i="117"/>
  <c r="J15" i="117" s="1"/>
  <c r="L10" i="117"/>
  <c r="L9" i="116"/>
  <c r="L8" i="116"/>
  <c r="J15" i="116" s="1"/>
  <c r="L10" i="116"/>
  <c r="E79" i="115"/>
  <c r="E78" i="115"/>
  <c r="L8" i="114"/>
  <c r="L10" i="114"/>
  <c r="L9" i="114"/>
  <c r="J15" i="114" s="1"/>
  <c r="L10" i="118"/>
  <c r="L9" i="118"/>
  <c r="J15" i="118" s="1"/>
  <c r="L8" i="118"/>
  <c r="H17" i="113"/>
  <c r="D19" i="113"/>
  <c r="E78" i="113"/>
  <c r="D16" i="114"/>
  <c r="F17" i="114"/>
  <c r="C15" i="115"/>
  <c r="D17" i="115"/>
  <c r="H19" i="115"/>
  <c r="E82" i="115"/>
  <c r="J19" i="115" s="1"/>
  <c r="K19" i="115" s="1"/>
  <c r="D18" i="116"/>
  <c r="F19" i="116"/>
  <c r="D19" i="117"/>
  <c r="D16" i="118"/>
  <c r="E19" i="113"/>
  <c r="E16" i="114"/>
  <c r="F16" i="114" s="1"/>
  <c r="G17" i="114"/>
  <c r="C17" i="116"/>
  <c r="G19" i="116"/>
  <c r="C18" i="117"/>
  <c r="E16" i="118"/>
  <c r="F16" i="118" s="1"/>
  <c r="C19" i="118"/>
  <c r="D18" i="113"/>
  <c r="F19" i="113"/>
  <c r="E80" i="113"/>
  <c r="D19" i="114"/>
  <c r="D16" i="115"/>
  <c r="E76" i="115"/>
  <c r="D18" i="117"/>
  <c r="D19" i="118"/>
  <c r="E18" i="113"/>
  <c r="G19" i="113"/>
  <c r="E81" i="113"/>
  <c r="C18" i="114"/>
  <c r="E19" i="114"/>
  <c r="C18" i="118"/>
  <c r="F18" i="113"/>
  <c r="D18" i="114"/>
  <c r="F19" i="114"/>
  <c r="D18" i="118"/>
  <c r="C17" i="118"/>
  <c r="C15" i="114"/>
  <c r="C15" i="118"/>
  <c r="L8" i="111"/>
  <c r="J15" i="111" s="1"/>
  <c r="L9" i="111"/>
  <c r="L10" i="111"/>
  <c r="L8" i="112"/>
  <c r="J15" i="112" s="1"/>
  <c r="L10" i="112"/>
  <c r="L9" i="112"/>
  <c r="E79" i="110"/>
  <c r="D18" i="110"/>
  <c r="F19" i="110"/>
  <c r="E80" i="110"/>
  <c r="D19" i="111"/>
  <c r="D16" i="112"/>
  <c r="C17" i="110"/>
  <c r="E18" i="110"/>
  <c r="G19" i="110"/>
  <c r="E81" i="110"/>
  <c r="C18" i="111"/>
  <c r="E19" i="111"/>
  <c r="E16" i="112"/>
  <c r="F16" i="112" s="1"/>
  <c r="C19" i="112"/>
  <c r="C15" i="110"/>
  <c r="F18" i="110"/>
  <c r="D18" i="111"/>
  <c r="F19" i="111"/>
  <c r="D19" i="112"/>
  <c r="C17" i="111"/>
  <c r="G19" i="111"/>
  <c r="C18" i="112"/>
  <c r="G18" i="110"/>
  <c r="C15" i="111"/>
  <c r="E15" i="111" s="1"/>
  <c r="D18" i="112"/>
  <c r="C17" i="112"/>
  <c r="C15" i="112"/>
  <c r="D15" i="109"/>
  <c r="C16" i="109"/>
  <c r="D17" i="109"/>
  <c r="L8" i="109"/>
  <c r="L10" i="109"/>
  <c r="L9" i="109"/>
  <c r="J15" i="109" s="1"/>
  <c r="E15" i="109"/>
  <c r="D16" i="109"/>
  <c r="C19" i="109"/>
  <c r="D19" i="109"/>
  <c r="C18" i="109"/>
  <c r="D18" i="109"/>
  <c r="C17" i="109"/>
  <c r="L8" i="108"/>
  <c r="J15" i="108" s="1"/>
  <c r="L10" i="108"/>
  <c r="L9" i="108"/>
  <c r="C19" i="108"/>
  <c r="E15" i="108"/>
  <c r="D19" i="108"/>
  <c r="C18" i="108"/>
  <c r="D18" i="108"/>
  <c r="C17" i="108"/>
  <c r="E80" i="115" l="1"/>
  <c r="J15" i="115"/>
  <c r="G17" i="115" s="1"/>
  <c r="H17" i="115" s="1"/>
  <c r="F16" i="111"/>
  <c r="G16" i="127"/>
  <c r="H16" i="127" s="1"/>
  <c r="E78" i="138"/>
  <c r="J15" i="138"/>
  <c r="G17" i="138" s="1"/>
  <c r="H17" i="138" s="1"/>
  <c r="G17" i="126"/>
  <c r="H17" i="126" s="1"/>
  <c r="F16" i="120"/>
  <c r="G15" i="138"/>
  <c r="H15" i="138" s="1"/>
  <c r="E78" i="134"/>
  <c r="J19" i="134" s="1"/>
  <c r="K19" i="134" s="1"/>
  <c r="J15" i="134"/>
  <c r="G16" i="134" s="1"/>
  <c r="H16" i="134" s="1"/>
  <c r="G15" i="127"/>
  <c r="H15" i="127" s="1"/>
  <c r="E77" i="136"/>
  <c r="J19" i="136" s="1"/>
  <c r="K19" i="136" s="1"/>
  <c r="J15" i="136"/>
  <c r="F16" i="136" s="1"/>
  <c r="E79" i="129"/>
  <c r="J15" i="129"/>
  <c r="G16" i="122"/>
  <c r="F16" i="131"/>
  <c r="F16" i="138"/>
  <c r="G15" i="134"/>
  <c r="H15" i="134" s="1"/>
  <c r="G15" i="124"/>
  <c r="H15" i="124" s="1"/>
  <c r="F16" i="124"/>
  <c r="F17" i="115"/>
  <c r="E81" i="115"/>
  <c r="F15" i="138"/>
  <c r="F15" i="134"/>
  <c r="H18" i="120"/>
  <c r="E18" i="120"/>
  <c r="G18" i="120"/>
  <c r="G17" i="120"/>
  <c r="F17" i="120"/>
  <c r="E17" i="120"/>
  <c r="G15" i="113"/>
  <c r="H15" i="113" s="1"/>
  <c r="H20" i="113" s="1"/>
  <c r="E80" i="132"/>
  <c r="E82" i="132"/>
  <c r="E81" i="132"/>
  <c r="E76" i="110"/>
  <c r="J15" i="110"/>
  <c r="F16" i="110" s="1"/>
  <c r="E77" i="110"/>
  <c r="J19" i="110" s="1"/>
  <c r="K19" i="110" s="1"/>
  <c r="G16" i="119"/>
  <c r="H16" i="119" s="1"/>
  <c r="E80" i="136"/>
  <c r="E82" i="136"/>
  <c r="E81" i="136"/>
  <c r="E76" i="113"/>
  <c r="E77" i="113"/>
  <c r="J19" i="113" s="1"/>
  <c r="K19" i="113" s="1"/>
  <c r="F16" i="116"/>
  <c r="E76" i="129"/>
  <c r="E77" i="129"/>
  <c r="F15" i="108"/>
  <c r="G15" i="109"/>
  <c r="H15" i="109" s="1"/>
  <c r="G16" i="138"/>
  <c r="H16" i="138" s="1"/>
  <c r="E16" i="139"/>
  <c r="F16" i="139" s="1"/>
  <c r="F17" i="138"/>
  <c r="G16" i="136"/>
  <c r="H16" i="136" s="1"/>
  <c r="F15" i="136"/>
  <c r="F20" i="136" s="1"/>
  <c r="F16" i="135"/>
  <c r="F16" i="134"/>
  <c r="G16" i="131"/>
  <c r="H16" i="131" s="1"/>
  <c r="G16" i="130"/>
  <c r="H16" i="130" s="1"/>
  <c r="F16" i="127"/>
  <c r="G17" i="127"/>
  <c r="H17" i="127" s="1"/>
  <c r="H20" i="127" s="1"/>
  <c r="F15" i="127"/>
  <c r="F20" i="127" s="1"/>
  <c r="F17" i="126"/>
  <c r="G16" i="126"/>
  <c r="H16" i="126" s="1"/>
  <c r="G16" i="124"/>
  <c r="H16" i="124" s="1"/>
  <c r="F15" i="124"/>
  <c r="H16" i="122"/>
  <c r="F16" i="122"/>
  <c r="G16" i="120"/>
  <c r="H16" i="120" s="1"/>
  <c r="F16" i="119"/>
  <c r="F15" i="120"/>
  <c r="F20" i="120" s="1"/>
  <c r="G16" i="118"/>
  <c r="H16" i="118" s="1"/>
  <c r="G15" i="132"/>
  <c r="H15" i="132" s="1"/>
  <c r="E17" i="132"/>
  <c r="G17" i="132"/>
  <c r="F17" i="132"/>
  <c r="G19" i="117"/>
  <c r="F16" i="132"/>
  <c r="E16" i="132"/>
  <c r="G16" i="132"/>
  <c r="G16" i="116"/>
  <c r="H16" i="116" s="1"/>
  <c r="G16" i="111"/>
  <c r="H16" i="111" s="1"/>
  <c r="F16" i="113"/>
  <c r="F20" i="113" s="1"/>
  <c r="G15" i="117"/>
  <c r="H15" i="117" s="1"/>
  <c r="G16" i="114"/>
  <c r="H16" i="114" s="1"/>
  <c r="G16" i="112"/>
  <c r="H16" i="112" s="1"/>
  <c r="E16" i="115"/>
  <c r="F15" i="109"/>
  <c r="G15" i="108"/>
  <c r="H15" i="108" s="1"/>
  <c r="F18" i="123"/>
  <c r="H18" i="123"/>
  <c r="E18" i="123"/>
  <c r="E16" i="108"/>
  <c r="G16" i="108" s="1"/>
  <c r="H16" i="108" s="1"/>
  <c r="F18" i="115"/>
  <c r="F19" i="138"/>
  <c r="E16" i="109"/>
  <c r="F16" i="109" s="1"/>
  <c r="E16" i="123"/>
  <c r="G16" i="123" s="1"/>
  <c r="H16" i="123" s="1"/>
  <c r="E20" i="113"/>
  <c r="K15" i="113" s="1"/>
  <c r="L15" i="113" s="1"/>
  <c r="E19" i="117"/>
  <c r="E17" i="131"/>
  <c r="G17" i="131" s="1"/>
  <c r="H17" i="131" s="1"/>
  <c r="F19" i="117"/>
  <c r="F17" i="117"/>
  <c r="G19" i="138"/>
  <c r="E18" i="116"/>
  <c r="H17" i="117"/>
  <c r="E18" i="115"/>
  <c r="G18" i="115"/>
  <c r="G16" i="117"/>
  <c r="F16" i="117"/>
  <c r="G17" i="117"/>
  <c r="F19" i="131"/>
  <c r="G19" i="131"/>
  <c r="E19" i="131"/>
  <c r="E20" i="127"/>
  <c r="K15" i="127" s="1"/>
  <c r="L15" i="127" s="1"/>
  <c r="E16" i="117"/>
  <c r="E19" i="138"/>
  <c r="F15" i="117"/>
  <c r="F18" i="116"/>
  <c r="G18" i="116"/>
  <c r="E15" i="116"/>
  <c r="G15" i="116" s="1"/>
  <c r="H15" i="116" s="1"/>
  <c r="H17" i="133"/>
  <c r="G17" i="133"/>
  <c r="F17" i="133"/>
  <c r="E17" i="133"/>
  <c r="E76" i="135"/>
  <c r="E77" i="135"/>
  <c r="E80" i="139"/>
  <c r="E79" i="139"/>
  <c r="H18" i="138"/>
  <c r="G18" i="138"/>
  <c r="F18" i="138"/>
  <c r="E18" i="138"/>
  <c r="E79" i="135"/>
  <c r="E78" i="135"/>
  <c r="E17" i="139"/>
  <c r="F17" i="139" s="1"/>
  <c r="E82" i="135"/>
  <c r="E81" i="135"/>
  <c r="E80" i="135"/>
  <c r="J19" i="135" s="1"/>
  <c r="K19" i="135" s="1"/>
  <c r="E77" i="137"/>
  <c r="E76" i="137"/>
  <c r="E15" i="133"/>
  <c r="G15" i="133" s="1"/>
  <c r="H15" i="133" s="1"/>
  <c r="E79" i="131"/>
  <c r="J19" i="131" s="1"/>
  <c r="K19" i="131" s="1"/>
  <c r="E78" i="131"/>
  <c r="E77" i="133"/>
  <c r="E76" i="133"/>
  <c r="J19" i="133" s="1"/>
  <c r="K19" i="133" s="1"/>
  <c r="E78" i="137"/>
  <c r="E79" i="137"/>
  <c r="F19" i="132"/>
  <c r="G19" i="132"/>
  <c r="E19" i="132"/>
  <c r="H19" i="132"/>
  <c r="E19" i="137"/>
  <c r="F19" i="137"/>
  <c r="H19" i="137"/>
  <c r="G19" i="137"/>
  <c r="E19" i="133"/>
  <c r="F19" i="133"/>
  <c r="H19" i="133"/>
  <c r="G19" i="133"/>
  <c r="F17" i="134"/>
  <c r="E17" i="134"/>
  <c r="E20" i="134" s="1"/>
  <c r="K15" i="134" s="1"/>
  <c r="L15" i="134" s="1"/>
  <c r="H17" i="134"/>
  <c r="G17" i="134"/>
  <c r="H19" i="139"/>
  <c r="G19" i="139"/>
  <c r="F19" i="139"/>
  <c r="E19" i="139"/>
  <c r="E82" i="138"/>
  <c r="E81" i="138"/>
  <c r="E80" i="138"/>
  <c r="E76" i="131"/>
  <c r="E77" i="131"/>
  <c r="E80" i="133"/>
  <c r="E82" i="133"/>
  <c r="E81" i="133"/>
  <c r="E80" i="137"/>
  <c r="E82" i="137"/>
  <c r="E81" i="137"/>
  <c r="J19" i="137" s="1"/>
  <c r="K19" i="137" s="1"/>
  <c r="F18" i="135"/>
  <c r="E18" i="135"/>
  <c r="H18" i="135"/>
  <c r="G18" i="135"/>
  <c r="E15" i="139"/>
  <c r="G15" i="139" s="1"/>
  <c r="H15" i="139" s="1"/>
  <c r="E18" i="139"/>
  <c r="G18" i="139" s="1"/>
  <c r="H18" i="139" s="1"/>
  <c r="E82" i="131"/>
  <c r="E81" i="131"/>
  <c r="E80" i="131"/>
  <c r="E78" i="133"/>
  <c r="E79" i="133"/>
  <c r="E15" i="131"/>
  <c r="F15" i="131" s="1"/>
  <c r="E20" i="136"/>
  <c r="K15" i="136" s="1"/>
  <c r="L15" i="136" s="1"/>
  <c r="F16" i="133"/>
  <c r="E16" i="133"/>
  <c r="H16" i="133"/>
  <c r="G16" i="133"/>
  <c r="F18" i="131"/>
  <c r="E18" i="131"/>
  <c r="H18" i="131"/>
  <c r="G18" i="131"/>
  <c r="H17" i="137"/>
  <c r="G17" i="137"/>
  <c r="F17" i="137"/>
  <c r="E17" i="137"/>
  <c r="E82" i="134"/>
  <c r="E81" i="134"/>
  <c r="E80" i="134"/>
  <c r="E82" i="139"/>
  <c r="J19" i="139" s="1"/>
  <c r="K19" i="139" s="1"/>
  <c r="E81" i="139"/>
  <c r="E16" i="137"/>
  <c r="F16" i="137" s="1"/>
  <c r="G15" i="135"/>
  <c r="H15" i="135" s="1"/>
  <c r="E15" i="137"/>
  <c r="G15" i="137" s="1"/>
  <c r="H15" i="137" s="1"/>
  <c r="E85" i="139"/>
  <c r="E84" i="139"/>
  <c r="E83" i="139"/>
  <c r="E78" i="122"/>
  <c r="E79" i="122"/>
  <c r="J19" i="122" s="1"/>
  <c r="K19" i="122" s="1"/>
  <c r="H17" i="130"/>
  <c r="G17" i="130"/>
  <c r="E17" i="130"/>
  <c r="F17" i="130"/>
  <c r="E15" i="121"/>
  <c r="F15" i="121" s="1"/>
  <c r="H18" i="129"/>
  <c r="G18" i="129"/>
  <c r="F18" i="129"/>
  <c r="E18" i="129"/>
  <c r="H17" i="124"/>
  <c r="G17" i="124"/>
  <c r="F17" i="124"/>
  <c r="E17" i="124"/>
  <c r="E15" i="123"/>
  <c r="G15" i="123" s="1"/>
  <c r="H15" i="123" s="1"/>
  <c r="E80" i="125"/>
  <c r="E82" i="125"/>
  <c r="E81" i="125"/>
  <c r="E16" i="129"/>
  <c r="E76" i="125"/>
  <c r="E77" i="125"/>
  <c r="J19" i="125" s="1"/>
  <c r="K19" i="125" s="1"/>
  <c r="E15" i="130"/>
  <c r="F15" i="130" s="1"/>
  <c r="F17" i="125"/>
  <c r="E17" i="125"/>
  <c r="H17" i="125"/>
  <c r="G17" i="125"/>
  <c r="E79" i="119"/>
  <c r="E78" i="119"/>
  <c r="H19" i="130"/>
  <c r="G19" i="130"/>
  <c r="F19" i="130"/>
  <c r="E19" i="130"/>
  <c r="H18" i="121"/>
  <c r="G18" i="121"/>
  <c r="F18" i="121"/>
  <c r="E18" i="121"/>
  <c r="E15" i="119"/>
  <c r="G15" i="119" s="1"/>
  <c r="H15" i="119" s="1"/>
  <c r="E80" i="119"/>
  <c r="E82" i="119"/>
  <c r="E81" i="119"/>
  <c r="E15" i="126"/>
  <c r="F15" i="126" s="1"/>
  <c r="E16" i="125"/>
  <c r="G16" i="125" s="1"/>
  <c r="H16" i="125" s="1"/>
  <c r="E77" i="127"/>
  <c r="E76" i="127"/>
  <c r="E80" i="121"/>
  <c r="E82" i="121"/>
  <c r="E81" i="121"/>
  <c r="E82" i="124"/>
  <c r="E81" i="124"/>
  <c r="E80" i="124"/>
  <c r="E77" i="124"/>
  <c r="J19" i="124" s="1"/>
  <c r="K19" i="124" s="1"/>
  <c r="E76" i="124"/>
  <c r="F18" i="130"/>
  <c r="E18" i="130"/>
  <c r="G18" i="130"/>
  <c r="H18" i="130"/>
  <c r="F17" i="121"/>
  <c r="E17" i="121"/>
  <c r="H17" i="121"/>
  <c r="G17" i="121"/>
  <c r="E79" i="130"/>
  <c r="E78" i="130"/>
  <c r="J19" i="130" s="1"/>
  <c r="K19" i="130" s="1"/>
  <c r="E79" i="126"/>
  <c r="E78" i="126"/>
  <c r="J19" i="126" s="1"/>
  <c r="K19" i="126" s="1"/>
  <c r="E79" i="127"/>
  <c r="E78" i="127"/>
  <c r="E76" i="121"/>
  <c r="E77" i="121"/>
  <c r="J19" i="121" s="1"/>
  <c r="K19" i="121" s="1"/>
  <c r="E77" i="123"/>
  <c r="E76" i="123"/>
  <c r="E78" i="124"/>
  <c r="E79" i="124"/>
  <c r="E15" i="122"/>
  <c r="G15" i="122" s="1"/>
  <c r="H15" i="122" s="1"/>
  <c r="E15" i="129"/>
  <c r="F15" i="129" s="1"/>
  <c r="F17" i="129"/>
  <c r="E17" i="129"/>
  <c r="G17" i="129"/>
  <c r="H17" i="129"/>
  <c r="E80" i="127"/>
  <c r="E82" i="127"/>
  <c r="E81" i="127"/>
  <c r="J19" i="127" s="1"/>
  <c r="K19" i="127" s="1"/>
  <c r="E77" i="120"/>
  <c r="J19" i="120" s="1"/>
  <c r="K19" i="120" s="1"/>
  <c r="E76" i="120"/>
  <c r="E79" i="123"/>
  <c r="E78" i="123"/>
  <c r="E77" i="119"/>
  <c r="J19" i="119" s="1"/>
  <c r="K19" i="119" s="1"/>
  <c r="E76" i="119"/>
  <c r="E16" i="121"/>
  <c r="G16" i="121" s="1"/>
  <c r="H16" i="121" s="1"/>
  <c r="E15" i="125"/>
  <c r="G15" i="125" s="1"/>
  <c r="H15" i="125" s="1"/>
  <c r="H18" i="125"/>
  <c r="G18" i="125"/>
  <c r="F18" i="125"/>
  <c r="E18" i="125"/>
  <c r="E78" i="120"/>
  <c r="E79" i="120"/>
  <c r="E80" i="123"/>
  <c r="J19" i="123" s="1"/>
  <c r="K19" i="123" s="1"/>
  <c r="E82" i="123"/>
  <c r="E81" i="123"/>
  <c r="E15" i="114"/>
  <c r="F15" i="114" s="1"/>
  <c r="F18" i="118"/>
  <c r="E18" i="118"/>
  <c r="G18" i="118"/>
  <c r="H18" i="118"/>
  <c r="F18" i="114"/>
  <c r="E18" i="114"/>
  <c r="G18" i="114"/>
  <c r="H18" i="114"/>
  <c r="E78" i="116"/>
  <c r="E79" i="116"/>
  <c r="H18" i="117"/>
  <c r="G18" i="117"/>
  <c r="F18" i="117"/>
  <c r="E18" i="117"/>
  <c r="E79" i="114"/>
  <c r="E78" i="114"/>
  <c r="J19" i="114" s="1"/>
  <c r="K19" i="114" s="1"/>
  <c r="E15" i="115"/>
  <c r="G15" i="115" s="1"/>
  <c r="H15" i="115" s="1"/>
  <c r="E82" i="114"/>
  <c r="E81" i="114"/>
  <c r="E80" i="114"/>
  <c r="E17" i="118"/>
  <c r="H17" i="118"/>
  <c r="G17" i="118"/>
  <c r="F17" i="118"/>
  <c r="E77" i="118"/>
  <c r="E76" i="118"/>
  <c r="E77" i="114"/>
  <c r="E76" i="114"/>
  <c r="E79" i="118"/>
  <c r="E78" i="118"/>
  <c r="J19" i="118" s="1"/>
  <c r="K19" i="118" s="1"/>
  <c r="E82" i="117"/>
  <c r="E81" i="117"/>
  <c r="E80" i="117"/>
  <c r="H19" i="118"/>
  <c r="G19" i="118"/>
  <c r="F19" i="118"/>
  <c r="E19" i="118"/>
  <c r="E82" i="118"/>
  <c r="E81" i="118"/>
  <c r="E80" i="118"/>
  <c r="E82" i="116"/>
  <c r="E81" i="116"/>
  <c r="E80" i="116"/>
  <c r="E79" i="117"/>
  <c r="J19" i="117" s="1"/>
  <c r="K19" i="117" s="1"/>
  <c r="E78" i="117"/>
  <c r="E15" i="118"/>
  <c r="G15" i="118" s="1"/>
  <c r="H15" i="118" s="1"/>
  <c r="H17" i="116"/>
  <c r="G17" i="116"/>
  <c r="F17" i="116"/>
  <c r="E17" i="116"/>
  <c r="E77" i="116"/>
  <c r="J19" i="116" s="1"/>
  <c r="K19" i="116" s="1"/>
  <c r="E76" i="116"/>
  <c r="E76" i="117"/>
  <c r="E77" i="117"/>
  <c r="E79" i="112"/>
  <c r="E78" i="112"/>
  <c r="E17" i="110"/>
  <c r="G17" i="110" s="1"/>
  <c r="H17" i="110" s="1"/>
  <c r="E77" i="112"/>
  <c r="J19" i="112" s="1"/>
  <c r="K19" i="112" s="1"/>
  <c r="E76" i="112"/>
  <c r="E82" i="112"/>
  <c r="E81" i="112"/>
  <c r="E80" i="112"/>
  <c r="F18" i="112"/>
  <c r="E18" i="112"/>
  <c r="H18" i="112"/>
  <c r="G18" i="112"/>
  <c r="E82" i="111"/>
  <c r="E81" i="111"/>
  <c r="E80" i="111"/>
  <c r="G15" i="111"/>
  <c r="H15" i="111" s="1"/>
  <c r="H18" i="111"/>
  <c r="G18" i="111"/>
  <c r="F18" i="111"/>
  <c r="E18" i="111"/>
  <c r="E15" i="112"/>
  <c r="G15" i="112" s="1"/>
  <c r="H15" i="112" s="1"/>
  <c r="E15" i="110"/>
  <c r="G15" i="110" s="1"/>
  <c r="H15" i="110" s="1"/>
  <c r="E79" i="111"/>
  <c r="E78" i="111"/>
  <c r="H17" i="112"/>
  <c r="G17" i="112"/>
  <c r="E17" i="112"/>
  <c r="F17" i="112"/>
  <c r="F17" i="111"/>
  <c r="E17" i="111"/>
  <c r="G17" i="111"/>
  <c r="H17" i="111"/>
  <c r="H19" i="112"/>
  <c r="G19" i="112"/>
  <c r="F19" i="112"/>
  <c r="E19" i="112"/>
  <c r="E76" i="111"/>
  <c r="J19" i="111" s="1"/>
  <c r="K19" i="111" s="1"/>
  <c r="E77" i="111"/>
  <c r="F18" i="109"/>
  <c r="E18" i="109"/>
  <c r="G18" i="109"/>
  <c r="H18" i="109"/>
  <c r="H19" i="109"/>
  <c r="G19" i="109"/>
  <c r="F19" i="109"/>
  <c r="E19" i="109"/>
  <c r="E79" i="109"/>
  <c r="E78" i="109"/>
  <c r="J19" i="109" s="1"/>
  <c r="K19" i="109" s="1"/>
  <c r="E82" i="109"/>
  <c r="E81" i="109"/>
  <c r="E80" i="109"/>
  <c r="E17" i="109"/>
  <c r="H17" i="109"/>
  <c r="G17" i="109"/>
  <c r="F17" i="109"/>
  <c r="E77" i="109"/>
  <c r="E76" i="109"/>
  <c r="H19" i="108"/>
  <c r="G19" i="108"/>
  <c r="F19" i="108"/>
  <c r="E19" i="108"/>
  <c r="E17" i="108"/>
  <c r="H17" i="108"/>
  <c r="F17" i="108"/>
  <c r="G17" i="108"/>
  <c r="F18" i="108"/>
  <c r="E18" i="108"/>
  <c r="H18" i="108"/>
  <c r="G18" i="108"/>
  <c r="E79" i="108"/>
  <c r="E78" i="108"/>
  <c r="E82" i="108"/>
  <c r="E81" i="108"/>
  <c r="E80" i="108"/>
  <c r="E77" i="108"/>
  <c r="J19" i="108" s="1"/>
  <c r="K19" i="108" s="1"/>
  <c r="E76" i="108"/>
  <c r="G16" i="110" l="1"/>
  <c r="H16" i="110" s="1"/>
  <c r="G16" i="129"/>
  <c r="H16" i="129" s="1"/>
  <c r="G15" i="136"/>
  <c r="H15" i="136" s="1"/>
  <c r="H20" i="136" s="1"/>
  <c r="E20" i="120"/>
  <c r="K15" i="120" s="1"/>
  <c r="L15" i="120" s="1"/>
  <c r="G20" i="136"/>
  <c r="I11" i="136" s="1"/>
  <c r="F40" i="16" s="1"/>
  <c r="H20" i="120"/>
  <c r="G20" i="120"/>
  <c r="G20" i="113"/>
  <c r="G16" i="115"/>
  <c r="H16" i="115" s="1"/>
  <c r="H20" i="115" s="1"/>
  <c r="F20" i="134"/>
  <c r="F20" i="132"/>
  <c r="G20" i="127"/>
  <c r="I11" i="127" s="1"/>
  <c r="F31" i="16" s="1"/>
  <c r="F20" i="126"/>
  <c r="F20" i="109"/>
  <c r="G17" i="139"/>
  <c r="H17" i="139" s="1"/>
  <c r="G16" i="139"/>
  <c r="H16" i="139" s="1"/>
  <c r="F18" i="139"/>
  <c r="F15" i="139"/>
  <c r="F15" i="137"/>
  <c r="F20" i="137" s="1"/>
  <c r="G16" i="137"/>
  <c r="H16" i="137" s="1"/>
  <c r="F15" i="135"/>
  <c r="F20" i="135" s="1"/>
  <c r="F15" i="133"/>
  <c r="F20" i="133" s="1"/>
  <c r="F17" i="131"/>
  <c r="F20" i="131" s="1"/>
  <c r="G15" i="131"/>
  <c r="H15" i="131" s="1"/>
  <c r="H20" i="131" s="1"/>
  <c r="F16" i="129"/>
  <c r="F20" i="129" s="1"/>
  <c r="G15" i="130"/>
  <c r="H15" i="130" s="1"/>
  <c r="H20" i="130" s="1"/>
  <c r="F20" i="124"/>
  <c r="G15" i="129"/>
  <c r="H15" i="129" s="1"/>
  <c r="H20" i="129" s="1"/>
  <c r="G15" i="126"/>
  <c r="H15" i="126" s="1"/>
  <c r="H20" i="126" s="1"/>
  <c r="F16" i="125"/>
  <c r="F15" i="125"/>
  <c r="F20" i="125" s="1"/>
  <c r="F16" i="123"/>
  <c r="F15" i="123"/>
  <c r="F20" i="123" s="1"/>
  <c r="F15" i="122"/>
  <c r="F20" i="122" s="1"/>
  <c r="F16" i="121"/>
  <c r="F20" i="121" s="1"/>
  <c r="G15" i="121"/>
  <c r="H15" i="121" s="1"/>
  <c r="H20" i="121" s="1"/>
  <c r="F15" i="119"/>
  <c r="F20" i="119" s="1"/>
  <c r="E20" i="132"/>
  <c r="K15" i="132" s="1"/>
  <c r="L15" i="132" s="1"/>
  <c r="F15" i="118"/>
  <c r="F20" i="118" s="1"/>
  <c r="F15" i="116"/>
  <c r="F20" i="116" s="1"/>
  <c r="F16" i="115"/>
  <c r="G15" i="114"/>
  <c r="H15" i="114" s="1"/>
  <c r="H20" i="114" s="1"/>
  <c r="F15" i="115"/>
  <c r="F15" i="111"/>
  <c r="F20" i="111" s="1"/>
  <c r="F15" i="112"/>
  <c r="F20" i="112" s="1"/>
  <c r="F17" i="110"/>
  <c r="G16" i="109"/>
  <c r="H16" i="109" s="1"/>
  <c r="H20" i="109" s="1"/>
  <c r="F15" i="110"/>
  <c r="F20" i="110" s="1"/>
  <c r="F16" i="108"/>
  <c r="F20" i="108" s="1"/>
  <c r="F20" i="138"/>
  <c r="I11" i="113"/>
  <c r="F17" i="16" s="1"/>
  <c r="G20" i="132"/>
  <c r="E20" i="108"/>
  <c r="K15" i="108" s="1"/>
  <c r="L15" i="108" s="1"/>
  <c r="E20" i="116"/>
  <c r="K15" i="116" s="1"/>
  <c r="L15" i="116" s="1"/>
  <c r="H20" i="132"/>
  <c r="H20" i="124"/>
  <c r="E20" i="138"/>
  <c r="K15" i="138" s="1"/>
  <c r="L15" i="138" s="1"/>
  <c r="G20" i="108"/>
  <c r="F20" i="130"/>
  <c r="F20" i="117"/>
  <c r="E20" i="124"/>
  <c r="K15" i="124" s="1"/>
  <c r="L15" i="124" s="1"/>
  <c r="E20" i="117"/>
  <c r="K15" i="117" s="1"/>
  <c r="L15" i="117" s="1"/>
  <c r="H20" i="108"/>
  <c r="E20" i="109"/>
  <c r="K15" i="109" s="1"/>
  <c r="L15" i="109" s="1"/>
  <c r="F20" i="114"/>
  <c r="I11" i="120"/>
  <c r="F24" i="16" s="1"/>
  <c r="H20" i="137"/>
  <c r="E20" i="137"/>
  <c r="K15" i="137" s="1"/>
  <c r="L15" i="137" s="1"/>
  <c r="G20" i="135"/>
  <c r="E20" i="135"/>
  <c r="K15" i="135" s="1"/>
  <c r="L15" i="135" s="1"/>
  <c r="H20" i="135"/>
  <c r="H20" i="134"/>
  <c r="G20" i="134"/>
  <c r="E20" i="139"/>
  <c r="K15" i="139" s="1"/>
  <c r="L15" i="139" s="1"/>
  <c r="E20" i="131"/>
  <c r="K15" i="131" s="1"/>
  <c r="L15" i="131" s="1"/>
  <c r="H20" i="138"/>
  <c r="G20" i="138"/>
  <c r="E20" i="133"/>
  <c r="K15" i="133" s="1"/>
  <c r="L15" i="133" s="1"/>
  <c r="H20" i="133"/>
  <c r="G20" i="133"/>
  <c r="G20" i="122"/>
  <c r="E20" i="122"/>
  <c r="K15" i="122" s="1"/>
  <c r="L15" i="122" s="1"/>
  <c r="H20" i="122"/>
  <c r="E20" i="125"/>
  <c r="K15" i="125" s="1"/>
  <c r="L15" i="125" s="1"/>
  <c r="H20" i="125"/>
  <c r="G20" i="125"/>
  <c r="E20" i="121"/>
  <c r="K15" i="121" s="1"/>
  <c r="L15" i="121" s="1"/>
  <c r="E20" i="126"/>
  <c r="K15" i="126" s="1"/>
  <c r="L15" i="126" s="1"/>
  <c r="E20" i="123"/>
  <c r="K15" i="123" s="1"/>
  <c r="L15" i="123" s="1"/>
  <c r="H20" i="123"/>
  <c r="G20" i="123"/>
  <c r="E20" i="119"/>
  <c r="K15" i="119" s="1"/>
  <c r="L15" i="119" s="1"/>
  <c r="H20" i="119"/>
  <c r="G20" i="119"/>
  <c r="G20" i="124"/>
  <c r="E20" i="129"/>
  <c r="K15" i="129" s="1"/>
  <c r="L15" i="129" s="1"/>
  <c r="E20" i="130"/>
  <c r="K15" i="130" s="1"/>
  <c r="L15" i="130" s="1"/>
  <c r="G20" i="118"/>
  <c r="E20" i="118"/>
  <c r="K15" i="118" s="1"/>
  <c r="L15" i="118" s="1"/>
  <c r="H20" i="118"/>
  <c r="E20" i="115"/>
  <c r="K15" i="115" s="1"/>
  <c r="L15" i="115" s="1"/>
  <c r="H20" i="116"/>
  <c r="G20" i="116"/>
  <c r="G20" i="114"/>
  <c r="E20" i="114"/>
  <c r="K15" i="114" s="1"/>
  <c r="L15" i="114" s="1"/>
  <c r="H20" i="117"/>
  <c r="G20" i="117"/>
  <c r="G20" i="112"/>
  <c r="E20" i="112"/>
  <c r="K15" i="112" s="1"/>
  <c r="L15" i="112" s="1"/>
  <c r="H20" i="112"/>
  <c r="H20" i="111"/>
  <c r="G20" i="111"/>
  <c r="E20" i="111"/>
  <c r="K15" i="111" s="1"/>
  <c r="L15" i="111" s="1"/>
  <c r="H20" i="110"/>
  <c r="G20" i="110"/>
  <c r="E20" i="110"/>
  <c r="K15" i="110" s="1"/>
  <c r="L15" i="110" s="1"/>
  <c r="D36" i="8"/>
  <c r="D38" i="8" s="1"/>
  <c r="E36" i="8"/>
  <c r="E38" i="8" s="1"/>
  <c r="D39" i="8"/>
  <c r="E39" i="8"/>
  <c r="D42" i="8"/>
  <c r="E42" i="8"/>
  <c r="D44" i="8"/>
  <c r="E44" i="8"/>
  <c r="D45" i="8"/>
  <c r="E45" i="8"/>
  <c r="C54" i="8"/>
  <c r="C53" i="8"/>
  <c r="E2" i="107"/>
  <c r="C4" i="107"/>
  <c r="H4" i="107"/>
  <c r="C5" i="107"/>
  <c r="D5" i="107"/>
  <c r="N5" i="107"/>
  <c r="O5" i="107"/>
  <c r="M10" i="107"/>
  <c r="N10" i="107"/>
  <c r="M11" i="107"/>
  <c r="C20" i="108" s="1"/>
  <c r="N11" i="107"/>
  <c r="D20" i="108" s="1"/>
  <c r="M12" i="107"/>
  <c r="C20" i="109" s="1"/>
  <c r="N12" i="107"/>
  <c r="D20" i="109" s="1"/>
  <c r="M13" i="107"/>
  <c r="C20" i="110" s="1"/>
  <c r="N13" i="107"/>
  <c r="D20" i="110" s="1"/>
  <c r="M14" i="107"/>
  <c r="C20" i="111" s="1"/>
  <c r="N14" i="107"/>
  <c r="D20" i="111" s="1"/>
  <c r="M15" i="107"/>
  <c r="C20" i="112" s="1"/>
  <c r="N15" i="107"/>
  <c r="D20" i="112" s="1"/>
  <c r="M16" i="107"/>
  <c r="C20" i="113" s="1"/>
  <c r="N16" i="107"/>
  <c r="D20" i="113" s="1"/>
  <c r="M17" i="107"/>
  <c r="C20" i="114" s="1"/>
  <c r="N17" i="107"/>
  <c r="D20" i="114" s="1"/>
  <c r="M18" i="107"/>
  <c r="C20" i="115" s="1"/>
  <c r="N18" i="107"/>
  <c r="D20" i="115" s="1"/>
  <c r="M19" i="107"/>
  <c r="C20" i="116" s="1"/>
  <c r="N19" i="107"/>
  <c r="D20" i="116" s="1"/>
  <c r="M20" i="107"/>
  <c r="C20" i="117" s="1"/>
  <c r="N20" i="107"/>
  <c r="D20" i="117" s="1"/>
  <c r="M21" i="107"/>
  <c r="C20" i="118" s="1"/>
  <c r="N21" i="107"/>
  <c r="D20" i="118" s="1"/>
  <c r="M22" i="107"/>
  <c r="C20" i="119" s="1"/>
  <c r="N22" i="107"/>
  <c r="D20" i="119" s="1"/>
  <c r="M23" i="107"/>
  <c r="N23" i="107"/>
  <c r="M24" i="107"/>
  <c r="C20" i="121" s="1"/>
  <c r="N24" i="107"/>
  <c r="D20" i="121" s="1"/>
  <c r="M25" i="107"/>
  <c r="C20" i="122" s="1"/>
  <c r="N25" i="107"/>
  <c r="D20" i="122" s="1"/>
  <c r="M26" i="107"/>
  <c r="C20" i="123" s="1"/>
  <c r="N26" i="107"/>
  <c r="D20" i="123" s="1"/>
  <c r="M27" i="107"/>
  <c r="C20" i="124" s="1"/>
  <c r="N27" i="107"/>
  <c r="D20" i="124" s="1"/>
  <c r="M28" i="107"/>
  <c r="C20" i="125" s="1"/>
  <c r="N28" i="107"/>
  <c r="D20" i="125" s="1"/>
  <c r="M29" i="107"/>
  <c r="C20" i="126" s="1"/>
  <c r="N29" i="107"/>
  <c r="D20" i="126" s="1"/>
  <c r="M30" i="107"/>
  <c r="N30" i="107"/>
  <c r="D20" i="127" s="1"/>
  <c r="M31" i="107"/>
  <c r="N31" i="107"/>
  <c r="D20" i="140" s="1"/>
  <c r="M32" i="107"/>
  <c r="N32" i="107"/>
  <c r="D20" i="129" s="1"/>
  <c r="M33" i="107"/>
  <c r="C20" i="130" s="1"/>
  <c r="N33" i="107"/>
  <c r="D20" i="130" s="1"/>
  <c r="M34" i="107"/>
  <c r="C20" i="131" s="1"/>
  <c r="N34" i="107"/>
  <c r="D20" i="131" s="1"/>
  <c r="M35" i="107"/>
  <c r="C20" i="132" s="1"/>
  <c r="N35" i="107"/>
  <c r="D20" i="132" s="1"/>
  <c r="M36" i="107"/>
  <c r="C20" i="133" s="1"/>
  <c r="N36" i="107"/>
  <c r="D20" i="133" s="1"/>
  <c r="M37" i="107"/>
  <c r="C20" i="134" s="1"/>
  <c r="N37" i="107"/>
  <c r="D20" i="134" s="1"/>
  <c r="M38" i="107"/>
  <c r="C20" i="135" s="1"/>
  <c r="N38" i="107"/>
  <c r="D20" i="135" s="1"/>
  <c r="M39" i="107"/>
  <c r="C20" i="136" s="1"/>
  <c r="N39" i="107"/>
  <c r="D20" i="136" s="1"/>
  <c r="M40" i="107"/>
  <c r="C20" i="137" s="1"/>
  <c r="N40" i="107"/>
  <c r="D20" i="137" s="1"/>
  <c r="M41" i="107"/>
  <c r="N41" i="107"/>
  <c r="D20" i="138" s="1"/>
  <c r="M42" i="107"/>
  <c r="C20" i="139" s="1"/>
  <c r="N42" i="107"/>
  <c r="D20" i="139" s="1"/>
  <c r="M44" i="107"/>
  <c r="N44" i="107"/>
  <c r="M45" i="107"/>
  <c r="N45" i="107"/>
  <c r="M46" i="107"/>
  <c r="N46" i="107"/>
  <c r="M47" i="107"/>
  <c r="N47" i="107"/>
  <c r="M48" i="107"/>
  <c r="N48" i="107"/>
  <c r="M49" i="107"/>
  <c r="N49" i="107"/>
  <c r="M50" i="107"/>
  <c r="N50" i="107"/>
  <c r="M51" i="107"/>
  <c r="N51" i="107"/>
  <c r="M52" i="107"/>
  <c r="N52" i="107"/>
  <c r="D42" i="16"/>
  <c r="D35" i="16"/>
  <c r="B10" i="1"/>
  <c r="E4" i="16"/>
  <c r="D36" i="16" l="1"/>
  <c r="C36" i="16"/>
  <c r="C20" i="140"/>
  <c r="G20" i="115"/>
  <c r="G20" i="131"/>
  <c r="G20" i="129"/>
  <c r="I11" i="129" s="1"/>
  <c r="F33" i="16" s="1"/>
  <c r="G20" i="126"/>
  <c r="G20" i="139"/>
  <c r="G20" i="109"/>
  <c r="I11" i="109" s="1"/>
  <c r="F13" i="16" s="1"/>
  <c r="G20" i="121"/>
  <c r="I11" i="121" s="1"/>
  <c r="F25" i="16" s="1"/>
  <c r="G20" i="137"/>
  <c r="I11" i="137" s="1"/>
  <c r="F41" i="16" s="1"/>
  <c r="H20" i="139"/>
  <c r="F20" i="139"/>
  <c r="G20" i="130"/>
  <c r="I11" i="130" s="1"/>
  <c r="F34" i="16" s="1"/>
  <c r="I34" i="16" s="1"/>
  <c r="C34" i="22" s="1"/>
  <c r="F20" i="115"/>
  <c r="E41" i="8"/>
  <c r="D41" i="8"/>
  <c r="C42" i="16"/>
  <c r="C20" i="138"/>
  <c r="D37" i="16"/>
  <c r="C37" i="16"/>
  <c r="C20" i="129"/>
  <c r="C35" i="16"/>
  <c r="C20" i="127"/>
  <c r="D34" i="16"/>
  <c r="C34" i="16"/>
  <c r="D20" i="120"/>
  <c r="C20" i="120"/>
  <c r="I11" i="132"/>
  <c r="F36" i="16" s="1"/>
  <c r="I36" i="16" s="1"/>
  <c r="C36" i="22" s="1"/>
  <c r="I11" i="123"/>
  <c r="F27" i="16" s="1"/>
  <c r="I11" i="124"/>
  <c r="F28" i="16" s="1"/>
  <c r="I11" i="110"/>
  <c r="F14" i="16" s="1"/>
  <c r="I11" i="125"/>
  <c r="F29" i="16" s="1"/>
  <c r="I11" i="118"/>
  <c r="F22" i="16" s="1"/>
  <c r="I11" i="114"/>
  <c r="F18" i="16" s="1"/>
  <c r="I11" i="108"/>
  <c r="F12" i="16" s="1"/>
  <c r="I11" i="119"/>
  <c r="F23" i="16" s="1"/>
  <c r="I11" i="126"/>
  <c r="F30" i="16" s="1"/>
  <c r="I11" i="112"/>
  <c r="F16" i="16" s="1"/>
  <c r="I11" i="133"/>
  <c r="F37" i="16" s="1"/>
  <c r="I37" i="16" s="1"/>
  <c r="C37" i="22" s="1"/>
  <c r="I11" i="135"/>
  <c r="F39" i="16" s="1"/>
  <c r="I11" i="131"/>
  <c r="F35" i="16" s="1"/>
  <c r="I35" i="16" s="1"/>
  <c r="C35" i="22" s="1"/>
  <c r="I11" i="122"/>
  <c r="F26" i="16" s="1"/>
  <c r="I11" i="111"/>
  <c r="F15" i="16" s="1"/>
  <c r="I11" i="138"/>
  <c r="F42" i="16" s="1"/>
  <c r="I42" i="16" s="1"/>
  <c r="C42" i="22" s="1"/>
  <c r="I11" i="134"/>
  <c r="F38" i="16" s="1"/>
  <c r="I11" i="117"/>
  <c r="F21" i="16" s="1"/>
  <c r="I11" i="116"/>
  <c r="B26" i="51"/>
  <c r="B27" i="51"/>
  <c r="B28" i="51"/>
  <c r="B29" i="51"/>
  <c r="B30" i="51"/>
  <c r="B31" i="51"/>
  <c r="B32" i="51"/>
  <c r="B33" i="51"/>
  <c r="B34" i="51"/>
  <c r="D39" i="16"/>
  <c r="D40" i="16"/>
  <c r="D41" i="16"/>
  <c r="C31" i="16"/>
  <c r="C38" i="16"/>
  <c r="C39" i="16"/>
  <c r="C40" i="16"/>
  <c r="C41" i="16"/>
  <c r="C43" i="16"/>
  <c r="D30" i="16"/>
  <c r="D31" i="16"/>
  <c r="D32" i="16"/>
  <c r="D33" i="16"/>
  <c r="D38" i="16"/>
  <c r="D43" i="16"/>
  <c r="C30" i="16"/>
  <c r="C32" i="16"/>
  <c r="C33" i="16"/>
  <c r="B43" i="16"/>
  <c r="B30" i="16"/>
  <c r="B31" i="16"/>
  <c r="B32" i="16"/>
  <c r="B33" i="16"/>
  <c r="F66" i="8"/>
  <c r="G66" i="8"/>
  <c r="H66" i="8"/>
  <c r="I66" i="8"/>
  <c r="J66" i="8"/>
  <c r="I11" i="115" l="1"/>
  <c r="F19" i="16" s="1"/>
  <c r="I11" i="139"/>
  <c r="F43" i="16" s="1"/>
  <c r="F20" i="16"/>
  <c r="E3" i="51"/>
  <c r="E2" i="51"/>
  <c r="H32" i="51"/>
  <c r="G32" i="51" s="1"/>
  <c r="H33" i="51"/>
  <c r="G33" i="51" s="1"/>
  <c r="H34" i="51"/>
  <c r="G34" i="51" s="1"/>
  <c r="G5" i="22"/>
  <c r="E5" i="16"/>
  <c r="A7" i="16"/>
  <c r="B22" i="8"/>
  <c r="J55" i="8"/>
  <c r="J45" i="8"/>
  <c r="J44" i="8"/>
  <c r="J42" i="8"/>
  <c r="J41" i="8"/>
  <c r="J39" i="8"/>
  <c r="J36" i="8"/>
  <c r="J38" i="8" s="1"/>
  <c r="C48" i="8"/>
  <c r="C49" i="8"/>
  <c r="C50" i="8"/>
  <c r="C51" i="8"/>
  <c r="C52" i="8"/>
  <c r="M33" i="51" l="1"/>
  <c r="K33" i="51"/>
  <c r="O34" i="51"/>
  <c r="I33" i="51"/>
  <c r="M34" i="51"/>
  <c r="K34" i="51"/>
  <c r="O32" i="51"/>
  <c r="I34" i="51"/>
  <c r="O33" i="51"/>
  <c r="M32" i="51"/>
  <c r="K32" i="51"/>
  <c r="I32" i="51"/>
  <c r="B1" i="51"/>
  <c r="H8" i="51"/>
  <c r="H9" i="51"/>
  <c r="H10" i="51"/>
  <c r="H11" i="51"/>
  <c r="H12" i="51"/>
  <c r="H13" i="51"/>
  <c r="O13" i="51" s="1"/>
  <c r="H14" i="51"/>
  <c r="H15" i="51"/>
  <c r="H16" i="51"/>
  <c r="I16" i="51" s="1"/>
  <c r="H17" i="51"/>
  <c r="H18" i="51"/>
  <c r="H19" i="51"/>
  <c r="H20" i="51"/>
  <c r="H21" i="51"/>
  <c r="H22" i="51"/>
  <c r="H23" i="51"/>
  <c r="H24" i="51"/>
  <c r="O24" i="51" s="1"/>
  <c r="H25" i="51"/>
  <c r="H31" i="51"/>
  <c r="H7" i="51"/>
  <c r="F1" i="51"/>
  <c r="I24" i="51" l="1"/>
  <c r="K24" i="51"/>
  <c r="M24" i="51"/>
  <c r="G24" i="51"/>
  <c r="P3" i="51"/>
  <c r="J2" i="51"/>
  <c r="J3" i="51" s="1" a="1"/>
  <c r="J3" i="51" s="1"/>
  <c r="N3" i="51"/>
  <c r="N2" i="51"/>
  <c r="L2" i="51"/>
  <c r="I4" i="51"/>
  <c r="M16" i="51"/>
  <c r="K16" i="51"/>
  <c r="G16" i="51"/>
  <c r="O16" i="51"/>
  <c r="G13" i="51"/>
  <c r="K13" i="51"/>
  <c r="M13" i="51"/>
  <c r="I13" i="51"/>
  <c r="O23" i="51"/>
  <c r="E4" i="51"/>
  <c r="E33" i="51" l="1"/>
  <c r="E26" i="51"/>
  <c r="E34" i="51"/>
  <c r="E27" i="51"/>
  <c r="E28" i="51"/>
  <c r="E30" i="51"/>
  <c r="E29" i="51"/>
  <c r="E31" i="51"/>
  <c r="E32" i="51"/>
  <c r="I43" i="16"/>
  <c r="C43" i="22" s="1"/>
  <c r="I40" i="16"/>
  <c r="C40" i="22" s="1"/>
  <c r="G7" i="51"/>
  <c r="G8" i="51"/>
  <c r="G11" i="51"/>
  <c r="G14" i="51"/>
  <c r="G9" i="51"/>
  <c r="G17" i="51"/>
  <c r="G25" i="51"/>
  <c r="G10" i="51"/>
  <c r="G18" i="51"/>
  <c r="G31" i="51"/>
  <c r="G19" i="51"/>
  <c r="G15" i="51"/>
  <c r="G12" i="51"/>
  <c r="G20" i="51"/>
  <c r="G21" i="51"/>
  <c r="G22" i="51"/>
  <c r="G23" i="51"/>
  <c r="O7" i="51"/>
  <c r="O8" i="51"/>
  <c r="O11" i="51"/>
  <c r="O9" i="51"/>
  <c r="O17" i="51"/>
  <c r="O25" i="51"/>
  <c r="O10" i="51"/>
  <c r="O18" i="51"/>
  <c r="O31" i="51"/>
  <c r="O19" i="51"/>
  <c r="O12" i="51"/>
  <c r="O20" i="51"/>
  <c r="O22" i="51"/>
  <c r="O21" i="51"/>
  <c r="O14" i="51"/>
  <c r="O15" i="51"/>
  <c r="E15" i="51"/>
  <c r="E23" i="51"/>
  <c r="E8" i="51"/>
  <c r="E16" i="51"/>
  <c r="E24" i="51"/>
  <c r="E9" i="51"/>
  <c r="E17" i="51"/>
  <c r="E25" i="51"/>
  <c r="E19" i="51"/>
  <c r="E21" i="51"/>
  <c r="E10" i="51"/>
  <c r="E18" i="51"/>
  <c r="E11" i="51"/>
  <c r="E12" i="51"/>
  <c r="E20" i="51"/>
  <c r="E13" i="51"/>
  <c r="E14" i="51"/>
  <c r="E22" i="51"/>
  <c r="E7" i="51"/>
  <c r="I38" i="16" l="1"/>
  <c r="C38" i="22" s="1"/>
  <c r="I32" i="16"/>
  <c r="C32" i="22" s="1"/>
  <c r="I39" i="16"/>
  <c r="C39" i="22" s="1"/>
  <c r="I33" i="16"/>
  <c r="C33" i="22" s="1"/>
  <c r="I41" i="16"/>
  <c r="C41" i="22" s="1"/>
  <c r="L3" i="51"/>
  <c r="I31" i="16"/>
  <c r="C31" i="22" s="1"/>
  <c r="K7" i="51" l="1"/>
  <c r="K10" i="51"/>
  <c r="K18" i="51"/>
  <c r="K31" i="51"/>
  <c r="K9" i="51"/>
  <c r="K21" i="51"/>
  <c r="K17" i="51"/>
  <c r="K12" i="51"/>
  <c r="K20" i="51"/>
  <c r="K8" i="51"/>
  <c r="K25" i="51"/>
  <c r="K15" i="51"/>
  <c r="K22" i="51"/>
  <c r="K11" i="51"/>
  <c r="K14" i="51"/>
  <c r="K23" i="51"/>
  <c r="K19" i="51"/>
  <c r="B8" i="51" l="1"/>
  <c r="B9" i="51"/>
  <c r="B10" i="51"/>
  <c r="B11" i="51"/>
  <c r="B12" i="51"/>
  <c r="B13" i="51"/>
  <c r="B14" i="51"/>
  <c r="B15" i="51"/>
  <c r="B16" i="51"/>
  <c r="B17" i="51"/>
  <c r="B18" i="51"/>
  <c r="B19" i="51"/>
  <c r="B20" i="51"/>
  <c r="B21" i="51"/>
  <c r="B22" i="51"/>
  <c r="B23" i="51"/>
  <c r="B24" i="51"/>
  <c r="B25" i="51"/>
  <c r="B7" i="51"/>
  <c r="J4" i="51"/>
  <c r="N4" i="51"/>
  <c r="M7" i="51" l="1"/>
  <c r="M21" i="51"/>
  <c r="M19" i="51"/>
  <c r="M8" i="51"/>
  <c r="M12" i="51"/>
  <c r="M9" i="51"/>
  <c r="M17" i="51"/>
  <c r="M25" i="51"/>
  <c r="M20" i="51"/>
  <c r="M10" i="51"/>
  <c r="M18" i="51"/>
  <c r="M31" i="51"/>
  <c r="M11" i="51"/>
  <c r="M23" i="51"/>
  <c r="M15" i="51"/>
  <c r="M14" i="51"/>
  <c r="M22" i="51"/>
  <c r="I7" i="51"/>
  <c r="I10" i="51"/>
  <c r="I8" i="51"/>
  <c r="I31" i="51"/>
  <c r="I9" i="51"/>
  <c r="I17" i="51"/>
  <c r="I25" i="51"/>
  <c r="I21" i="51"/>
  <c r="I14" i="51"/>
  <c r="I18" i="51"/>
  <c r="I22" i="51"/>
  <c r="I12" i="51"/>
  <c r="I20" i="51"/>
  <c r="I15" i="51"/>
  <c r="I23" i="51"/>
  <c r="I19" i="51"/>
  <c r="I11" i="51"/>
  <c r="I5" i="16" l="1"/>
  <c r="C9" i="8"/>
  <c r="C10" i="8" s="1"/>
  <c r="A7" i="22"/>
  <c r="G4" i="22"/>
  <c r="B15" i="16"/>
  <c r="B16" i="16"/>
  <c r="B17" i="16"/>
  <c r="B18" i="16"/>
  <c r="B19" i="16"/>
  <c r="B20" i="16"/>
  <c r="B21" i="16"/>
  <c r="B22" i="16"/>
  <c r="B23" i="16"/>
  <c r="B24" i="16"/>
  <c r="B25" i="16"/>
  <c r="B26" i="16"/>
  <c r="B27" i="16"/>
  <c r="B28" i="16"/>
  <c r="B29" i="16"/>
  <c r="B12" i="16"/>
  <c r="B13" i="16"/>
  <c r="B14" i="16"/>
  <c r="C47" i="8" l="1"/>
  <c r="C17" i="16"/>
  <c r="A10" i="1"/>
  <c r="C10" i="1" s="1"/>
  <c r="A9" i="1"/>
  <c r="H52" i="19"/>
  <c r="C27" i="16" l="1"/>
  <c r="C19" i="16"/>
  <c r="C26" i="16"/>
  <c r="C18" i="16"/>
  <c r="C25" i="16"/>
  <c r="C20" i="16"/>
  <c r="C24" i="16"/>
  <c r="C16" i="16"/>
  <c r="C15" i="16"/>
  <c r="C12" i="16"/>
  <c r="C22" i="16"/>
  <c r="C14" i="16"/>
  <c r="C28" i="16"/>
  <c r="C23" i="16"/>
  <c r="C29" i="16"/>
  <c r="C21" i="16"/>
  <c r="C13" i="16"/>
  <c r="D22" i="16"/>
  <c r="D28" i="16"/>
  <c r="D20" i="16"/>
  <c r="D27" i="16"/>
  <c r="D19" i="16"/>
  <c r="D23" i="16"/>
  <c r="D29" i="16"/>
  <c r="D26" i="16"/>
  <c r="D18" i="16"/>
  <c r="D21" i="16"/>
  <c r="D25" i="16"/>
  <c r="D24" i="16"/>
  <c r="I14" i="16" l="1"/>
  <c r="C14" i="22" s="1"/>
  <c r="I20" i="16"/>
  <c r="C20" i="22" s="1"/>
  <c r="I24" i="16" l="1"/>
  <c r="C24" i="22" s="1"/>
  <c r="I12" i="16"/>
  <c r="C12" i="22" s="1"/>
  <c r="I15" i="16"/>
  <c r="C15" i="22" s="1"/>
  <c r="I19" i="16"/>
  <c r="C19" i="22" s="1"/>
  <c r="I22" i="16"/>
  <c r="C22" i="22" s="1"/>
  <c r="I17" i="16"/>
  <c r="C17" i="22" s="1"/>
  <c r="I23" i="16"/>
  <c r="C23" i="22" s="1"/>
  <c r="I21" i="16"/>
  <c r="C21" i="22" s="1"/>
  <c r="I18" i="16"/>
  <c r="C18" i="22" s="1"/>
  <c r="I16" i="16"/>
  <c r="C16" i="22" s="1"/>
  <c r="I13" i="16"/>
  <c r="C13" i="22" s="1"/>
  <c r="I27" i="16"/>
  <c r="C27" i="22" s="1"/>
  <c r="I30" i="16" l="1"/>
  <c r="C30" i="22" s="1"/>
  <c r="I29" i="16"/>
  <c r="C29" i="22" s="1"/>
  <c r="I28" i="16"/>
  <c r="C28" i="22" s="1"/>
  <c r="I26" i="16"/>
  <c r="C26" i="22" s="1"/>
  <c r="I25" i="16"/>
  <c r="C25" i="22" s="1"/>
  <c r="F45" i="8"/>
  <c r="G45" i="8"/>
  <c r="H45" i="8"/>
  <c r="I45" i="8"/>
  <c r="F42" i="8"/>
  <c r="G42" i="8"/>
  <c r="H42" i="8"/>
  <c r="I42" i="8"/>
  <c r="F36" i="8"/>
  <c r="F44" i="8" s="1"/>
  <c r="G36" i="8"/>
  <c r="G44" i="8" s="1"/>
  <c r="H36" i="8"/>
  <c r="H44" i="8" s="1"/>
  <c r="I36" i="8"/>
  <c r="I44" i="8" s="1"/>
  <c r="B11" i="22" l="1"/>
  <c r="B43" i="20"/>
  <c r="B38" i="20"/>
  <c r="B33" i="20"/>
  <c r="B28" i="20"/>
  <c r="B23" i="20"/>
  <c r="B18" i="20"/>
  <c r="B13" i="20"/>
  <c r="C9" i="20"/>
  <c r="C8" i="20"/>
  <c r="A4" i="20"/>
  <c r="B18" i="19"/>
  <c r="C9" i="19"/>
  <c r="C8" i="19"/>
  <c r="A4" i="19"/>
  <c r="B43" i="19"/>
  <c r="B38" i="19"/>
  <c r="B33" i="19"/>
  <c r="B28" i="19"/>
  <c r="B23" i="19"/>
  <c r="B13" i="19"/>
  <c r="C44" i="19" l="1"/>
  <c r="C43" i="19"/>
  <c r="C46" i="19"/>
  <c r="C45" i="19"/>
  <c r="C47" i="19"/>
  <c r="L47" i="19" s="1"/>
  <c r="C47" i="20"/>
  <c r="N47" i="20" s="1"/>
  <c r="C46" i="20"/>
  <c r="N46" i="20" s="1"/>
  <c r="C45" i="20"/>
  <c r="N45" i="20" s="1"/>
  <c r="C44" i="20"/>
  <c r="N44" i="20" s="1"/>
  <c r="C43" i="20"/>
  <c r="N43" i="20" s="1"/>
  <c r="C41" i="19"/>
  <c r="C40" i="19"/>
  <c r="C39" i="19"/>
  <c r="C38" i="19"/>
  <c r="C42" i="19"/>
  <c r="K42" i="19" s="1"/>
  <c r="D40" i="20"/>
  <c r="C39" i="20"/>
  <c r="N39" i="20" s="1"/>
  <c r="C38" i="20"/>
  <c r="N38" i="20" s="1"/>
  <c r="C42" i="20"/>
  <c r="N42" i="20" s="1"/>
  <c r="C41" i="20"/>
  <c r="N41" i="20" s="1"/>
  <c r="C40" i="20"/>
  <c r="N40" i="20" s="1"/>
  <c r="C37" i="19"/>
  <c r="C36" i="19"/>
  <c r="C35" i="19"/>
  <c r="K35" i="19" s="1"/>
  <c r="C34" i="19"/>
  <c r="C33" i="19"/>
  <c r="D34" i="20"/>
  <c r="C37" i="20"/>
  <c r="N37" i="20" s="1"/>
  <c r="C36" i="20"/>
  <c r="N36" i="20" s="1"/>
  <c r="C35" i="20"/>
  <c r="N35" i="20" s="1"/>
  <c r="C34" i="20"/>
  <c r="N34" i="20" s="1"/>
  <c r="C33" i="20"/>
  <c r="N33" i="20" s="1"/>
  <c r="C28" i="19"/>
  <c r="C32" i="19"/>
  <c r="L32" i="19" s="1"/>
  <c r="C31" i="19"/>
  <c r="C30" i="19"/>
  <c r="C29" i="19"/>
  <c r="C31" i="20"/>
  <c r="N31" i="20" s="1"/>
  <c r="C30" i="20"/>
  <c r="N30" i="20" s="1"/>
  <c r="C29" i="20"/>
  <c r="N29" i="20" s="1"/>
  <c r="C28" i="20"/>
  <c r="N28" i="20" s="1"/>
  <c r="C32" i="20"/>
  <c r="N32" i="20" s="1"/>
  <c r="C23" i="20"/>
  <c r="N23" i="20" s="1"/>
  <c r="C27" i="20"/>
  <c r="N27" i="20" s="1"/>
  <c r="C26" i="20"/>
  <c r="N26" i="20" s="1"/>
  <c r="C25" i="20"/>
  <c r="N25" i="20" s="1"/>
  <c r="C24" i="20"/>
  <c r="N24" i="20" s="1"/>
  <c r="D25" i="19"/>
  <c r="C24" i="19"/>
  <c r="C27" i="19"/>
  <c r="C26" i="19"/>
  <c r="C23" i="19"/>
  <c r="C25" i="19"/>
  <c r="J25" i="19" s="1"/>
  <c r="C22" i="20"/>
  <c r="N22" i="20" s="1"/>
  <c r="C21" i="20"/>
  <c r="N21" i="20" s="1"/>
  <c r="C20" i="20"/>
  <c r="N20" i="20" s="1"/>
  <c r="C19" i="20"/>
  <c r="N19" i="20" s="1"/>
  <c r="C18" i="20"/>
  <c r="N18" i="20" s="1"/>
  <c r="C21" i="19"/>
  <c r="K21" i="19" s="1"/>
  <c r="C20" i="19"/>
  <c r="K20" i="19" s="1"/>
  <c r="C19" i="19"/>
  <c r="K19" i="19" s="1"/>
  <c r="C18" i="19"/>
  <c r="K18" i="19" s="1"/>
  <c r="C22" i="19"/>
  <c r="K22" i="19" s="1"/>
  <c r="D13" i="20"/>
  <c r="C17" i="20"/>
  <c r="N17" i="20" s="1"/>
  <c r="D17" i="19"/>
  <c r="C17" i="19"/>
  <c r="D26" i="19"/>
  <c r="D31" i="20"/>
  <c r="D23" i="19"/>
  <c r="D24" i="19"/>
  <c r="D27" i="19"/>
  <c r="P23" i="20"/>
  <c r="P18" i="20"/>
  <c r="P38" i="20"/>
  <c r="C10" i="19"/>
  <c r="O23" i="19"/>
  <c r="O18" i="19"/>
  <c r="O33" i="19"/>
  <c r="O28" i="19"/>
  <c r="O13" i="19"/>
  <c r="O38" i="19"/>
  <c r="O43" i="19"/>
  <c r="D16" i="20"/>
  <c r="D14" i="20"/>
  <c r="D17" i="20"/>
  <c r="C13" i="20"/>
  <c r="N13" i="20" s="1"/>
  <c r="C14" i="20"/>
  <c r="N14" i="20" s="1"/>
  <c r="C15" i="20"/>
  <c r="N15" i="20" s="1"/>
  <c r="D15" i="20"/>
  <c r="C16" i="20"/>
  <c r="N16" i="20" s="1"/>
  <c r="D32" i="20"/>
  <c r="D28" i="20"/>
  <c r="P28" i="20"/>
  <c r="P43" i="20"/>
  <c r="D20" i="20"/>
  <c r="D44" i="20"/>
  <c r="D46" i="20"/>
  <c r="D43" i="20"/>
  <c r="D38" i="20"/>
  <c r="D24" i="20"/>
  <c r="D26" i="20"/>
  <c r="D23" i="20"/>
  <c r="D27" i="20"/>
  <c r="D36" i="20"/>
  <c r="D37" i="20"/>
  <c r="D22" i="20"/>
  <c r="D19" i="20"/>
  <c r="D18" i="20"/>
  <c r="D21" i="20"/>
  <c r="D25" i="20"/>
  <c r="D42" i="20"/>
  <c r="D41" i="20"/>
  <c r="D39" i="20"/>
  <c r="D47" i="20"/>
  <c r="D33" i="20"/>
  <c r="D45" i="20"/>
  <c r="D35" i="20"/>
  <c r="C10" i="20"/>
  <c r="P13" i="20"/>
  <c r="D30" i="20"/>
  <c r="D29" i="20"/>
  <c r="P33" i="20"/>
  <c r="C14" i="19"/>
  <c r="C15" i="19"/>
  <c r="C16" i="19"/>
  <c r="D44" i="19"/>
  <c r="D16" i="19"/>
  <c r="C13" i="19"/>
  <c r="D41" i="19"/>
  <c r="D42" i="19"/>
  <c r="D43" i="19"/>
  <c r="D18" i="19"/>
  <c r="D36" i="19"/>
  <c r="D35" i="19"/>
  <c r="D15" i="19"/>
  <c r="D14" i="19"/>
  <c r="D13" i="19"/>
  <c r="D22" i="19"/>
  <c r="D21" i="19"/>
  <c r="D19" i="19"/>
  <c r="D33" i="19"/>
  <c r="D34" i="19"/>
  <c r="D37" i="19"/>
  <c r="D20" i="19"/>
  <c r="D32" i="19"/>
  <c r="D31" i="19"/>
  <c r="D30" i="19"/>
  <c r="D29" i="19"/>
  <c r="D28" i="19"/>
  <c r="D40" i="19"/>
  <c r="D39" i="19"/>
  <c r="D38" i="19"/>
  <c r="D47" i="19"/>
  <c r="D46" i="19"/>
  <c r="D45" i="19"/>
  <c r="J47" i="19" l="1"/>
  <c r="K47" i="19"/>
  <c r="J35" i="19"/>
  <c r="L42" i="19"/>
  <c r="L35" i="19"/>
  <c r="J32" i="19"/>
  <c r="J42" i="19"/>
  <c r="J22" i="19"/>
  <c r="M35" i="19"/>
  <c r="K32" i="19"/>
  <c r="L22" i="19"/>
  <c r="J26" i="19"/>
  <c r="M42" i="19"/>
  <c r="M47" i="19"/>
  <c r="J37" i="19"/>
  <c r="J39" i="19"/>
  <c r="J46" i="19"/>
  <c r="J44" i="19"/>
  <c r="J43" i="19"/>
  <c r="J34" i="19"/>
  <c r="M32" i="19"/>
  <c r="J33" i="19"/>
  <c r="M22" i="19"/>
  <c r="J29" i="19"/>
  <c r="J36" i="19"/>
  <c r="L39" i="19"/>
  <c r="K39" i="19"/>
  <c r="J17" i="19"/>
  <c r="L17" i="19"/>
  <c r="K17" i="19"/>
  <c r="M17" i="19"/>
  <c r="K27" i="19"/>
  <c r="L27" i="19"/>
  <c r="J27" i="19"/>
  <c r="L28" i="19"/>
  <c r="K28" i="19"/>
  <c r="J28" i="19"/>
  <c r="K43" i="19"/>
  <c r="L43" i="19"/>
  <c r="K44" i="19"/>
  <c r="L44" i="19"/>
  <c r="K45" i="19"/>
  <c r="L45" i="19"/>
  <c r="J45" i="19"/>
  <c r="K30" i="19"/>
  <c r="L30" i="19"/>
  <c r="J30" i="19"/>
  <c r="K33" i="19"/>
  <c r="L33" i="19"/>
  <c r="K34" i="19"/>
  <c r="L34" i="19"/>
  <c r="K29" i="19"/>
  <c r="L29" i="19"/>
  <c r="K13" i="19"/>
  <c r="L13" i="19"/>
  <c r="K40" i="19"/>
  <c r="L40" i="19"/>
  <c r="J40" i="19"/>
  <c r="L14" i="19"/>
  <c r="K14" i="19"/>
  <c r="J23" i="19"/>
  <c r="J38" i="19"/>
  <c r="L24" i="19"/>
  <c r="K24" i="19"/>
  <c r="K25" i="19"/>
  <c r="L25" i="19"/>
  <c r="K26" i="19"/>
  <c r="L26" i="19"/>
  <c r="L23" i="19"/>
  <c r="K23" i="19"/>
  <c r="K31" i="19"/>
  <c r="L31" i="19"/>
  <c r="K41" i="19"/>
  <c r="L41" i="19"/>
  <c r="K15" i="19"/>
  <c r="L15" i="19"/>
  <c r="L38" i="19"/>
  <c r="K38" i="19"/>
  <c r="J41" i="19"/>
  <c r="L36" i="19"/>
  <c r="K36" i="19"/>
  <c r="J16" i="19"/>
  <c r="L16" i="19"/>
  <c r="K16" i="19"/>
  <c r="M16" i="19"/>
  <c r="J31" i="19"/>
  <c r="K46" i="19"/>
  <c r="L46" i="19"/>
  <c r="K37" i="19"/>
  <c r="L37" i="19"/>
  <c r="J24" i="19"/>
  <c r="L18" i="19"/>
  <c r="J18" i="19"/>
  <c r="L20" i="19"/>
  <c r="J20" i="19"/>
  <c r="J19" i="19"/>
  <c r="L19" i="19"/>
  <c r="J21" i="19"/>
  <c r="L21" i="19"/>
  <c r="J14" i="19"/>
  <c r="J15" i="19"/>
  <c r="J13" i="19"/>
  <c r="M26" i="19" l="1"/>
  <c r="M43" i="19"/>
  <c r="M45" i="19"/>
  <c r="M36" i="19"/>
  <c r="M38" i="19"/>
  <c r="M40" i="19"/>
  <c r="M44" i="19"/>
  <c r="M13" i="19"/>
  <c r="M18" i="19"/>
  <c r="M37" i="19"/>
  <c r="M24" i="19"/>
  <c r="M46" i="19"/>
  <c r="M25" i="19"/>
  <c r="M29" i="19"/>
  <c r="M34" i="19"/>
  <c r="M33" i="19"/>
  <c r="M39" i="19"/>
  <c r="M41" i="19"/>
  <c r="M27" i="19"/>
  <c r="M23" i="19"/>
  <c r="M15" i="19"/>
  <c r="M14" i="19"/>
  <c r="M31" i="19"/>
  <c r="M30" i="19"/>
  <c r="M28" i="19"/>
  <c r="M21" i="19"/>
  <c r="M20" i="19"/>
  <c r="M19" i="19"/>
  <c r="N43" i="19" l="1"/>
  <c r="P43" i="19" s="1"/>
  <c r="N33" i="19"/>
  <c r="P33" i="19" s="1"/>
  <c r="N23" i="19"/>
  <c r="P23" i="19" s="1"/>
  <c r="N38" i="19"/>
  <c r="P38" i="19" s="1"/>
  <c r="N13" i="19"/>
  <c r="P13" i="19" s="1"/>
  <c r="N28" i="19"/>
  <c r="N18" i="19"/>
  <c r="P18" i="19" s="1"/>
  <c r="I41" i="8"/>
  <c r="I38" i="8"/>
  <c r="I55" i="8"/>
  <c r="E55" i="8"/>
  <c r="E66" i="8" s="1"/>
  <c r="F55" i="8"/>
  <c r="G55" i="8"/>
  <c r="H55" i="8"/>
  <c r="D55" i="8"/>
  <c r="D66" i="8" s="1"/>
  <c r="O43" i="20" l="1"/>
  <c r="Q43" i="20" s="1"/>
  <c r="O38" i="20"/>
  <c r="Q38" i="20" s="1"/>
  <c r="O18" i="20"/>
  <c r="Q18" i="20" s="1"/>
  <c r="O23" i="20"/>
  <c r="Q23" i="20" s="1"/>
  <c r="O33" i="20"/>
  <c r="Q33" i="20" s="1"/>
  <c r="O13" i="20"/>
  <c r="Q13" i="20" s="1"/>
  <c r="O28" i="20"/>
  <c r="Q28" i="20" s="1"/>
  <c r="P28" i="19"/>
  <c r="I39" i="8"/>
  <c r="D11" i="16" l="1"/>
  <c r="B11" i="16"/>
  <c r="D18" i="8" l="1"/>
  <c r="C18" i="8"/>
  <c r="E18" i="8" s="1"/>
  <c r="D17" i="8"/>
  <c r="C17" i="8"/>
  <c r="E17" i="8" s="1"/>
  <c r="D20" i="8"/>
  <c r="D16" i="8"/>
  <c r="C16" i="8"/>
  <c r="E16" i="8" s="1"/>
  <c r="D19" i="8"/>
  <c r="C15" i="8"/>
  <c r="E15" i="8" s="1"/>
  <c r="D15" i="8"/>
  <c r="C19" i="8"/>
  <c r="E19" i="8" s="1"/>
  <c r="L9" i="8"/>
  <c r="L10" i="8"/>
  <c r="L8" i="8"/>
  <c r="C20" i="8"/>
  <c r="C8" i="8"/>
  <c r="B4" i="8"/>
  <c r="J15" i="8" l="1"/>
  <c r="E77" i="8"/>
  <c r="J19" i="8" s="1"/>
  <c r="E76" i="8"/>
  <c r="E79" i="8"/>
  <c r="E78" i="8"/>
  <c r="E82" i="8"/>
  <c r="E81" i="8"/>
  <c r="E80" i="8"/>
  <c r="H19" i="8"/>
  <c r="H18" i="8"/>
  <c r="G19" i="8"/>
  <c r="F19" i="8"/>
  <c r="G18" i="8"/>
  <c r="F18" i="8"/>
  <c r="C11" i="16"/>
  <c r="C9" i="1" l="1"/>
  <c r="D15" i="16" l="1"/>
  <c r="D17" i="16"/>
  <c r="D16" i="16"/>
  <c r="D12" i="16"/>
  <c r="D13" i="16"/>
  <c r="D14" i="16"/>
  <c r="G38" i="8"/>
  <c r="G41" i="8"/>
  <c r="F41" i="8"/>
  <c r="F38" i="8"/>
  <c r="H38" i="8"/>
  <c r="H41" i="8"/>
  <c r="H39" i="8"/>
  <c r="G39" i="8"/>
  <c r="F39" i="8"/>
  <c r="I19" i="8" l="1"/>
  <c r="K19" i="8" s="1"/>
  <c r="G16" i="8"/>
  <c r="H16" i="8" s="1"/>
  <c r="F16" i="8"/>
  <c r="F15" i="8" l="1"/>
  <c r="E20" i="8"/>
  <c r="K15" i="8" s="1"/>
  <c r="L15" i="8" s="1"/>
  <c r="G15" i="8"/>
  <c r="H15" i="8" s="1"/>
  <c r="G17" i="8"/>
  <c r="H17" i="8" s="1"/>
  <c r="F17" i="8"/>
  <c r="H20" i="8" l="1"/>
  <c r="G20" i="8"/>
  <c r="F20" i="8"/>
  <c r="I11" i="8" l="1"/>
  <c r="F11" i="16" s="1"/>
  <c r="I11" i="16" s="1"/>
  <c r="C11" i="2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eduardo sanchez alarcon</author>
  </authors>
  <commentList>
    <comment ref="H10" authorId="0" shapeId="0" xr:uid="{96248EA9-B5C9-4E1D-8E77-63D53C86B371}">
      <text>
        <r>
          <rPr>
            <b/>
            <sz val="9"/>
            <color indexed="81"/>
            <rFont val="Tahoma"/>
            <family val="2"/>
          </rPr>
          <t>fredy eduardo sanchez alarcon:</t>
        </r>
        <r>
          <rPr>
            <sz val="9"/>
            <color indexed="81"/>
            <rFont val="Tahoma"/>
            <family val="2"/>
          </rPr>
          <t xml:space="preserve">
El Formato 8, en el caso de los proponentes plurales, debe suscribirse por la persona natural o el
representante legal de la persona jurídica que aporte como mínimo el cuarenta por ciento (40%) de
la experiencia requerida para el proceso de contratación.</t>
        </r>
      </text>
    </comment>
    <comment ref="I10" authorId="0" shapeId="0" xr:uid="{06CF7068-1217-4502-B11E-31CDCCC1F08E}">
      <text>
        <r>
          <rPr>
            <b/>
            <sz val="9"/>
            <color indexed="81"/>
            <rFont val="Tahoma"/>
            <family val="2"/>
          </rPr>
          <t>fredy eduardo sanchez alarcon:</t>
        </r>
        <r>
          <rPr>
            <sz val="9"/>
            <color indexed="81"/>
            <rFont val="Tahoma"/>
            <family val="2"/>
          </rPr>
          <t xml:space="preserve">
Como soporte de esta declaración se anexa copia de (i) los respectivos documentos de
identidad, (ii) los contratos de trabajo o certificación laboral con las funciones y (iii) el
certificado de aportes al Sistema de Seguridad Social del último año en el que se
demuestren los pagos realizados por el empleador, en relación con cada una de las
personas que conforman el nivel directivo del Proponente.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00000000-0006-0000-0200-00000100000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00000000-0006-0000-0200-00000200000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00000000-0006-0000-0200-00000300000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0000000-0006-0000-0200-00000400000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00000000-0006-0000-0200-00000500000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0000000-0006-0000-0200-00000600000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0000000-0006-0000-0200-00000700000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DEF0CFC3-50A7-44C2-A9F9-5FC384AABCCD}">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187D8BA1-1169-4D1B-9649-BE2AEA220287}">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597E2509-8F67-4029-8126-7C9678ED0D86}">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48A982CF-6DF2-4C36-AE8C-8D9D0B8D0AD3}">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BFB1AD56-5417-4E37-BA7A-AE16EFDCB2DB}">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0B758594-5BE6-473B-B237-EC758A9153A7}">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21064586-BD99-4884-8FC7-982D6FDBD844}">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D663BE18-B3CD-44A7-8CB9-7228D6590605}">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EB7CB5C4-BB8E-4B17-8264-1FB92ECED6D7}">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5F350753-E111-4558-8C31-8FC8DCEE780A}">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79CCCB18-D9AF-4214-8E29-F5E3B0C623C2}">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C264E1B6-A660-4E03-A99A-DDD4BCAA0F97}">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A19907DD-98EE-4464-84FE-DA316BB616CF}">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37DCD646-C58D-49D2-A635-13CD3FE290B1}">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EEA85037-EAE6-45A9-929F-80CFA06FC76F}">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D3215DEB-FC4D-4545-969A-C3E6D140DF5E}">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C3A81724-8F91-4AE4-A722-3044FD986C19}">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47E70FE-A083-4568-B32C-07FA207534C5}">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463202E1-875B-40F6-853E-45F95962A2C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B290B342-A589-459C-97A8-109D6D800314}">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1FAAB781-7D97-4D21-AB95-0138BE5EB647}">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Andres Mauricio Rojas</author>
  </authors>
  <commentList>
    <comment ref="C23" authorId="0" shapeId="0" xr:uid="{765787DE-DBB6-4B7E-9040-F724E4B9310F}">
      <text>
        <r>
          <rPr>
            <sz val="9"/>
            <color indexed="81"/>
            <rFont val="Tahoma"/>
            <family val="2"/>
          </rPr>
          <t xml:space="preserve">
- Cinco (5) normales
- Seis (6) Mipyme y/o Mujer
- Siete (7) Mipyme y Mujer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13E484C5-887E-4719-A41C-7FE3D68A1BDA}">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71C53B44-3ED6-4A09-A824-68154D5A98DE}">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8B5C2868-9096-43FD-8B78-F397ECAA22E7}">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AF487153-9CF8-478C-BB6C-789E12CBCFA8}">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2909D33C-10A6-4C1A-9CA2-EF8B241DE02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9840A1A2-CF08-463A-988C-62C1E6BBAC5E}">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D4BD0CD1-409F-4D39-A087-1C42BCAE68F2}">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1DF96D7D-4015-4B79-98BC-0907749F2D66}">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EF9BB3E4-480F-4BD0-A507-872B3E0DECFE}">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589F38A6-FDFE-4E5D-8D8A-8077F00DA01B}">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8B86EC68-1427-4FA5-B5D6-6AAE13C9BD95}">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8EF4A61C-6E3F-4238-A524-64D2F8458A54}">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A41CF62E-8C8F-4CBF-8ECE-2EC1BE4178B3}">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E2F74432-00E4-4CDE-89F2-CC87F829B5A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85DD2320-35DF-4D29-B10C-11EEDF94241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26F3ADF2-D2BC-4065-A4C4-3D5364D4478D}">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723BFBA5-6512-453A-9729-EABBBAA49857}">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D34E2C16-E8EB-48FC-B1EF-C92B7BBD7F77}">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30E14D76-3969-49C3-866C-E06A84BEAEAB}">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7841870D-DF86-47C9-8CD1-465980B2319D}">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4AE2BC4D-30A3-43D8-8377-0A6B53B37BBB}">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49BCB993-A223-44E0-BC3E-1D68C5687A73}">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C8B89F7D-A6A4-4409-B4CB-44AD638DF722}">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8250C32D-CF66-48A5-BB41-2B8CF3D7F0B4}">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8089CA7C-7E2F-48FD-B065-0CD1EBEF886B}">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ECD59E9A-EF77-4042-9FBE-13790E85EEE7}">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79D61E56-35A0-446B-B0EE-7D77163B3335}">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F2EFAE02-5EAD-4BE5-9AD7-56E7C60B7854}">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EDE02AF6-24F1-48FD-80A7-145CEE3EB0BA}">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126BC85E-AF44-4140-8A7B-86BC6A511A76}">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76AFC07B-E8E8-41DC-A2AC-1E3F5ABCAB5C}">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B216692E-4C2D-4770-A27D-02E9B7B0C6C9}">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3C062AFA-E5F2-4F47-ADBB-96B2F1D0562A}">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20999643-F4BD-4ABB-A877-FAB982391A30}">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19E9D748-6283-41AF-A089-A5215612B41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B7E3DC8E-6429-4860-BDC3-4B869E1AE77B}">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B647B659-C4AC-48C5-98B3-8039BED33AB8}">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F71AF769-F8EC-4AEC-AFF3-678235B8B62C}">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E66AA08E-8389-4C84-BDF9-20F0119A349E}">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8872DCCA-5C3A-404B-B0B7-F99888CB778B}">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13C5B170-65C4-4FE8-8C88-E2A3624544BC}">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8EB68F4D-F0B0-4AF3-92C9-D6D795B4468E}">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77597E2F-0015-46B8-805E-EACA7657A23B}">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A4D32544-9929-42FB-8AC7-2324CA15E4E4}">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789FEDAC-19B8-4BBA-9EDD-4A18D63B0136}">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A627BA4B-6669-4483-9271-5D71B2BB0415}">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C9355B60-BDB6-4DC5-8B9E-DCCF79A0BB8F}">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7317B3FD-A65F-4090-8C01-F098AFC2CB9C}">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BF9DEEF-04F0-4D0F-9B18-56A3D12327E8}">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E5C152D3-B61A-4CC5-BFF4-D6B976C95510}">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B52350A2-F684-48A5-A2EF-0AA43E180E1C}">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2F559C93-3ABA-44B8-93D2-A3E176A1935C}">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CEC87FCE-169B-4FB5-AA4F-925F59E4A0A6}">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6F4A457E-8062-4790-B7AA-70952B895632}">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56925050-5AC7-49C9-92C1-61B07BAEF896}">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8A8BA380-E326-4A4B-B4F5-7CC8C5CB10B7}">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D1BB0854-9749-4B91-B067-524F05DC8537}">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A1372BAA-E426-4FC1-B72D-088FFA04E179}">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931E9A5F-B1D8-4992-87E7-DAFC40C078D0}">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638DBA1F-A167-4626-881D-66B521126D54}">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6AA9FD8D-C22D-457B-AF90-BFD182917337}">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EC3F21AC-C294-477E-AB23-14B4ECB4DA0C}">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F464911E-FA20-4BA5-8261-F4295F06242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943EAFF6-ED2F-4188-A53B-8AA336A2340B}">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F5DCDCC1-CCF4-494D-A156-3D2EFB1DE895}">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2B69BAB4-6054-4585-A411-F160D040A1AB}">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9A00C266-8DA3-4FA4-AD29-B848C7312037}">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22B2E3C8-D9A5-4E15-8991-23E88F1C7F58}">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6E020B86-3A09-4540-B3EF-6156227F1E7B}">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2BA1430B-1979-482B-9E18-98E3FE9FF0D2}">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55B55E50-8EDA-4C6A-BDC5-A08A3E53C829}">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B7177183-2CB1-4797-88A9-FBA2976F9E40}">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345D890A-9E4E-4E82-A101-C41BFA7FA709}">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AF341DF8-A8DB-41AD-87DA-D0088D2F1E3E}">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9DF97D27-F6A9-4332-A763-795C3EBC3525}">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25D93EFF-E5BC-4689-A003-9CEEA88AEF5E}">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880B9FB7-8C40-492E-9D5D-20727B9B40D6}">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A188246D-1EBC-4295-94FB-0FFA18147477}">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466C14B7-8BED-42D7-A966-7756CCF52BBE}">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57EB2F36-DB96-4960-9A9C-0C28E6142103}">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4DB27BD8-A278-4968-95EE-415A87091DE6}">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80F28DB2-3D25-4C75-86EA-BDB33A88A14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2B7BE573-2B4A-4184-B408-450927B6C257}">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B604CCD3-DBB6-4233-BB96-4CA03E6724CA}">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78FEAD39-4E70-4604-9636-85D783BE6C83}">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A3EC1E33-5E4F-4F8D-B593-32C60A6BFC5D}">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62B416D9-5FC9-49FE-8ABB-81EB82E33837}">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68FE3B12-004F-4630-8E5F-90006D3572C8}">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436F1B54-E2C1-48E2-B753-92531B66BD1A}">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53599255-ADE9-418A-AEC1-906F852BE23F}">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C716C489-A27D-49F9-92F8-5813BE7E0085}">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1404A901-3281-4EE8-9281-3C19B588A5FA}">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938BFE3B-8879-4BFB-AE19-7C47190CC961}">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706DA83B-BD66-4F56-A862-B642C794D04D}">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BAFDFA3C-ECE8-4AB8-8E6C-3A252A20AC5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B4BEC6F6-AE04-4DAF-8B2E-DF948E852280}">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3AA5091B-2F76-4F39-A64E-4E659ACF71B1}">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29D000BB-0077-4150-8B18-3CFE4D11CAFE}">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A48F5385-ADA6-4332-9A36-69CB40BC4C56}">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B12F98DC-51D5-4062-AC34-1E66DC8A424B}">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483BF0B2-0B69-40B7-B6A5-B001B71653E3}">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A94B4817-7014-41DF-AA02-9745B0D48F96}">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40DB1415-4D1F-457F-95C5-C69D88AF031F}">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3BAA9FD2-4BD3-43B0-8F9B-BC2E36886056}">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B019FC7-721A-4344-A197-BE73E452B32E}">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A17DB7D1-F076-47BA-84E6-F0F26DE41DDE}">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138A27DA-529D-4AA7-87E5-1EE715348231}">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2B80B58F-432F-45D9-94EC-0798C2DBCA44}">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9869DC4F-91F1-4D34-B36E-F3AF516EC63E}">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99A64F1A-AE95-48DF-8112-DA33E56A82E1}">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8905AC0F-9743-4D09-8C8C-D8F0F6CD0F85}">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1F3BD0E9-E5D5-4299-B69E-1BEA77ADCDDD}">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4A45878F-B1C3-4231-B3EE-939E6F75EBC8}">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C16A1FB2-D408-4321-8487-889ADF4C205B}">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C416F4D4-0448-4EC1-9483-8A7D36A126E4}">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75C62FCA-23E4-40B8-A845-E88F66FE14B0}">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83A881BE-CC9F-4D48-81EC-FBF2CA98C5D1}">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4624C7B4-0D59-4A72-B8A3-56457AE82586}">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FDB6E501-2E5A-466B-A3EC-7CCD6E1DF155}">
      <text>
        <r>
          <rPr>
            <b/>
            <sz val="9"/>
            <color indexed="81"/>
            <rFont val="Tahoma"/>
            <family val="2"/>
          </rPr>
          <t>Cristian Rodrigo Bolaños Solarte:</t>
        </r>
        <r>
          <rPr>
            <sz val="9"/>
            <color indexed="81"/>
            <rFont val="Tahoma"/>
            <family val="2"/>
          </rPr>
          <t xml:space="preserve">
VALOR DE SEGÚN LO REGISTRADO EN EL RUP</t>
        </r>
      </text>
    </comment>
    <comment ref="C46" authorId="1" shapeId="0" xr:uid="{C0E58918-ADF0-4645-96A6-6FF2C6A894C9}">
      <text>
        <r>
          <rPr>
            <b/>
            <sz val="9"/>
            <color indexed="81"/>
            <rFont val="Tahoma"/>
            <family val="2"/>
          </rPr>
          <t>Cristian Rodrigo Bolaños Solarte:</t>
        </r>
        <r>
          <rPr>
            <sz val="9"/>
            <color indexed="81"/>
            <rFont val="Tahoma"/>
            <family val="2"/>
          </rPr>
          <t xml:space="preserve">
% DE PARTICIPACION DE ACUERDO A LO REGISTRADO EN EL RUP</t>
        </r>
      </text>
    </comment>
    <comment ref="C47" authorId="1" shapeId="0" xr:uid="{1AF000FC-4E01-4461-8ED8-0E233FAC1A83}">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2F6285B1-0B69-416E-9AE1-77DE7D0E2107}">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AE095D7B-ADAD-4346-91F0-E94BC541095B}">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F3CA66CE-E607-455B-86A1-0AE952DD423A}">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59ABA7B3-6DD3-4F4A-8F1E-98777151807B}">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7D27B292-58B2-44FC-BD1C-1DF072B3327F}">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E552B126-4E4D-406F-B978-E8C07A892225}">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F492014E-C229-45D8-A0C9-74BEE54083EB}">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BC1A010A-0CDF-4D5A-B4C5-EF5B978A3201}">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D2BF48B7-AF56-4A94-B165-2FCBB57061EF}">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83BB47D2-1D94-4EDF-AA2E-929FA69C0D1E}">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ED5EFCC3-E9D1-4CD4-83CE-5BA1C199CDFB}">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67F28E95-0BAF-48D6-9EB8-54B0AFB9266E}">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93570EB8-C34A-4396-9E04-47D52CF3AF52}">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B7B95285-4A8C-40FA-AB27-4AE7C4C4C4C9}">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8CD6A0BC-7074-4341-A2ED-C2AA90CFD03B}">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A4B4BA0F-42B4-47A6-B302-100F29D746AA}">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808BD543-B7FD-4BF1-B0B2-CA226D88839E}">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624A43FF-DB23-4B40-8B99-17E9C2DF7EC8}">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D2C873B9-DF85-43C9-93CB-57AA6F55441B}">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A66845BA-365A-4837-81BB-9AD3DC66287B}">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43674E54-6B56-4A32-A2A6-0E65B49734EB}">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3114610B-7938-4859-8CF6-33833A729695}">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F7C09BC7-2D2E-461D-8F8E-D59E5462CF75}">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93E61162-AA7C-406D-800C-E38696F2427D}">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CFF48727-BBDE-4231-82B3-9828D5E82145}">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D9E7F09A-C8A8-45C5-B1C5-92BB7F1C52EF}">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48D98F04-9390-4789-81DB-1E4924F758E5}">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01B36FCC-AA33-4C34-B99C-6CB089F6BF03}">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DD91D87E-AB0F-4280-B5FF-C708E7C042EF}">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3215F12B-376D-431E-A4D8-E9BDB07104C7}">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9EB31DBB-8937-462A-941C-1DFE5DB41738}">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04925777-0D1E-4F99-B7CB-568764C8C59E}">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769F9EB7-7C5D-4F79-A719-A2E45AC7E7AC}">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A9A1B0FF-738D-411E-B647-587295A67C4F}">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AEDB098B-D563-4EDF-9C65-CCB60159C1D0}">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2AC0D710-C3FD-453C-BC81-AD16D94B0266}">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B0CDB899-7AC6-41AE-8E03-330DEFC54923}">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F9FCABC6-D543-4BCF-BC75-B4B790F740AC}">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535CDBCE-4BAA-4762-A7BA-42E90821C655}">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871BA624-23A4-42D8-A837-F90F9332B5BF}">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31DD01ED-1E26-41CE-8775-6012D7EFFA87}">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48FC659C-818C-4A57-9B94-798720E8D278}">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D96034CD-1483-48CA-9F9B-C5C577CDD05E}">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1AE3CE04-E5EA-4AB0-8879-BB12CC9A3743}">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E7F87EA4-7462-41C2-8FD1-E0558081AE44}">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EB60348F-DE06-4185-A184-C95B2C9D9FE8}">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8FB96F91-DA82-42EA-9167-295BFA86E42C}">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CD4DFB60-8203-4B23-8122-F9B295327E73}">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8648E0E0-2FF7-45D0-9AA8-35AD61DC977A}">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DCF2A4E0-917F-4EA4-8866-3121927CDCC7}">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87C40E34-B215-43C3-9F2D-B4053353EB8B}">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ACDF3656-F47B-4951-AB1B-7D2A927401FF}">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EC47322B-301C-4D3F-B389-454901D0757D}">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B6BB2C35-F325-409E-AF9A-D92D47851F8C}">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67DE7469-8C8F-447D-A80C-677621EA81BA}">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B5DD54D8-24DD-4033-99BB-D0F0566A1F26}">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4122D1EC-1934-47A6-8613-9EBD613E5B14}">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5DCAF21C-9AEB-4F10-8116-3FD8BA7694EF}">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AF5279A2-459B-4121-9BC2-6745BE825862}">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2F6FE0B8-45CC-4768-95B1-4858A4CA1242}">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FE373236-35C3-4EE2-8C6A-52A92AB2E8B8}">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611E4331-865B-4759-8D7A-CB7201E1B57B}">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A6B85CB4-F8D2-4DC6-A1AD-966C85958822}">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8F13BC37-F214-4374-82D3-1177B65042C7}">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F4B2487D-4BFF-416B-9F88-31399C91BBB6}">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22896C55-7863-43CE-85F7-377BB4CF6957}">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D4E7DF53-A58B-40E5-B719-4353D539F8BC}">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827B2EC9-48F2-4CB3-A58F-B87E77D48AE2}">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C860AF7B-9985-4FF3-9394-FD6C40D9E81B}">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2B7254F4-17BC-4989-9F33-F700D5678ABA}">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Andres Mauricio Rojas</author>
    <author>Cristian Rodrigo Bolanos Solarte</author>
  </authors>
  <commentList>
    <comment ref="C23" authorId="0" shapeId="0" xr:uid="{350484F3-5842-4D0F-B6B6-8208B2433FCC}">
      <text>
        <r>
          <rPr>
            <b/>
            <sz val="9"/>
            <color indexed="81"/>
            <rFont val="Tahoma"/>
            <family val="2"/>
          </rPr>
          <t>Andres Mauricio Rojas:</t>
        </r>
        <r>
          <rPr>
            <sz val="9"/>
            <color indexed="81"/>
            <rFont val="Tahoma"/>
            <family val="2"/>
          </rPr>
          <t xml:space="preserve">
- Cinco (5) normales
- Seis (6) Mipyme y/o Mujer
- Siete (7) Mipyme y Mujer
</t>
        </r>
      </text>
    </comment>
    <comment ref="C37" authorId="1" shapeId="0" xr:uid="{7C3C0596-0D34-43B8-ADE8-ACCD1B965CA9}">
      <text>
        <r>
          <rPr>
            <b/>
            <sz val="9"/>
            <color indexed="81"/>
            <rFont val="Tahoma"/>
            <family val="2"/>
          </rPr>
          <t>Cristian Rodrigo Bolaños Solarte:</t>
        </r>
        <r>
          <rPr>
            <sz val="9"/>
            <color indexed="81"/>
            <rFont val="Tahoma"/>
            <family val="2"/>
          </rPr>
          <t xml:space="preserve">
% DE PARTICIPACION DE ACUERDO A LO REGISTRADO EN EL RUP</t>
        </r>
      </text>
    </comment>
    <comment ref="C38" authorId="1" shapeId="0" xr:uid="{D1A00A60-338A-44B5-9BAF-761C842576AA}">
      <text>
        <r>
          <rPr>
            <b/>
            <sz val="9"/>
            <color indexed="81"/>
            <rFont val="Tahoma"/>
            <family val="2"/>
          </rPr>
          <t>Cristian Rodrigo Bolaños Solarte:</t>
        </r>
        <r>
          <rPr>
            <sz val="9"/>
            <color indexed="81"/>
            <rFont val="Tahoma"/>
            <family val="2"/>
          </rPr>
          <t xml:space="preserve">
VALOR DE SEGÚN LO REGISTRADO EN EL RUP</t>
        </r>
      </text>
    </comment>
    <comment ref="C40" authorId="1" shapeId="0" xr:uid="{7AC52141-CEBA-43A2-BEBC-A76BEEC082C9}">
      <text>
        <r>
          <rPr>
            <b/>
            <sz val="9"/>
            <color indexed="81"/>
            <rFont val="Tahoma"/>
            <family val="2"/>
          </rPr>
          <t>Cristian Rodrigo Bolaños Solarte:</t>
        </r>
        <r>
          <rPr>
            <sz val="9"/>
            <color indexed="81"/>
            <rFont val="Tahoma"/>
            <family val="2"/>
          </rPr>
          <t xml:space="preserve">
% DE PARTICIPACION DE ACUERDO A LO REGISTRADO EN EL RUP</t>
        </r>
      </text>
    </comment>
    <comment ref="C41" authorId="1" shapeId="0" xr:uid="{5707582F-CF32-41D9-9C43-BA68101F0525}">
      <text>
        <r>
          <rPr>
            <b/>
            <sz val="9"/>
            <color indexed="81"/>
            <rFont val="Tahoma"/>
            <family val="2"/>
          </rPr>
          <t>Cristian Rodrigo Bolaños Solarte:</t>
        </r>
        <r>
          <rPr>
            <sz val="9"/>
            <color indexed="81"/>
            <rFont val="Tahoma"/>
            <family val="2"/>
          </rPr>
          <t xml:space="preserve">
VALOR DE SEGÚN LO REGISTRADO EN EL RUP</t>
        </r>
      </text>
    </comment>
    <comment ref="C43" authorId="1" shapeId="0" xr:uid="{144A843D-2D2F-4421-8014-D9E1ADD5CBAD}">
      <text>
        <r>
          <rPr>
            <b/>
            <sz val="9"/>
            <color indexed="81"/>
            <rFont val="Tahoma"/>
            <family val="2"/>
          </rPr>
          <t>Cristian Rodrigo Bolaños Solarte:</t>
        </r>
        <r>
          <rPr>
            <sz val="9"/>
            <color indexed="81"/>
            <rFont val="Tahoma"/>
            <family val="2"/>
          </rPr>
          <t xml:space="preserve">
% DE PARTICIPACION DE ACUERDO A LO REGISTRADO EN EL RUP</t>
        </r>
      </text>
    </comment>
    <comment ref="C44" authorId="1" shapeId="0" xr:uid="{2E3F4FC4-DC20-4080-9C5C-2DFDBFD3746D}">
      <text>
        <r>
          <rPr>
            <b/>
            <sz val="9"/>
            <color indexed="81"/>
            <rFont val="Tahoma"/>
            <family val="2"/>
          </rPr>
          <t>Cristian Rodrigo Bolaños Solarte:</t>
        </r>
        <r>
          <rPr>
            <sz val="9"/>
            <color indexed="81"/>
            <rFont val="Tahoma"/>
            <family val="2"/>
          </rPr>
          <t xml:space="preserve">
VALOR DE SEGÚN LO REGISTRADO EN EL RUP</t>
        </r>
      </text>
    </comment>
    <comment ref="C46" authorId="1" shapeId="0" xr:uid="{AB0E990F-C0A0-41FD-8265-739C7D79C2F0}">
      <text>
        <r>
          <rPr>
            <b/>
            <sz val="9"/>
            <color indexed="81"/>
            <rFont val="Tahoma"/>
            <family val="2"/>
          </rPr>
          <t>Cristian Rodrigo Bolaños Solarte:</t>
        </r>
        <r>
          <rPr>
            <sz val="9"/>
            <color indexed="81"/>
            <rFont val="Tahoma"/>
            <family val="2"/>
          </rPr>
          <t xml:space="preserve">
% DE PARTICIPACION DE ACUERDO A LO REGISTRADO EN EL RUP</t>
        </r>
      </text>
    </comment>
    <comment ref="C47" authorId="1" shapeId="0" xr:uid="{56023DED-81BE-4797-8F34-BC340D70F5AC}">
      <text>
        <r>
          <rPr>
            <b/>
            <sz val="9"/>
            <color indexed="81"/>
            <rFont val="Tahoma"/>
            <family val="2"/>
          </rPr>
          <t>Cristian Rodrigo Bolaños Solarte:</t>
        </r>
        <r>
          <rPr>
            <sz val="9"/>
            <color indexed="81"/>
            <rFont val="Tahoma"/>
            <family val="2"/>
          </rPr>
          <t xml:space="preserve">
VALOR DE SEGÚN LO REGISTRADO EN EL RUP</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<sst xmlns="http://schemas.openxmlformats.org/spreadsheetml/2006/main" count="5973" uniqueCount="787">
  <si>
    <t xml:space="preserve">OBJETO DEL CONTRATO: </t>
  </si>
  <si>
    <t xml:space="preserve">DATOS DEL PROCESO </t>
  </si>
  <si>
    <t xml:space="preserve">MODALIDAD DE CONTRATACION </t>
  </si>
  <si>
    <t>No. Del Proceso</t>
  </si>
  <si>
    <t>VALOR DEL PROCESO:</t>
  </si>
  <si>
    <t>VALOR SMMLV</t>
  </si>
  <si>
    <t>VIGENCIA</t>
  </si>
  <si>
    <t>VALOR</t>
  </si>
  <si>
    <t>CODIGO UNSPSC</t>
  </si>
  <si>
    <t>DESCRIPCION</t>
  </si>
  <si>
    <t>HABILITADO</t>
  </si>
  <si>
    <t>INHABILITADO</t>
  </si>
  <si>
    <t>N/A</t>
  </si>
  <si>
    <t>CUMPLE</t>
  </si>
  <si>
    <t>NO CUMPLE</t>
  </si>
  <si>
    <t>CONTRATO No. 1</t>
  </si>
  <si>
    <t>CONTRATO No. 2</t>
  </si>
  <si>
    <t>CONTRATO No. 3</t>
  </si>
  <si>
    <t>CONTRATO No. 4</t>
  </si>
  <si>
    <t>CONTRATO No. 5</t>
  </si>
  <si>
    <t>CONTRATO No. 6</t>
  </si>
  <si>
    <t>FONDO DE DESARROLLO LOCAL DE KENNEDY</t>
  </si>
  <si>
    <t>OBJETO DE LA CONVOCATORIA</t>
  </si>
  <si>
    <t>PROPONENTE</t>
  </si>
  <si>
    <t xml:space="preserve">OBJETO DE CONTRATO </t>
  </si>
  <si>
    <t>VALOR DEL CONTRATO</t>
  </si>
  <si>
    <t>NOMBRE DEL PROPONENTE</t>
  </si>
  <si>
    <t>% PARTICIPACION</t>
  </si>
  <si>
    <t>ANALISIS K RESIDUAL</t>
  </si>
  <si>
    <t xml:space="preserve">RESULTADO EVALUACIÓN  </t>
  </si>
  <si>
    <t>Ciudad</t>
  </si>
  <si>
    <t>MIEMBRO UNICO O INTEGRANTES DEL CONSORCIO O UNION TEMPORAL.</t>
  </si>
  <si>
    <t>NÚMERO DE CERTIFICACIONES</t>
  </si>
  <si>
    <t>No. Consecutivo RUP</t>
  </si>
  <si>
    <t>CODIGO CIIU</t>
  </si>
  <si>
    <t>N° del contrato y año de suscripción</t>
  </si>
  <si>
    <t>Objeto</t>
  </si>
  <si>
    <t>Año de terminación para convertir en SMMLV</t>
  </si>
  <si>
    <t>Nombre o razón social del contratante</t>
  </si>
  <si>
    <t>Nombre o razón social del contratista</t>
  </si>
  <si>
    <t>Fecha de terminación del contrato. (dd/mm/aaaa)</t>
  </si>
  <si>
    <t>EVALUACIÓN TÉCNICA</t>
  </si>
  <si>
    <t>EVALUACIÓN JURÍDICA</t>
  </si>
  <si>
    <t>EVALUACIÓN FINANCIERA</t>
  </si>
  <si>
    <t>INTEGRANTE 1</t>
  </si>
  <si>
    <t>INTEGRANTE 2</t>
  </si>
  <si>
    <t>INTEGRANTE 3</t>
  </si>
  <si>
    <t>INTEGRANTE 4</t>
  </si>
  <si>
    <t>INTEGRANTE 5</t>
  </si>
  <si>
    <t>CANTIDAD DE INTEGRANTES</t>
  </si>
  <si>
    <t>SUMATORIA 
%PARTICIPACIÓN</t>
  </si>
  <si>
    <t>TOTAL INTEGRANTES</t>
  </si>
  <si>
    <t>BOGOTÁ D.C</t>
  </si>
  <si>
    <t>PRESUPUESTO OFICIAL EN PESOS</t>
  </si>
  <si>
    <t>PRESUPUESTO OFICIAL SMMLV</t>
  </si>
  <si>
    <t>REGISTRO UNICO DE PROPONENTES</t>
  </si>
  <si>
    <t>¿RUP vigente y en firme antes del cierre del proceso?</t>
  </si>
  <si>
    <t>¿El contrato se encuentra clasificado en alguno de los anteriores códigos?</t>
  </si>
  <si>
    <t>DATOS DEL CONTRATO</t>
  </si>
  <si>
    <t>INTEGRANTE</t>
  </si>
  <si>
    <t>% PARTICIPACIÓN</t>
  </si>
  <si>
    <t>TOTAL</t>
  </si>
  <si>
    <t>¿APORTA MÍNIMO EL 5% DE EXPERIENCIA?</t>
  </si>
  <si>
    <t>EXPERIENCIA TOTAL APORTADA</t>
  </si>
  <si>
    <t>DE 1 HASTA 2</t>
  </si>
  <si>
    <t>DE 3 HASTA 4</t>
  </si>
  <si>
    <t>VALOR DEL PROCESO EN PESOS</t>
  </si>
  <si>
    <t>VALOR DEL PROCESO EN SMMLV</t>
  </si>
  <si>
    <t>Fecha de Evaluación</t>
  </si>
  <si>
    <t>VALOR MINIMO A CERTIFICAR</t>
  </si>
  <si>
    <t>TOTAL CONTRATOS VÁLIDOS</t>
  </si>
  <si>
    <t>CONCEPTO</t>
  </si>
  <si>
    <t>OBSERVACIONES</t>
  </si>
  <si>
    <t>¿AL MENOS UNO APORTA EL 50% DE EXPERIENCIA?</t>
  </si>
  <si>
    <t>Valor final contrato en pesos</t>
  </si>
  <si>
    <t>NO</t>
  </si>
  <si>
    <t>ACREDITACIÓN DE EXPERIENCIA FIGURA ASOCIATIVA</t>
  </si>
  <si>
    <t>SI</t>
  </si>
  <si>
    <t>CONCEPTO POR CONTRATO</t>
  </si>
  <si>
    <t>No.</t>
  </si>
  <si>
    <t>%</t>
  </si>
  <si>
    <t>VALOR TOTAL CONTRATOS CODIGO 72</t>
  </si>
  <si>
    <t>CANTIDAD DE SOCIOS Y PROFESIONALES DE LA ARQUITECTURA, INGENIERÍA Y GEOLOGÍA VINCULADOS</t>
  </si>
  <si>
    <t>SALDO DE CONTRATOS EN EJECUCIÓN</t>
  </si>
  <si>
    <t>K RESIDUAL</t>
  </si>
  <si>
    <t>K RESIDUAL ACREDITADO</t>
  </si>
  <si>
    <t>K RESIDUAL REQUERIDO</t>
  </si>
  <si>
    <t>DATOS GENERALES</t>
  </si>
  <si>
    <t>MEJOR INGRESO OPERACIONAL DE LOS ULTIMOS 5 AÑOS</t>
  </si>
  <si>
    <t>PUNTAJE
EXPERIENCIA (E)</t>
  </si>
  <si>
    <t>INDICE DE LIQUIDEZ</t>
  </si>
  <si>
    <t>CAPACIDAD FINANCIERA (CF)</t>
  </si>
  <si>
    <t>CAPACIDAD TECNICA (CT)</t>
  </si>
  <si>
    <t>PLAZO DEL CONTRATO (MESES)</t>
  </si>
  <si>
    <t>ANTICIPO</t>
  </si>
  <si>
    <t>Fecha de Cierre</t>
  </si>
  <si>
    <t>ESTADO DE RESULTADOS</t>
  </si>
  <si>
    <t>INFORME DE AUDITORIA</t>
  </si>
  <si>
    <t>BALANCE GENERAL Y CERTIFICACION DE ESTADOS FINANCIEROS</t>
  </si>
  <si>
    <t xml:space="preserve">TARJETA PROFESIONAL Y CERTIFICADO DE ANTECEDENTES DEL CONTADOR, REVISOR FISCAL Y AUDITOR </t>
  </si>
  <si>
    <t>FORMATO 4 - CAPACIDAD FINANCIERA Y ORGANIZACIONAL PARA EXTRANJEROS</t>
  </si>
  <si>
    <t>FORMATO 5 - CAPACIDAD RESIDUAL EN EL SEGMENTO 72</t>
  </si>
  <si>
    <t>FORMATO 5 - CAPACIDAD TECNICA</t>
  </si>
  <si>
    <t>FORMATO 5 - SALDO DE CONTRATOS EN EJECUCIÓN</t>
  </si>
  <si>
    <t>RUP VIGENTE Y EN FIRME</t>
  </si>
  <si>
    <t>K RESIDUAL DOCUMENTOS</t>
  </si>
  <si>
    <t>CONCEPTO
FINAL K RESIDUAL</t>
  </si>
  <si>
    <t>REPORTADO</t>
  </si>
  <si>
    <t>NO REPORTADO</t>
  </si>
  <si>
    <t>REQUISITOS HABILITANTES</t>
  </si>
  <si>
    <t>PUNTAJE TOTAL</t>
  </si>
  <si>
    <t>ORDEN DE ELEGIBILIDAD</t>
  </si>
  <si>
    <t>MESES</t>
  </si>
  <si>
    <t>PLAZO</t>
  </si>
  <si>
    <t>LICITACION PÚBLICA</t>
  </si>
  <si>
    <t>INTEGRANTE 1 DEL CONTRATO APORTADO</t>
  </si>
  <si>
    <t>INTEGRANTE 2 DEL CONTRATO APORTADO</t>
  </si>
  <si>
    <t>INTEGRANTE 3 DEL CONTRATO APORTADO</t>
  </si>
  <si>
    <t>Valor final del contrato en SMMLV reportado en el RUP</t>
  </si>
  <si>
    <t>Porcentaje de Participación INTEGRANTE 1</t>
  </si>
  <si>
    <t>Valor final según porcentaje de participación INTEGRANTE 1 en SMMLV</t>
  </si>
  <si>
    <t>Porcentaje de Participación INTEGRANTE 2</t>
  </si>
  <si>
    <t>Valor final según porcentaje de participación INTEGRANTE 2 en SMMLV</t>
  </si>
  <si>
    <t>Porcentaje de Participación INTEGRANTE 3</t>
  </si>
  <si>
    <t>Valor final según porcentaje de participación INTEGRANTE 3 en SMMLV</t>
  </si>
  <si>
    <t>Valor final según porcentaje de participación INTEGRANTE 1 EN PESOS</t>
  </si>
  <si>
    <t>Valor final según porcentaje de participación INTEGRANTE 2 EN PESOS</t>
  </si>
  <si>
    <t>Valor final según porcentaje de participación INTEGRANTE 3 EN PESOS</t>
  </si>
  <si>
    <t>VALOR TOTAL A ACREDITAR (SMMLV)</t>
  </si>
  <si>
    <t>VALOR TOTAL ACREDITADO (SMMLV)</t>
  </si>
  <si>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Se debe aportar el informe del revisor fiscal 
- Se deben aportar los documentos del revisor fiscal (TP y certificado de antecedentes)
- Debe corregir el Formato 5 - Saldo de contratos en ejecución, toda vez que la fecha de cierre reportada en el formato no coincide con la fecha del cierre del proceso de selección.</t>
    </r>
  </si>
  <si>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xml:space="preserve">- Se debe aportar el informe del revisor fiscal 
- Se deben aportar los documentos del revisor fiscal (TP y certificado de antecedentes)
</t>
    </r>
  </si>
  <si>
    <t>El contador Neil Constantino Zarate identificado con C.C. 79.055.708 no aporta un certificado de antecedentes de contador vigente, ya que el certificado que se adjunta a la oferta tiene fecha de expedición del 9 de agosto 2021 y estos certificados solamente tienen tres (3) meses de vigencia. Por lo tanto, el certificado aportado por el contador Neil Constantino Zarate, no está vigente a la fecha de la presentación de las ofertas cuya fecha de cierre fue el 26 de noviembre de 2021.
Lo anterior, se hace necesario indicar para dar cumplimiento a lo establecido en el pliego de condiciones y los demás documentos contractuales de la licitación pública FDLK-LP-12-2021.</t>
  </si>
  <si>
    <t>Los proponentes que conforman la UNION TEMPORAL KENNEDY VEHICULAR, NO aportan el informe de auditoría de los estados financieros debidamente suscrito por un revisor fiscal o un contador independiente.
Por otro lado, los dos proponentes que conforman al oferente UNION TEMPORAL KENNEDY VEHICULAR NO aportan la tarjeta profesional de los contadores que firman los documentos presentados en la propuesta, ni tampoco el certificado de antecedentes profesionales vigente de los contadores (certificado de la junta de contadores).
Lo anterior, se hace necesario indicar para dar cumplimiento a lo establecido en el pliego de condiciones y los demás documentos contractuales de la licitación pública FDLK-LP-12-2021.</t>
  </si>
  <si>
    <t>activo corriemte</t>
  </si>
  <si>
    <t>pasivo corriente</t>
  </si>
  <si>
    <t xml:space="preserve">El CIVIL CONSTRUCTOR SAS, no presenta  el informe de auditoria correspondiente. </t>
  </si>
  <si>
    <t>Los integrantes del proponenete no presentan los formatos 5, ni los documentos solicitados en el numeral 3,10, motivo por el cual es imposible calcular el K residual.</t>
  </si>
  <si>
    <t>PLAZO:</t>
  </si>
  <si>
    <t>INFORMACIÓN GENERAL DE LOS PROPONENTES GRUPO 1</t>
  </si>
  <si>
    <t>METODO</t>
  </si>
  <si>
    <t>TRM</t>
  </si>
  <si>
    <t>Me</t>
  </si>
  <si>
    <t>MG</t>
  </si>
  <si>
    <t>Promedio</t>
  </si>
  <si>
    <t>Vme</t>
  </si>
  <si>
    <t>Mas cercano</t>
  </si>
  <si>
    <t>Menor Valor</t>
  </si>
  <si>
    <t>DECIMAL</t>
  </si>
  <si>
    <t>Media A. Baja</t>
  </si>
  <si>
    <t>PUNTAJE MAX</t>
  </si>
  <si>
    <t>N°</t>
  </si>
  <si>
    <t>OFERENTE</t>
  </si>
  <si>
    <t>DIFERENCIA MEDIA GEOMETRICA</t>
  </si>
  <si>
    <t>MEDIANA CON VALOR ABSOLUTO PUNTAJE</t>
  </si>
  <si>
    <t>MEDIA GEOMETRICA PUNTAJE</t>
  </si>
  <si>
    <t>MEDIA ARITMETICA BAJA PUNTAJE</t>
  </si>
  <si>
    <t>Desviación Estandar</t>
  </si>
  <si>
    <t>Mediana</t>
  </si>
  <si>
    <t>Valor Mínimo Aceptable</t>
  </si>
  <si>
    <t>¿ARTIFICIALMENTE BAJO?</t>
  </si>
  <si>
    <t>¿OFERTA ECONOMICA VÁLIDA?</t>
  </si>
  <si>
    <t>VALOR DE LA OFERTA ECONOMICA</t>
  </si>
  <si>
    <t>VALOR DE LA OFERTA ECONOMICA CORREGIDO</t>
  </si>
  <si>
    <t>VALOR OFERTA ECONOMICA PARA PUNTUAR</t>
  </si>
  <si>
    <t>MENOR VALOR 
PUNTAJE</t>
  </si>
  <si>
    <t>CHEQUEO ARTIFICIALMENTE BAJO</t>
  </si>
  <si>
    <t>PRESUPUESTO</t>
  </si>
  <si>
    <t>Servicios de mantenimiento y reparación de infraestructura</t>
  </si>
  <si>
    <t>CONTRATO No.7</t>
  </si>
  <si>
    <t xml:space="preserve">Máximo 5, 6 o 7 contratos </t>
  </si>
  <si>
    <t>SI NO APORTA ¿TIENE COMO MAXIMO EL 10% DE PARTICIPACIÓN?</t>
  </si>
  <si>
    <t>Fecha de iniciación del contrato. (dd/mm/aaaa)</t>
  </si>
  <si>
    <t>HASTA 5, 6 o 7</t>
  </si>
  <si>
    <t>CONCEPTO FINAL</t>
  </si>
  <si>
    <t xml:space="preserve"> EXP. ESPECIFICA SOLICITADA
(SMMLV)</t>
  </si>
  <si>
    <t xml:space="preserve"> EXP. ESPECIFICA ACREDITADA
(SMMLV)</t>
  </si>
  <si>
    <t>ALCALDIA LOCAL DE USAQUEN</t>
  </si>
  <si>
    <t>CONTRATAR POR EL SISTEMA DE PRECIOS UNITARIOS FIJOS Y A MONTO AGOTABLE LA INTERVENCIÓN DE LOS ELEMENTOS DE LA MALLA VIAL LOCAL E INTERMEDIA, ESPACIO PÚBLICO Y CICLOINFRAESTRUCTURA DE LA LOCALIDAD DE USAQUÉN EN BOGOTÁ CON OBRAS Y ACTIVIDADES DE CONSERVACIÓN</t>
  </si>
  <si>
    <t xml:space="preserve">FDLUSA-LP-002-2024 </t>
  </si>
  <si>
    <t>COMITÉ EVALUADOR
 FONDO DE DESARROLLO LOCAL DE USAQUEN:</t>
  </si>
  <si>
    <t>EVALUADORES COMITÉ TECNICOS AREA DE INFRAESTRUCTURA FONDO DE DESARROLLO LOCAL DE USAQUEN:</t>
  </si>
  <si>
    <t>Servicios de construcción de autopistas y carreteras</t>
  </si>
  <si>
    <t>Servicios de construcción y revestimiento y pavimentación de infraestructura</t>
  </si>
  <si>
    <t>Servicios de construcción de sistemas de tránsito masivo</t>
  </si>
  <si>
    <t xml:space="preserve">Servicios de instalación y reparación de concreto </t>
  </si>
  <si>
    <t>Servicios de preparación de obras de construcción</t>
  </si>
  <si>
    <t>Vías de tráfico limitado</t>
  </si>
  <si>
    <t xml:space="preserve">
EXPERIENCIA ESPECIFICA: Por lo menos uno (1) de los contratos válidos aportados como experiencia general donde haya realizado actividades de diagnóstico y/o estudios y diseños, para actividades de conservación de vías. </t>
  </si>
  <si>
    <t xml:space="preserve">los requisitos de experiencia son:
PROYECTOS DE CONSERVACIÓN DE VÍAS URBANAS EXPERIENCIA GENERAL: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experiencia,debe demostrar la intervención en la estructura del pavimento. 
</t>
  </si>
  <si>
    <t>Los contratos para acreditar la experiencia exigida deberán cumplir las siguientes características:
A. Que hayan contenido la ejecución de: proyectos de conservación de vías urbanas, que a nivel general en su objeto o actividades contengan construcción o rehabilitación o adecuación o ampliación o mejoramiento o mantenimiento o reconstrucción o repavimentación o pavimentación o conservación de infraestructura vial para tráfico vehicular de vías urbanas o de vías primarias o secundarias y que por lo menos uno (1) de los contratos válidos aportados como experiencia general donde haya realizado actividades de diagnóstico y/o estudios y diseños, para actividades de conservación de vías.</t>
  </si>
  <si>
    <t>B. Estar relacionados en el Formato 3 – Experiencia con el número consecutivo del contrato en el RUP. Los Proponentes Plurales deben indicar qué integrante aporta cada uno de los contratos señalados en el Formato 3 – Experiencia. Este documento debe presentarlo el Proponente Plural y no sus integrantes.</t>
  </si>
  <si>
    <t xml:space="preserve">C. El Proponente podrá acreditar la experiencia solicitada con mínimo uno (1) y máximo cinco (5) contratos, los cuales serán evaluados teniendo en cuenta la tabla del numeral 3.5.8 del Pliego de Condiciones, así como el contenido de la Matriz 1 – Experiencia. </t>
  </si>
  <si>
    <t xml:space="preserve">D. Deben haber terminado antes de la fecha de cierre del presente proceso de contratación. </t>
  </si>
  <si>
    <t xml:space="preserve">E. Para los contratos que sean aportados por personas jurídicas que no cuentan con más de tres (3) años de constituidas, que pretendan acreditar la experiencia de sus socios, accionistas o constituyentes, de conformidad con la posibilidad establecida en el numeral 2.5 del artículo 2.2.1.1.1.5.2. del Decreto 1082 de 2015, además del RUP deben adjuntar un documento suscrito por el representante legal y el revisor fiscal o contador público (según corresponda) donde se indique la conformación de la persona jurídica. La Entidad tendrá en cuenta la experiencia de los accionistas, socios o constituyentes de las sociedades con menos de tres (3) años de constituidas. Pasado este tiempo, la sociedad conservará esta experiencia, tal y como haya quedado registrada en el RUP.
De acuerdo con el inciso anterior, en los casos en que se presente un Proponente Plural conformado por una persona jurídica, en conjunto con sus socios, accionistas o constituyentes y se alleguen contratos en los que estos le hayan transferido experiencia a aquella, solo podrán ser acreditados como experiencia en el Proceso de Contratación por uno de los integrantes, de manera tal que al Proponente Plural solo podrá avalársele una misma experiencia una sola vez. </t>
  </si>
  <si>
    <t xml:space="preserve">3.5.3 DOCUMENTOS VÁLIDOS PARA LA ACREDITACIÓN DE LA EXPERIENCIA REQUERIDA
En el Clasificador de Bienes y Servicios, el segmento correspondiente para la clasificación de la experiencia es el segmento 72. 
B. La entidad contratante únicamente podrá exigir para la verificación de la experiencia los contratos celebrados por el interesado, identificados con el Clasificador de Bienes y Servicios hasta el tercer nivel.
C. Si el Proponente relaciona o anexa más de cinco (5) contratos en el Formato 3 - Experiencia, para efectos de evaluar la experiencia se tendrá en cuenta como máximo los cinco (5) contratos aportados de mayor valor. 
Tratándose de Proponentes que acrediten la calidad de Mipyme o emprendimiento y empresa de mujer con domicilio en el territorio nacional, se tendrá en cuenta como máximo los seis (6) contratos aportados de mayor valor. En caso de que el Proponente pruebe la calidad de Mipyme y de emprendimiento y empresa de mujer con domicilio en el territorio nacional de manera conjunta, se valdrán como máximo los siete (7) contratos allegados de mayor valor.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 
</t>
  </si>
  <si>
    <t>E. Cuando el contrato que se pretende acreditar como experiencia haya sido ejecutado en consorcio o unión temporal, el porcentaje de participación del integrante será el registrado en el RUP de este o en alguno de los documentos válidos para la acreditación de experiencia en caso de que el integrante no esté obligado a tener RUP.  
F. Cuando el contrato que se pretende acreditar como experiencia haya sido ejecutado en consorcio o unión temporal, el valor a considerar será el registrado en el RUP, o documento válido en caso de que el integrante no esté obligado a RUP, para la acreditación de experiencia multiplicada por el porcentaje de participación que tuvo el integrante o los
integrantes.
G. Cuando el contrato que se pretende acreditar como experiencia haya sido ejecutado en consorcio, el “% de dimensionamiento (según la longitud o magnitud requerida en el proceso de contratación)” exigido en la Matriz 1 – Experiencia se afectará por el porcentaje de participación que tuvo el integrante o los integrantes. 
Por su parte, si el contrato fue ejecutado como unión temporal la acreditación del “% de dimensionamiento” se afectará de acuerdo con la distribución de actividades y lo materialmente ejecutado, para lo cual se deberá allegar el documento de conformación de proponente plural que discrimine las actividades a cargo de cada uno de los integrantes o que de los documentos aportados para acreditar la experiencia se pueda determinar qué actividades ejecutó cada uno de los integrantes.  En caso de que lo anterior no se logre determinar, la evaluación se realizará de conformidad con lo señalado en el párrafo 
precedente, respecto a los consorcios.</t>
  </si>
  <si>
    <t xml:space="preserve">3.5.7 PARA SUBCONTRATOS
Para acreditar la experiencia de subcontratos, cuyo contrato principal fue suscrito con particulares, se aplicarán las disposiciones establecidas en el numeral anterior.   
Para acreditar la experiencia de contratos derivados de contratos suscritos con Entidades Estatales, el Proponente deberá aportar los documentos que se enlistan a continuación: 
A. Certificación del subcontrato. Certificación expedida con posterioridad a la fecha de terminación del subcontrato, la cual deberá estar suscrita por el representante legal del contratista del contrato principal, del Concesionario, o del EPC o Consorcio Constructor.
Así mismo, debe contener la información requerida en el Pliego de Condiciones para efectos de la acreditación de la experiencia.  
B. Certificación expedida por la Entidad Estatal del contrato principal del cual se derivó el subcontrato. Esta certificación debe contener la información básica del contrato principal la siguiente:  
I. Alcance de las obras ejecutadas en el contrato principal. 
II. Información en la cual se evidencie que la figura de la subcontratación es permitida en el marco del contrato principal. En caso de que no requiera autorización para subcontratar, el Proponente podrá aportar con su propuesta alguno de los siguientes documentos que den cuenta de esa circunstancia: i) copia del contrato
o ii) certificación emitida por la Entidad Estatal, donde acredite que para subcontratar no se requería autorización. 
La información solicitada en el literal B únicamente se exige en relación con el contrato principal suscrito con la Entidad Estatal. </t>
  </si>
  <si>
    <r>
      <t xml:space="preserve">3.5.4 ACREDITACIÓN DE LA EXPERIENCIA REQUERIDA
</t>
    </r>
    <r>
      <rPr>
        <sz val="11"/>
        <rFont val="Calibri"/>
        <family val="2"/>
        <scheme val="minor"/>
      </rPr>
      <t xml:space="preserve">Los proponentes acreditarán para cada uno de los contratos aportados la siguiente información mediante: 
</t>
    </r>
    <r>
      <rPr>
        <b/>
        <sz val="11"/>
        <rFont val="Calibri"/>
        <family val="2"/>
        <scheme val="minor"/>
      </rPr>
      <t>A. Acta de liquidación
B. Acta de entrega, terminación, final o de recibo definitivo. 
C. Certificación de experiencia. Expedida con posterioridad a la fecha de terminación del contrato en la que conste el recibo a satisfacción de la obra contratada debidamente suscrita por quien esté en capacidad u obligación de hacerlo.
D. Acta de inicio o la orden de inicio. La misma sólo será válida para efectos de acreditar la fecha de inicio.
E. Para los contratos que hayan sido objeto de cesión, el contrato deberá encontrarse debidamente inscrito y clasificado en el RUP o en uno o alguno de los documentos considerados como válidos para la acreditación de experiencia de la empresa cesionaria, según aplique. La
experiencia se admitirá para el cesionario y no se reconocerá experiencia alguna al cedente. 
Para efectos de acreditación de experiencia entre particulares, el Proponente deberá aportar adicionalmente alguno de los documentos que se describen a continuación:  
A. Certificación de facturación expedida con posterioridad a la fecha de terminación del contrato emitida por el revisor fiscal o contador público del Proponente que acredita la experiencia, según corresponda, con la copia de la tarjeta profesional y certificado de antecedentes
disciplinarios vigente, expedido por la Junta Central de Contadores, o los documentos equivalentes que hagan sus veces en el país donde se expide el documento del profesional.</t>
    </r>
  </si>
  <si>
    <t>Número de Contratos con los cuales el proponente cumple la experiencia acreditada.</t>
  </si>
  <si>
    <t>Valor mínimo a certificar 
(como % del Presupuesto Oficial de Obra, expresado en SMMLV)</t>
  </si>
  <si>
    <t>CONSORCIO EL TAMBILLO</t>
  </si>
  <si>
    <t>UNION TEMPORAL VIAL USAQUN 2024</t>
  </si>
  <si>
    <t>CONSORCIO CCU</t>
  </si>
  <si>
    <t>CONSORCIO MEB VIAL</t>
  </si>
  <si>
    <t>CONSORCIO CONSERVACION DK</t>
  </si>
  <si>
    <t>CONSORCIO USAQUEN VIAL 2025</t>
  </si>
  <si>
    <t>CONSORCIO VIAS URBANAS</t>
  </si>
  <si>
    <t>CONSORCIO VIAL LA ROCA USAQUEN 2024</t>
  </si>
  <si>
    <t>Consorcio LG</t>
  </si>
  <si>
    <t>CONSORCIO VIAL URBANO DC</t>
  </si>
  <si>
    <t>CONSTRUCTORA CAMACON S.A.S</t>
  </si>
  <si>
    <t>CONSORCIO LA VICTORIA 2024</t>
  </si>
  <si>
    <t>VIALUSA 2024</t>
  </si>
  <si>
    <t>CONSORCIO ZINFRA</t>
  </si>
  <si>
    <t>CONSORCIO MANTENIMIENTO VIAL USAQUEN II</t>
  </si>
  <si>
    <t>CONSORCIO DAI USAQUEN</t>
  </si>
  <si>
    <t>CONSORCIO USAQUEN 002</t>
  </si>
  <si>
    <t>CONSORCIO MALLA VIAL USAQUEN</t>
  </si>
  <si>
    <t>CONSORCIO SEGMENTOS VIALES</t>
  </si>
  <si>
    <t>CONSORCIO LOCALIDAD USAQUEN</t>
  </si>
  <si>
    <t>VD USAQUEN 2024</t>
  </si>
  <si>
    <t>CONSORCIO ZONA 1</t>
  </si>
  <si>
    <t>CONSORCIO VIAS USAQUEN 2027</t>
  </si>
  <si>
    <t>ARCO CONSTRUCTORES SAS</t>
  </si>
  <si>
    <t>CONSORCIO BELZCON - USAQUEN</t>
  </si>
  <si>
    <t>CONSORCIO INFRAVIAL 4G</t>
  </si>
  <si>
    <t>CONSORCIO VIAS PRO BOGOTA</t>
  </si>
  <si>
    <t>CONSORCIO BP VIAS USAQUEN</t>
  </si>
  <si>
    <t>CONSORCIO MALLA VIAL U</t>
  </si>
  <si>
    <t>CONSORCIO SANTA ANA 2024</t>
  </si>
  <si>
    <t xml:space="preserve">ISAIAS VARGAS GONZALEZ </t>
  </si>
  <si>
    <t xml:space="preserve">V &amp; M INGENIERIA S.A.S. </t>
  </si>
  <si>
    <t>ASFALTEMOS SAS</t>
  </si>
  <si>
    <t xml:space="preserve">AGREGADOS MARTÍNEZ SAS </t>
  </si>
  <si>
    <t>CLAUDIA STELLA CARVAJAL PINEDA</t>
  </si>
  <si>
    <t>C.C.P INGENIEROS S.A.S</t>
  </si>
  <si>
    <t>EMIRO CARLOS BARGUIL CUBILLOS</t>
  </si>
  <si>
    <t>ARMAR CONSTRUCCIONES S.A.S</t>
  </si>
  <si>
    <t xml:space="preserve">MINATORE S.A.S </t>
  </si>
  <si>
    <t xml:space="preserve">KAP CONSTRUCCIONES SAS </t>
  </si>
  <si>
    <t>DBD INGENIERIA SAS</t>
  </si>
  <si>
    <t xml:space="preserve">CONSTRUCCIONES CORPOVIAL S.A.S </t>
  </si>
  <si>
    <t>LIBERTY CONSTRUCTORA DEL CARIBE S.A.S.</t>
  </si>
  <si>
    <t xml:space="preserve">CONSTRUCCIONES, DISEÑOS Y OBRAS CIVILES S.A.S </t>
  </si>
  <si>
    <t xml:space="preserve">AXECOL SAS </t>
  </si>
  <si>
    <t xml:space="preserve">CONSTRUCCIONES Y PAVIMENTOS VIALES DE COLOMBIA “COPAVICOL” SAS </t>
  </si>
  <si>
    <t xml:space="preserve">TRITURADORA  LA ROCA Y
CONSTRUCCIONES SAS </t>
  </si>
  <si>
    <t>AURELIO GUTIERREZ CASTILLO</t>
  </si>
  <si>
    <t xml:space="preserve">AG3 INGENIERIA SAS </t>
  </si>
  <si>
    <t>INTERLOMAS SAS</t>
  </si>
  <si>
    <t>BIO MAQUINARIA Y EQUIPOS SAS</t>
  </si>
  <si>
    <t>GRUPO J8 SAS</t>
  </si>
  <si>
    <t>CONSTRUCTORA CAMACON SAS</t>
  </si>
  <si>
    <t>RETIN INGENIERÍA S.A.S.</t>
  </si>
  <si>
    <t>CONSTRUCTORA FG S.A.S.</t>
  </si>
  <si>
    <t xml:space="preserve">EDC INGENIERIA SAS </t>
  </si>
  <si>
    <t>ESTUDIOS E INGENIERIA SAS</t>
  </si>
  <si>
    <t>INGENIERIA VERTICAL ING S.A.S.</t>
  </si>
  <si>
    <t>REDES VIALES Y CONSTRUCCIONES S.A.S.</t>
  </si>
  <si>
    <t xml:space="preserve">AZ CIVIL </t>
  </si>
  <si>
    <t>INFRAESTRUCTURAS DE COLOMBIA S.A.S.</t>
  </si>
  <si>
    <t>MAQUINAS AMARILLAS SAS</t>
  </si>
  <si>
    <t xml:space="preserve">PEZ VELA INGENIERIA SAS </t>
  </si>
  <si>
    <t>DOBLE A INGENIERIA SAS</t>
  </si>
  <si>
    <t>INDUSTRIA PRODUCTORA DE MEZCLAS ASFALTICAS SAS</t>
  </si>
  <si>
    <t xml:space="preserve">LYDCO INGENIERIA SAS </t>
  </si>
  <si>
    <t>DAS CONSTRUCCIONES SAS</t>
  </si>
  <si>
    <t>KABOD EXECUTIVE GROUP SAS</t>
  </si>
  <si>
    <t xml:space="preserve">ASB ONASSIS CONSTRUCCIONES S.A.S </t>
  </si>
  <si>
    <t xml:space="preserve">INVERSIONES Y CONSTRUCCIONES MUNDO NUEVO SAS </t>
  </si>
  <si>
    <t>MAQUINARIA E INFRAESTRUCTURA S.A.S</t>
  </si>
  <si>
    <t xml:space="preserve">INVERSIONES Y CONSTRUCCIONES DEL CATILLO SAS </t>
  </si>
  <si>
    <t>EDUARDO CABALLERO AVILA</t>
  </si>
  <si>
    <t xml:space="preserve">PROCOM INGENIERIA SAS </t>
  </si>
  <si>
    <t>ML CONSTRUCCIONES Y SERVICIOS SAS</t>
  </si>
  <si>
    <t>IMAC SAS ZOMAC</t>
  </si>
  <si>
    <t>CONSTRUCTORA ESTRACOR SAS</t>
  </si>
  <si>
    <t xml:space="preserve">HERSA CONSTRUCTORES SAS </t>
  </si>
  <si>
    <t xml:space="preserve">MIGUEL EMILIO VILLAMIL ARIAS </t>
  </si>
  <si>
    <t>VIC SAS</t>
  </si>
  <si>
    <t xml:space="preserve">DROMOS PAVIMENTOS SAS </t>
  </si>
  <si>
    <t>INGEVOLCO SAS</t>
  </si>
  <si>
    <t xml:space="preserve">INVERSIONES HINDEL SAS </t>
  </si>
  <si>
    <t>JAIRO ANTONIO OSSA LOPEZ</t>
  </si>
  <si>
    <t>B.O.L INGENIEROS ARQUITECTOS S.A.</t>
  </si>
  <si>
    <t>BERNARDO ANCIZAR OSSA LOPEZ</t>
  </si>
  <si>
    <t>OCCIDENTAL DE COLOMBIA SAS</t>
  </si>
  <si>
    <t xml:space="preserve">BELZCON SAS </t>
  </si>
  <si>
    <t>INGENIEROS ELECTICISTAS
Y CIVILES ASOCIADOS
INGELAS SAS</t>
  </si>
  <si>
    <t>NCITECO SAS</t>
  </si>
  <si>
    <t xml:space="preserve">HMR INGENIERIA S.A.S </t>
  </si>
  <si>
    <t xml:space="preserve">PA COLOMBIA S.A.S. </t>
  </si>
  <si>
    <t>PERFORACIONES E
INGENIERÍA S.A.S</t>
  </si>
  <si>
    <t xml:space="preserve">BHR CONSTRUCTORES S.A.S </t>
  </si>
  <si>
    <t xml:space="preserve">PICO CONSTRUCCIONES S.A.S </t>
  </si>
  <si>
    <t>RAFAEL EDUARDO MONTES NAVAS</t>
  </si>
  <si>
    <t xml:space="preserve">MIRAFLOREZ CIVILES S.A.S. </t>
  </si>
  <si>
    <t>VIBAR INGENIERIA S.A.S</t>
  </si>
  <si>
    <t>SOLINGTEC S.A.S</t>
  </si>
  <si>
    <t>CONSTRUCTORA ZURIA S.A.S.</t>
  </si>
  <si>
    <t>CARLOS ALFONSO MORENO MUÑOZ</t>
  </si>
  <si>
    <t>ALFREDO ORTEGÓN PULIDO</t>
  </si>
  <si>
    <t>CONTRATAR A PRECIOS UNITARIOS FIJOS Y A MONTO AGOTABLE LAS OBRAS PARA LA CONSERVACION DE LA MALLA VIAL Y SU ESPACIO PUBLICO ASOCIADO EN LA LOCALIDAD DE PUENTE ARANDA</t>
  </si>
  <si>
    <t>REHABILITACION DE VIAS, RENOVACION DE ANDENES Y OBRAS COMPLEMENTARIAS - FASE VII, EN EL MARCO DE LA IMPLEMENTACIÓN DEL SISTEMA ESTRATEGICO DE TRANSPORTE PUBLICO DE LA CIUDAD DE NEIVA</t>
  </si>
  <si>
    <t>FONDO DE DESARROLLO LOCAL PUENTE ARANDA</t>
  </si>
  <si>
    <t>SETP TRANSFEDERAL S.A.S</t>
  </si>
  <si>
    <t>CONSORCIO PRATO</t>
  </si>
  <si>
    <t>272- ISAIAS VARGAS GONZALEZ
101- V &amp; M INGENIERIA S.A.S.</t>
  </si>
  <si>
    <t>219- ISAIAS VARGAS GONZALEZ
73 - V &amp; M INGENIERIA S.A.S.</t>
  </si>
  <si>
    <t>PUNTAJE APOYO A LA INDUSTRIA NACIONAL 
(20 PUNTOS)</t>
  </si>
  <si>
    <t>PUNTAJE FACTOR DE CALIDAD 
(19 PUNTOS)</t>
  </si>
  <si>
    <t>PUNTAJE VINCULACIÓN DE PERSONAS CON DISCAPACIDAD
(1 PUNTO)</t>
  </si>
  <si>
    <t>EMPRENDIMIENTOS Y EMPRESAS DE MUJERES 
(0,25 PUNTOS)</t>
  </si>
  <si>
    <t>MIPYME DOMICILIADA EN COLOMBIA
(0,25 PUNTOS)</t>
  </si>
  <si>
    <t>PUNTAJE OFERTA ECONÓMICA 
(59,5 PUNTOS)</t>
  </si>
  <si>
    <t>OBSERVACÓN</t>
  </si>
  <si>
    <t>319 2020</t>
  </si>
  <si>
    <t>0150 DE 2018</t>
  </si>
  <si>
    <t xml:space="preserve">CONSORCIO VIAS NEIVA F7
</t>
  </si>
  <si>
    <t>MAQUINARIA
(5 PUNTOS)</t>
  </si>
  <si>
    <t>PLAN DE CALIDAD 
(9 PUNTOS)</t>
  </si>
  <si>
    <t>Porcentaje de Participación INTEGRANTE 4</t>
  </si>
  <si>
    <t>Valor final según porcentaje de participación INTEGRANTE 4 EN PESOS</t>
  </si>
  <si>
    <t>Valor final según porcentaje de participación INTEGRANTE 4 en SMMLV</t>
  </si>
  <si>
    <t>P. DE GERENCIA 
(5 PUNTOS)</t>
  </si>
  <si>
    <t>FORMATO 9</t>
  </si>
  <si>
    <t>FORMATO 8</t>
  </si>
  <si>
    <t>FORMATO 12 A</t>
  </si>
  <si>
    <t>14 CONSORCIO VIAL USAQUEN</t>
  </si>
  <si>
    <t>22 CONSORCIO VIAL USAQUEN</t>
  </si>
  <si>
    <t>CUMPLE/NO CUMPLE</t>
  </si>
  <si>
    <t>#</t>
  </si>
  <si>
    <t>K_RESIDUAL</t>
  </si>
  <si>
    <t>1950-2019</t>
  </si>
  <si>
    <t>66-2022</t>
  </si>
  <si>
    <t>MEJORAMIENTO, MANTENIMIENTO Y 
REHABILITACION DE LA 
CARRETERA SOGAMOSO – EL
CRUCERO – AGUAZUL, RUTA
6211 Y 62BY05 DEL PR13+0000
PR14+1300, EN LOS
DEPARTAMENTOS DE BOYACÁ Y CASANARE A CARGO INVIAS</t>
  </si>
  <si>
    <t>CONTRATAR EL MEJORAMIENTO
Y REHABILITACIÓN DE LA MALLA VIAL PARA LA
OPTIMIZACIÓN DE LA INFRAESTRUCTURA VIAL DEL
SISTEMA ESTRATÉGICO DE
TRANSPORTE DE IBAGUÉ – SETP DE IBAGUÉ S.A.S, LA CUAL INCLUYE OBRA COMPLEMENTARIAS, DIAGNOSTICO Y/O ESTUDIO Y
DISEÑOS</t>
  </si>
  <si>
    <t>INVIAS</t>
  </si>
  <si>
    <t>SETP DE 
IBAGUÉ SAS</t>
  </si>
  <si>
    <t xml:space="preserve">UNIÓN TEMPORAL MULTIVIAL SOGAMOSO </t>
  </si>
  <si>
    <t>1192-2019</t>
  </si>
  <si>
    <t>496-2015</t>
  </si>
  <si>
    <t>755-2018</t>
  </si>
  <si>
    <t xml:space="preserve">“REHABILITACIÓN DE LA ESTRUCTURA DE PAVIMENTO DE LA VIA LA CEIBA (CRUCE VÍA
MONTERÍA-PUERTOREY)-CANALETE EN EL DEPARTAMENTO DE CÓRDOBA”
</t>
  </si>
  <si>
    <t>ESTUDIOS, DISEÑOS Y CONSTRUCCIÓN DE
PAVIMENTOS DE CONCRETO RÍGIDO EN LOS
BARRIOS: LAGRANJA, DIAGONAL 15 ENTRE
TRANSVERSAL 3 Y 5 K0 +00 HASTA K0+368.4 Y
BARRIO P5 TRANSVERSAL 0 ENTRE DIAGONAL 6 Y DIAGONAL 11 EN LA CIUDAD DE MONTERÍA - DEPARTAMENTO DE CÓRDOBA</t>
  </si>
  <si>
    <t>CONSTRUCCIÓN DE PAVIMENTO DE
CONCRETOS RIGIDOS EN LOS BARRIOS LOS ABETOS, GUARAMAL Y URBANIZACIÓN SAN
JOSÉ EN EL MUNICIPIO DE SAN CARLOS–
DEPARTAMENTO DE CÓRDOBA.</t>
  </si>
  <si>
    <t>SECRETARIA DE 
INFRAESTRUCTURA
DEPARTAMENTAL
DEL DEPARTAMENTO DE
CORDOBA</t>
  </si>
  <si>
    <t xml:space="preserve">MUNICIPIO DE
MONTERÍA
</t>
  </si>
  <si>
    <t>CONSORCIO PAVIMENTAR 2019</t>
  </si>
  <si>
    <t>CONSORCIO PAVIMENTO LA GRANJA</t>
  </si>
  <si>
    <t>CONSORCIO VÍAS SAN CARLOS</t>
  </si>
  <si>
    <t>3054530/2021</t>
  </si>
  <si>
    <t>C&amp;C-MTO-11-005/2014</t>
  </si>
  <si>
    <t>3/12/2021</t>
  </si>
  <si>
    <t>MUNICIPIO DE AGUACHICA</t>
  </si>
  <si>
    <t>GRUPO C&amp;C ENERGY</t>
  </si>
  <si>
    <t>Biotecnologi de Colombia SAS</t>
  </si>
  <si>
    <t>Biotecnologia proyectos asesorias y servicios sociedad limitada</t>
  </si>
  <si>
    <t>242-2018</t>
  </si>
  <si>
    <t>336 - 2022</t>
  </si>
  <si>
    <t>416-2021</t>
  </si>
  <si>
    <t>597 - 2016</t>
  </si>
  <si>
    <t>EJECUTAR POR EL SISTEMA DE PRECIOS UNITARIOS FIJOS SIN FORMULA DE REAJUSTE Y A MONTO AGOTABLE LAS OBRAS Y ACTIVIDADES NECESARIAS PARA LA CONSERVACION DE LA MALLA VIAL Y ESPACIO PUBLICO ASOCIADO DE LA LOCALIDAD DE BOSA</t>
  </si>
  <si>
    <t>EJECUTAR POR EL SISTEMA DE PRECIOS UNITARIOS FIJOS SIN FORMULA DE REAJUSTE Y A MONTO AGOTABLE LAS ACTIVIDADES NECESARIAS PARA LA EJECUCIÓN DE LAS OBRAS DE CONSTRUCCIÓN DE MALLA VIAL Y ESPACIO PUBLICO ASOCIADO DE LA LOCALIDAD DE BOSA, DE ACUERDO CON LA DESCRIPCIÓN, ESPECIFICACIONES, ESTUDIOS, DISEÑOS Y DEMÁS CONDICIONES ESTABLECIDAS EN EL ANEXO TÉCNICO</t>
  </si>
  <si>
    <t>REALIZAR LA INTERVENCION FISICA A ESCALA BARRIAL CONSISTENTE EN LA CONSTRUCCION DE LOS TRAMOS VIALES PRIORIZADO POR LA CAJA DE VIVIENDA POPULAR Y LA SECRETARIA DISTRITAL DE HABITAT EN EL TERRITORIO ALTO FUCHA DE LA LOCALIDAD DE SAN CRITOBAL .</t>
  </si>
  <si>
    <t>ELABORAR LOS ESTUDIOS, DISEÑOS, Y LA CONSTRUCCIÓN DE LOS CÓDIGOS DE IDENTIFICACIÓN VIAL –CIV PRIORIZADOS, UBICADOS EN EL SECTOR DE CARACOLÍ EN LA LOCALIDAD DE CIUDAD BOLÍVAR Y EN EL SECTOR DE COMPOSTELA EN LA LOCALIDAD DE USME EN BOGOTÁ D.C.</t>
  </si>
  <si>
    <t xml:space="preserve"> FONDO DE DESARROLLO LOCAL DE BOSA</t>
  </si>
  <si>
    <t>CAJA DE LA VIVIENDA POPULAR</t>
  </si>
  <si>
    <t>CONSORCIO VIAL BOSA CCC</t>
  </si>
  <si>
    <t>CONSTRUCTORA CAMACON S A S</t>
  </si>
  <si>
    <t>UNION TEMPORAL VIAL CU</t>
  </si>
  <si>
    <t>UNION TEMPORAL INTERVENCION VIAL CIV</t>
  </si>
  <si>
    <t>870/2014</t>
  </si>
  <si>
    <t>0108*2018*000081</t>
  </si>
  <si>
    <t>521/2022</t>
  </si>
  <si>
    <t>ADECUACIÓN, REHABILITACIÓN Y MEJORAMIENTO DE VÍAS DEL CASCO URBANO DEL MUNICIPIO DE SOACHA CUNDINAMARCA ETAPA 1.</t>
  </si>
  <si>
    <t>MEJORAMIENTO DE LA VIA SANTO TOMAS - EL UVITO, CONSTRUCCION PUENTE EL UVITO, REVISION DE ESTUDIOS Y DISEÑOS, GRUPO VIII. CONTRATO No. 0108*2018*000081.</t>
  </si>
  <si>
    <t>EJECUTAR A PRECIOS UNITARIOS FIJOS LAS ACTIVIDADES PARA LA CONSERVACIÓIN DE LA MALLA VIAL LOCAL E INTERMEDIA, PUENTES Y ESPACIO PÚBLICO EN LA LOCALIDAD DE SUBA EN LA CIUDAD DE BOGOTÁ D.C. Y LAS DEMAS ACTIVIDADES QUE SE DETALLEN EN EL ANEXO TECNICO</t>
  </si>
  <si>
    <t>MUNICIPIO DE SOACHA</t>
  </si>
  <si>
    <t>GOBERNACIÓN DEL ATLÁNTICO</t>
  </si>
  <si>
    <t xml:space="preserve">ALCALDÍA LOCAL DE SUBA </t>
  </si>
  <si>
    <t>CONSORCIO HND</t>
  </si>
  <si>
    <t>CONSTRUCTORA FG SA</t>
  </si>
  <si>
    <t>CONSORCIO OBRAS SUBA</t>
  </si>
  <si>
    <t>16</t>
  </si>
  <si>
    <t>50</t>
  </si>
  <si>
    <t>36</t>
  </si>
  <si>
    <t>075 DE 2016</t>
  </si>
  <si>
    <t>413 de 2019</t>
  </si>
  <si>
    <t xml:space="preserve">MEJORAMIENTO. MANTENIMIENTO, REHABILITACION Y/O RECONSTRUCCION DE LA MALLA VIAL Y EL ESPACIO PUBLICO EN LA LOCALIDAD DE BARRIOS UNIDOS </t>
  </si>
  <si>
    <t>EJECUTAR A PRECIOS UNITARIOS Y A MONTO AGOTABLE, LA RECONSTRUCCION, REHABILITACION, MANTENIMIENTO PREVENTIVO, CORRECTIVO Y PERIODICO, Y DEMAS INTERVENCIONES TENDIENTES A LA CONSERVACION DE LA MALLA VIAL Y ESPACIO PUBLICO DE LA LOCALIDAD DE SUBA</t>
  </si>
  <si>
    <t>FONDO DE DESARROLLO LOCAL DE BARRIOS UNIDOS</t>
  </si>
  <si>
    <t>FONDO DE DESARROLLO LOCAL DE SUBA</t>
  </si>
  <si>
    <t>ESTUDIOS E INGENIERIA SAS - CONSORCIO BARRIOS
UNIDOS 2016 72%</t>
  </si>
  <si>
    <t>CONSORCIO LOCALIDADES 2019</t>
  </si>
  <si>
    <t>SUBSANAR:CONTRATO IDENTIFICADO EN EL RUP CON EL NO. 46: REVISADA EL ACTA DE RECIBO FINAL ALLEGADA POR EL PROPONENTE, NO SE EVIDENCIA LA FIRMA DE LA ENTIDAD CONTRATANTE, SUBSANAR REMITIR UN DOCUMENTO DONDE EL FONDO PUEDA OBSERVAR QUE EL CONTRATO FUE RECIBIDO A SATISFACCIÓN POR LA ENTIDAD CONTRATANTE Y NO SOLO POR LA INTERVENTORIA.</t>
  </si>
  <si>
    <t>CONSTRUCCIÓN DE PAVIMENTO RIGIDO EN DISTINTOS SECTORES DEL CASCO URBANO DEL MUNICIPIO DEAGUACHICA,DEPARTAMENTODEL CESAR</t>
  </si>
  <si>
    <t>MEJORAMIENTO Y CONSERVACION DE LA INFRAESTRUCTURA VIAL DENTRO DEL PROYECTO LLANOS 19, MEDIANTE LA CONSTRUCCION DE TERRAPLEN, CARPETA ASFALTICA, ATENCION Y CONTENCION EN SITIOS CRITICOS Y OBRAS COMPLEMENTARIAS</t>
  </si>
  <si>
    <t>FORMATO CON LA INFORMACIÓN DESACTUALIZADA EN LOS BIENES</t>
  </si>
  <si>
    <t>FORMATO CON LA INFORMACIÓN DESACTUALIZADA EN LOS BIENES (1 SOLO)</t>
  </si>
  <si>
    <t>“CONTRATARPORELSISTEMA
DEPRECIOSUNITARIOSFIJOSYA
MONTO AGOTABLE LA INTERVENCIÓNDELAMALLA
VIALLOCALEINTERMEDIADELA
LOCALIDADDEUSAQUÉNEN
BOGOTÁCONOBRASY
ACTIVIDADES DE CONSERVACION”</t>
  </si>
  <si>
    <t>"PAVIMENTACION EN CONCRETO RIGIDO DE LA CARRERA 4 Y 5 ENTRE LA CALLE 41 Y LA
AVENIDA CIRCUNVALAR
PERTENECIENTE AL SISTEMA
ESTRATÉGICO DE TRANSPORTE
PÚBLICO "SETP" DE LA CIUDAD DE MONTERÍA</t>
  </si>
  <si>
    <t>CCU-001
DE 2022</t>
  </si>
  <si>
    <t>003-11</t>
  </si>
  <si>
    <t>CONSORCIO
CONSERVACIÓN
USAQUÉN</t>
  </si>
  <si>
    <t>MONTERIA
CIUDAD AMABLE
S.A.S</t>
  </si>
  <si>
    <t>MINATORE S.A.S</t>
  </si>
  <si>
    <t>CONSORCIO VIAS URBANAS MONTERIA 2011</t>
  </si>
  <si>
    <t xml:space="preserve">CONSTRUCCIÓN DEL SECTOR K6+270A LK28+800 DEL ANILLO VÍAL
CARTAGENA-BAYUNCA, DE LA CARRETERA CARTAGENA BARRANQUILLA
</t>
  </si>
  <si>
    <t>EJECUTAR PARA EL DEPARTAMENTO MEDIANTE EL SISTEMA DE PRECIOS UNITARIOS FIJOS, SIN FORMULA DE REAJUSTE, LA EJECUCION DE LAS OBRAS RELACIONADAS CON LOS PROYECTOS: 1 ESTUDIOS, DISEÑOS, CONSTRUCCION, MEJORAMIENTO, REHABILITACIÓN Y PAVIMENTACION DE LA RED VIAL DE TRONCALES Y RED COLECTORA A CARGO DEL DEPARTAMENTO DE CUNDINAMARCA (TRONCAL DE MAGDALENA,SECTOR GIRARDOT-CAMBAO, DEPARTAMENTO DE CUNDINAMARCA) 2.ESTUDIOS,DISEÑOS, CONSTRUCCION DE LA RED TRONCALES Y RED COLECTORA A CARGO DEL DEPARTAMENTO DE CUNDINAMARCA Q(VIALLASHELL ARBELAES MUNICIPIO DE ARBELAES). 3.ESTUDIOS, DISEÑOS, MEJORAMIENTO, REHABILITACIÓN Y PAVIMENTACIÓN DE LA RED VIAL DE TRONCALES Y RED COLECTORA A CARGO DEL DEPARTAMENTO DE CUNDINAMARCA (VÍA CÁQUEZA UBAQUE,MUNICIPIOS DE CAQUEZA Y UBAQUE), 4. ESTUDIOS, DISEÑOS, CONSTRUCCIÓN, MEJORAMIENTO,</t>
  </si>
  <si>
    <t xml:space="preserve">MEJORAMIENTO DE VIA ENTRE LOS MUNICIPIOS DE CIÉNAGA DE ORO,
CHIMA Y TUCHIN, EN EL DEPARTAMENTO DE CÓRDOBA
</t>
  </si>
  <si>
    <t>547-1983</t>
  </si>
  <si>
    <t>SOP-V238-2007</t>
  </si>
  <si>
    <t>00111 DE
2018</t>
  </si>
  <si>
    <t>GOBERNACION
DE
CUNDINAMARCA</t>
  </si>
  <si>
    <t>MUNICIPIO DE
CIENAGA DE
ORO</t>
  </si>
  <si>
    <t xml:space="preserve">CONSORCIO SUAREZ Y SILVA LIMITADA-INGENIEROS CONTRATISTASTECNIVIAL
LIMITADA
</t>
  </si>
  <si>
    <t>SUAREZ Y SILVA LIMITADA</t>
  </si>
  <si>
    <t>CONSORCIO CDO VIAL</t>
  </si>
  <si>
    <t>CERTIFICADO DE VINCULACIÓN PERSONA CON DISCAPACIDAD ESTA CON FECHA DE EXPEDICION DEL 24 DE MAYO DE 2024 CUMPLE CON VIGENCIA Y LO APORTA LA EMPRESA LIBERTY QUIEN APORTA MAS DEL 40% DE LA EXPERIENCIA. SE VERIFICA EL RUP DE LA EMPRESA LIBERTY CONSTRUCTORA DEL CARIBE SAS CON FECHA DEL 23 DE OCTUBRE D E 2024 ENCONTRANDOSE VIGENTE Y FIRME. Y SU ESCALA ES DE MEDIANA EMPRESA</t>
  </si>
  <si>
    <t>CERTIFICADO DE VINCULACIÓN PERSONA CON DISCAPACIDAD ESTA CON FECHA DE EXPEDICION DEL 4 DE SEPTIEMBRE DE 2024 CUMPLE CON VIGENCIA, POR LA EMPRESA AXECOL QUIEN APORTA MAS DEL 40% DE EXPERIENCIA . SE VERIFICA EL RUP DE LA EMPRESA AXECOL DEL 23 DE OCTUBRE DE 2024 Y LA EMPRESA CONSTRUCCIONES DISEÑOS Y OBRAS CIVILES SAS CON FECHA  16 DE OCTUBRE DE 2024. SE VERIFICA EN EL RUP CONSTRUCCIONES DISEÑOS Y OBRAS CIBVILES MEDIANA EMPRESA Y AXECOL MICROEMPRESA</t>
  </si>
  <si>
    <t>EL FORMATO 9 DE BIENES Y SERVICIOS NO FUE ACTUALIZADO SEGUN RESPUESTAS INFORMADAS POR EL FDLUSA. CERTIFICADO DE VINCULACIÓN PERSONA CON DISCAPACIDAD ESTA CON FECHA DE EXPEDICION DEL 21 DE AGOSTO DE 2024 CUMPLE CON VIGENCIA, POR LA EMPRESA COPAVICOL QUIEN APORTA MAS DEL 40% DE EXPERIENCIA. RUP VIGENTE Y EN FIRME</t>
  </si>
  <si>
    <t>EL FORMATO 9 NO CORRESPONDE AL EXIGIDO POR LA ENTIDAD. EL RUP DE GUTIERREZ AURELIO CASTILLO FECHA DEL 30 DE SEPTIEMBRE DE 2024, RUP AG3 INGENIERIA SAS DEL 30 DE SEPTIEMBRE DE 2024, INTERLOMAS DEL 22 DE OCTUBRE DE 2024. LA CERTIFICACION DE DISCAPACIDAD SE ENCUENTRA VIGENTE Y LO APORTA GUTIERREZ AURELIO CASTILLO QUIEN APORTA MAS DEL 40% DE EXPERIENCIA</t>
  </si>
  <si>
    <t>LP-004-2012</t>
  </si>
  <si>
    <t>152-SOP 2023</t>
  </si>
  <si>
    <t>CONSTRUCCION DE PAVIMENTO DE LA VIA PRIMERA ENSENDA ENTRE EL CAMU Y PUNTA DE PIEDRA EN EL MUNICIPIO DE COVEÑAS DEPARTAMENTO DE SUCRE</t>
  </si>
  <si>
    <t>CONSTRUCCIÓN DE PAVIMENTO
EN CONCRETO HIDRÁULICO Y
OBRAS COMPLEMENTARIAS EN
DIFERENTES
BARRIOS DEL MUNICIPIO DE
VALLEDUPAR, CESAR</t>
  </si>
  <si>
    <t>MUNICIPIO DE COVEÑAS</t>
  </si>
  <si>
    <t>MUNICIPIO DE VALLEDUPAR</t>
  </si>
  <si>
    <t>CONSORCIO VIAL COVEÑAS 2012 - OLT LOGISTIC SAS</t>
  </si>
  <si>
    <t>CONSORCIO VIAS VALLEDUPAR</t>
  </si>
  <si>
    <t>12-GR-3650</t>
  </si>
  <si>
    <t>1243-2005</t>
  </si>
  <si>
    <t>OBRAS DE LA AUTOVIA A-7 DEL MEDITERRÁNEO, TRAMO CARCHUNA - CASTELL DE FERRO, CLAVE 12-GR-3650</t>
  </si>
  <si>
    <t>DISEÑO, RECONSTRUCCION, PAVIMENTACION Y/O
REPAVIMENTACION DE LA VIA GRUPO 15, EN EL TRAMO 1
MOMPOXBOTON DE LEYVA DEL K4+500 AL K6+000 y DEL
K15+500 AL K30+260 CON UNA LONGITUD DE 16.26
KILOMETROS EN EL DEPARTAMENTO DE BOLIVAR</t>
  </si>
  <si>
    <t>MINISTERIO DE FOMENTO</t>
  </si>
  <si>
    <t>CONSTRUCCIONES VERA SAS</t>
  </si>
  <si>
    <t>KHB INGENIERIA SAS</t>
  </si>
  <si>
    <t>0233 DE 2019</t>
  </si>
  <si>
    <t>3-1-77258-022-2019</t>
  </si>
  <si>
    <t>0538 DE 2014</t>
  </si>
  <si>
    <t>PAVIMENTACIÓN DE VIAS URBANAS PROYECTO N0. 2018540010303 INSCRITO EN EL  BANCO DE PORGRAMAS Y  PROYECTOS DE INVERSIÓN MUNICIPAL</t>
  </si>
  <si>
    <t>REHABILITACIÓN DE LA VIA SARAVENA LA YUCALA ANTIOQUEÑA DEPARTAMENTO DE ARAUCA,  ASIGNADO  A ECOPETROL SA DENTRO  DEL MECANISMO DE OBRAS POR IMPUESTOS</t>
  </si>
  <si>
    <t>DISEÑO,  CONSTRUCCION,  ADECUACION,  MANTENIMIENTO,  RECONSTRUCCION  DE  LAS  SIGUIENTES  VIAS:  1. CORREDOR CALLE 10 DESDE LA AVENIDA 10 HACIA EL CEMENTERIO CENTRAL – MAGDALENA – BARRIO NUEVO – BELEN – DIVINA PASTORA – RODEO – ENTRADA A CORALINAS – JUANA RANGEL – ANILLO VIAL ORIENTAL; 2. VIA PARALELA AL CANAL BOGOTA AMBOS SENTIDOS ENTRE EL CENTRO COMERCIAL LAS MERCEDES Y LA BOMBA EL DIVISO; PERTENECIENTE A LA COMUNA 9 DEL MUNICIPIO DE SAN JOSE DE CUCUTA”</t>
  </si>
  <si>
    <t>MUNICIPIO DE SAN JOSE DE CUCUTA</t>
  </si>
  <si>
    <t>FIDUCIARIA LA PREVISORA SA</t>
  </si>
  <si>
    <t>MUNICIPIO DE SAN JOSE CUCUTA</t>
  </si>
  <si>
    <t>TRITURADORA LA ROCA Y CONSTRUCCIONES
S.A.S - CONSTRUCCIONES Y PAVIMENTOS VIALES DE COLOMBIA S.A.S.</t>
  </si>
  <si>
    <t>CONSTRUCCIONES Y PAVIMENTOS VIALES DE COLOMBIA S.A.S.</t>
  </si>
  <si>
    <t>TRITURADORA LA ROCA Y CONSTRUCCIONES -  CONSTRUCCIONES Y PAVIMENTOS VIALES DE COLOMBIA S.A.S.</t>
  </si>
  <si>
    <t>19 - 40</t>
  </si>
  <si>
    <t>3 Y 21</t>
  </si>
  <si>
    <t>EL CONTRATO 0233 DE 2019 NO SE  EVIDENCIA ACTIVIDADES DE DIAGNÓSTICO Y/O ESTUDIOS Y DISEÑOS, PARA ACTIVIDADES DE CONSERVACIÓN DE VIAS.</t>
  </si>
  <si>
    <t>EN LA CERTIFICACIÓN APORTADA POR CONSTRUCCIONES DISEÑOS Y OBRAS CIVILES NO SE DA CUMPLIMIENTO AL LITERAL G DEL NUMERAL 3.5.2 EL CUAL CITA: Para proyectos de infraestructura vial que se hayan realizado fuera del territorio nacional, se consideran “Carreteras primarias” aquellas que sean certificadas por la entidad contratante mediante alguno de los documentos válidos establecidos en el numeral 3.5.6 del pliego de condiciones, siempre que se indique que el ancho de calzada es mayor o igual a siete (7.0) metros, y/o que se acrediten tres o más carriles vehiculares por calzada.</t>
  </si>
  <si>
    <t>CONSTRUCTORA VERA APORTA EXPERIENCIA A CONSTRUCCIONES DISEÑOS Y OBRAS CIVILES SAS LA CUAL SE CONFIRMA LA EXPERIENCIA EN EL RUP DE CONSTRUCCIONES DISEÑOS  Y OBRAS CIVILES SAS 2. EN EL RUP AL VERIFICAR EL CONTRATO APORTADO POR CONSTRUCCIONES Y DISEÑOS Y OBRAS CIVILES SAS EL % DE PARTICIPACIÓN APARECE 0% SE VERIFICA EN LA CERTIFICACIÓN APORTADA POR LA EMPRESA DONDE SE EVIDENCIA LA PARTICIPACIÓN DEL 25%.</t>
  </si>
  <si>
    <t>1. SE SOLICITA A LA EMPRESA LIBERTY CONSTRUCTORA DEL CARIBE SAS ADJUNTAR DOCUMENTO DONDE LA ENTIDAD (FDLUSA) PUEDA VERIFICAR QUE SU ACCIONISTA CONSTRUCCIONES LA RIVIERA S.A.S. ANTES ERA  OLT LOGISTICS S.A.S.                                                                                                                                                                
2.  EN EL RUP PRESENTADO POR LA EMPRESA LIBERTY CONSTRUCTORA DEL CARIBE SAS  EL CONTRATO QUE APORTA PARA EXPERIENCIA APARECE EN PORCENTAJE DE PARTICIPACIÓN DEL 0%, POR LO TANTO LA ENTIDAD (FDLUSA) VERIFICO EN EL CERTIFICADO DE EXPERIENCIA QUE ADJUNTA EL PROPONENTE Y EN EL DOCUMENTO CONSORCIAL EL  % DE PARTICIPACIÓN CONFIRMANDO QUE FUE DEL 85%.                                  
3. EL CONTRATO APORTADO POR LA EMPRESA CONSTRUCCIONES  CORPOVIAL NO SE EVIDENCIA ACTIVIDADES DE DIAGNÓSTICO Y/O ESTUDIOS Y DISEÑOS, PARA ACTIVIDADES DE CONSERVACIÓN DE VIAS.</t>
  </si>
  <si>
    <t>116 DE 2006</t>
  </si>
  <si>
    <t>168/2007</t>
  </si>
  <si>
    <t>365-01</t>
  </si>
  <si>
    <t>IDU-UEL-6-595 DE 1999</t>
  </si>
  <si>
    <t>171-00</t>
  </si>
  <si>
    <t>INV 1048-99</t>
  </si>
  <si>
    <t>INV-1096 DE 2020</t>
  </si>
  <si>
    <t>CONSTRUCCION DE ACCESOS A BARRIOS Y PAVIMENTOS LOCALES, PROGRAMA PAVIMENTOS LOCALES GRUPO 1: LOCALIDADES DE USME, CIUDAD BOLIVAR, SAN CRISTOBAL, LOS MARTIRES EN BOGOTA DC</t>
  </si>
  <si>
    <t>DIAGNOSTICO Y MANTENIMIENTO DE LA MALLA VIAL LOCAL DE LAS LOCALIDADES DE SAN CRISTOBAL, USME, TUNJUELITO, RAFAEL URIBE URIBE Y CIUDAD BOLIVAR.</t>
  </si>
  <si>
    <t>TERMINACION Y REHABILITACION DE VIAS EN BOGOTA</t>
  </si>
  <si>
    <t>REHABILITACION DE VIAS EN LA LOCALIDAD DE TUNJUELITO</t>
  </si>
  <si>
    <t>REHABILITACION DE CALLE 163A DESDE AVENIDA CRA 7 HASTA AUTOPISTA NORTE EN LA LOCALIDAD DE USAQUEN EN SANTAFE DE BOGOTA</t>
  </si>
  <si>
    <t>TERMINACION CONSTRUCCION OBRAS DE DRENAJE Y ESTRUCTURA DE PAVIMENTO EN LA VARIANTE DE TUNJA SECTO K6+600 AL K10+600 CALZADA OCCIDENTAL</t>
  </si>
  <si>
    <t>MANTENIMIENTO Y REHABILITACIÓN DE LA CARRETERA PLANETA RICA - LA YE, RUTA 25 TRAMO 14 EN EL DEPARTAMENTO DE CORDOBA</t>
  </si>
  <si>
    <t>INSTITUTO DE DESARROLLO URBANO</t>
  </si>
  <si>
    <t>UNIDAD ADMINISTRATIVA ESPECIAL DE REHABILITACION Y MANTENIMIENTO VIAL</t>
  </si>
  <si>
    <t>CONSORCIO VIAL - AURELIO GUTIERREZ CASTILLO</t>
  </si>
  <si>
    <t>CONSORCIO VIAL BOGOTA - AURELIO GUTIERREZ CASTILLO</t>
  </si>
  <si>
    <t>CONSORCIO URBANO</t>
  </si>
  <si>
    <t>AURELIO  GUTIERREZ CASTILLO</t>
  </si>
  <si>
    <t>CONSORCIO OBRAS VIALES</t>
  </si>
  <si>
    <t> CONSORCIO AG3-CORDOBA</t>
  </si>
  <si>
    <t>1 AG3 Y 97 AGC</t>
  </si>
  <si>
    <r>
      <t>NO CUMPLE EL PROPONENTE AG3 NO APORTA EL 5% DE LA EXPERIENCIA, DE ACUERDO CON EL PLIEGO DE CONDICIONES: D. Tratándose de Proponentes Plurales se tendrá en cuenta lo siguiente: i) uno de los integrantes debe aportar como mínimo el cincuenta por ciento (50 %) de la experiencia solicitada;</t>
    </r>
    <r>
      <rPr>
        <b/>
        <sz val="11"/>
        <color rgb="FFFF0000"/>
        <rFont val="Calibri"/>
        <family val="2"/>
        <scheme val="minor"/>
      </rPr>
      <t xml:space="preserve"> ii) los demás integrantes deben acreditar al menos el cinco por ciento (5 %) de la experiencia solicitada;</t>
    </r>
    <r>
      <rPr>
        <sz val="11"/>
        <color rgb="FFFF0000"/>
        <rFont val="Calibri"/>
        <family val="2"/>
        <scheme val="minor"/>
      </rPr>
      <t xml:space="preserve">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t>
    </r>
  </si>
  <si>
    <t/>
  </si>
  <si>
    <t>1479 de 
2019</t>
  </si>
  <si>
    <t>562 DE 
2014</t>
  </si>
  <si>
    <t>MEJORAMIENTO MANTENIMIENTO CARRETERA RIO PEREIRA-SAN JUAN DEL CESAR-BUENAVISTA RUTA 4902 PARADERO RUTA 8801 PASO POR SAN JUAN CESAR RUTA 49GJB, 88GJ02 TERRITORIAL GUAJIRA</t>
  </si>
  <si>
    <t>CONSTRUCCIÓN DE PAVIMENTO RÍGIDO PARA LOS CORREDORES VIALES ESTATÉGICOS CORREGIMENTALES QUE COMUNICAN CON LAS CABECERAS URBANAS Y TRONCALES EN LOS MUNICIPIO DEL MEDIO Y BAJO SINÚ DEPARTAMENTO DE CÓRDOBA</t>
  </si>
  <si>
    <t>INSTITUTO NACIONAL DE VIAS</t>
  </si>
  <si>
    <t>GOBERNACION DE CORDOBA</t>
  </si>
  <si>
    <t>CONSORCIO SAN JUAN 2019 - BETCON INGENIERIA SAS - 50%</t>
  </si>
  <si>
    <t xml:space="preserve">CONSORCIO PAVIMENTOS DE CORDOBA 2014 - CONING CONSTRUCCION Y OBRAS DE INGENIERIA CIVIL SAS - 60% </t>
  </si>
  <si>
    <t>2013-OO-20-0025</t>
  </si>
  <si>
    <t>LP-MM-002-2023</t>
  </si>
  <si>
    <t>MEJORAMIENTO, REHABILITACION, MANTENIMIENTO Y CONSTRUCCIÓN DE OBRAS COMPLEMENTARIAS EN LA RED VIAL DE LAS SUBREGIONES NORDESTE Y MAGDALENA MEDIO DEL DEPARTAMENTO DE ANTIOQUIA</t>
  </si>
  <si>
    <t>CONSTRUCCIÓN DE PAVIMENTO EN CONCRETO HIDRÁULICO ETAPA XIX EN LA ZONA URBANA DEL MUNICIPIO DE MONTELÍBANO, DEPARTAMENTO DE CÓRDOBA</t>
  </si>
  <si>
    <t>DEPARTAMENTO DE ANTIOQUIA</t>
  </si>
  <si>
    <t>MUNICIPIO DE MONTELIBANO</t>
  </si>
  <si>
    <t>CONSORCIO INFRAME</t>
  </si>
  <si>
    <t>CONSORCIO PAVIMENTAR ETAPA XIX</t>
  </si>
  <si>
    <t>LP-001-2017</t>
  </si>
  <si>
    <t>INFRA-337-2017</t>
  </si>
  <si>
    <t>PV08-2018 DE 2018</t>
  </si>
  <si>
    <t>1184 DE 2018</t>
  </si>
  <si>
    <t>Construcción de pavimento en concreto en la zona urbana del municipio de El Reten - Magdalena</t>
  </si>
  <si>
    <t>Construcción del carril de aceleración y desaceleración PR 6+388.72 al PR 6+954.71 en la trasnportadora de Cemex Ibagué - Espinal - Rura 4004</t>
  </si>
  <si>
    <t>Mejoramiento, mantenimiento y conservación de vías paara conectividad regional, financiados con recursos de la enajenación de Isagen en el departamento de Caldas, vía Florencia - Cruce Ruta 45 (Dorada) - 5603 en el tramo Puente Hierro - Norcaisa</t>
  </si>
  <si>
    <t>Construcción de la variante San Francisco - Mocoa en el sector K0+670 al K10+390 del frente de Mocoa departamento de Putumayo</t>
  </si>
  <si>
    <t>MUNICIPIO DE EL RETEN</t>
  </si>
  <si>
    <t>CEMEX COLOMBIA SA</t>
  </si>
  <si>
    <t xml:space="preserve"> INFICALDAS</t>
  </si>
  <si>
    <t>CFD INGENIERIA SAS</t>
  </si>
  <si>
    <t xml:space="preserve">MAQUINAS AMARILLAS S.A.S. </t>
  </si>
  <si>
    <t>CONSORCIO VIAS CALDAS 2018</t>
  </si>
  <si>
    <t>CONSORCIO VARIANTE MOCOA 2018</t>
  </si>
  <si>
    <t>Revisar el valor de SMLV del RUP de la experiencia no 1 no me da lo mismo que lo que ponen en el formato 3</t>
  </si>
  <si>
    <t>1543-2017</t>
  </si>
  <si>
    <t>1825-2013</t>
  </si>
  <si>
    <t>1700-2005</t>
  </si>
  <si>
    <t>143-97</t>
  </si>
  <si>
    <t>067-2011</t>
  </si>
  <si>
    <t>CONSTRUCCION DE LA AVENIDA SAN ANTONIO (CALLE 183) DESDE LA AVENIDA BOYACA (AV CRA 72) HASTA LA CRA 54D, ACUERDO 523 DE 2,013 DE VALORIZACION EN LA CIUDAD DE BOGOTA D.C.</t>
  </si>
  <si>
    <t>Realizar las obras y activiades para la conservacion de la malla vial arterial no troncal, en los grupos 1,2,3,4 y 5 fase I - 2013 a precios unitarios, en la ciudad de Bogotá</t>
  </si>
  <si>
    <t>El diseño, reconstruccion, pavimentacion y/o repavimentacion de la via grupo 47, tramo 1 Bogota Choachi con una longitud de 24,717 Km del K2+000 al K22+717, Tramo 2 (P): Fosca - Caqueza con una longitud de 12,850 Kilometros del K0+600 al K13+450, Tramo 2 (R) Fosca - Caqueza con una longitud de 0,6 Kilometros del K0+000 al K0+600, en el departamento de Cundinamarca</t>
  </si>
  <si>
    <t>Construcción del proyecto Avda. Ciudad de Cali sector: diagonal 91 - carrera 91, y construcción de la infraestructura y superestructura de un puente sobre el Río Juan Amarillo.</t>
  </si>
  <si>
    <t>Mantenimiento, rehabilitación y/o construcción de la Malla Vial de la Localidad de Barrios Unidos</t>
  </si>
  <si>
    <t>IDU</t>
  </si>
  <si>
    <t>ALCALDIA LOCAL DE BARRIOS UNIDOS</t>
  </si>
  <si>
    <t>CONSORCIO SAN FELIPE</t>
  </si>
  <si>
    <t>CONSERVACION VIAL</t>
  </si>
  <si>
    <t xml:space="preserve"> UNION TEMPORAL CONCIVILES S.A. - ATUESTA y CIA LTDA</t>
  </si>
  <si>
    <t>098 de 2015</t>
  </si>
  <si>
    <t>125 de 2015</t>
  </si>
  <si>
    <t>CONTRATAR BAJO LA MODALIDAD DE PRECIOS UNITARIOS
FIJOS SIN FORMULA DE REAJUSTE Y A MONTO AGOTABLE
LAS OBRAS DE MANTENIMIENTO DE LA MALLA VIAL LOCAL
Y LAS OBRAS DE CONSTRUCCION Y/O MANTENIMIENTO DE
ANDENES Y ESPACIO PUBLICO DE LA LOCALIDAD QUINCE
ANTONIO NARIÑO, PROYECTO 933 DE 2015, DE
CONFORMIDAD CON LAS ACTIVIDADES Y CONDICIONES
SEÑALADAS EN EL ANEXO TECNICO.</t>
  </si>
  <si>
    <t>CONTRATAR A PRECIOS UNITARIOS FIJOS SIN FÓRMULA DE
REAJUSTE POR MONTO AGOTABLE EL DIAGNOSTICO Y LAS
OBRAS DE MANTENIMIENTO Y/O REHABILITACION DE LA
MALLA VIAL Y DEL ESPACIO PUBLICO DE LA LOCALIDAD DE
LOS MARTIRES</t>
  </si>
  <si>
    <t>FONDO DE DESARROLLO LOCAL DE ANTONIO NARIÑO</t>
  </si>
  <si>
    <t>FONDO DE DESARROLLO LOCAL DE LOS MÁRTIRES</t>
  </si>
  <si>
    <t>UNION TEMPORAL VIAS ANTONIO NARIÑO 2015</t>
  </si>
  <si>
    <t>UNION TEMPORAL MALLA VIAL 2015</t>
  </si>
  <si>
    <t>LP-MA-009-2018</t>
  </si>
  <si>
    <t>3497 DE 2005</t>
  </si>
  <si>
    <t>CONSTRUCCION DE PAVIMENTO RIGIDO
EN LOS BARRIOS LLERAS, PALMIRA, INURBE EN EL MUNICIPIO DE AYAPEL,
DEPARTAMENTO DE CORDOBA.</t>
  </si>
  <si>
    <t>DISEÑO, LA RECONSTRUCCIÓN, LA PAVIMENTACIÓN Y/O REPAVIMENTACIÓN DE LA VÍA, GRUPO 4, TRAMO 1 VÍA EBEJICO-LA SUCIA (CONEXIÓN VIAL ABURRA-RIO CAUCA-MISERENGA-EBEJICO) DEL K0+000 AL K15+000 CON UNA LONGITUD DE 15 KILÓMETROS; TRAMO 2 VÍA PINGURO-BURITICA (6.8KLLÓMETROS) Y MANGLAR-GIRALDO (3.8 KILÓMETROS) DEL K0+000 (PINGURO) AL K6+800 Y DEL K0+000 (MANGLAR) AL K3+800 CON UNA LONGITUD DE 10,60 KILÓMETROS EN EL DEPARTAMENTO DE ANTIOQUIA.</t>
  </si>
  <si>
    <t>ALCALDIA MUNICIPAL DE AYAPEL</t>
  </si>
  <si>
    <t>INSTITUTO NACIONAL DE VÍAS</t>
  </si>
  <si>
    <t>CONSORCIO PAVIAYAPEL 2019</t>
  </si>
  <si>
    <t>CONSORCIO SAN JOSE 2500</t>
  </si>
  <si>
    <t>IDU-2128-2013</t>
  </si>
  <si>
    <t>IDU-1810-2013</t>
  </si>
  <si>
    <t>IDU-073-2012</t>
  </si>
  <si>
    <t>Obras y actividades para la conservación de la malla vial intermedia que soporta el sistema integrado de transporte público - SITP, Grupos 1 y 2, a precios unitarios con formula de ajuste, en la ciudad de Bogotá D.C.</t>
  </si>
  <si>
    <t>Ejecutar obras y actividades para la conservación de la malla via arterial no troncal, en el Grupo 1 Fase 1 - 2013, a precios unitarios, en la Ciudad de Bogotá D.C.</t>
  </si>
  <si>
    <t>Conservación de la infraestructura del sistema integrado de transporte público: Troncal del Sistema Transmilenio Calle 80, comprendida entre el Río Bogotá y Los Héroes; y rutas auxiliares, alimentadoras, complementarias y especiales: Localidad de Engativa y Barrios Unidos, en Bogotá D.C. Grupo 2</t>
  </si>
  <si>
    <t>INSTITUTO DE DESARROLLO URBANO (IDU)</t>
  </si>
  <si>
    <t>UNION TEMPORAL SITP 2014</t>
  </si>
  <si>
    <t>UNION TEMPORAL CONSERVACIONES 2014</t>
  </si>
  <si>
    <t>UNION TEMPORAL INFRAESTRUCTURA GRUPO 2</t>
  </si>
  <si>
    <t>10 - INVERSIONES Y CONSTRUCCIONES MUNDO NUEVO SAS 
16 - MAQUINARIA E INFRAESTRUCTURA S.A.S</t>
  </si>
  <si>
    <t>11 - INVERSIONES Y CONSTRUCCIONES MUNDO NUEVO SAS 
165 - MAQUINARIA E INFRAESTRUCTURA S.A.S</t>
  </si>
  <si>
    <t>SA-LP-002-2018</t>
  </si>
  <si>
    <t>EDU-359-2021</t>
  </si>
  <si>
    <t>SI-C-1251 DEL 11 DE AGOSTO DE 2020</t>
  </si>
  <si>
    <t>FDLUSA-CTO-327-2023</t>
  </si>
  <si>
    <t>340-FIP-2017</t>
  </si>
  <si>
    <t>SG-LP-OP-003- 2022</t>
  </si>
  <si>
    <t>CONSTRUCCIÓN DE PAVIMENTO RÍGIDO DE LAS VÍAS URBANAS DE LA CALLE 14 ENTRE CARRERAS 8 Y 10, CALLE 15 ENTRE CARRERAS 8 Y 10, CALLE 16 ENTRE LAS CARRERAS 7A Y 9 EN EL MUNICIPIO DE SANTA LUCÍA DEPARTAMENTO DEL ATLÁNTICO</t>
  </si>
  <si>
    <t>CONSTRUCCIÓN DE VÍAS URBANAS, CONSTRUCCIÓN DE CANALES Y/O BOXCULVERT EN CONCRETO REFORZADO, PARA EL PROGRAMA BARRIOS A LA OBRA ETAPA VII, MÓDULOS I, II, III, IV, V, VI, VII, VIII, IX, X, XI Y XII EN LAS LOCALIDADES SUR ORIENTE, NORTE CENTRO HISTÓRICO, RIOMAR, SUR OCCIDENTE Y METROPOLITANA DEL DISTRITO DE BARRANQUILLA. (MÓDULO IV)</t>
  </si>
  <si>
    <t>REHABILITACIÓN DE LAS VÍAS QUE COMUNICA, EL CORREGIMIENTO DE PUNTA CANOA Y LA VEREDA MANZANILLO DEL MAR CON LA INTERCEPCIÓN-RUTA NACIONAL 90a TRANSVERSAL CARIBE EN EL DEPARTAMENTO DE BOLIVAR</t>
  </si>
  <si>
    <t>CONTRATAR POR EL SISTEMA DE PRECIOS UNITARIOS FIJOS Y A MONTO AGOTABLE LA INTERVENCIÓN DE LA MALLA VIAL LOCAL E INTERMEDIA Y ESPACIO PÚBLICO DE LA LOCALIDAD DE USAQUÉN EN BOGOTÁ CON OBRAS Y ACTIVIDADES DE CONSERVACIÓN</t>
  </si>
  <si>
    <t>CONSTRUCCION DE PAVIMENTO RIGIDOEN VIAS URBANAS UBICADAS EN LOS BARRIOS GUAYABAL, PRIMAVERA, ESPAÑA Y PIÑIQUE, MUNICIPIO DE BARANOA DEPARTAMENTO DEL ATLANTICO</t>
  </si>
  <si>
    <t>CONSTRUCCION DE VIAS URBANAS DE PAVIMENTO RIGIDO EN DIFERENTES SECTORES DEL MUNICIPIO DE SABANAGRANDE DEPARTAMENTO DEL ATLANTICO</t>
  </si>
  <si>
    <t>MUNICIPIO DE SANTA LUCIA, DEPARTAMENTO DEL ATLANTICO</t>
  </si>
  <si>
    <t>EMPRESA DE DESARROLLO URBANO DE BARRANQUILLA Y LA REGION CARIBE S.A -EDUBAR S.A</t>
  </si>
  <si>
    <t>DEPARTAMENTO DE BOLIVAR</t>
  </si>
  <si>
    <t>FONDO DE DESARROLLO LOCAL DE USAQUEN</t>
  </si>
  <si>
    <t>MUNICIPIO DE BARANOA</t>
  </si>
  <si>
    <t>MUNICIPIO DE SABANAGRANDE</t>
  </si>
  <si>
    <t>CONSORCIO BARRIOS A LA OBRA 2021</t>
  </si>
  <si>
    <t>CONSORCIO M.I. CARIBE</t>
  </si>
  <si>
    <t>CONSORCIO VIAS PRO</t>
  </si>
  <si>
    <t>EDUARDO ENRIQUE CABALLERO AVILA</t>
  </si>
  <si>
    <t>CONSORCIO PROVIAS SG</t>
  </si>
  <si>
    <t>971 de 2010</t>
  </si>
  <si>
    <t>850-2019</t>
  </si>
  <si>
    <t>COP-014-
2015</t>
  </si>
  <si>
    <t>527-2018</t>
  </si>
  <si>
    <t>2011-02-
0871</t>
  </si>
  <si>
    <t>TRABAJOS DE ADECUACION A
LOS REQUERIMIENTOS DEL
SISTEMA ESTRATEGICO DE
TRANSPORTE PUBLICO
COLECTIVO , "SEPTC", DE
VALLEDUPAR EN LA CALLE 44,
EN EL TRAMO COMPRENDIDO
ENTRE LA GLORIETA DEL
TERMINAL Y LA GLORIETA DEL
OBELISCO EN EL MUNICIPIO DE
VALLEDUPAR, DEPARTAMENTO
DEL CESAR, PRIMERA FASE:
CALZADA ALLE 44 Y
BOCACALLES, BORDILLOS,
COLECTOR N° 8 Y SUS
CONEXIONES.</t>
  </si>
  <si>
    <t>MEJORAMIENTO Y
MANTENIMIENTO DE VIAS EN
LOS BARRIOS LA CEIBA, PUEBLO
NUEVO Y LA CASTELLANA EN EL
MUNICIPIO DE MONTERIA
DEPARTAMENTO DE CORDOBA</t>
  </si>
  <si>
    <t>Construcción de Pavimento
hidráulico y Reposición de redes de
acueducto y alcantarillado en la
carrera 9 entre calles 9 y 11 y calle
16 entre diagonal 23 y carrera 13A
de la Zona urbana de Ayapel,
Córdoba</t>
  </si>
  <si>
    <t>PAVIMENTACIÓN EN
CONCRETO HIDRAULICO DE LAS
VÍAS CALLE 30C ENTRE
CARRERA 1W Y 9W; CRRA 8A
ENTRE CALLES 16 Y 21 DE LA
CIUDAD DE MONTERÍA
DEPARTAMENTO DE CORDOBA.”</t>
  </si>
  <si>
    <t>CONSTRUCCION DE
PAVIMENTOS EN CONCRETO
RIGIDO Y OBRAS DE URBANISMO
COMPLEMENTARIAS, EN LOS
MUNICIPIO DE AGUSTIN
CODAZZI, ASTREA Y LA JAGUA
DE IBIRICO (INCLUYE ESTUDIOS
Y DISEÑOS EN EL MUNICIPIO DE
LA JAGUA DE IBIRICO), EN EL
DEPARTAMENTO DEL CESAR</t>
  </si>
  <si>
    <t xml:space="preserve"> 1/09/2010</t>
  </si>
  <si>
    <t>GOBERNACION DEL CESAR</t>
  </si>
  <si>
    <t>MIUNICIPIO DE MONTERÍA</t>
  </si>
  <si>
    <t>MUNICPIO DE
AYAPEL</t>
  </si>
  <si>
    <t>MUNICIPIO DE MONTERÍA</t>
  </si>
  <si>
    <t>GOBERNACION
DEL CESAR</t>
  </si>
  <si>
    <t>EDUARDO JOSE CAYON MARQUEZ - CONSORCIO VIAS VALLEDUPAR</t>
  </si>
  <si>
    <t>CONSORCIO VIAL CPS, REPRESENTADO POR MIGUEL EMILIO VILLAMIL ARIAS</t>
  </si>
  <si>
    <t>CONSORCIO DESARROLLO VIAL - ELKIN ENRIQUE ESTRADA CORONADO</t>
  </si>
  <si>
    <t>CONSORCIO MINUTO DE DIOS</t>
  </si>
  <si>
    <t>EDUARDO JOSE CAYON MARQUEZ - CONSORCIO PROYECTOS VIALES</t>
  </si>
  <si>
    <t>1707 de 2014</t>
  </si>
  <si>
    <t>1718 DE 2014</t>
  </si>
  <si>
    <t>22000009</t>
  </si>
  <si>
    <t>“OBRAS Y ACTIVIDADES PARA
LA CONSERVACIÓN DE LA
MALLA VIAL ARTERIAL TRONCAL
Y MALLA VIAL INTERMEDIA QUE
SOPORTA LAS RUTAS DEL
SISTEMA INTEGRADO DE
TRANSPORTE –SITP- GRUPO 6
EN LA CIUDAD DE BOGOTÁ D.C.”</t>
  </si>
  <si>
    <t>"ACTIVIDADES PARA LA
CONSERVACIÓN DE LA MALLA
VIAL INTERNA QUE SOPORTA
LAS RUTAS DEL SISTEMA
INTEGRADO DE TRANSPORTE
SITP EN LA CIUDAD DE BOGOTÁ
GRUPO 7"</t>
  </si>
  <si>
    <t>Servicio de rehabilitación de
pavimentos
rígidos, flexibles y de
reconstrucción de
cárcamos en el área concesionada</t>
  </si>
  <si>
    <t>OPAIN S.A</t>
  </si>
  <si>
    <t>UNION TEMPORAL VIC G&amp;C</t>
  </si>
  <si>
    <t>DROMOS PAVIMENTOS S.A.</t>
  </si>
  <si>
    <t>DROMOS PAVIMENTOS S.A.S</t>
  </si>
  <si>
    <t>230 de 2018</t>
  </si>
  <si>
    <t>140 de 2018</t>
  </si>
  <si>
    <t>351-FDLU-201</t>
  </si>
  <si>
    <t>CONTRATAR BAJO LA MODALIDAD DE PRECIOS UNITARIOS
FIJOS, Y A MONTO AGOTABLE, LAS OBRAS Y ACTIVIDADES
PARA LA CONSERVACIÓN DE LA MALLA VIAL DE LA
LOCALIDAD DE ENGATIVÁ Y SU ESPACIO PÚBLICO
ASOCIADO.</t>
  </si>
  <si>
    <t>“EJECUTAR A PRECIOS UNITARIOS Y A MONTO AGOTABLE,
LAS OBRAS Y ACTIVIDADES NECESARIAS PARA LA
CONSERVACIÓN DE LA MALLA VIAL LOCAL E INTERMEDIA Y
ESPACIO PUBLICO DE LA LOCALIDAD DE TEUSAQUILLO, EN
LA CIUDAD DE BOGOTÁ D.C.</t>
  </si>
  <si>
    <t>CONTRATAR BAJO LA MODALIDAD DE PRECIOS UNITARIOS
FIJOS, Y A MONTO AGOTABLE LAS OBRAS Y ACTIVIDADES
PARA LA CONSERVACIÓN DE LAS VÍAS URBANAS DE LA
LOCALIDAD DE USME Y SU ESPACIO PUBLICO ASOCIADO</t>
  </si>
  <si>
    <t>FONDO DE DESARROLLO LOCAL DE ENGATIVA</t>
  </si>
  <si>
    <t>FONDO DE DESARROLLO LOCAL DE TEUSAQUEILLO</t>
  </si>
  <si>
    <t>FONDO DE DESARROLLO
LOCAL DE USME</t>
  </si>
  <si>
    <t>CONSORCIO MI 230</t>
  </si>
  <si>
    <t>CONSORCIO VIAL BOGOTA</t>
  </si>
  <si>
    <t>CONSORCIO CONSTRUCCIONES USME</t>
  </si>
  <si>
    <t>237-2004</t>
  </si>
  <si>
    <t>120-2012</t>
  </si>
  <si>
    <t>113-2004</t>
  </si>
  <si>
    <t>393-2000</t>
  </si>
  <si>
    <t>CONSTRUCCIÓN, REHABILITACION Y CONSERVACIÓN DE VIAS DE RUTAS ALIMENTARDORAS DEL SISTEMA TRANSMILENIO ZONA 4 GRUPO 1 EN LA LOCALIDAD DE KENNEDY EN BOGOTA D.C.</t>
  </si>
  <si>
    <t>CONSTRUCCIÍN DEL TRAMO I DE LA TRANSVERSAL DEL BOSQUE Y SUS OBRAS COMPLEMENTARIAS</t>
  </si>
  <si>
    <t>CONSTRUCCIÓN, REHABILITACIÓN Y CONSERVACIÓN DE ACCESOS A BARRIOS Y PAVIMENTOS LOCALES, PROGRAMA DE MEJORAMIENTO INTEGRAL DE BARRIOS DE LAS LOCALIDADES RAFAEL URIBE, SAN CRISTOBAL Y SANTAFE, GRUPO 11</t>
  </si>
  <si>
    <t>REALIZAR EL ESTUDIO Y EL DISEÑO POR EL SISTEMA DE PRECIO GLOBAL FIJO Y LA CONSTRUCCIÓN A PRECIOS UNITARIOS FIJOS SIN  REAJUSTE DE PAVIMENTOS LOCALES Y ACCESOS A BARRIOS EN LA LOCALIDAD DE BOSA EN SANTAFE DE BOGOTÁ</t>
  </si>
  <si>
    <t>INSTITUTO DE DESARROLLO URBANO IDU</t>
  </si>
  <si>
    <t>AREA METROPOLITANA DE BUCARAMANGA</t>
  </si>
  <si>
    <t xml:space="preserve"> BERNARDO ANCIZAR OSSA LOPEZ</t>
  </si>
  <si>
    <t>UNION TEMPORAL BOL</t>
  </si>
  <si>
    <t>UNION TEMPORAL PAVIMENTOS LOCALES BOSA 2.000</t>
  </si>
  <si>
    <t>262-2010</t>
  </si>
  <si>
    <t>600-2012</t>
  </si>
  <si>
    <t>011-2016</t>
  </si>
  <si>
    <t>218-2017</t>
  </si>
  <si>
    <t>OBRAS DE REHABILITACION DE LA VIA COMPRENDIDA ENTRE LA CARRERA 17 CON CALLE 15 Y LA ESCUELA MANCILLA DEL MUNICIPIO DE FACATATIVA</t>
  </si>
  <si>
    <t>"RECONSTRUCCIÓN Y REHABILITACIÓN DE (I) INFRAESTRUCTURA VIAL VEREDA PARCELAS, ENTRADA PORKY´S - INTERSECCIÓN VÍA DE PENETRACIÓN LAMINADOS ANDINOS, (II) INFRAESTRUCTURA VIAL VEREDA PARCELAS, ENTRADA COLEGIO REFUS - INTERSECCIÓN VÍA DE PENETRACIÓN EURO LÁCTEOS (III) INFRAESTRUCTURA VÍA DE PIE DE MONTE ENTRE INTERSECCIÓN CAMELLÓN GALILEA (VÍA PTAP LA MOYA) E INTERSECCIÓN VÍA CUEVA DE LOS ZORROS, MUNICIPIO DE COTA."</t>
  </si>
  <si>
    <t>CONSTRUCCION Y REHABILITACION DEL SISTEMA VIAL DE LA CARRETERA 6B CALLE 13 Y AVENIDA EL LIBERTADOR DEL MUNICIPIO DE COTA, CUNDINAMARCA</t>
  </si>
  <si>
    <t>REHABILITACION DE LA MALLA VIAL URBANA –
FASE I DEL MUNICIPIO DE EL COLEGIO 
DEPARTAMENTO DE CUNDINAMARCA</t>
  </si>
  <si>
    <t>ALCALDIA DE FACATATIVA</t>
  </si>
  <si>
    <t>ALCALDIA MUNICIPAL DE COTA</t>
  </si>
  <si>
    <t>ALCALDIA MUNICIPAL DE EL COLEGIO</t>
  </si>
  <si>
    <t>CONSORCIO IGV KHB</t>
  </si>
  <si>
    <t>CONSORCIO RYR</t>
  </si>
  <si>
    <t>CONSORCIO VIAL 2017</t>
  </si>
  <si>
    <t>ARCO CONSTRUCTORES S.A.S.</t>
  </si>
  <si>
    <t>PM-BM-25-PBI042 del 2010</t>
  </si>
  <si>
    <t>"CONSTRUCCIÓN VÍAS Y ESPACIO PÚBLICO DE ACCESO AL POZO EXPLORATORIO DISA 1, QUE INICIA EN EL COSTADO DERECHO DEL PUENTE SOBRE EL CAÑO GUANA PALO HASTA LLEGAR A LAS VÍAS QUE COMUNICAN LAS PLATAFORMAS DE LA ZONA NORTE CON LAS PLATAFORMAS MULTIPOSO DISA Y CONTINÚA CON EL ÚLTIMO TRAMO DE 7930 M DE ACCESO A LA UBICACIÓN YA LA ZONA DE PARQUEADERO."</t>
  </si>
  <si>
    <t>PETROMINERALES COLOMBIA LTD</t>
  </si>
  <si>
    <t>OCCIDENTAL DE COLOMBIA SAS( antes ALVAREZ JALK LIMITADA)</t>
  </si>
  <si>
    <t xml:space="preserve">Se evidencia que el certificado de facturación expedido para acreditar la del contrato PM-BM-25-PBI042 del 2010 que fue suscrito entre particulares, No es allegado con “la copia de la tarjeta profesional y certificado de antecedentes disciplinarios vigente, expedido por la Junta Central de Contadores” del revisor Fiscal HAROLD EDGARDO OJEDA NARVAEZ quien firma y emite este documento. Lo anterior, en cumplimiento de lo establecido en el literal A del numeral 3.5.6. del pliego de condiciones definitivo. </t>
  </si>
  <si>
    <t>IDU 004 DE 2002</t>
  </si>
  <si>
    <t>SIVV-SSM-01-97</t>
  </si>
  <si>
    <t>057-95</t>
  </si>
  <si>
    <t>ESTUDIOS, DISEÑOS Y CONSTRUCCION DE ACCESOS A BARRIOS Y PAVIMENTOS LOCALES EN LA LOCALIDAD DE KENNEDY</t>
  </si>
  <si>
    <t>CONSTRUCCION DEL TRAMO DE LA AVENIDA CIUDAD DE CALI - UBICADO EN LA CALLE 73 ENTRE LA CARRERA 8 Y LE PUENTE DE LA CARRERA 28</t>
  </si>
  <si>
    <t>AMPLIACION, RECTIFICACION Y PAVIMENTACION DE LA CARRETERA SAN RAFAEL SAN CARLOS</t>
  </si>
  <si>
    <t>SECRETARIA DE INFRAESTRUCTURA VIAL Y VALORIZACION ALCALDIA SANTIAGO DE CALI</t>
  </si>
  <si>
    <t>DEPARTAMENTO ADMINISTRATIVO DE VALORIZACION DE ANTIOQUIA</t>
  </si>
  <si>
    <t>CREINCO LTDA-UNION TEMPORAL MARIA PAZ</t>
  </si>
  <si>
    <t>PAVICOL LTDA-UNION TEMPORAL PAVICOL
LTDA-CONSTRUCCIONES AP LTDA</t>
  </si>
  <si>
    <t>PAVICOL</t>
  </si>
  <si>
    <t>INCITECO SAS</t>
  </si>
  <si>
    <t>243 DE
2018</t>
  </si>
  <si>
    <t>2125 DE
2021</t>
  </si>
  <si>
    <t>235 DE
2019</t>
  </si>
  <si>
    <t>576 DE
2019</t>
  </si>
  <si>
    <t>110-
2016</t>
  </si>
  <si>
    <t>REALIZAR LAS OBRAS DE CONSERVACIÓN DE LA MALLA
VIAL EN LA LOCALIDAD DE USAQUÉN Y SU ESPACIO
PÚBLICO EN BOGOTÁ D.C, A TRAVÉS DEL SISTEMA DE
PRECIOS UNITARIOS FIJOS Y A MONTO AGOTABLE</t>
  </si>
  <si>
    <t>GESTIÓN Y MANTENIMIENTO VIAL INTEGRAL DEL ÁREA
METROPOLITANA DE CÚCUTA: SARDINATA - CÚCUTA,
TRAMO 7009, CÚCUTA - PUENTE INTERNACIONAL SIMÓN
BOLÍVAR, TRAMO 7010, VÍA AV 10 DE LOS PATIOS, RUTA
5505, PR 131+500 - PR 140, ANILLO VIAL OCCIDENTAL DE
CÚCUTA, RUTA 5505B, VÍA CÚCUTA - PUERTO SANTANDER,
DEL PR0+000 AL PR2+000 (conector de los dos anillos viales),
RUTA 5507 Y ANILLO VIAL ORIENTAL CÚCUTA, RUTA 55NSA
EN EL DEPARTAMENTO DE NORTE DE SANTANDER</t>
  </si>
  <si>
    <t>CONSERVACION DE LA MALLA VIAL LOCAL, INTERMEDIA Y
ESPACIO PUBLICO ASOSCIADO DE LA LOCALIDAD DE SAN
CRISTOBAL EN LA CIUDAD DE BOGOTÁ DC</t>
  </si>
  <si>
    <t>CONSTRUCCIÓN DE VÍAS Y ANDENES FASE I-2019, EN EL
MUNICIPIO DE FUNZA, DEPARTAMENTO DE
CUNDINAMARCA, EN CUMPLIMIENTO AL PLAN DE
DESARROLLO DE FRENTE CON LA GENTE JUNTOS
AVANZAMOS 2016-2019</t>
  </si>
  <si>
    <t>CONTRATAR A PRECIOS UNITARIOS FIJOS, SIN FORMULA
DE REAJUSTE, EL DIAGNOSTICO, MANTENIMIENTO Y
REHABILITACIÓN DE LA INFRAESTRUCTURA VIAL LOCAL Y
ESPACIO PUBLICO DE LA LOCALIDAD DE CHAPINERO EN
BOGOTÁ D.C.</t>
  </si>
  <si>
    <t>FONDO DE
DESARROLLO
LOCAL DE
USAQUÉN</t>
  </si>
  <si>
    <t>INSTITUTO
NACIONAL DE
VÍAS - INVIAS</t>
  </si>
  <si>
    <t>ALCALDIA
LOCAL DE
SAN
CRISTOBAL</t>
  </si>
  <si>
    <t>ALCALDIA
MUNCIPIO DE
FUNZA</t>
  </si>
  <si>
    <t>FONDO DE
DESARROLLO
LOCAL DE
CHAPINERO</t>
  </si>
  <si>
    <t>INCITECO S A S</t>
  </si>
  <si>
    <t>CONSORCIO JP INVIASN 040</t>
  </si>
  <si>
    <t>CONSORCIO VIAL HI</t>
  </si>
  <si>
    <t>CONSORCIO VIAFUNZA IP</t>
  </si>
  <si>
    <t xml:space="preserve">El oferente debe incluir en el formato 3 el número de consecutivo del RUP del contrato 576 DE 2019. Asimismo, se solicita realizar la corrección del consecutivo del RUP del contrato 110- 2016 que se relaciona en el formato 3, ya que este no corresponde. </t>
  </si>
  <si>
    <t xml:space="preserve"> IDU
1811
2021</t>
  </si>
  <si>
    <t xml:space="preserve"> 136
2017</t>
  </si>
  <si>
    <t xml:space="preserve"> “CONSTRUCCIÓN DE LA 
CARRERA 14 ENTRE CALLES 80 
Y 84 BIS, CALLE 82 ENTRE 
CARRERAS 13 Y 15 Y CALLE 84 
BIS ENTRE CARRERA 13 Y 15 Y 
OBRAS COMPLEMENTARIAS DE 
LA RED PEATONAL ZONA ROSA 
EN BOGOTÁ D.C”.</t>
  </si>
  <si>
    <t xml:space="preserve"> “REALIZAR LAS OBRAS DE 
CONSERVACION DE LA MALLA 
VIAL EN LA LOCALIDAD DE 
USAQUÉN  Y  SU  ESPACIO  
PÚBLICO,  EN  BOGOTÁ,  D.C.  A 
TRAVÈS  DEL  SISTEMA  DE 
PRECIOS UNITARIOS FIJOS, SIN 
FORMULA DE AJUSTE Y A 
MONTO AGOTABLE”.</t>
  </si>
  <si>
    <t xml:space="preserve"> 26/02/2018</t>
  </si>
  <si>
    <t xml:space="preserve"> 31/05/2023</t>
  </si>
  <si>
    <t xml:space="preserve"> 25/02/2019</t>
  </si>
  <si>
    <t xml:space="preserve"> INSTITUTO DE
 DESARROLLO
 URBANO - IDU</t>
  </si>
  <si>
    <t xml:space="preserve"> FONDO DE 
DESARROLLO 
LOCAL DE 
USAQUÉN</t>
  </si>
  <si>
    <t xml:space="preserve"> PA COLOMBIA 
SAS</t>
  </si>
  <si>
    <t xml:space="preserve"> CONSORCIO USAQUEN JP 2017
SAS</t>
  </si>
  <si>
    <t>132 DE 2013</t>
  </si>
  <si>
    <t>1806-2015</t>
  </si>
  <si>
    <t>193-2018</t>
  </si>
  <si>
    <t>244-2017</t>
  </si>
  <si>
    <t>LPN-01 - 2016</t>
  </si>
  <si>
    <t>1431-2021</t>
  </si>
  <si>
    <t>CONTRATAR BAJO LA MODALIDAD DE PRECIOS UNITARIOS FIJOS, NO REAJUSTABLES, Y A MONTO AGOTABLE, EL</t>
  </si>
  <si>
    <t>BRIGADA DE REACCION VIAL PARA EJECUTAR A MONTO AGOTABLE LAS ACTIVIDADES DE MANTENIMIENTO Y CONSERVACION - FASE 1, EN BOGOTA D.C</t>
  </si>
  <si>
    <t>REALIZAR LAS OBRAS DE CONSERVACION DE LA MALLA VIAL EN LA LOCALIDAD DE USAQUEN Y SU ESPACIO PUBLICO, EN BOGOTÁ, D.C A TRAVÉS DEL SISTEMA DE PRECIOS UNITARIOS FIJOS Y A MONTO AGOTABLE}</t>
  </si>
  <si>
    <t>CONSTRATAR BAJO LA MODALIDAD DE PRECIOS UNITARIOS FIJOS Y A MONTO AGOTABLE, LAS OBRAS Y ACTIVIDADES PARA LA CONSERVACION DE LA MALLA VIAL DE LA LOCALIDAD DE ENGATIVA Y SU ESACIO PUBLICO ASOCIADO</t>
  </si>
  <si>
    <t>CONSTRUCCIÓN DE LAS OBRAS CIVILES, ARQUITECTÓNICAS, HIDRÁULICAS Y TODAS
AQUELLAS ACTIVIDADES NECESARIAS PARA LA RECONSTRUCCIÓN Y ADECUACIÓN DE LAS INTERVENCIONES DE LAS VÍAS CURINCA (CALLE 53 TRONCAL DEL CARIBE -
CARRERA 31 TRONCAL DEL CARIBE), Y LÍBANO 2000 (CARRERA 31 TRONCAL DEL CARIBE • CALLE 408 AVENIDA DEL LIBERTADOR SECTOR LÍBANO). PARA EL SISTEMA ESTRATÉGICO DE TRANSPORTE PÚBLICO DE LA CIUDAD DE SANTA MARTA- S.E.T.P"</t>
  </si>
  <si>
    <t>REHABILITACION Y MANTENIMIENTO DE LA CARRETERA SAN JOSE DEL GUAVIARE - YE DE GRANADA RUTAS 6507 Y 6508, DEPARTAMENTO DEL META</t>
  </si>
  <si>
    <t>FONDO DE DESARROLLO LOCAL DE SAN CRISTOBAL</t>
  </si>
  <si>
    <t>SEPT SANTA MARTA</t>
  </si>
  <si>
    <t>BALLEN B Y CIA SAS - CONSORCIO VÍAS LOCALES SAN CRISTOVAL GRUPO</t>
  </si>
  <si>
    <t>BALLEN B Y CIA SAS - CONSORCIO VÍAS IDU 2015</t>
  </si>
  <si>
    <t>BALLEN B Y CIA SAS - CONSORCIO MALLA VIAL USQUEN</t>
  </si>
  <si>
    <t>BALLEN B Y CIA SAS - CONSORCIO AB ENGATIVÁ</t>
  </si>
  <si>
    <t>CONSORCIO PI-HI INGENIEROS 2016</t>
  </si>
  <si>
    <t>PICO CONSTRUCCIONES SAS</t>
  </si>
  <si>
    <t>283-2015</t>
  </si>
  <si>
    <t>948-2019</t>
  </si>
  <si>
    <t xml:space="preserve"> 136-2022</t>
  </si>
  <si>
    <t xml:space="preserve"> FDLUSA
COP- 292
2021 292
2021</t>
  </si>
  <si>
    <t>ESTUDIO, DISEÑOY CONSTRUCCION DE
 LOS PAVIMENTOS RIGIDOS EN LAS
 CALLESDELOSBARRIOS6DEMARZO,
 URBINA Y EL DORADO, MUNICIPIO DE
 MONTERIA</t>
  </si>
  <si>
    <t>CONSTRUCCIÓN DE PAVIMENTO
 HIDRÁULICO EN LOS BARRIOS LOS
 CEDROS,BUENAVISTA,COLON,ELEDÉNII
 Y LA FLORESTA EN EL MUNICIPIODE
 MONTERIA</t>
  </si>
  <si>
    <t>CONTRATAR POR EL SISTEMA DE PRECIOS 
UNITARIOS FIJOS SIN FORMULA DE
 REAJUSTE Y A MONTO AGOTABLE LA
 INTERVENCIÓNDELAMALLAVIALLOCAL
 E INTERMEDIA DE LA LOCALIDAD DE
 USAQUÉN EN BOGOTÁ CON OBRAS Y
 ACTIVIDADES DE CONSERVACION</t>
  </si>
  <si>
    <t xml:space="preserve"> 14/07/2015</t>
  </si>
  <si>
    <t xml:space="preserve"> 5/05/2020</t>
  </si>
  <si>
    <t xml:space="preserve"> 28/09/2022 </t>
  </si>
  <si>
    <t xml:space="preserve"> 3/05/2016</t>
  </si>
  <si>
    <t xml:space="preserve"> 14/04/2022</t>
  </si>
  <si>
    <t>MUNICIPIO DE 
MONTERIA</t>
  </si>
  <si>
    <t>MUNICIPIO DE 
CERETE</t>
  </si>
  <si>
    <t>FONDO DE 
DESARROLLO 
LOCAL DE 
USAQUEN</t>
  </si>
  <si>
    <t>CONSORCIO CONSTRUVIAS 2015</t>
  </si>
  <si>
    <t>CONSORCIO EYR 051</t>
  </si>
  <si>
    <t>CONSORCIO 2R VIAL</t>
  </si>
  <si>
    <t xml:space="preserve"> 61 - 40</t>
  </si>
  <si>
    <t xml:space="preserve"> 435 de 2006</t>
  </si>
  <si>
    <t>SP310-03-02-10 de 
2013</t>
  </si>
  <si>
    <t>ICCU 431 - 2015</t>
  </si>
  <si>
    <t>631-2019</t>
  </si>
  <si>
    <t>MEJORAMIENTO Y PAVIMENTACIÓN DELA VÍA LA UVITA - SAN MATEO PR9 AL PR19+300 DEPARTAMENTO DE BOYACÁ</t>
  </si>
  <si>
    <t>MEJORAMIENTO Y REHABILITACIÓN DEL PROYECTO BRICEÑO- TUNUNGUA K01+000 A K04+500 DEL DEPARTAMENTO DE BOYACÁ</t>
  </si>
  <si>
    <t xml:space="preserve"> CONTRATAR MEDIANTE EL SISTEMA DE PRECIOS UNITARIOS Y SIN FORMU LA DE REAJUSTE EL: MEJORAMI ENTO Y PAVIM ENTACI 
ÓN DE LA TRONCAL DEL CARBÓN SECTOR KO+OOO AL K2+860 (KO+OOO LOCALI ZADO EN TI ERRA NEGRA, MUNI CIPIO DE 
TAUSA) DEPARTAMENTO DE CUNDINAMARCA</t>
  </si>
  <si>
    <t>CONSTRUCCIÓN Y/O REHABILITACIÓN DE LA MALLA VIAL URBANA, SECTOR CARRERA 22 ENTRE CALLES 18 Y CAÑO VANEGUERO 
DEL MUNICIPIO DE ARAUCA, DEPARTAMENTO DE ARAUCA</t>
  </si>
  <si>
    <t xml:space="preserve"> 10/01/2007</t>
  </si>
  <si>
    <t xml:space="preserve"> 15/10/2013</t>
  </si>
  <si>
    <t xml:space="preserve"> 11/04/2016</t>
  </si>
  <si>
    <t xml:space="preserve"> 11/12/2019</t>
  </si>
  <si>
    <t xml:space="preserve"> 22/01/2010</t>
  </si>
  <si>
    <t xml:space="preserve"> 10/06/2014</t>
  </si>
  <si>
    <t xml:space="preserve"> 15/04/2017</t>
  </si>
  <si>
    <t xml:space="preserve"> 19/05/2021</t>
  </si>
  <si>
    <t>GOBERNACIÓN DE 
BOYACÁ</t>
  </si>
  <si>
    <t xml:space="preserve"> MUNICIPIO DE 
TUNUNGUA - 
DEPARTAMENTO DE 
BOYACA</t>
  </si>
  <si>
    <t>INSTITUTO DE IN 
FRAESTRUCTURA Y 
CONCESIONES DE
 CUN DINAMARCA- ICC U</t>
  </si>
  <si>
    <t xml:space="preserve"> MUNICIPIO DE ARAUCA</t>
  </si>
  <si>
    <t>CONSORCIO BOYACA 2007</t>
  </si>
  <si>
    <t>CONSORCIO VIAL 2013</t>
  </si>
  <si>
    <t xml:space="preserve"> CONSORCIO VIAS TIERRA NEGRA</t>
  </si>
  <si>
    <t>CONSORCIO VIAS ARAUCA 2019</t>
  </si>
  <si>
    <t>1 - ALFREDO ORTEGÓN PULIDO  / 2 - CARLOS ALFONSO MORENO MUÑOZ</t>
  </si>
  <si>
    <t>16  - CARLOS ALFONSO MORENO MUÑOZ / 1 -  CONSTRUCTORA ZURIA S.A.S.</t>
  </si>
  <si>
    <t>30 - ALFREDO ORTEGÓN PULIDO  / 42 - CARLOS ALFONSO MORENO MUÑOZ</t>
  </si>
  <si>
    <t>36 - ALFREDO ORTEGÓN PULIDO  / 20 - CARLOS ALFONSO MORENO MUÑOZ</t>
  </si>
  <si>
    <t>en contrato identificado con el numero de RUP No. 2, corresponde a un contrato con la alcaldia de magdalena, una vez revisado el RUP se encontro con el Contrato No. 9, correspondiente al contrato realizado con el municipio de el Reten.</t>
  </si>
  <si>
    <t>SUBSANAR: los documentos correspondientes a tarjeta profesional y certificado junta de contadores, del revisor fiscal HAROLD EDGARDO OJEDA NARVÁEZ y del contador JOAN SEBASTIAN SAJONERO PEREZ</t>
  </si>
  <si>
    <t xml:space="preserve">SUBSANAR: El oferente debe incluir en el formato 5 (CONTRATOS EN EJECUCIÓN) del integrante BELZCON SAS, la fecha de inicio y de suspensión del contrato No. 4152.010.26.1.002.2023 suscrito con SANTIAGO DE CALI DISTRITO ESPECIAL – SECRETARIA DE MOVILIDAD, ya que sin este dato no se puede realizar el calculo de capacidad residual del oferente. </t>
  </si>
  <si>
    <t>SUBSANAR: CONTRATO IDENTIFICADO EN EL RUP CON EL NO. 17, EN EL RUP SE IDENTIFICA QUE EL CONTRATISTA FUE LA EMPRESA CASTOR CONSTRUCCIONES SAS Y EN LA DOCUMENTACIÓN ALLEGADA POR EL OFERENTE, NO ES POSIBLE ESTABLECER CUAL ES LA RELACION DE ESTA EMPRESA CON EL PROPONENTE KAP COSTRUCCIONES S.A.S. POR LO ANTERIOR NO ES POSIBLE ACEPTAR LA EXPERIENCIA ESPECIFICA QUE SE APORTA CON EL CONTRATO.
CONTRATO IDENTIFICADO EN EL RUP CON EL NO. 68: EN LA DOCUMENTACIÓN ALLEGADA POR EL OFERENTE NO ES POSIBLE ESTABLECER QUE LA VIA QUE FUE INTERVENIDA EN EL CONTRATO SEA: VÍAS URBANAS O DE VÍAS PRIMARIAS O SECUNDARIAS, DE ACUERDO CON EL PLIEGO DE CONDICIONES.</t>
  </si>
  <si>
    <r>
      <t xml:space="preserve">el integrante del proponente: miguel emilio no cumple con el 5% minimo, de acuerdo con el pliego de condiciones: </t>
    </r>
    <r>
      <rPr>
        <i/>
        <sz val="11"/>
        <color rgb="FFFF0000"/>
        <rFont val="Calibri"/>
        <family val="2"/>
        <scheme val="minor"/>
      </rPr>
      <t>Tratándose de Proponentes Plurales se tendrá en cuenta lo siguiente: i) uno de los integrantes debe aportar como mínimo el cincuenta por ciento (50 %) de la experiencia solicitada;</t>
    </r>
    <r>
      <rPr>
        <b/>
        <i/>
        <sz val="11"/>
        <color rgb="FFFF0000"/>
        <rFont val="Calibri"/>
        <family val="2"/>
        <scheme val="minor"/>
      </rPr>
      <t xml:space="preserve"> ii) los demás integrantes deben acreditar al menos el cinco por ciento (5 %) de la experiencia solicitada; y</t>
    </r>
    <r>
      <rPr>
        <i/>
        <sz val="11"/>
        <color rgb="FFFF0000"/>
        <rFont val="Calibri"/>
        <family val="2"/>
        <scheme val="minor"/>
      </rPr>
      <t xml:space="preserve">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t>
    </r>
  </si>
  <si>
    <t xml:space="preserve">* ERROR EN FORMATO 9. </t>
  </si>
  <si>
    <t>Se evidencia que el certificado de facturación expedido para acreditar la del contrato PM-BM-25-PBI042 del 2010 que fue suscrito entre particulares, No es allegado con “la copia de la tarjeta profesional y certificado de antecedentes disciplinarios vigente, expedido por la Junta Central de Contadores” del revisor Fiscal HAROLD EDGARDO OJEDA NARVAEZ quien firma y emite este documento. Lo anterior, en cumplimiento de lo establecido en el literal A del numeral 3.5.6. del pliego de condiciones definitivo. 
SUBSANAR K RESIDUAL: SUBSANAR: los documentos correspondientes a tarjeta profesional y certificado junta de contadores, del revisor fiscal HAROLD EDGARDO OJEDA NARVÁEZ y del contador JOAN SEBASTIAN SAJONERO PEREZ</t>
  </si>
  <si>
    <t>SUBSANAR: NO FUE POSIBLE REALIZAR EL CALCULO DE LA CAPACIDAD RESIDUAL, YA QUE EN EL FORMATO 5 EL INTEGRANTE CONSTRUCTORA ZURIA SAS NO DILIGENCIA EL MONTO DE LOS CONTRATOS QUE TIENE EN EJECUCIÓN</t>
  </si>
  <si>
    <t>SUBSANAR K RESIDUAL: SUBSANAR: NO FUE POSIBLE REALIZAR EL CALCULO DE LA CAPACIDAD RESIDUAL, YA QUE EN EL FORMATO 5 EL INTEGRANTE CONSTRUCTORA ZURIA SAS NO DILIGENCIA EL MONTO DE LOS CONTRATOS QUE TIENE EN EJECUCIÓN</t>
  </si>
  <si>
    <t>MEJORAMIENTO DE VIAS MEDIANTE LA CONSTRUCCION DE PAVIMENTO RIGIDO EN DIFERENTES SECTORES DE LA ZONA  URBANA DE CERETE – CORDOBA.</t>
  </si>
  <si>
    <t xml:space="preserve">CONSORCIO PAVIMENTO CERETE
</t>
  </si>
  <si>
    <t>150- 060</t>
  </si>
  <si>
    <t>NO SE EVIDENCIA EL FORMATO 7B_ MAQUINARIA
(5 PUNTOS)</t>
  </si>
  <si>
    <t xml:space="preserve">SUBSANAR K RESIDUAL: El oferente debe incluir en el formato 5 (CONTRATOS EN EJECUCIÓN) del integrante BELZCON SAS, la fecha de inicio y de suspensión del contrato No. 4152.010.26.1.002.2023 suscrito con SANTIAGO DE CALI DISTRITO ESPECIAL – SECRETARIA DE MOVILIDAD, ya que sin este dato no se puede realizar el calculo de capacidad residual del oferente. </t>
  </si>
  <si>
    <t>SUBSANAR: NO SE ENCONTRARON LOS ESTADOS FINANCIEROS DEL PROPONENTE PARA EL CALCULO DE CAPACIDAD RESIDUAL</t>
  </si>
  <si>
    <t>SUBSANAR: CONTRATO 2 - CERTIFICADO DE EXPERIENCIA SOLO FIRMADO POR INTERVENTOR, NO POR ENTIDAD.  NO SE EVIDENCIA LA FIRMA DE LA ENTIDAD CONTRATANTE, SUBSANAR REMITIR UN DOCUMENTO DONDE EL FONDO PUEDA OBSERVAR QUE EL CONTRATO FUE RECIBIDO A SATISFACCIÓN POR LA ENTIDAD CONTRATANTE Y NO SOLO POR LA INTERVENTORIA.
SUBSANAR K RESIDUAL: NO SE ENCONTRARON LOS ESTADOS FINANCIEROS DEL PROPONENTE PARA EL CALCULO DE CAPACIDAD RESIDUAL</t>
  </si>
  <si>
    <t>SUBSANAR: El INTEGRANTE JAIRO ANTONIO OSSA LOPEZ no adjuntó el certificado de capacidad técnica</t>
  </si>
  <si>
    <t>SUBSANAR K RESIDUAL: El INTEGRANTE JAIRO ANTONIO OSSA LOPEZ no adjuntó el certificado de capacidad técnica</t>
  </si>
  <si>
    <r>
      <t xml:space="preserve">SUBSANAR: CONTRATO IDENTIFICADO EN EL RUP CON EL NO. 36: NO SE EVIDENCIA EN LOS DOCUMENTOS ALLEGADOS POR EL PROPONENTE EL CUMPLIMIENTO DE LA EXPERIENCIA ESPECIFICA: </t>
    </r>
    <r>
      <rPr>
        <i/>
        <sz val="10"/>
        <color rgb="FFFF0000"/>
        <rFont val="Calibri"/>
        <family val="2"/>
        <scheme val="minor"/>
      </rPr>
      <t xml:space="preserve">Por lo menos uno (1) de los contratos válidos aportados como experiencia general donde haya realizado actividades de diagnóstico y/o estudios y diseños, para actividades de conservación de vías.
</t>
    </r>
    <r>
      <rPr>
        <sz val="10"/>
        <color rgb="FFFF0000"/>
        <rFont val="Calibri"/>
        <family val="2"/>
        <scheme val="minor"/>
      </rPr>
      <t>CONTRATO IDENTIFICADO EN EL RUP CON EL NO. 39: EN LOS DOCUMENTOS ALLEGADOS NO ES POSIBLE EVIDENCIAR SI LAS VIAS INTERVENIDAS EN EL CONTRATOS SON VÍAS URBANAS O DE VÍAS PRIMARIAS O SECUNDARIAS. TAMPOCO SE PUEDE EVIDENCIAR EL CUMPLIMIENTO DE LA EXPERIENCIA ESPECIFICA. TAMPOCO SE EANEXA LA DOCUMENTACIÓN DEL REVISOR FISCAL (TARJETA Y CERTIFICADO)
NO CUMPLE CON LA CAPACIDAD RESIDUAL</t>
    </r>
  </si>
  <si>
    <t xml:space="preserve">
*ERROR EN FORMATO 9</t>
  </si>
  <si>
    <t xml:space="preserve">SUBSANAR: PARA EL CONTRATO No. 3 con RUP no. 1, no se evidencia la participación del integrante ML CONSTRUCCIONES Y  SERVICIOS S.A.S ni su relación con las empresas ingenieria y vias sas o malamo infraestructura sas. las cuales se encuentran como contratistas en el contrato mencionado.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</si>
</sst>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164" formatCode="_-&quot;$&quot;* #,##0.00_-;\-&quot;$&quot;* #,##0.00_-;_-&quot;$&quot;* &quot;-&quot;??_-;_-@_-"/>
    <numFmt numFmtId="165" formatCode="_-[$$-240A]\ * #,##0.00_-;\-[$$-240A]\ * #,##0.00_-;_-[$$-240A]\ * &quot;-&quot;??_-;_-@_-"/>
    <numFmt numFmtId="166" formatCode="[$$-240A]#,##0.00;[Red]\([$$-240A]#,##0.00\)"/>
    <numFmt numFmtId="167" formatCode="#,##0;[Red]#,##0"/>
    <numFmt numFmtId="168" formatCode="_-&quot;$&quot;\ * #,##0.00_-;\-&quot;$&quot;\ * #,##0.00_-;_-&quot;$&quot;\ * &quot;-&quot;_-;_-@_-"/>
    <numFmt numFmtId="169" formatCode="0.00000"/>
    <numFmt numFmtId="170" formatCode="&quot;$&quot;\ #,##0"/>
    <numFmt numFmtId="171" formatCode="&quot;$&quot;#,##0"/>
    <numFmt numFmtId="172" formatCode="[$-240A]d&quot; de &quot;mmmm&quot; de &quot;yyyy;@"/>
    <numFmt numFmtId="173" formatCode="&quot;$&quot;#,##0.00"/>
    <numFmt numFmtId="174" formatCode="[$$-240A]\ #,##0.00000;[Red][$$-240A]\ #,##0.00000"/>
    <numFmt numFmtId="175" formatCode="0.0000000"/>
    <numFmt numFmtId="176" formatCode="_-&quot;$&quot;\ * #,##0.0000000_-;\-&quot;$&quot;\ * #,##0.0000000_-;_-&quot;$&quot;\ * &quot;-&quot;_-;_-@_-"/>
  </numFmts>
  <fonts count="47"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0"/>
      <name val="Arial"/>
      <family val="2"/>
    </font>
    <font>
      <b/>
      <sz val="11"/>
      <name val="Calibri"/>
      <family val="2"/>
      <scheme val="minor"/>
    </font>
    <font>
      <sz val="11"/>
      <color theme="1"/>
      <name val="Calibri"/>
      <family val="2"/>
    </font>
    <font>
      <b/>
      <sz val="10"/>
      <name val="Calibri"/>
      <family val="2"/>
      <scheme val="minor"/>
    </font>
    <font>
      <b/>
      <sz val="10"/>
      <color theme="1"/>
      <name val="Calibri"/>
      <family val="2"/>
      <scheme val="minor"/>
    </font>
    <font>
      <sz val="10"/>
      <color theme="1"/>
      <name val="Calibri"/>
      <family val="2"/>
      <scheme val="minor"/>
    </font>
    <font>
      <sz val="11"/>
      <name val="Calibri"/>
      <family val="2"/>
      <scheme val="minor"/>
    </font>
    <font>
      <b/>
      <sz val="9"/>
      <color indexed="81"/>
      <name val="Tahoma"/>
      <family val="2"/>
    </font>
    <font>
      <sz val="9"/>
      <color indexed="81"/>
      <name val="Tahoma"/>
      <family val="2"/>
    </font>
    <font>
      <i/>
      <sz val="10"/>
      <name val="Arial"/>
      <family val="2"/>
    </font>
    <font>
      <sz val="18"/>
      <color theme="1"/>
      <name val="Calibri"/>
      <family val="2"/>
      <scheme val="minor"/>
    </font>
    <font>
      <sz val="8"/>
      <name val="Calibri"/>
      <family val="2"/>
      <scheme val="minor"/>
    </font>
    <font>
      <b/>
      <sz val="11"/>
      <color theme="0"/>
      <name val="Calibri"/>
      <family val="2"/>
      <scheme val="minor"/>
    </font>
    <font>
      <b/>
      <u/>
      <sz val="22"/>
      <name val="Calibri"/>
      <family val="2"/>
      <scheme val="minor"/>
    </font>
    <font>
      <sz val="18"/>
      <name val="Calibri"/>
      <family val="2"/>
      <scheme val="minor"/>
    </font>
    <font>
      <b/>
      <sz val="14"/>
      <color theme="0"/>
      <name val="Calibri"/>
      <family val="2"/>
      <scheme val="minor"/>
    </font>
    <font>
      <b/>
      <sz val="36"/>
      <color rgb="FF006100"/>
      <name val="Calibri"/>
      <family val="2"/>
      <scheme val="minor"/>
    </font>
    <font>
      <b/>
      <sz val="10"/>
      <name val="Arial"/>
      <family val="2"/>
    </font>
    <font>
      <b/>
      <sz val="10"/>
      <color theme="0"/>
      <name val="Arial"/>
      <family val="2"/>
      <charset val="1"/>
    </font>
    <font>
      <sz val="14"/>
      <color theme="1"/>
      <name val="Calibri"/>
      <family val="2"/>
      <scheme val="minor"/>
    </font>
    <font>
      <b/>
      <sz val="14"/>
      <name val="Calibri"/>
      <family val="2"/>
      <scheme val="minor"/>
    </font>
    <font>
      <sz val="16"/>
      <color theme="1"/>
      <name val="Calibri"/>
      <family val="2"/>
      <scheme val="minor"/>
    </font>
    <font>
      <i/>
      <sz val="11"/>
      <color theme="1"/>
      <name val="Calibri"/>
      <family val="2"/>
      <scheme val="minor"/>
    </font>
    <font>
      <b/>
      <sz val="20"/>
      <color theme="1"/>
      <name val="Calibri"/>
      <family val="2"/>
      <scheme val="minor"/>
    </font>
    <font>
      <b/>
      <sz val="18"/>
      <color theme="0"/>
      <name val="Calibri"/>
      <family val="2"/>
      <scheme val="minor"/>
    </font>
    <font>
      <sz val="9"/>
      <name val="Arial"/>
      <family val="2"/>
    </font>
    <font>
      <b/>
      <sz val="12"/>
      <color theme="1"/>
      <name val="Calibri"/>
      <family val="2"/>
      <scheme val="minor"/>
    </font>
    <font>
      <sz val="12"/>
      <color theme="1"/>
      <name val="Calibri"/>
      <family val="2"/>
      <scheme val="minor"/>
    </font>
    <font>
      <b/>
      <sz val="36"/>
      <name val="Calibri"/>
      <family val="2"/>
      <scheme val="minor"/>
    </font>
    <font>
      <b/>
      <sz val="12"/>
      <name val="Calibri"/>
      <family val="2"/>
      <scheme val="minor"/>
    </font>
    <font>
      <b/>
      <sz val="24"/>
      <name val="Calibri"/>
      <family val="2"/>
      <scheme val="minor"/>
    </font>
    <font>
      <sz val="11"/>
      <color rgb="FF000000"/>
      <name val="Calibri"/>
      <family val="2"/>
      <scheme val="minor"/>
    </font>
    <font>
      <b/>
      <sz val="16"/>
      <name val="Calibri"/>
      <family val="2"/>
      <scheme val="minor"/>
    </font>
    <font>
      <sz val="11"/>
      <name val="Arial"/>
      <family val="2"/>
    </font>
    <font>
      <sz val="11"/>
      <color rgb="FFFF0000"/>
      <name val="Calibri"/>
      <family val="2"/>
      <scheme val="minor"/>
    </font>
    <font>
      <i/>
      <sz val="10"/>
      <color rgb="FFFF0000"/>
      <name val="Calibri"/>
      <family val="2"/>
      <scheme val="minor"/>
    </font>
    <font>
      <sz val="10"/>
      <color rgb="FFFF0000"/>
      <name val="Calibri"/>
      <family val="2"/>
      <scheme val="minor"/>
    </font>
    <font>
      <sz val="12"/>
      <name val="Calibri"/>
      <family val="2"/>
    </font>
    <font>
      <b/>
      <sz val="11"/>
      <color rgb="FFFF0000"/>
      <name val="Calibri"/>
      <family val="2"/>
      <scheme val="minor"/>
    </font>
    <font>
      <sz val="14"/>
      <name val="Leelawadee"/>
      <family val="2"/>
    </font>
    <font>
      <b/>
      <sz val="11"/>
      <name val="Arial"/>
      <family val="2"/>
    </font>
    <font>
      <i/>
      <sz val="11"/>
      <color rgb="FFFF0000"/>
      <name val="Calibri"/>
      <family val="2"/>
      <scheme val="minor"/>
    </font>
    <font>
      <b/>
      <i/>
      <sz val="11"/>
      <color rgb="FFFF0000"/>
      <name val="Calibri"/>
      <family val="2"/>
      <scheme val="minor"/>
    </font>
  </fonts>
  <fills count="17">
    <fill>
      <patternFill patternType="none"/>
    </fill>
    <fill>
      <patternFill patternType="gray125"/>
    </fill>
    <fill>
      <patternFill patternType="solid">
        <fgColor rgb="FFC6EFCE"/>
      </patternFill>
    </fill>
    <fill>
      <patternFill patternType="solid">
        <fgColor theme="9" tint="0.39997558519241921"/>
        <bgColor indexed="64"/>
      </patternFill>
    </fill>
    <fill>
      <patternFill patternType="solid">
        <fgColor indexed="26"/>
        <bgColor indexed="9"/>
      </patternFill>
    </fill>
    <fill>
      <patternFill patternType="solid">
        <fgColor rgb="FFFFFF99"/>
        <bgColor indexed="64"/>
      </patternFill>
    </fill>
    <fill>
      <patternFill patternType="solid">
        <fgColor rgb="FF0070C0"/>
        <bgColor indexed="64"/>
      </patternFill>
    </fill>
    <fill>
      <patternFill patternType="solid">
        <fgColor rgb="FFFFFF00"/>
        <bgColor indexed="64"/>
      </patternFill>
    </fill>
    <fill>
      <patternFill patternType="solid">
        <fgColor rgb="FF00B050"/>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D8D8D8"/>
        <bgColor rgb="FFD8D8D8"/>
      </patternFill>
    </fill>
    <fill>
      <patternFill patternType="solid">
        <fgColor rgb="FFFFFFCC"/>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indexed="9"/>
        <bgColor indexed="64"/>
      </patternFill>
    </fill>
  </fills>
  <borders count="6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diagonal/>
    </border>
    <border>
      <left style="thin">
        <color indexed="64"/>
      </left>
      <right/>
      <top/>
      <bottom style="thin">
        <color indexed="64"/>
      </bottom>
      <diagonal/>
    </border>
    <border>
      <left/>
      <right style="thin">
        <color auto="1"/>
      </right>
      <top/>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auto="1"/>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style="thin">
        <color auto="1"/>
      </top>
      <bottom/>
      <diagonal/>
    </border>
    <border>
      <left style="thin">
        <color auto="1"/>
      </left>
      <right style="medium">
        <color indexed="64"/>
      </right>
      <top/>
      <bottom style="thin">
        <color auto="1"/>
      </bottom>
      <diagonal/>
    </border>
    <border>
      <left style="thin">
        <color auto="1"/>
      </left>
      <right style="medium">
        <color indexed="64"/>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thin">
        <color auto="1"/>
      </top>
      <bottom/>
      <diagonal/>
    </border>
    <border>
      <left/>
      <right/>
      <top style="thin">
        <color auto="1"/>
      </top>
      <bottom/>
      <diagonal/>
    </border>
    <border>
      <left style="thin">
        <color auto="1"/>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auto="1"/>
      </right>
      <top style="dotted">
        <color auto="1"/>
      </top>
      <bottom style="dotted">
        <color auto="1"/>
      </bottom>
      <diagonal/>
    </border>
    <border>
      <left/>
      <right style="thin">
        <color auto="1"/>
      </right>
      <top style="dotted">
        <color auto="1"/>
      </top>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diagonal/>
    </border>
  </borders>
  <cellStyleXfs count="11">
    <xf numFmtId="0" fontId="0" fillId="0" borderId="0"/>
    <xf numFmtId="42" fontId="1" fillId="0" borderId="0" applyFont="0" applyFill="0" applyBorder="0" applyAlignment="0" applyProtection="0"/>
    <xf numFmtId="0" fontId="2" fillId="2" borderId="0" applyNumberFormat="0" applyBorder="0" applyAlignment="0" applyProtection="0"/>
    <xf numFmtId="0" fontId="6" fillId="0" borderId="0"/>
    <xf numFmtId="9" fontId="1" fillId="0" borderId="0" applyFont="0" applyFill="0" applyBorder="0" applyAlignment="0" applyProtection="0"/>
    <xf numFmtId="42" fontId="1" fillId="0" borderId="0" applyFont="0" applyFill="0" applyBorder="0" applyAlignment="0" applyProtection="0"/>
    <xf numFmtId="0" fontId="35" fillId="0" borderId="0"/>
    <xf numFmtId="0" fontId="1" fillId="0" borderId="0"/>
    <xf numFmtId="9"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cellStyleXfs>
  <cellXfs count="445">
    <xf numFmtId="0" fontId="0" fillId="0" borderId="0" xfId="0"/>
    <xf numFmtId="0" fontId="4" fillId="4" borderId="0" xfId="0" applyFont="1" applyFill="1" applyAlignment="1">
      <alignment horizontal="center"/>
    </xf>
    <xf numFmtId="0" fontId="7" fillId="0" borderId="13" xfId="3" applyFont="1" applyBorder="1" applyAlignment="1">
      <alignment horizontal="left" vertical="center" wrapText="1"/>
    </xf>
    <xf numFmtId="0" fontId="0" fillId="0" borderId="0" xfId="0" applyAlignment="1">
      <alignment wrapText="1"/>
    </xf>
    <xf numFmtId="0" fontId="10" fillId="0" borderId="0" xfId="0" applyFont="1"/>
    <xf numFmtId="167" fontId="5" fillId="0" borderId="0" xfId="0" applyNumberFormat="1" applyFont="1"/>
    <xf numFmtId="0" fontId="13" fillId="0" borderId="13" xfId="0" applyFont="1" applyBorder="1" applyAlignment="1">
      <alignment horizontal="center" vertical="center" wrapText="1"/>
    </xf>
    <xf numFmtId="0" fontId="13" fillId="0" borderId="15" xfId="0" applyFont="1" applyBorder="1" applyAlignment="1">
      <alignment horizontal="center" vertical="center" wrapText="1"/>
    </xf>
    <xf numFmtId="166" fontId="4" fillId="0" borderId="0" xfId="0" applyNumberFormat="1" applyFont="1" applyAlignment="1">
      <alignment horizontal="center"/>
    </xf>
    <xf numFmtId="166" fontId="10" fillId="0" borderId="0" xfId="0" applyNumberFormat="1" applyFont="1"/>
    <xf numFmtId="0" fontId="13" fillId="0" borderId="0" xfId="0" applyFont="1" applyAlignment="1">
      <alignment horizontal="center" vertical="center" wrapText="1"/>
    </xf>
    <xf numFmtId="0" fontId="13" fillId="0" borderId="0" xfId="0" applyFont="1" applyAlignment="1">
      <alignment vertical="center" wrapText="1"/>
    </xf>
    <xf numFmtId="0" fontId="13" fillId="0" borderId="0" xfId="0" applyFont="1" applyAlignment="1">
      <alignment vertical="center"/>
    </xf>
    <xf numFmtId="0" fontId="3" fillId="0" borderId="13" xfId="0" applyFont="1" applyBorder="1" applyAlignment="1">
      <alignment horizont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center" vertical="center" wrapText="1"/>
    </xf>
    <xf numFmtId="0" fontId="0" fillId="0" borderId="1" xfId="0" applyBorder="1" applyAlignment="1">
      <alignment horizontal="left" vertical="center"/>
    </xf>
    <xf numFmtId="0" fontId="3" fillId="0" borderId="1" xfId="0" applyFont="1" applyBorder="1" applyAlignment="1">
      <alignment horizontal="center" vertical="center" wrapText="1"/>
    </xf>
    <xf numFmtId="168" fontId="5" fillId="0" borderId="1" xfId="1" applyNumberFormat="1" applyFont="1" applyBorder="1" applyAlignment="1">
      <alignment vertical="center" wrapText="1"/>
    </xf>
    <xf numFmtId="0" fontId="8" fillId="0" borderId="0" xfId="0" applyFont="1" applyAlignment="1">
      <alignment horizontal="center" vertical="center"/>
    </xf>
    <xf numFmtId="0" fontId="8" fillId="0" borderId="0" xfId="0" applyFont="1" applyAlignment="1">
      <alignment horizontal="left" vertical="center"/>
    </xf>
    <xf numFmtId="9" fontId="0" fillId="0" borderId="0" xfId="0" applyNumberFormat="1" applyAlignment="1">
      <alignment horizontal="center"/>
    </xf>
    <xf numFmtId="0" fontId="3" fillId="0" borderId="0" xfId="0" applyFont="1" applyAlignment="1">
      <alignment horizontal="center" vertical="center" wrapText="1"/>
    </xf>
    <xf numFmtId="0" fontId="4" fillId="0" borderId="0" xfId="0" applyFont="1" applyAlignment="1">
      <alignment horizontal="center"/>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3" fillId="0" borderId="9" xfId="0" applyFont="1" applyBorder="1" applyAlignment="1">
      <alignment horizontal="center" vertical="center"/>
    </xf>
    <xf numFmtId="0" fontId="5" fillId="0" borderId="2" xfId="0" applyFont="1" applyBorder="1" applyAlignment="1">
      <alignment horizontal="center" vertical="center" wrapText="1"/>
    </xf>
    <xf numFmtId="0" fontId="3" fillId="0" borderId="1" xfId="0" applyFont="1" applyBorder="1" applyAlignment="1">
      <alignment horizontal="center" vertical="center"/>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2" fontId="0" fillId="0" borderId="0" xfId="0" applyNumberFormat="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center" vertical="center"/>
    </xf>
    <xf numFmtId="0" fontId="16" fillId="6" borderId="1" xfId="0" applyFont="1" applyFill="1" applyBorder="1" applyAlignment="1">
      <alignment horizontal="center" vertical="center" wrapText="1"/>
    </xf>
    <xf numFmtId="2" fontId="0" fillId="0" borderId="1" xfId="0" applyNumberFormat="1" applyBorder="1" applyAlignment="1">
      <alignment horizontal="center" vertical="center" wrapText="1"/>
    </xf>
    <xf numFmtId="9" fontId="0" fillId="0" borderId="1" xfId="4" applyFont="1" applyBorder="1" applyAlignment="1">
      <alignment horizontal="center" vertical="center" wrapText="1"/>
    </xf>
    <xf numFmtId="9" fontId="0" fillId="0" borderId="0" xfId="4" applyFont="1" applyAlignment="1">
      <alignment horizontal="center" vertical="center" wrapText="1"/>
    </xf>
    <xf numFmtId="0" fontId="0" fillId="5" borderId="1" xfId="0" applyFill="1" applyBorder="1" applyAlignment="1">
      <alignment horizontal="center" vertical="center" wrapText="1"/>
    </xf>
    <xf numFmtId="171" fontId="0" fillId="5" borderId="1" xfId="1" applyNumberFormat="1" applyFont="1" applyFill="1" applyBorder="1" applyAlignment="1">
      <alignment horizontal="center" vertical="center" wrapText="1"/>
    </xf>
    <xf numFmtId="14" fontId="0" fillId="0" borderId="7" xfId="0" applyNumberFormat="1" applyBorder="1"/>
    <xf numFmtId="14" fontId="0" fillId="0" borderId="14" xfId="0" applyNumberFormat="1" applyBorder="1"/>
    <xf numFmtId="0" fontId="16" fillId="6" borderId="2" xfId="0" applyFont="1" applyFill="1" applyBorder="1" applyAlignment="1">
      <alignment horizontal="center" vertical="center" wrapText="1"/>
    </xf>
    <xf numFmtId="0" fontId="0" fillId="0" borderId="11" xfId="0" applyBorder="1" applyAlignment="1">
      <alignment horizontal="center" vertical="center" wrapText="1"/>
    </xf>
    <xf numFmtId="9" fontId="0" fillId="0" borderId="11" xfId="4" applyFont="1" applyBorder="1" applyAlignment="1">
      <alignment horizontal="center" vertical="center" wrapText="1"/>
    </xf>
    <xf numFmtId="171" fontId="0" fillId="5" borderId="11" xfId="1" applyNumberFormat="1" applyFont="1" applyFill="1" applyBorder="1" applyAlignment="1">
      <alignment horizontal="center" vertical="center" wrapText="1"/>
    </xf>
    <xf numFmtId="0" fontId="0" fillId="5" borderId="11" xfId="0" applyFill="1" applyBorder="1" applyAlignment="1">
      <alignment horizontal="center" vertical="center" wrapText="1"/>
    </xf>
    <xf numFmtId="2" fontId="0" fillId="0" borderId="11" xfId="0" applyNumberFormat="1" applyBorder="1" applyAlignment="1">
      <alignment horizontal="center" vertical="center" wrapText="1"/>
    </xf>
    <xf numFmtId="0" fontId="0" fillId="0" borderId="16" xfId="0" applyBorder="1" applyAlignment="1">
      <alignment horizontal="center" vertical="center" wrapText="1"/>
    </xf>
    <xf numFmtId="9" fontId="0" fillId="0" borderId="16" xfId="4" applyFont="1" applyBorder="1" applyAlignment="1">
      <alignment horizontal="center" vertical="center" wrapText="1"/>
    </xf>
    <xf numFmtId="171" fontId="0" fillId="5" borderId="16" xfId="1" applyNumberFormat="1" applyFont="1" applyFill="1" applyBorder="1" applyAlignment="1">
      <alignment horizontal="center" vertical="center" wrapText="1"/>
    </xf>
    <xf numFmtId="0" fontId="0" fillId="5" borderId="16" xfId="0" applyFill="1" applyBorder="1" applyAlignment="1">
      <alignment horizontal="center" vertical="center" wrapText="1"/>
    </xf>
    <xf numFmtId="2" fontId="0" fillId="0" borderId="16" xfId="0" applyNumberFormat="1" applyBorder="1" applyAlignment="1">
      <alignment horizontal="center" vertical="center" wrapText="1"/>
    </xf>
    <xf numFmtId="0" fontId="0" fillId="5" borderId="11" xfId="4" applyNumberFormat="1" applyFont="1" applyFill="1" applyBorder="1" applyAlignment="1">
      <alignment horizontal="center" vertical="center" wrapText="1"/>
    </xf>
    <xf numFmtId="0" fontId="0" fillId="5" borderId="1" xfId="4" applyNumberFormat="1" applyFont="1" applyFill="1" applyBorder="1" applyAlignment="1">
      <alignment horizontal="center" vertical="center" wrapText="1"/>
    </xf>
    <xf numFmtId="0" fontId="0" fillId="5" borderId="16" xfId="4" applyNumberFormat="1" applyFont="1" applyFill="1" applyBorder="1" applyAlignment="1">
      <alignment horizontal="center" vertical="center" wrapText="1"/>
    </xf>
    <xf numFmtId="0" fontId="0" fillId="0" borderId="0" xfId="4" applyNumberFormat="1" applyFont="1" applyAlignment="1">
      <alignment horizontal="center" vertical="center" wrapText="1"/>
    </xf>
    <xf numFmtId="171" fontId="0" fillId="0" borderId="11" xfId="0" applyNumberFormat="1" applyBorder="1" applyAlignment="1">
      <alignment horizontal="center" vertical="center" wrapText="1"/>
    </xf>
    <xf numFmtId="171" fontId="0" fillId="0" borderId="1" xfId="1" applyNumberFormat="1" applyFont="1" applyBorder="1" applyAlignment="1">
      <alignment horizontal="center" vertical="center" wrapText="1"/>
    </xf>
    <xf numFmtId="170" fontId="7" fillId="3" borderId="1" xfId="1" applyNumberFormat="1" applyFont="1" applyFill="1" applyBorder="1" applyAlignment="1">
      <alignment vertical="center" wrapText="1"/>
    </xf>
    <xf numFmtId="2" fontId="7" fillId="3" borderId="1" xfId="1" applyNumberFormat="1" applyFont="1" applyFill="1" applyBorder="1" applyAlignment="1">
      <alignment vertical="center" wrapText="1"/>
    </xf>
    <xf numFmtId="1" fontId="7" fillId="3" borderId="1" xfId="1" applyNumberFormat="1" applyFont="1" applyFill="1" applyBorder="1" applyAlignment="1">
      <alignment horizontal="center" vertical="center" wrapText="1"/>
    </xf>
    <xf numFmtId="9" fontId="7" fillId="3" borderId="1" xfId="4" applyFont="1" applyFill="1"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xf numFmtId="0" fontId="0" fillId="0" borderId="0" xfId="4" applyNumberFormat="1" applyFont="1" applyFill="1" applyAlignment="1">
      <alignment horizontal="center" vertical="center" wrapText="1"/>
    </xf>
    <xf numFmtId="0" fontId="3" fillId="0" borderId="8" xfId="0" applyFont="1" applyBorder="1" applyAlignment="1">
      <alignment horizontal="center" vertical="center" wrapText="1"/>
    </xf>
    <xf numFmtId="2" fontId="0" fillId="0" borderId="0" xfId="0" applyNumberFormat="1" applyAlignment="1">
      <alignment vertical="center"/>
    </xf>
    <xf numFmtId="2" fontId="3" fillId="0" borderId="1" xfId="0" applyNumberFormat="1" applyFont="1" applyBorder="1" applyAlignment="1">
      <alignment horizontal="center" vertical="center" wrapText="1"/>
    </xf>
    <xf numFmtId="0" fontId="3" fillId="7" borderId="1" xfId="0" applyFont="1" applyFill="1" applyBorder="1" applyAlignment="1">
      <alignment horizontal="center" vertical="center" wrapText="1"/>
    </xf>
    <xf numFmtId="0" fontId="0" fillId="7" borderId="1" xfId="0" applyFill="1" applyBorder="1" applyAlignment="1">
      <alignment horizontal="center" vertical="center" wrapText="1"/>
    </xf>
    <xf numFmtId="14" fontId="3" fillId="0" borderId="1" xfId="0" applyNumberFormat="1" applyFont="1" applyBorder="1" applyAlignment="1">
      <alignment horizontal="center"/>
    </xf>
    <xf numFmtId="14" fontId="0" fillId="0" borderId="9" xfId="0" applyNumberFormat="1" applyBorder="1" applyAlignment="1">
      <alignment horizontal="center"/>
    </xf>
    <xf numFmtId="0" fontId="16" fillId="6" borderId="1" xfId="0" applyFont="1" applyFill="1" applyBorder="1" applyAlignment="1">
      <alignment horizontal="center" vertical="center"/>
    </xf>
    <xf numFmtId="0" fontId="16" fillId="6" borderId="1" xfId="0" applyFont="1" applyFill="1" applyBorder="1"/>
    <xf numFmtId="166" fontId="21" fillId="0" borderId="1" xfId="0" applyNumberFormat="1" applyFont="1" applyBorder="1" applyAlignment="1">
      <alignment horizontal="center"/>
    </xf>
    <xf numFmtId="166" fontId="5" fillId="0" borderId="1" xfId="0" applyNumberFormat="1" applyFont="1" applyBorder="1"/>
    <xf numFmtId="0" fontId="22" fillId="6" borderId="26" xfId="0" applyFont="1" applyFill="1" applyBorder="1" applyAlignment="1">
      <alignment horizontal="center" vertical="center" wrapText="1"/>
    </xf>
    <xf numFmtId="0" fontId="22" fillId="6" borderId="35" xfId="0" applyFont="1" applyFill="1" applyBorder="1" applyAlignment="1">
      <alignment horizontal="center" vertical="center" wrapText="1"/>
    </xf>
    <xf numFmtId="0" fontId="4" fillId="0" borderId="28" xfId="0" applyFont="1" applyBorder="1" applyAlignment="1">
      <alignment horizontal="center"/>
    </xf>
    <xf numFmtId="166" fontId="4" fillId="0" borderId="40" xfId="0" applyNumberFormat="1" applyFont="1" applyBorder="1" applyAlignment="1">
      <alignment horizontal="center"/>
    </xf>
    <xf numFmtId="0" fontId="4" fillId="0" borderId="13" xfId="0" applyFont="1" applyBorder="1" applyAlignment="1">
      <alignment horizontal="center"/>
    </xf>
    <xf numFmtId="166" fontId="4" fillId="0" borderId="31" xfId="0" applyNumberFormat="1" applyFont="1" applyBorder="1" applyAlignment="1">
      <alignment horizontal="center"/>
    </xf>
    <xf numFmtId="0" fontId="4" fillId="0" borderId="15" xfId="0" applyFont="1" applyBorder="1" applyAlignment="1">
      <alignment horizontal="center"/>
    </xf>
    <xf numFmtId="166" fontId="4" fillId="0" borderId="17" xfId="0" applyNumberFormat="1" applyFont="1" applyBorder="1" applyAlignment="1">
      <alignment horizontal="center"/>
    </xf>
    <xf numFmtId="0" fontId="16" fillId="6" borderId="26" xfId="0" applyFont="1" applyFill="1" applyBorder="1" applyAlignment="1">
      <alignment horizontal="center" vertical="center"/>
    </xf>
    <xf numFmtId="0" fontId="13" fillId="0" borderId="10" xfId="0" applyFont="1" applyBorder="1" applyAlignment="1">
      <alignment horizontal="center" vertical="center" wrapText="1"/>
    </xf>
    <xf numFmtId="172" fontId="0" fillId="5" borderId="1" xfId="0" applyNumberFormat="1" applyFill="1" applyBorder="1" applyAlignment="1">
      <alignment horizontal="center"/>
    </xf>
    <xf numFmtId="0" fontId="0" fillId="0" borderId="1" xfId="0" applyBorder="1"/>
    <xf numFmtId="172" fontId="0" fillId="5" borderId="1" xfId="0" applyNumberFormat="1" applyFill="1" applyBorder="1" applyAlignment="1" applyProtection="1">
      <alignment horizontal="center"/>
      <protection locked="0"/>
    </xf>
    <xf numFmtId="0" fontId="3" fillId="5" borderId="1" xfId="0"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protection locked="0"/>
    </xf>
    <xf numFmtId="2" fontId="3" fillId="5" borderId="1" xfId="0" applyNumberFormat="1" applyFont="1" applyFill="1" applyBorder="1" applyAlignment="1" applyProtection="1">
      <alignment horizontal="center" vertical="center" wrapText="1"/>
      <protection locked="0"/>
    </xf>
    <xf numFmtId="10" fontId="5" fillId="5" borderId="1" xfId="0" applyNumberFormat="1" applyFont="1" applyFill="1" applyBorder="1" applyAlignment="1" applyProtection="1">
      <alignment horizontal="center" vertical="center" wrapText="1"/>
      <protection locked="0"/>
    </xf>
    <xf numFmtId="14" fontId="5" fillId="5" borderId="1" xfId="0" applyNumberFormat="1" applyFont="1"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protection locked="0"/>
    </xf>
    <xf numFmtId="0" fontId="3" fillId="5" borderId="1" xfId="0" applyFont="1" applyFill="1" applyBorder="1" applyAlignment="1" applyProtection="1">
      <alignment horizontal="center" vertical="center"/>
      <protection locked="0"/>
    </xf>
    <xf numFmtId="172" fontId="0" fillId="0" borderId="1" xfId="0" applyNumberFormat="1" applyBorder="1" applyAlignment="1">
      <alignment horizontal="center"/>
    </xf>
    <xf numFmtId="0" fontId="5" fillId="0" borderId="1" xfId="0" applyFont="1" applyBorder="1" applyAlignment="1">
      <alignment horizontal="left" vertical="center" wrapText="1"/>
    </xf>
    <xf numFmtId="10"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71" fontId="3" fillId="0" borderId="1" xfId="1" applyNumberFormat="1" applyFont="1" applyFill="1" applyBorder="1" applyAlignment="1">
      <alignment horizontal="center" vertical="center" wrapText="1"/>
    </xf>
    <xf numFmtId="4" fontId="5" fillId="0" borderId="1" xfId="0" applyNumberFormat="1" applyFont="1" applyBorder="1" applyAlignment="1">
      <alignment horizontal="center" vertical="center"/>
    </xf>
    <xf numFmtId="171" fontId="5" fillId="0" borderId="1" xfId="0" applyNumberFormat="1" applyFont="1" applyBorder="1" applyAlignment="1">
      <alignment horizontal="center" vertical="center"/>
    </xf>
    <xf numFmtId="0" fontId="0" fillId="5" borderId="11" xfId="4" applyNumberFormat="1" applyFont="1" applyFill="1" applyBorder="1" applyAlignment="1" applyProtection="1">
      <alignment horizontal="center" vertical="center" wrapText="1"/>
      <protection locked="0"/>
    </xf>
    <xf numFmtId="171" fontId="0" fillId="5" borderId="11" xfId="1" applyNumberFormat="1" applyFont="1" applyFill="1" applyBorder="1" applyAlignment="1" applyProtection="1">
      <alignment horizontal="center" vertical="center" wrapText="1"/>
      <protection locked="0"/>
    </xf>
    <xf numFmtId="0" fontId="0" fillId="5" borderId="11" xfId="0" applyFill="1" applyBorder="1" applyAlignment="1" applyProtection="1">
      <alignment horizontal="center" vertical="center" wrapText="1"/>
      <protection locked="0"/>
    </xf>
    <xf numFmtId="2" fontId="0" fillId="5" borderId="11" xfId="0" applyNumberFormat="1" applyFill="1" applyBorder="1" applyAlignment="1" applyProtection="1">
      <alignment horizontal="center" vertical="center" wrapText="1"/>
      <protection locked="0"/>
    </xf>
    <xf numFmtId="171" fontId="0" fillId="5" borderId="11" xfId="0" applyNumberFormat="1" applyFill="1" applyBorder="1" applyAlignment="1" applyProtection="1">
      <alignment horizontal="center" vertical="center" wrapText="1"/>
      <protection locked="0"/>
    </xf>
    <xf numFmtId="0" fontId="0" fillId="5" borderId="1" xfId="4" applyNumberFormat="1" applyFont="1" applyFill="1" applyBorder="1" applyAlignment="1" applyProtection="1">
      <alignment horizontal="center" vertical="center" wrapText="1"/>
      <protection locked="0"/>
    </xf>
    <xf numFmtId="171" fontId="0" fillId="5" borderId="1" xfId="1" applyNumberFormat="1" applyFont="1"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2" fontId="0" fillId="5" borderId="1" xfId="0" applyNumberFormat="1" applyFill="1" applyBorder="1" applyAlignment="1" applyProtection="1">
      <alignment horizontal="center" vertical="center" wrapText="1"/>
      <protection locked="0"/>
    </xf>
    <xf numFmtId="0" fontId="0" fillId="5" borderId="16" xfId="4" applyNumberFormat="1" applyFont="1" applyFill="1" applyBorder="1" applyAlignment="1" applyProtection="1">
      <alignment horizontal="center" vertical="center" wrapText="1"/>
      <protection locked="0"/>
    </xf>
    <xf numFmtId="170" fontId="7" fillId="0" borderId="1" xfId="1" applyNumberFormat="1" applyFont="1" applyFill="1" applyBorder="1" applyAlignment="1">
      <alignment vertical="center" wrapText="1"/>
    </xf>
    <xf numFmtId="1"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vertical="center" wrapText="1"/>
    </xf>
    <xf numFmtId="9" fontId="7" fillId="0" borderId="1" xfId="4" applyFont="1" applyFill="1" applyBorder="1" applyAlignment="1">
      <alignment horizontal="center" vertical="center" wrapText="1"/>
    </xf>
    <xf numFmtId="173" fontId="0" fillId="5" borderId="1" xfId="1" applyNumberFormat="1" applyFont="1" applyFill="1" applyBorder="1" applyAlignment="1">
      <alignment horizontal="center" vertical="center" wrapText="1"/>
    </xf>
    <xf numFmtId="173" fontId="0" fillId="5" borderId="11" xfId="1" applyNumberFormat="1" applyFont="1" applyFill="1" applyBorder="1" applyAlignment="1">
      <alignment horizontal="center" vertical="center" wrapText="1"/>
    </xf>
    <xf numFmtId="2" fontId="0" fillId="5" borderId="1" xfId="4" applyNumberFormat="1" applyFont="1" applyFill="1" applyBorder="1" applyAlignment="1">
      <alignment horizontal="center" vertical="center" wrapText="1"/>
    </xf>
    <xf numFmtId="173" fontId="0" fillId="0" borderId="0" xfId="1" applyNumberFormat="1" applyFont="1" applyFill="1" applyBorder="1" applyAlignment="1">
      <alignment horizontal="center" vertical="center" wrapText="1"/>
    </xf>
    <xf numFmtId="0" fontId="0" fillId="0" borderId="0" xfId="0" applyAlignment="1">
      <alignment vertical="center"/>
    </xf>
    <xf numFmtId="0" fontId="4" fillId="0" borderId="32" xfId="0" applyFont="1" applyBorder="1" applyAlignment="1">
      <alignment horizontal="center"/>
    </xf>
    <xf numFmtId="166" fontId="4" fillId="0" borderId="46" xfId="0" applyNumberFormat="1" applyFont="1" applyBorder="1" applyAlignment="1">
      <alignment horizontal="center"/>
    </xf>
    <xf numFmtId="0" fontId="17" fillId="0" borderId="1" xfId="3" applyFont="1" applyBorder="1" applyAlignment="1" applyProtection="1">
      <alignment horizontal="center" vertical="center" wrapText="1"/>
      <protection locked="0"/>
    </xf>
    <xf numFmtId="9" fontId="0" fillId="0" borderId="1" xfId="0" applyNumberFormat="1" applyBorder="1" applyAlignment="1">
      <alignment horizontal="center" vertical="center"/>
    </xf>
    <xf numFmtId="0" fontId="5" fillId="0" borderId="1" xfId="0" applyFont="1" applyBorder="1"/>
    <xf numFmtId="174" fontId="10" fillId="0" borderId="0" xfId="0" applyNumberFormat="1" applyFont="1"/>
    <xf numFmtId="0" fontId="16" fillId="8" borderId="1" xfId="0" applyFont="1" applyFill="1" applyBorder="1" applyAlignment="1">
      <alignment horizontal="center" vertical="center" wrapText="1"/>
    </xf>
    <xf numFmtId="168" fontId="0" fillId="0" borderId="1" xfId="1" applyNumberFormat="1" applyFont="1" applyBorder="1" applyAlignment="1"/>
    <xf numFmtId="168" fontId="0" fillId="0" borderId="1" xfId="1" applyNumberFormat="1" applyFont="1" applyBorder="1"/>
    <xf numFmtId="168" fontId="0" fillId="0" borderId="1" xfId="0" applyNumberFormat="1" applyBorder="1"/>
    <xf numFmtId="2" fontId="0" fillId="5" borderId="1" xfId="0" applyNumberFormat="1" applyFill="1" applyBorder="1" applyAlignment="1" applyProtection="1">
      <alignment horizontal="center" vertical="center"/>
      <protection locked="0"/>
    </xf>
    <xf numFmtId="42" fontId="0" fillId="0" borderId="1" xfId="1" applyFont="1" applyBorder="1"/>
    <xf numFmtId="0" fontId="29" fillId="0" borderId="1" xfId="0" applyFont="1" applyBorder="1" applyAlignment="1">
      <alignment horizontal="center"/>
    </xf>
    <xf numFmtId="168" fontId="29" fillId="0" borderId="1" xfId="1" applyNumberFormat="1" applyFont="1" applyFill="1" applyBorder="1" applyAlignment="1">
      <alignment horizontal="center" vertical="center"/>
    </xf>
    <xf numFmtId="42" fontId="29" fillId="0" borderId="1" xfId="1" applyFont="1" applyFill="1" applyBorder="1" applyAlignment="1">
      <alignment horizontal="center" vertical="center"/>
    </xf>
    <xf numFmtId="42" fontId="0" fillId="0" borderId="1" xfId="1" applyFont="1" applyBorder="1" applyAlignment="1">
      <alignment horizontal="center"/>
    </xf>
    <xf numFmtId="175" fontId="0" fillId="0" borderId="1" xfId="0" applyNumberFormat="1" applyBorder="1" applyAlignment="1">
      <alignment horizontal="center" vertical="center"/>
    </xf>
    <xf numFmtId="176" fontId="0" fillId="0" borderId="1" xfId="0" applyNumberFormat="1" applyBorder="1" applyAlignment="1">
      <alignment vertical="center"/>
    </xf>
    <xf numFmtId="168" fontId="0" fillId="0" borderId="1" xfId="1" applyNumberFormat="1" applyFont="1" applyBorder="1" applyAlignment="1">
      <alignment horizontal="center"/>
    </xf>
    <xf numFmtId="168" fontId="0" fillId="0" borderId="1" xfId="0" applyNumberFormat="1" applyBorder="1" applyAlignment="1">
      <alignment horizontal="center"/>
    </xf>
    <xf numFmtId="0" fontId="0" fillId="5" borderId="7"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5" fillId="0" borderId="1" xfId="0" applyFont="1" applyBorder="1" applyAlignment="1">
      <alignment vertical="center" wrapText="1"/>
    </xf>
    <xf numFmtId="0" fontId="30" fillId="0" borderId="1" xfId="0" applyFont="1" applyBorder="1" applyAlignment="1">
      <alignment horizontal="center" vertical="center"/>
    </xf>
    <xf numFmtId="9" fontId="31" fillId="0" borderId="1" xfId="0" applyNumberFormat="1" applyFont="1" applyBorder="1" applyAlignment="1">
      <alignment horizontal="center" vertical="center"/>
    </xf>
    <xf numFmtId="2" fontId="31" fillId="0" borderId="1" xfId="0" applyNumberFormat="1" applyFont="1" applyBorder="1" applyAlignment="1">
      <alignment horizontal="center" vertical="center"/>
    </xf>
    <xf numFmtId="0" fontId="5" fillId="9" borderId="1" xfId="0" applyFont="1" applyFill="1" applyBorder="1" applyAlignment="1">
      <alignment horizontal="center" vertical="center" wrapText="1"/>
    </xf>
    <xf numFmtId="0" fontId="5" fillId="9" borderId="1" xfId="0" applyFont="1" applyFill="1" applyBorder="1" applyAlignment="1">
      <alignment horizontal="center" vertical="center"/>
    </xf>
    <xf numFmtId="0" fontId="5" fillId="9" borderId="13" xfId="0" applyFont="1" applyFill="1" applyBorder="1" applyAlignment="1">
      <alignment horizontal="center" vertical="center" wrapText="1"/>
    </xf>
    <xf numFmtId="0" fontId="5" fillId="9" borderId="32" xfId="0" applyFont="1" applyFill="1" applyBorder="1" applyAlignment="1">
      <alignment horizontal="center" vertical="center" wrapText="1"/>
    </xf>
    <xf numFmtId="0" fontId="5" fillId="9" borderId="33" xfId="0" applyFont="1" applyFill="1" applyBorder="1" applyAlignment="1">
      <alignment horizontal="center" vertical="center" wrapText="1"/>
    </xf>
    <xf numFmtId="0" fontId="9" fillId="0" borderId="0" xfId="7" applyFont="1"/>
    <xf numFmtId="0" fontId="9" fillId="0" borderId="0" xfId="7" applyFont="1" applyAlignment="1">
      <alignment horizontal="center" vertical="center"/>
    </xf>
    <xf numFmtId="9" fontId="25" fillId="0" borderId="1" xfId="7" applyNumberFormat="1" applyFont="1" applyBorder="1" applyAlignment="1">
      <alignment horizontal="center" vertical="center"/>
    </xf>
    <xf numFmtId="0" fontId="25" fillId="0" borderId="1" xfId="7" applyFont="1" applyBorder="1" applyAlignment="1">
      <alignment horizontal="center" vertical="center"/>
    </xf>
    <xf numFmtId="9" fontId="25" fillId="10" borderId="1" xfId="8" applyFont="1" applyFill="1" applyBorder="1" applyAlignment="1">
      <alignment horizontal="center" vertical="center"/>
    </xf>
    <xf numFmtId="0" fontId="25" fillId="10" borderId="1" xfId="7" applyFont="1" applyFill="1" applyBorder="1" applyAlignment="1">
      <alignment horizontal="center" vertical="center"/>
    </xf>
    <xf numFmtId="0" fontId="25" fillId="10" borderId="1" xfId="7" applyFont="1" applyFill="1" applyBorder="1" applyAlignment="1">
      <alignment horizontal="center" vertical="center" wrapText="1"/>
    </xf>
    <xf numFmtId="9" fontId="25" fillId="10" borderId="1" xfId="8" applyFont="1" applyFill="1" applyBorder="1" applyAlignment="1" applyProtection="1">
      <alignment horizontal="center" vertical="center"/>
      <protection locked="0"/>
    </xf>
    <xf numFmtId="0" fontId="25" fillId="10" borderId="1" xfId="7" applyFont="1" applyFill="1" applyBorder="1" applyAlignment="1" applyProtection="1">
      <alignment horizontal="center" vertical="center" wrapText="1"/>
      <protection locked="0"/>
    </xf>
    <xf numFmtId="10" fontId="25" fillId="10" borderId="1" xfId="7" applyNumberFormat="1" applyFont="1" applyFill="1" applyBorder="1" applyAlignment="1" applyProtection="1">
      <alignment horizontal="center" vertical="center"/>
      <protection locked="0"/>
    </xf>
    <xf numFmtId="0" fontId="25" fillId="10" borderId="1" xfId="7" applyFont="1" applyFill="1" applyBorder="1" applyAlignment="1" applyProtection="1">
      <alignment horizontal="center" vertical="center"/>
      <protection locked="0"/>
    </xf>
    <xf numFmtId="169" fontId="9" fillId="0" borderId="0" xfId="7" applyNumberFormat="1" applyFont="1"/>
    <xf numFmtId="0" fontId="5" fillId="0" borderId="1" xfId="7" applyFont="1" applyBorder="1"/>
    <xf numFmtId="0" fontId="5" fillId="0" borderId="1" xfId="7" applyFont="1" applyBorder="1" applyAlignment="1">
      <alignment vertical="center" wrapText="1"/>
    </xf>
    <xf numFmtId="0" fontId="36" fillId="9" borderId="1" xfId="7" applyFont="1" applyFill="1" applyBorder="1" applyAlignment="1">
      <alignment horizontal="center" vertical="center" wrapText="1"/>
    </xf>
    <xf numFmtId="0" fontId="37" fillId="0" borderId="49" xfId="0" applyFont="1" applyBorder="1" applyAlignment="1">
      <alignment vertical="center" wrapText="1"/>
    </xf>
    <xf numFmtId="0" fontId="37" fillId="0" borderId="50" xfId="0" applyFont="1" applyBorder="1" applyAlignment="1">
      <alignment horizontal="center" vertical="center" wrapText="1"/>
    </xf>
    <xf numFmtId="0" fontId="37" fillId="12" borderId="51" xfId="0" applyFont="1" applyFill="1" applyBorder="1" applyAlignment="1">
      <alignment horizontal="center" vertical="center" wrapText="1"/>
    </xf>
    <xf numFmtId="9" fontId="37" fillId="12" borderId="52" xfId="0" applyNumberFormat="1" applyFont="1" applyFill="1" applyBorder="1" applyAlignment="1">
      <alignment horizontal="center" vertical="center" wrapText="1"/>
    </xf>
    <xf numFmtId="0" fontId="37" fillId="12" borderId="53" xfId="0" applyFont="1" applyFill="1" applyBorder="1" applyAlignment="1">
      <alignment horizontal="center" vertical="center" wrapText="1"/>
    </xf>
    <xf numFmtId="9" fontId="37" fillId="12" borderId="54" xfId="0" applyNumberFormat="1" applyFont="1" applyFill="1" applyBorder="1" applyAlignment="1">
      <alignment horizontal="center" vertical="center" wrapText="1"/>
    </xf>
    <xf numFmtId="0" fontId="37" fillId="12" borderId="55" xfId="0" applyFont="1" applyFill="1" applyBorder="1" applyAlignment="1">
      <alignment horizontal="center" vertical="center" wrapText="1"/>
    </xf>
    <xf numFmtId="9" fontId="37" fillId="12" borderId="56" xfId="0" applyNumberFormat="1" applyFont="1" applyFill="1" applyBorder="1" applyAlignment="1">
      <alignment horizontal="center" vertical="center" wrapText="1"/>
    </xf>
    <xf numFmtId="0" fontId="37" fillId="12" borderId="57" xfId="0" applyFont="1" applyFill="1" applyBorder="1" applyAlignment="1">
      <alignment horizontal="center" vertical="center" wrapText="1"/>
    </xf>
    <xf numFmtId="9" fontId="37" fillId="12" borderId="58" xfId="0" applyNumberFormat="1" applyFont="1" applyFill="1" applyBorder="1" applyAlignment="1">
      <alignment horizontal="center" vertical="center" wrapText="1"/>
    </xf>
    <xf numFmtId="168" fontId="37" fillId="12" borderId="52" xfId="1" applyNumberFormat="1" applyFont="1" applyFill="1" applyBorder="1" applyAlignment="1">
      <alignment horizontal="center" vertical="center" wrapText="1"/>
    </xf>
    <xf numFmtId="168" fontId="37" fillId="12" borderId="54" xfId="1" applyNumberFormat="1" applyFont="1" applyFill="1" applyBorder="1" applyAlignment="1">
      <alignment horizontal="center" vertical="center" wrapText="1"/>
    </xf>
    <xf numFmtId="168" fontId="37" fillId="12" borderId="58" xfId="1" applyNumberFormat="1" applyFont="1" applyFill="1" applyBorder="1" applyAlignment="1">
      <alignment horizontal="center" vertical="center" wrapText="1"/>
    </xf>
    <xf numFmtId="168" fontId="37" fillId="12" borderId="56" xfId="1" applyNumberFormat="1" applyFont="1" applyFill="1" applyBorder="1" applyAlignment="1">
      <alignment horizontal="center" vertical="center" wrapText="1"/>
    </xf>
    <xf numFmtId="0" fontId="3" fillId="5" borderId="9" xfId="0" applyFont="1" applyFill="1" applyBorder="1" applyAlignment="1" applyProtection="1">
      <alignment horizontal="center" vertical="center" wrapText="1"/>
      <protection locked="0"/>
    </xf>
    <xf numFmtId="0" fontId="5" fillId="9" borderId="0" xfId="0" applyFont="1" applyFill="1" applyAlignment="1">
      <alignment horizontal="center" vertical="center"/>
    </xf>
    <xf numFmtId="0" fontId="3" fillId="0" borderId="0" xfId="0" applyFont="1" applyAlignment="1">
      <alignment horizontal="justify" vertical="center" wrapText="1"/>
    </xf>
    <xf numFmtId="168" fontId="5" fillId="0" borderId="0" xfId="1" applyNumberFormat="1" applyFont="1" applyBorder="1" applyAlignment="1">
      <alignment vertical="center" wrapText="1"/>
    </xf>
    <xf numFmtId="0" fontId="5" fillId="9" borderId="0" xfId="0" applyFont="1" applyFill="1" applyAlignment="1">
      <alignment horizontal="center" vertical="center" wrapText="1"/>
    </xf>
    <xf numFmtId="0" fontId="3" fillId="14" borderId="1" xfId="0" applyFont="1" applyFill="1" applyBorder="1" applyAlignment="1">
      <alignment horizontal="center" wrapText="1"/>
    </xf>
    <xf numFmtId="0" fontId="3" fillId="14" borderId="1" xfId="0" applyFont="1" applyFill="1" applyBorder="1" applyAlignment="1">
      <alignment horizontal="center" vertical="center" wrapText="1"/>
    </xf>
    <xf numFmtId="0" fontId="0" fillId="0" borderId="1" xfId="0" applyBorder="1" applyAlignment="1">
      <alignment horizontal="left" vertical="center" wrapText="1"/>
    </xf>
    <xf numFmtId="0" fontId="0" fillId="7" borderId="1" xfId="0" applyFill="1" applyBorder="1" applyAlignment="1">
      <alignment horizontal="center" vertical="center"/>
    </xf>
    <xf numFmtId="0" fontId="0" fillId="15" borderId="1" xfId="0" applyFill="1" applyBorder="1" applyAlignment="1">
      <alignment horizontal="right"/>
    </xf>
    <xf numFmtId="0" fontId="0" fillId="15" borderId="1" xfId="0" applyFill="1" applyBorder="1" applyAlignment="1">
      <alignment horizontal="left"/>
    </xf>
    <xf numFmtId="0" fontId="0" fillId="15" borderId="1" xfId="0" applyFill="1" applyBorder="1"/>
    <xf numFmtId="0" fontId="0" fillId="15" borderId="1" xfId="0" applyFill="1" applyBorder="1" applyAlignment="1">
      <alignment horizontal="center" vertical="center"/>
    </xf>
    <xf numFmtId="0" fontId="0" fillId="0" borderId="1" xfId="0" applyBorder="1" applyAlignment="1">
      <alignment wrapText="1"/>
    </xf>
    <xf numFmtId="2" fontId="0" fillId="7" borderId="1" xfId="0" applyNumberFormat="1" applyFill="1" applyBorder="1" applyAlignment="1">
      <alignment horizontal="center" vertical="center" wrapText="1"/>
    </xf>
    <xf numFmtId="0" fontId="38" fillId="0" borderId="1" xfId="0" applyFont="1" applyBorder="1" applyAlignment="1">
      <alignment wrapText="1"/>
    </xf>
    <xf numFmtId="17" fontId="3" fillId="5" borderId="9" xfId="0" applyNumberFormat="1" applyFont="1" applyFill="1" applyBorder="1" applyAlignment="1" applyProtection="1">
      <alignment horizontal="center" vertical="center"/>
      <protection locked="0"/>
    </xf>
    <xf numFmtId="0" fontId="41" fillId="0" borderId="1" xfId="0" applyFont="1" applyBorder="1" applyAlignment="1">
      <alignment vertical="center" wrapText="1"/>
    </xf>
    <xf numFmtId="14" fontId="41" fillId="0" borderId="1" xfId="0" applyNumberFormat="1" applyFont="1" applyBorder="1" applyAlignment="1">
      <alignment vertical="center"/>
    </xf>
    <xf numFmtId="0" fontId="37" fillId="0" borderId="1" xfId="3" applyFont="1" applyBorder="1" applyAlignment="1">
      <alignment vertical="center" wrapText="1"/>
    </xf>
    <xf numFmtId="0" fontId="37" fillId="0" borderId="1" xfId="3" applyFont="1" applyBorder="1" applyAlignment="1">
      <alignment horizontal="justify" vertical="top" wrapText="1"/>
    </xf>
    <xf numFmtId="14" fontId="37" fillId="0" borderId="1" xfId="3" quotePrefix="1" applyNumberFormat="1" applyFont="1" applyBorder="1" applyAlignment="1">
      <alignment horizontal="center" vertical="center" wrapText="1"/>
    </xf>
    <xf numFmtId="14" fontId="37" fillId="0" borderId="1" xfId="3" applyNumberFormat="1" applyFont="1" applyBorder="1" applyAlignment="1">
      <alignment horizontal="center" vertical="center" wrapText="1"/>
    </xf>
    <xf numFmtId="0" fontId="37" fillId="0" borderId="1" xfId="3" applyFont="1" applyBorder="1" applyAlignment="1">
      <alignment horizontal="center" vertical="center" wrapText="1"/>
    </xf>
    <xf numFmtId="0" fontId="37" fillId="16" borderId="1" xfId="3" applyFont="1" applyFill="1" applyBorder="1" applyAlignment="1">
      <alignment vertical="center" wrapText="1"/>
    </xf>
    <xf numFmtId="0" fontId="37" fillId="16" borderId="1" xfId="3" applyFont="1" applyFill="1" applyBorder="1" applyAlignment="1">
      <alignment horizontal="center" vertical="center"/>
    </xf>
    <xf numFmtId="0" fontId="43" fillId="0" borderId="59" xfId="3" applyFont="1" applyBorder="1" applyAlignment="1">
      <alignment horizontal="center" vertical="center" wrapText="1"/>
    </xf>
    <xf numFmtId="0" fontId="43" fillId="0" borderId="60" xfId="3" applyFont="1" applyBorder="1" applyAlignment="1">
      <alignment horizontal="center" vertical="center" wrapText="1"/>
    </xf>
    <xf numFmtId="14" fontId="43" fillId="0" borderId="61" xfId="3" quotePrefix="1" applyNumberFormat="1" applyFont="1" applyBorder="1" applyAlignment="1">
      <alignment horizontal="center" vertical="center" wrapText="1"/>
    </xf>
    <xf numFmtId="14" fontId="43" fillId="0" borderId="61" xfId="3" applyNumberFormat="1" applyFont="1" applyBorder="1" applyAlignment="1">
      <alignment horizontal="center" vertical="center" wrapText="1"/>
    </xf>
    <xf numFmtId="14" fontId="43" fillId="0" borderId="62" xfId="3" applyNumberFormat="1" applyFont="1" applyBorder="1" applyAlignment="1">
      <alignment horizontal="center" vertical="center" wrapText="1"/>
    </xf>
    <xf numFmtId="0" fontId="43" fillId="16" borderId="59" xfId="3" applyFont="1" applyFill="1" applyBorder="1" applyAlignment="1">
      <alignment horizontal="center" vertical="center"/>
    </xf>
    <xf numFmtId="0" fontId="43" fillId="16" borderId="60" xfId="3" applyFont="1" applyFill="1" applyBorder="1" applyAlignment="1">
      <alignment horizontal="center" vertical="center"/>
    </xf>
    <xf numFmtId="0" fontId="38" fillId="0" borderId="1" xfId="0" applyFont="1" applyBorder="1" applyAlignment="1">
      <alignment horizontal="left" vertical="center" wrapText="1"/>
    </xf>
    <xf numFmtId="2" fontId="0" fillId="7" borderId="1" xfId="0" applyNumberFormat="1" applyFill="1" applyBorder="1" applyAlignment="1">
      <alignment horizontal="center" vertical="center"/>
    </xf>
    <xf numFmtId="0" fontId="38" fillId="0" borderId="5" xfId="0" applyFont="1" applyBorder="1" applyAlignment="1">
      <alignment horizontal="left" vertical="center" wrapText="1"/>
    </xf>
    <xf numFmtId="164" fontId="44" fillId="0" borderId="16" xfId="10" applyFont="1" applyFill="1" applyBorder="1" applyAlignment="1">
      <alignment horizontal="center" vertical="center" wrapText="1"/>
    </xf>
    <xf numFmtId="0" fontId="5" fillId="9" borderId="48" xfId="0" applyFont="1" applyFill="1" applyBorder="1" applyAlignment="1">
      <alignment horizontal="center" vertical="center"/>
    </xf>
    <xf numFmtId="0" fontId="5" fillId="9" borderId="0" xfId="0" applyFont="1" applyFill="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xf numFmtId="0" fontId="5" fillId="9" borderId="1" xfId="0" applyFont="1" applyFill="1" applyBorder="1" applyAlignment="1">
      <alignment horizontal="center" vertical="center"/>
    </xf>
    <xf numFmtId="0" fontId="0" fillId="0" borderId="0" xfId="0" applyAlignment="1">
      <alignment horizontal="center" vertical="center"/>
    </xf>
    <xf numFmtId="0" fontId="0" fillId="0" borderId="20" xfId="0" applyBorder="1" applyAlignment="1">
      <alignment horizontal="center" vertical="center"/>
    </xf>
    <xf numFmtId="0" fontId="5" fillId="9" borderId="1" xfId="0" applyFont="1" applyFill="1" applyBorder="1" applyAlignment="1">
      <alignment horizontal="center" vertical="center" wrapText="1"/>
    </xf>
    <xf numFmtId="0" fontId="3" fillId="0" borderId="1" xfId="0" applyFont="1" applyBorder="1" applyAlignment="1">
      <alignment horizontal="justify" vertical="center" wrapText="1"/>
    </xf>
    <xf numFmtId="0" fontId="0" fillId="0" borderId="0" xfId="0" applyAlignment="1">
      <alignment horizontal="center"/>
    </xf>
    <xf numFmtId="1" fontId="3" fillId="0" borderId="9"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8" xfId="0" applyNumberFormat="1" applyFont="1" applyBorder="1" applyAlignment="1">
      <alignment horizontal="center" vertical="center" wrapText="1"/>
    </xf>
    <xf numFmtId="0" fontId="0" fillId="0" borderId="1" xfId="0" applyBorder="1" applyAlignment="1">
      <alignment horizontal="center" vertical="center" wrapText="1"/>
    </xf>
    <xf numFmtId="1" fontId="3" fillId="0" borderId="1" xfId="0" applyNumberFormat="1" applyFont="1" applyBorder="1" applyAlignment="1">
      <alignment horizontal="center" vertical="center" wrapText="1"/>
    </xf>
    <xf numFmtId="0" fontId="0" fillId="0" borderId="9"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5" fillId="9" borderId="9"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9" borderId="8" xfId="0" applyFont="1" applyFill="1" applyBorder="1" applyAlignment="1">
      <alignment horizontal="center" vertical="center" wrapText="1"/>
    </xf>
    <xf numFmtId="0" fontId="0" fillId="5" borderId="9"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3" fillId="0" borderId="18"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 xfId="0" applyFont="1" applyBorder="1" applyAlignment="1">
      <alignment horizontal="center" vertical="center" wrapText="1"/>
    </xf>
    <xf numFmtId="2" fontId="18" fillId="13" borderId="2" xfId="1" applyNumberFormat="1" applyFont="1" applyFill="1" applyBorder="1" applyAlignment="1">
      <alignment horizontal="center" vertical="center" wrapText="1"/>
    </xf>
    <xf numFmtId="2" fontId="18" fillId="13" borderId="4" xfId="1" applyNumberFormat="1" applyFont="1" applyFill="1" applyBorder="1" applyAlignment="1">
      <alignment horizontal="center" vertical="center" wrapText="1"/>
    </xf>
    <xf numFmtId="2" fontId="14" fillId="0" borderId="2" xfId="0" applyNumberFormat="1" applyFont="1" applyBorder="1" applyAlignment="1">
      <alignment horizontal="center" vertical="center"/>
    </xf>
    <xf numFmtId="2" fontId="14" fillId="0" borderId="4" xfId="0" applyNumberFormat="1" applyFont="1" applyBorder="1" applyAlignment="1">
      <alignment horizontal="center" vertical="center"/>
    </xf>
    <xf numFmtId="0" fontId="0" fillId="5" borderId="9" xfId="0" applyFill="1" applyBorder="1" applyAlignment="1" applyProtection="1">
      <alignment horizontal="center" vertical="top" wrapText="1"/>
      <protection locked="0"/>
    </xf>
    <xf numFmtId="0" fontId="0" fillId="5" borderId="8" xfId="0" applyFill="1" applyBorder="1" applyAlignment="1" applyProtection="1">
      <alignment horizontal="center" vertical="top"/>
      <protection locked="0"/>
    </xf>
    <xf numFmtId="0" fontId="7" fillId="9" borderId="25" xfId="0" applyFont="1" applyFill="1" applyBorder="1" applyAlignment="1">
      <alignment horizontal="center" vertical="center" wrapText="1"/>
    </xf>
    <xf numFmtId="0" fontId="7" fillId="9" borderId="8" xfId="0" applyFont="1" applyFill="1" applyBorder="1" applyAlignment="1">
      <alignment horizontal="center" vertical="center" wrapText="1"/>
    </xf>
    <xf numFmtId="0" fontId="5" fillId="0" borderId="1" xfId="0" applyFont="1" applyBorder="1" applyAlignment="1">
      <alignment horizontal="justify" vertical="center" wrapText="1"/>
    </xf>
    <xf numFmtId="0" fontId="5" fillId="0" borderId="34" xfId="0" applyFont="1" applyBorder="1" applyAlignment="1">
      <alignment horizontal="justify" vertical="center" wrapText="1"/>
    </xf>
    <xf numFmtId="0" fontId="5" fillId="0" borderId="20" xfId="0" applyFont="1" applyBorder="1" applyAlignment="1">
      <alignment horizontal="justify" vertical="center" wrapText="1"/>
    </xf>
    <xf numFmtId="2" fontId="18" fillId="0" borderId="1" xfId="2"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2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34" fillId="9" borderId="23" xfId="0" applyFont="1" applyFill="1" applyBorder="1" applyAlignment="1">
      <alignment horizontal="center" vertical="center"/>
    </xf>
    <xf numFmtId="0" fontId="34" fillId="9" borderId="24" xfId="0" applyFont="1" applyFill="1" applyBorder="1" applyAlignment="1">
      <alignment horizontal="center" vertical="center"/>
    </xf>
    <xf numFmtId="0" fontId="34" fillId="9" borderId="37" xfId="0" applyFont="1" applyFill="1" applyBorder="1" applyAlignment="1">
      <alignment horizontal="center" vertical="center"/>
    </xf>
    <xf numFmtId="0" fontId="34" fillId="9" borderId="38" xfId="0" applyFont="1" applyFill="1" applyBorder="1" applyAlignment="1">
      <alignment horizontal="center" vertical="center"/>
    </xf>
    <xf numFmtId="0" fontId="33" fillId="9" borderId="1" xfId="0" applyFont="1" applyFill="1" applyBorder="1" applyAlignment="1">
      <alignment horizontal="center" vertical="center" wrapText="1"/>
    </xf>
    <xf numFmtId="0" fontId="5" fillId="9" borderId="24" xfId="0" applyFont="1" applyFill="1" applyBorder="1" applyAlignment="1">
      <alignment horizontal="center" vertical="center"/>
    </xf>
    <xf numFmtId="0" fontId="5" fillId="9" borderId="30" xfId="0" applyFont="1" applyFill="1" applyBorder="1" applyAlignment="1">
      <alignment horizontal="center" vertical="center"/>
    </xf>
    <xf numFmtId="0" fontId="5" fillId="9" borderId="32" xfId="0" applyFont="1" applyFill="1" applyBorder="1" applyAlignment="1">
      <alignment horizontal="center" vertical="center" wrapText="1"/>
    </xf>
    <xf numFmtId="0" fontId="5" fillId="9" borderId="33" xfId="0" applyFont="1" applyFill="1" applyBorder="1" applyAlignment="1">
      <alignment horizontal="center" vertical="center" wrapText="1"/>
    </xf>
    <xf numFmtId="0" fontId="5" fillId="9" borderId="28" xfId="0" applyFont="1" applyFill="1" applyBorder="1" applyAlignment="1">
      <alignment horizontal="center" vertical="center" wrapText="1"/>
    </xf>
    <xf numFmtId="0" fontId="0" fillId="5" borderId="9"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wrapText="1"/>
      <protection locked="0"/>
    </xf>
    <xf numFmtId="0" fontId="5" fillId="0" borderId="36" xfId="0" applyFont="1" applyBorder="1" applyAlignment="1">
      <alignment horizontal="justify" vertical="center" wrapText="1"/>
    </xf>
    <xf numFmtId="0" fontId="5" fillId="0" borderId="39" xfId="0" applyFont="1" applyBorder="1" applyAlignment="1">
      <alignment horizontal="justify" vertical="center" wrapText="1"/>
    </xf>
    <xf numFmtId="0" fontId="5" fillId="0" borderId="1" xfId="0" applyFont="1" applyBorder="1" applyAlignment="1">
      <alignment horizontal="justify" vertical="top" wrapText="1"/>
    </xf>
    <xf numFmtId="0" fontId="5" fillId="9" borderId="32" xfId="0" applyFont="1" applyFill="1" applyBorder="1" applyAlignment="1">
      <alignment horizontal="center" vertical="center"/>
    </xf>
    <xf numFmtId="0" fontId="5" fillId="9" borderId="33" xfId="0" applyFont="1" applyFill="1" applyBorder="1" applyAlignment="1">
      <alignment horizontal="center" vertical="center"/>
    </xf>
    <xf numFmtId="0" fontId="5" fillId="9" borderId="28" xfId="0" applyFont="1" applyFill="1" applyBorder="1" applyAlignment="1">
      <alignment horizontal="center" vertical="center"/>
    </xf>
    <xf numFmtId="0" fontId="5" fillId="0" borderId="25" xfId="0" applyFont="1" applyBorder="1" applyAlignment="1">
      <alignment horizontal="justify" vertical="top" wrapText="1"/>
    </xf>
    <xf numFmtId="0" fontId="5" fillId="0" borderId="8" xfId="0" applyFont="1" applyBorder="1" applyAlignment="1">
      <alignment horizontal="justify" vertical="top" wrapText="1"/>
    </xf>
    <xf numFmtId="0" fontId="32" fillId="0" borderId="1" xfId="0" applyFont="1" applyBorder="1" applyAlignment="1">
      <alignment horizontal="center" vertical="center" wrapText="1"/>
    </xf>
    <xf numFmtId="0" fontId="24" fillId="9" borderId="23" xfId="0" applyFont="1" applyFill="1" applyBorder="1" applyAlignment="1">
      <alignment horizontal="center"/>
    </xf>
    <xf numFmtId="0" fontId="24" fillId="9" borderId="24" xfId="0" applyFont="1" applyFill="1" applyBorder="1" applyAlignment="1">
      <alignment horizontal="center"/>
    </xf>
    <xf numFmtId="0" fontId="24" fillId="9" borderId="30" xfId="0" applyFont="1" applyFill="1" applyBorder="1" applyAlignment="1">
      <alignment horizontal="center"/>
    </xf>
    <xf numFmtId="0" fontId="0" fillId="0" borderId="25"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24" fillId="9" borderId="25" xfId="0" applyFont="1" applyFill="1" applyBorder="1" applyAlignment="1">
      <alignment horizontal="center"/>
    </xf>
    <xf numFmtId="0" fontId="24" fillId="9" borderId="7" xfId="0" applyFont="1" applyFill="1" applyBorder="1" applyAlignment="1">
      <alignment horizontal="center"/>
    </xf>
    <xf numFmtId="0" fontId="24" fillId="9" borderId="14" xfId="0" applyFont="1" applyFill="1" applyBorder="1" applyAlignment="1">
      <alignment horizontal="center"/>
    </xf>
    <xf numFmtId="0" fontId="5" fillId="9" borderId="25" xfId="0" applyFont="1" applyFill="1" applyBorder="1" applyAlignment="1">
      <alignment horizontal="center"/>
    </xf>
    <xf numFmtId="0" fontId="5" fillId="9" borderId="7" xfId="0" applyFont="1" applyFill="1" applyBorder="1" applyAlignment="1">
      <alignment horizontal="center"/>
    </xf>
    <xf numFmtId="0" fontId="5" fillId="9" borderId="9" xfId="0" applyFont="1" applyFill="1" applyBorder="1" applyAlignment="1">
      <alignment horizontal="center"/>
    </xf>
    <xf numFmtId="0" fontId="5" fillId="9" borderId="8" xfId="0" applyFont="1" applyFill="1" applyBorder="1" applyAlignment="1">
      <alignment horizontal="center"/>
    </xf>
    <xf numFmtId="0" fontId="5" fillId="0" borderId="25" xfId="3" applyFont="1" applyBorder="1" applyAlignment="1">
      <alignment horizontal="center" vertical="center" wrapText="1"/>
    </xf>
    <xf numFmtId="0" fontId="5" fillId="0" borderId="7" xfId="3" applyFont="1" applyBorder="1" applyAlignment="1">
      <alignment horizontal="center" vertical="center" wrapText="1"/>
    </xf>
    <xf numFmtId="0" fontId="5" fillId="0" borderId="14" xfId="3" applyFont="1" applyBorder="1" applyAlignment="1">
      <alignment horizontal="center" vertical="center" wrapText="1"/>
    </xf>
    <xf numFmtId="0" fontId="5" fillId="9" borderId="25" xfId="0" applyFont="1" applyFill="1" applyBorder="1" applyAlignment="1">
      <alignment horizontal="center" vertical="center"/>
    </xf>
    <xf numFmtId="0" fontId="5" fillId="9" borderId="7" xfId="0" applyFont="1" applyFill="1" applyBorder="1" applyAlignment="1">
      <alignment horizontal="center" vertical="center"/>
    </xf>
    <xf numFmtId="0" fontId="5" fillId="9" borderId="14" xfId="0" applyFont="1" applyFill="1" applyBorder="1" applyAlignment="1">
      <alignment horizontal="center" vertical="center"/>
    </xf>
    <xf numFmtId="0" fontId="20" fillId="2" borderId="1" xfId="2"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170" fontId="5" fillId="0" borderId="9" xfId="1" applyNumberFormat="1" applyFont="1" applyFill="1" applyBorder="1" applyAlignment="1">
      <alignment horizontal="left" vertical="center" wrapText="1"/>
    </xf>
    <xf numFmtId="170" fontId="5" fillId="0" borderId="7" xfId="1" applyNumberFormat="1" applyFont="1" applyFill="1" applyBorder="1" applyAlignment="1">
      <alignment horizontal="left" vertical="center" wrapText="1"/>
    </xf>
    <xf numFmtId="2" fontId="5" fillId="0" borderId="7" xfId="1" applyNumberFormat="1" applyFont="1" applyFill="1" applyBorder="1" applyAlignment="1">
      <alignment horizontal="left" vertical="center" wrapText="1"/>
    </xf>
    <xf numFmtId="0" fontId="17" fillId="0" borderId="1" xfId="3" applyFont="1" applyBorder="1" applyAlignment="1" applyProtection="1">
      <alignment horizontal="center" vertical="center" wrapText="1"/>
      <protection locked="0"/>
    </xf>
    <xf numFmtId="1" fontId="14" fillId="0" borderId="1" xfId="0" applyNumberFormat="1" applyFont="1" applyBorder="1" applyAlignment="1">
      <alignment horizontal="center" vertical="center"/>
    </xf>
    <xf numFmtId="0" fontId="0" fillId="0" borderId="43" xfId="0" quotePrefix="1" applyBorder="1" applyAlignment="1" applyProtection="1">
      <alignment horizontal="justify" vertical="center" wrapText="1"/>
      <protection locked="0"/>
    </xf>
    <xf numFmtId="0" fontId="0" fillId="0" borderId="41" xfId="0" applyBorder="1" applyAlignment="1" applyProtection="1">
      <alignment horizontal="justify" vertical="center" wrapText="1"/>
      <protection locked="0"/>
    </xf>
    <xf numFmtId="0" fontId="0" fillId="0" borderId="45" xfId="0" applyBorder="1" applyAlignment="1" applyProtection="1">
      <alignment horizontal="justify" vertical="center" wrapText="1"/>
      <protection locked="0"/>
    </xf>
    <xf numFmtId="0" fontId="0" fillId="0" borderId="43" xfId="0" applyBorder="1" applyAlignment="1" applyProtection="1">
      <alignment horizontal="justify" vertical="center" wrapText="1"/>
      <protection locked="0"/>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16" xfId="0" applyBorder="1" applyAlignment="1">
      <alignment horizontal="center" vertical="center" wrapText="1"/>
    </xf>
    <xf numFmtId="171" fontId="0" fillId="0" borderId="11" xfId="0" applyNumberFormat="1" applyBorder="1" applyAlignment="1">
      <alignment horizontal="center" vertical="center" wrapText="1"/>
    </xf>
    <xf numFmtId="42" fontId="0" fillId="0" borderId="11" xfId="1" applyFont="1" applyBorder="1" applyAlignment="1">
      <alignment horizontal="center" vertical="center" wrapText="1"/>
    </xf>
    <xf numFmtId="42" fontId="0" fillId="0" borderId="1" xfId="1" applyFont="1" applyBorder="1" applyAlignment="1">
      <alignment horizontal="center" vertical="center" wrapText="1"/>
    </xf>
    <xf numFmtId="42" fontId="0" fillId="0" borderId="16" xfId="1" applyFont="1" applyBorder="1" applyAlignment="1">
      <alignment horizontal="center"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 xfId="0" applyFont="1" applyBorder="1" applyAlignment="1">
      <alignment horizontal="center"/>
    </xf>
    <xf numFmtId="14" fontId="3" fillId="0" borderId="1" xfId="0" applyNumberFormat="1" applyFont="1" applyBorder="1" applyAlignment="1">
      <alignment horizontal="center"/>
    </xf>
    <xf numFmtId="0" fontId="7" fillId="0" borderId="1" xfId="3" applyFont="1" applyBorder="1" applyAlignment="1">
      <alignment horizontal="center" vertical="center" wrapText="1"/>
    </xf>
    <xf numFmtId="2" fontId="7" fillId="3" borderId="1" xfId="1" applyNumberFormat="1" applyFont="1" applyFill="1" applyBorder="1" applyAlignment="1">
      <alignment horizontal="center" vertical="center" wrapText="1"/>
    </xf>
    <xf numFmtId="0" fontId="19" fillId="6" borderId="1" xfId="0" applyFont="1" applyFill="1" applyBorder="1" applyAlignment="1">
      <alignment horizontal="center"/>
    </xf>
    <xf numFmtId="14" fontId="0" fillId="0" borderId="1" xfId="0" applyNumberFormat="1" applyBorder="1" applyAlignment="1">
      <alignment horizontal="center"/>
    </xf>
    <xf numFmtId="170" fontId="7" fillId="3" borderId="1" xfId="1" applyNumberFormat="1" applyFont="1" applyFill="1" applyBorder="1" applyAlignment="1">
      <alignment horizontal="center" vertical="center" wrapText="1"/>
    </xf>
    <xf numFmtId="0" fontId="16" fillId="6" borderId="1" xfId="0" applyFont="1" applyFill="1" applyBorder="1" applyAlignment="1">
      <alignment horizontal="center"/>
    </xf>
    <xf numFmtId="0" fontId="7" fillId="3" borderId="1" xfId="0" applyFont="1" applyFill="1" applyBorder="1" applyAlignment="1">
      <alignment horizontal="center" vertical="center" wrapText="1"/>
    </xf>
    <xf numFmtId="170"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horizontal="center" vertical="center" wrapText="1"/>
    </xf>
    <xf numFmtId="14" fontId="0" fillId="0" borderId="9" xfId="0" applyNumberFormat="1" applyBorder="1" applyAlignment="1">
      <alignment horizontal="center"/>
    </xf>
    <xf numFmtId="14" fontId="0" fillId="0" borderId="7" xfId="0" applyNumberFormat="1" applyBorder="1" applyAlignment="1">
      <alignment horizontal="center"/>
    </xf>
    <xf numFmtId="14" fontId="0" fillId="0" borderId="8" xfId="0" applyNumberFormat="1" applyBorder="1" applyAlignment="1">
      <alignment horizontal="center"/>
    </xf>
    <xf numFmtId="0" fontId="7" fillId="0" borderId="1" xfId="0" applyFont="1" applyBorder="1" applyAlignment="1">
      <alignment horizontal="center" vertical="center" wrapText="1"/>
    </xf>
    <xf numFmtId="171" fontId="0" fillId="0" borderId="42" xfId="0" applyNumberFormat="1" applyBorder="1" applyAlignment="1">
      <alignment horizontal="center" vertical="center" wrapText="1"/>
    </xf>
    <xf numFmtId="0" fontId="0" fillId="0" borderId="44" xfId="0" applyBorder="1" applyAlignment="1">
      <alignment horizontal="center" vertical="center" wrapText="1"/>
    </xf>
    <xf numFmtId="42" fontId="0" fillId="0" borderId="42" xfId="1" applyFont="1" applyBorder="1" applyAlignment="1">
      <alignment horizontal="center" vertical="center" wrapText="1"/>
    </xf>
    <xf numFmtId="42" fontId="0" fillId="0" borderId="5" xfId="1" applyFont="1" applyBorder="1" applyAlignment="1">
      <alignment horizontal="center" vertical="center" wrapText="1"/>
    </xf>
    <xf numFmtId="42" fontId="0" fillId="0" borderId="44" xfId="1"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4" xfId="0" applyFont="1" applyBorder="1" applyAlignment="1">
      <alignment horizontal="center" vertical="center" wrapText="1"/>
    </xf>
    <xf numFmtId="2" fontId="18" fillId="11" borderId="2" xfId="1" applyNumberFormat="1" applyFont="1" applyFill="1" applyBorder="1" applyAlignment="1">
      <alignment horizontal="center" vertical="center" wrapText="1"/>
    </xf>
    <xf numFmtId="2" fontId="18" fillId="11" borderId="4" xfId="1" applyNumberFormat="1" applyFont="1" applyFill="1" applyBorder="1" applyAlignment="1">
      <alignment horizontal="center" vertical="center" wrapText="1"/>
    </xf>
    <xf numFmtId="0" fontId="38" fillId="5" borderId="9" xfId="0" applyFont="1" applyFill="1" applyBorder="1" applyAlignment="1" applyProtection="1">
      <alignment horizontal="center" wrapText="1"/>
      <protection locked="0"/>
    </xf>
    <xf numFmtId="0" fontId="38" fillId="5" borderId="8" xfId="0" applyFont="1" applyFill="1" applyBorder="1" applyAlignment="1" applyProtection="1">
      <alignment horizontal="center"/>
      <protection locked="0"/>
    </xf>
    <xf numFmtId="0" fontId="38" fillId="5" borderId="8" xfId="0" applyFont="1" applyFill="1" applyBorder="1" applyAlignment="1" applyProtection="1">
      <alignment horizontal="center" wrapText="1"/>
      <protection locked="0"/>
    </xf>
    <xf numFmtId="0" fontId="31" fillId="5" borderId="9" xfId="0" applyFont="1" applyFill="1" applyBorder="1" applyAlignment="1" applyProtection="1">
      <alignment horizontal="center" wrapText="1"/>
      <protection locked="0"/>
    </xf>
    <xf numFmtId="0" fontId="31" fillId="5" borderId="8" xfId="0" applyFont="1" applyFill="1" applyBorder="1" applyAlignment="1" applyProtection="1">
      <alignment horizontal="center" wrapText="1"/>
      <protection locked="0"/>
    </xf>
    <xf numFmtId="0" fontId="0" fillId="5" borderId="9" xfId="0" applyFill="1" applyBorder="1" applyAlignment="1" applyProtection="1">
      <alignment horizontal="center" wrapText="1"/>
      <protection locked="0"/>
    </xf>
    <xf numFmtId="0" fontId="0" fillId="5" borderId="8" xfId="0" applyFill="1" applyBorder="1" applyAlignment="1" applyProtection="1">
      <alignment horizontal="center" wrapText="1"/>
      <protection locked="0"/>
    </xf>
    <xf numFmtId="0" fontId="23" fillId="5" borderId="9" xfId="0" applyFont="1" applyFill="1" applyBorder="1" applyAlignment="1" applyProtection="1">
      <alignment horizontal="center" wrapText="1"/>
      <protection locked="0"/>
    </xf>
    <xf numFmtId="0" fontId="23" fillId="5" borderId="8" xfId="0" applyFont="1" applyFill="1" applyBorder="1" applyAlignment="1" applyProtection="1">
      <alignment horizontal="center"/>
      <protection locked="0"/>
    </xf>
    <xf numFmtId="0" fontId="36" fillId="9" borderId="1" xfId="7" applyFont="1" applyFill="1" applyBorder="1" applyAlignment="1">
      <alignment horizontal="center"/>
    </xf>
    <xf numFmtId="0" fontId="24" fillId="0" borderId="18" xfId="7" applyFont="1" applyBorder="1" applyAlignment="1">
      <alignment horizontal="center" vertical="center"/>
    </xf>
    <xf numFmtId="0" fontId="24" fillId="0" borderId="39" xfId="7" applyFont="1" applyBorder="1" applyAlignment="1">
      <alignment horizontal="center" vertical="center"/>
    </xf>
    <xf numFmtId="0" fontId="24" fillId="0" borderId="19" xfId="7" applyFont="1" applyBorder="1" applyAlignment="1">
      <alignment horizontal="center" vertical="center"/>
    </xf>
    <xf numFmtId="0" fontId="24" fillId="0" borderId="3" xfId="7" applyFont="1" applyBorder="1" applyAlignment="1">
      <alignment horizontal="center" vertical="center"/>
    </xf>
    <xf numFmtId="165" fontId="5" fillId="0" borderId="1" xfId="9" applyNumberFormat="1" applyFont="1" applyFill="1" applyBorder="1" applyAlignment="1">
      <alignment horizontal="center" vertical="center"/>
    </xf>
    <xf numFmtId="0" fontId="24" fillId="0" borderId="1" xfId="7" applyFont="1" applyBorder="1" applyAlignment="1">
      <alignment horizontal="center"/>
    </xf>
    <xf numFmtId="42" fontId="24" fillId="0" borderId="2" xfId="9" applyFont="1" applyFill="1" applyBorder="1" applyAlignment="1">
      <alignment horizontal="center"/>
    </xf>
    <xf numFmtId="0" fontId="24" fillId="0" borderId="48" xfId="7" applyFont="1" applyBorder="1" applyAlignment="1">
      <alignment horizontal="center"/>
    </xf>
    <xf numFmtId="0" fontId="24" fillId="0" borderId="0" xfId="7" applyFont="1" applyAlignment="1">
      <alignment horizontal="center"/>
    </xf>
    <xf numFmtId="0" fontId="24" fillId="0" borderId="39" xfId="7" applyFont="1" applyBorder="1" applyAlignment="1">
      <alignment horizontal="center" vertical="center" wrapText="1"/>
    </xf>
    <xf numFmtId="0" fontId="24" fillId="0" borderId="3" xfId="7" applyFont="1" applyBorder="1" applyAlignment="1">
      <alignment horizontal="center" vertical="center" wrapText="1"/>
    </xf>
    <xf numFmtId="42" fontId="24" fillId="0" borderId="1" xfId="9" applyFont="1" applyFill="1" applyBorder="1" applyAlignment="1">
      <alignment horizontal="center" vertical="center"/>
    </xf>
    <xf numFmtId="0" fontId="24" fillId="0" borderId="48" xfId="7" applyFont="1" applyBorder="1" applyAlignment="1">
      <alignment horizontal="center" vertical="center" wrapText="1"/>
    </xf>
    <xf numFmtId="0" fontId="24" fillId="0" borderId="0" xfId="7" applyFont="1" applyAlignment="1">
      <alignment horizontal="center" vertical="center" wrapText="1"/>
    </xf>
    <xf numFmtId="0" fontId="24" fillId="0" borderId="47" xfId="7" applyFont="1" applyBorder="1" applyAlignment="1">
      <alignment horizontal="center" vertical="center" wrapText="1"/>
    </xf>
    <xf numFmtId="0" fontId="24" fillId="0" borderId="6" xfId="7" applyFont="1" applyBorder="1" applyAlignment="1">
      <alignment horizontal="center" vertical="center" wrapText="1"/>
    </xf>
    <xf numFmtId="0" fontId="23" fillId="0" borderId="1" xfId="7" applyFont="1" applyBorder="1" applyAlignment="1">
      <alignment horizontal="center"/>
    </xf>
    <xf numFmtId="0" fontId="24" fillId="0" borderId="1" xfId="7" applyFont="1" applyBorder="1" applyAlignment="1">
      <alignment horizontal="center" vertical="center" wrapText="1"/>
    </xf>
    <xf numFmtId="0" fontId="24" fillId="0" borderId="48" xfId="7" applyFont="1" applyBorder="1" applyAlignment="1">
      <alignment horizontal="center" wrapText="1"/>
    </xf>
    <xf numFmtId="0" fontId="24" fillId="0" borderId="0" xfId="7" applyFont="1" applyAlignment="1">
      <alignment horizont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6" fillId="6" borderId="18" xfId="0" applyFont="1" applyFill="1" applyBorder="1" applyAlignment="1">
      <alignment horizontal="center" vertical="center"/>
    </xf>
    <xf numFmtId="0" fontId="16" fillId="6" borderId="19" xfId="0" applyFont="1" applyFill="1" applyBorder="1" applyAlignment="1">
      <alignment horizontal="center" vertical="center"/>
    </xf>
    <xf numFmtId="0" fontId="13" fillId="0" borderId="1" xfId="0" applyFont="1" applyBorder="1" applyAlignment="1">
      <alignment horizontal="center" vertical="center" wrapText="1"/>
    </xf>
    <xf numFmtId="0" fontId="13" fillId="0" borderId="31" xfId="0" applyFont="1" applyBorder="1" applyAlignment="1">
      <alignment horizontal="center" vertical="center" wrapText="1"/>
    </xf>
    <xf numFmtId="0" fontId="16" fillId="6" borderId="1" xfId="0" applyFont="1" applyFill="1" applyBorder="1" applyAlignment="1">
      <alignment horizontal="center" vertical="center" wrapText="1"/>
    </xf>
    <xf numFmtId="0" fontId="10" fillId="0" borderId="5" xfId="0" applyFont="1" applyBorder="1" applyAlignment="1">
      <alignment horizontal="center" wrapText="1"/>
    </xf>
    <xf numFmtId="0" fontId="16" fillId="6" borderId="6" xfId="0" applyFont="1" applyFill="1" applyBorder="1" applyAlignment="1">
      <alignment horizontal="center" vertical="center" wrapText="1"/>
    </xf>
    <xf numFmtId="0" fontId="16" fillId="6" borderId="8" xfId="0" applyFont="1" applyFill="1" applyBorder="1" applyAlignment="1">
      <alignment horizontal="center" wrapText="1"/>
    </xf>
    <xf numFmtId="0" fontId="16" fillId="6" borderId="1" xfId="0" applyFont="1" applyFill="1" applyBorder="1" applyAlignment="1">
      <alignment horizontal="center" wrapText="1"/>
    </xf>
    <xf numFmtId="0" fontId="16" fillId="6" borderId="27" xfId="0" applyFont="1" applyFill="1" applyBorder="1" applyAlignment="1">
      <alignment horizontal="center" vertical="center"/>
    </xf>
    <xf numFmtId="0" fontId="16" fillId="6" borderId="35" xfId="0" applyFont="1" applyFill="1" applyBorder="1" applyAlignment="1">
      <alignment horizontal="center" vertical="center"/>
    </xf>
    <xf numFmtId="0" fontId="5" fillId="0" borderId="7" xfId="0" applyFont="1" applyBorder="1" applyAlignment="1">
      <alignment horizontal="center"/>
    </xf>
    <xf numFmtId="0" fontId="13" fillId="0" borderId="1" xfId="0" applyFont="1" applyBorder="1" applyAlignment="1">
      <alignment horizontal="center" vertical="center"/>
    </xf>
    <xf numFmtId="0" fontId="13" fillId="0" borderId="31" xfId="0" applyFont="1" applyBorder="1" applyAlignment="1">
      <alignment horizontal="center" vertical="center"/>
    </xf>
    <xf numFmtId="42" fontId="16" fillId="6" borderId="1" xfId="1" applyFont="1" applyFill="1" applyBorder="1" applyAlignment="1">
      <alignment horizontal="center"/>
    </xf>
    <xf numFmtId="0" fontId="5" fillId="0" borderId="9" xfId="0" applyFont="1" applyBorder="1" applyAlignment="1">
      <alignment horizontal="center" wrapText="1"/>
    </xf>
    <xf numFmtId="0" fontId="5" fillId="0" borderId="8" xfId="0" applyFont="1" applyBorder="1" applyAlignment="1">
      <alignment horizontal="center"/>
    </xf>
    <xf numFmtId="0" fontId="13" fillId="0" borderId="11" xfId="0" applyFont="1" applyBorder="1" applyAlignment="1">
      <alignment horizontal="center" vertical="center" wrapText="1"/>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4" xfId="0" applyFont="1" applyBorder="1" applyAlignment="1">
      <alignment horizontal="center" vertical="center" wrapText="1"/>
    </xf>
    <xf numFmtId="0" fontId="13" fillId="0" borderId="4" xfId="0" applyFont="1" applyBorder="1" applyAlignment="1">
      <alignment horizontal="center" vertical="center"/>
    </xf>
    <xf numFmtId="0" fontId="13" fillId="0" borderId="40" xfId="0" applyFont="1" applyBorder="1" applyAlignment="1">
      <alignment horizontal="center" vertical="center"/>
    </xf>
    <xf numFmtId="0" fontId="16" fillId="6" borderId="9" xfId="0" applyFont="1" applyFill="1" applyBorder="1" applyAlignment="1">
      <alignment horizontal="center" vertical="center"/>
    </xf>
    <xf numFmtId="0" fontId="16" fillId="6" borderId="8" xfId="0" applyFont="1" applyFill="1" applyBorder="1" applyAlignment="1">
      <alignment horizontal="center" vertical="center"/>
    </xf>
    <xf numFmtId="2" fontId="5" fillId="0" borderId="9" xfId="0" applyNumberFormat="1" applyFont="1" applyBorder="1" applyAlignment="1">
      <alignment horizontal="center"/>
    </xf>
    <xf numFmtId="2" fontId="5" fillId="0" borderId="8" xfId="0" applyNumberFormat="1" applyFont="1" applyBorder="1" applyAlignment="1">
      <alignment horizontal="center"/>
    </xf>
    <xf numFmtId="42" fontId="16" fillId="6" borderId="18" xfId="1" applyFont="1" applyFill="1" applyBorder="1" applyAlignment="1">
      <alignment horizontal="center" vertical="center"/>
    </xf>
    <xf numFmtId="42" fontId="16" fillId="6" borderId="39" xfId="1" applyFont="1" applyFill="1" applyBorder="1" applyAlignment="1">
      <alignment horizontal="center" vertical="center"/>
    </xf>
    <xf numFmtId="42" fontId="16" fillId="6" borderId="19" xfId="1" applyFont="1" applyFill="1" applyBorder="1" applyAlignment="1">
      <alignment horizontal="center" vertical="center"/>
    </xf>
    <xf numFmtId="42" fontId="16" fillId="6" borderId="3" xfId="1" applyFont="1" applyFill="1" applyBorder="1" applyAlignment="1">
      <alignment horizontal="center" vertical="center"/>
    </xf>
    <xf numFmtId="0" fontId="5" fillId="0" borderId="18" xfId="0" applyFont="1" applyBorder="1" applyAlignment="1">
      <alignment horizontal="center" vertical="center"/>
    </xf>
    <xf numFmtId="0" fontId="5" fillId="0" borderId="39" xfId="0" applyFont="1" applyBorder="1" applyAlignment="1">
      <alignment horizontal="center" vertical="center"/>
    </xf>
    <xf numFmtId="0" fontId="5" fillId="0" borderId="19"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165" fontId="5" fillId="0" borderId="1" xfId="1" applyNumberFormat="1" applyFont="1" applyFill="1" applyBorder="1" applyAlignment="1">
      <alignment horizontal="center" vertical="center"/>
    </xf>
    <xf numFmtId="0" fontId="27" fillId="0" borderId="7" xfId="0" applyFont="1" applyBorder="1" applyAlignment="1">
      <alignment horizontal="center" vertical="center"/>
    </xf>
    <xf numFmtId="0" fontId="27" fillId="0" borderId="8" xfId="0" applyFont="1" applyBorder="1" applyAlignment="1">
      <alignment horizontal="center" vertical="center"/>
    </xf>
    <xf numFmtId="0" fontId="19" fillId="6" borderId="9" xfId="0" applyFont="1" applyFill="1" applyBorder="1" applyAlignment="1">
      <alignment horizontal="center" vertical="center" wrapText="1"/>
    </xf>
    <xf numFmtId="0" fontId="19" fillId="6" borderId="8" xfId="0" applyFont="1" applyFill="1" applyBorder="1" applyAlignment="1">
      <alignment horizontal="center" vertical="center" wrapText="1"/>
    </xf>
    <xf numFmtId="175" fontId="0" fillId="0" borderId="1" xfId="0" applyNumberFormat="1" applyBorder="1" applyAlignment="1">
      <alignment horizontal="center"/>
    </xf>
    <xf numFmtId="0" fontId="0" fillId="0" borderId="1" xfId="0" applyBorder="1" applyAlignment="1">
      <alignment horizontal="center"/>
    </xf>
    <xf numFmtId="0" fontId="27" fillId="0" borderId="9" xfId="0" applyFont="1" applyBorder="1" applyAlignment="1">
      <alignment horizontal="center" vertical="center"/>
    </xf>
    <xf numFmtId="0" fontId="0" fillId="0" borderId="18"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19" xfId="0" applyBorder="1" applyAlignment="1">
      <alignment horizontal="center"/>
    </xf>
    <xf numFmtId="0" fontId="0" fillId="0" borderId="6" xfId="0" applyBorder="1" applyAlignment="1">
      <alignment horizontal="center"/>
    </xf>
    <xf numFmtId="1" fontId="28" fillId="8" borderId="9" xfId="0" applyNumberFormat="1" applyFont="1" applyFill="1" applyBorder="1" applyAlignment="1">
      <alignment horizontal="center" vertical="center"/>
    </xf>
    <xf numFmtId="1" fontId="28" fillId="8" borderId="7" xfId="0" applyNumberFormat="1" applyFont="1" applyFill="1" applyBorder="1" applyAlignment="1">
      <alignment horizontal="center" vertical="center"/>
    </xf>
    <xf numFmtId="1" fontId="28" fillId="8" borderId="8" xfId="0" applyNumberFormat="1" applyFont="1" applyFill="1" applyBorder="1" applyAlignment="1">
      <alignment horizontal="center" vertical="center"/>
    </xf>
    <xf numFmtId="0" fontId="0" fillId="0" borderId="39" xfId="0" applyBorder="1" applyAlignment="1">
      <alignment horizontal="center"/>
    </xf>
    <xf numFmtId="0" fontId="0" fillId="0" borderId="20" xfId="0" applyBorder="1" applyAlignment="1">
      <alignment horizontal="center"/>
    </xf>
    <xf numFmtId="0" fontId="0" fillId="0" borderId="3" xfId="0" applyBorder="1" applyAlignment="1">
      <alignment horizontal="center"/>
    </xf>
  </cellXfs>
  <cellStyles count="11">
    <cellStyle name="Bueno" xfId="2" builtinId="26"/>
    <cellStyle name="Moneda" xfId="10" builtinId="4"/>
    <cellStyle name="Moneda [0]" xfId="1" builtinId="7"/>
    <cellStyle name="Moneda [0] 2" xfId="5" xr:uid="{24B2D881-DCF5-4B6E-B12D-732303FBB2C2}"/>
    <cellStyle name="Moneda [0] 3" xfId="9" xr:uid="{5ABEC152-4433-493B-BC30-039CEA0595AC}"/>
    <cellStyle name="Normal" xfId="0" builtinId="0"/>
    <cellStyle name="Normal 2" xfId="3" xr:uid="{00000000-0005-0000-0000-000003000000}"/>
    <cellStyle name="Normal 3" xfId="6" xr:uid="{999F6D89-A18D-4FEC-8CD8-3E609FE38463}"/>
    <cellStyle name="Normal 5" xfId="7" xr:uid="{F07E88F3-F7C1-4A54-8C96-0697EC2062A4}"/>
    <cellStyle name="Porcentaje" xfId="4" builtinId="5"/>
    <cellStyle name="Porcentaje 3" xfId="8" xr:uid="{65EDF69F-6DA1-4E51-8B56-1ECE7B609C29}"/>
  </cellStyles>
  <dxfs count="1541">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ill>
        <patternFill>
          <bgColor rgb="FFFFFF99"/>
        </patternFill>
      </fill>
    </dxf>
    <dxf>
      <fill>
        <patternFill>
          <bgColor theme="0" tint="-0.14996795556505021"/>
        </patternFill>
      </fill>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ill>
        <patternFill>
          <bgColor rgb="FFFFFF99"/>
        </patternFill>
      </fill>
    </dxf>
    <dxf>
      <fill>
        <patternFill>
          <bgColor theme="0" tint="-0.14996795556505021"/>
        </patternFill>
      </fill>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ill>
        <patternFill>
          <bgColor rgb="FFFFFF99"/>
        </patternFill>
      </fill>
    </dxf>
    <dxf>
      <fill>
        <patternFill>
          <bgColor theme="0" tint="-0.14996795556505021"/>
        </patternFill>
      </fill>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ill>
        <patternFill>
          <bgColor rgb="FFFFFF99"/>
        </patternFill>
      </fill>
    </dxf>
    <dxf>
      <fill>
        <patternFill>
          <bgColor theme="0" tint="-0.14996795556505021"/>
        </patternFill>
      </fill>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9C0006"/>
      </font>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ont>
        <color rgb="FF9C0006"/>
      </font>
    </dxf>
    <dxf>
      <font>
        <color rgb="FF00B050"/>
      </font>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ill>
        <patternFill>
          <bgColor rgb="FFFFFF99"/>
        </patternFill>
      </fill>
    </dxf>
    <dxf>
      <fill>
        <patternFill>
          <bgColor theme="0" tint="-0.14996795556505021"/>
        </patternFill>
      </fill>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ont>
        <color rgb="FF00B050"/>
      </font>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9C0006"/>
      </font>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9C0006"/>
      </font>
    </dxf>
    <dxf>
      <fill>
        <patternFill>
          <bgColor rgb="FFFFFF99"/>
        </patternFill>
      </fill>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font>
      <fill>
        <patternFill>
          <bgColor theme="8" tint="0.59996337778862885"/>
        </patternFill>
      </fill>
    </dxf>
    <dxf>
      <font>
        <color rgb="FF9C0006"/>
      </font>
      <fill>
        <patternFill>
          <bgColor rgb="FFFFC7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font>
      <fill>
        <patternFill>
          <bgColor theme="8" tint="0.59996337778862885"/>
        </patternFill>
      </fill>
    </dxf>
    <dxf>
      <font>
        <color rgb="FF9C0006"/>
      </font>
      <fill>
        <patternFill>
          <bgColor rgb="FFFFC7CE"/>
        </patternFill>
      </fill>
    </dxf>
    <dxf>
      <font>
        <b/>
        <i val="0"/>
      </font>
      <fill>
        <patternFill>
          <bgColor theme="8" tint="0.59996337778862885"/>
        </patternFill>
      </fill>
    </dxf>
    <dxf>
      <font>
        <color rgb="FF9C0006"/>
      </font>
      <fill>
        <patternFill>
          <bgColor rgb="FFFFC7CE"/>
        </patternFill>
      </fill>
    </dxf>
    <dxf>
      <font>
        <b/>
        <i val="0"/>
      </font>
      <fill>
        <patternFill>
          <bgColor theme="8" tint="0.59996337778862885"/>
        </patternFill>
      </fill>
    </dxf>
    <dxf>
      <font>
        <color rgb="FF9C0006"/>
      </font>
      <fill>
        <patternFill>
          <bgColor rgb="FFFFC7CE"/>
        </patternFill>
      </fill>
    </dxf>
    <dxf>
      <font>
        <b/>
        <i val="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jpeg"/><Relationship Id="rId18" Type="http://schemas.openxmlformats.org/officeDocument/2006/relationships/image" Target="../media/image19.jpeg"/><Relationship Id="rId26" Type="http://schemas.openxmlformats.org/officeDocument/2006/relationships/image" Target="../media/image27.png"/><Relationship Id="rId3" Type="http://schemas.openxmlformats.org/officeDocument/2006/relationships/image" Target="../media/image4.jpeg"/><Relationship Id="rId21" Type="http://schemas.openxmlformats.org/officeDocument/2006/relationships/image" Target="../media/image22.png"/><Relationship Id="rId7" Type="http://schemas.openxmlformats.org/officeDocument/2006/relationships/image" Target="../media/image8.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2" Type="http://schemas.openxmlformats.org/officeDocument/2006/relationships/image" Target="../media/image3.jpeg"/><Relationship Id="rId16" Type="http://schemas.openxmlformats.org/officeDocument/2006/relationships/image" Target="../media/image17.png"/><Relationship Id="rId20" Type="http://schemas.openxmlformats.org/officeDocument/2006/relationships/image" Target="../media/image21.jpeg"/><Relationship Id="rId1" Type="http://schemas.openxmlformats.org/officeDocument/2006/relationships/image" Target="../media/image2.jpeg"/><Relationship Id="rId6" Type="http://schemas.openxmlformats.org/officeDocument/2006/relationships/image" Target="../media/image7.png"/><Relationship Id="rId11" Type="http://schemas.openxmlformats.org/officeDocument/2006/relationships/image" Target="../media/image12.png"/><Relationship Id="rId24" Type="http://schemas.openxmlformats.org/officeDocument/2006/relationships/image" Target="../media/image25.png"/><Relationship Id="rId5" Type="http://schemas.openxmlformats.org/officeDocument/2006/relationships/image" Target="../media/image6.png"/><Relationship Id="rId15" Type="http://schemas.openxmlformats.org/officeDocument/2006/relationships/image" Target="../media/image16.png"/><Relationship Id="rId23" Type="http://schemas.openxmlformats.org/officeDocument/2006/relationships/image" Target="../media/image24.png"/><Relationship Id="rId28" Type="http://schemas.openxmlformats.org/officeDocument/2006/relationships/image" Target="../media/image29.png"/><Relationship Id="rId10" Type="http://schemas.openxmlformats.org/officeDocument/2006/relationships/image" Target="../media/image11.pn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png"/><Relationship Id="rId14" Type="http://schemas.openxmlformats.org/officeDocument/2006/relationships/image" Target="../media/image15.jpeg"/><Relationship Id="rId22" Type="http://schemas.openxmlformats.org/officeDocument/2006/relationships/image" Target="../media/image23.png"/><Relationship Id="rId27" Type="http://schemas.openxmlformats.org/officeDocument/2006/relationships/image" Target="../media/image28.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222316</xdr:colOff>
      <xdr:row>3</xdr:row>
      <xdr:rowOff>206235</xdr:rowOff>
    </xdr:from>
    <xdr:to>
      <xdr:col>1</xdr:col>
      <xdr:colOff>2423112</xdr:colOff>
      <xdr:row>4</xdr:row>
      <xdr:rowOff>244929</xdr:rowOff>
    </xdr:to>
    <xdr:pic>
      <xdr:nvPicPr>
        <xdr:cNvPr id="2" name="Imagen 1">
          <a:extLst>
            <a:ext uri="{FF2B5EF4-FFF2-40B4-BE49-F238E27FC236}">
              <a16:creationId xmlns:a16="http://schemas.microsoft.com/office/drawing/2014/main" id="{31F28FEB-64C8-463B-B6DF-67CF64E1C5EE}"/>
            </a:ext>
          </a:extLst>
        </xdr:cNvPr>
        <xdr:cNvPicPr>
          <a:picLocks noChangeAspect="1"/>
        </xdr:cNvPicPr>
      </xdr:nvPicPr>
      <xdr:blipFill rotWithShape="1">
        <a:blip xmlns:r="http://schemas.openxmlformats.org/officeDocument/2006/relationships" r:embed="rId1"/>
        <a:srcRect l="24137" t="48182" r="56472" b="38879"/>
        <a:stretch/>
      </xdr:blipFill>
      <xdr:spPr>
        <a:xfrm>
          <a:off x="222316" y="804949"/>
          <a:ext cx="2641940" cy="9775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478220</xdr:colOff>
      <xdr:row>3</xdr:row>
      <xdr:rowOff>265925</xdr:rowOff>
    </xdr:from>
    <xdr:to>
      <xdr:col>1</xdr:col>
      <xdr:colOff>2949625</xdr:colOff>
      <xdr:row>4</xdr:row>
      <xdr:rowOff>420662</xdr:rowOff>
    </xdr:to>
    <xdr:pic>
      <xdr:nvPicPr>
        <xdr:cNvPr id="4" name="Imagen 3">
          <a:extLst>
            <a:ext uri="{FF2B5EF4-FFF2-40B4-BE49-F238E27FC236}">
              <a16:creationId xmlns:a16="http://schemas.microsoft.com/office/drawing/2014/main" id="{969FBE42-6E7F-4924-9B62-F763F8BEC20C}"/>
            </a:ext>
          </a:extLst>
        </xdr:cNvPr>
        <xdr:cNvPicPr>
          <a:picLocks noChangeAspect="1"/>
        </xdr:cNvPicPr>
      </xdr:nvPicPr>
      <xdr:blipFill rotWithShape="1">
        <a:blip xmlns:r="http://schemas.openxmlformats.org/officeDocument/2006/relationships" r:embed="rId1"/>
        <a:srcRect l="24137" t="48182" r="56472" b="38879"/>
        <a:stretch/>
      </xdr:blipFill>
      <xdr:spPr>
        <a:xfrm>
          <a:off x="478220" y="885050"/>
          <a:ext cx="2959720" cy="109136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0</xdr:colOff>
      <xdr:row>8</xdr:row>
      <xdr:rowOff>0</xdr:rowOff>
    </xdr:from>
    <xdr:to>
      <xdr:col>3</xdr:col>
      <xdr:colOff>304800</xdr:colOff>
      <xdr:row>8</xdr:row>
      <xdr:rowOff>304800</xdr:rowOff>
    </xdr:to>
    <xdr:sp macro="" textlink="">
      <xdr:nvSpPr>
        <xdr:cNvPr id="61445" name="AutoShape 5">
          <a:extLst>
            <a:ext uri="{FF2B5EF4-FFF2-40B4-BE49-F238E27FC236}">
              <a16:creationId xmlns:a16="http://schemas.microsoft.com/office/drawing/2014/main" id="{3EB0B48F-EDA6-AB9C-23CC-CD29735BB61B}"/>
            </a:ext>
          </a:extLst>
        </xdr:cNvPr>
        <xdr:cNvSpPr>
          <a:spLocks noChangeAspect="1" noChangeArrowheads="1"/>
        </xdr:cNvSpPr>
      </xdr:nvSpPr>
      <xdr:spPr bwMode="auto">
        <a:xfrm>
          <a:off x="2887980" y="102641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22861</xdr:colOff>
      <xdr:row>8</xdr:row>
      <xdr:rowOff>45720</xdr:rowOff>
    </xdr:from>
    <xdr:to>
      <xdr:col>3</xdr:col>
      <xdr:colOff>2989285</xdr:colOff>
      <xdr:row>8</xdr:row>
      <xdr:rowOff>1581150</xdr:rowOff>
    </xdr:to>
    <xdr:pic>
      <xdr:nvPicPr>
        <xdr:cNvPr id="3" name="Imagen 2">
          <a:extLst>
            <a:ext uri="{FF2B5EF4-FFF2-40B4-BE49-F238E27FC236}">
              <a16:creationId xmlns:a16="http://schemas.microsoft.com/office/drawing/2014/main" id="{DB0827AC-581D-1AF7-9645-3119B165E7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0841" y="10309860"/>
          <a:ext cx="2966424" cy="1524000"/>
        </a:xfrm>
        <a:prstGeom prst="rect">
          <a:avLst/>
        </a:prstGeom>
      </xdr:spPr>
    </xdr:pic>
    <xdr:clientData/>
  </xdr:twoCellAnchor>
  <xdr:twoCellAnchor editAs="oneCell">
    <xdr:from>
      <xdr:col>3</xdr:col>
      <xdr:colOff>15240</xdr:colOff>
      <xdr:row>9</xdr:row>
      <xdr:rowOff>22860</xdr:rowOff>
    </xdr:from>
    <xdr:to>
      <xdr:col>3</xdr:col>
      <xdr:colOff>3030367</xdr:colOff>
      <xdr:row>9</xdr:row>
      <xdr:rowOff>1653540</xdr:rowOff>
    </xdr:to>
    <xdr:pic>
      <xdr:nvPicPr>
        <xdr:cNvPr id="5" name="Imagen 4">
          <a:extLst>
            <a:ext uri="{FF2B5EF4-FFF2-40B4-BE49-F238E27FC236}">
              <a16:creationId xmlns:a16="http://schemas.microsoft.com/office/drawing/2014/main" id="{48DE5D56-D150-9C6C-A7C5-C649F953299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903220" y="11910060"/>
          <a:ext cx="3007507" cy="1638300"/>
        </a:xfrm>
        <a:prstGeom prst="rect">
          <a:avLst/>
        </a:prstGeom>
      </xdr:spPr>
    </xdr:pic>
    <xdr:clientData/>
  </xdr:twoCellAnchor>
  <xdr:twoCellAnchor editAs="oneCell">
    <xdr:from>
      <xdr:col>3</xdr:col>
      <xdr:colOff>36766</xdr:colOff>
      <xdr:row>10</xdr:row>
      <xdr:rowOff>106680</xdr:rowOff>
    </xdr:from>
    <xdr:to>
      <xdr:col>3</xdr:col>
      <xdr:colOff>3025140</xdr:colOff>
      <xdr:row>11</xdr:row>
      <xdr:rowOff>1048</xdr:rowOff>
    </xdr:to>
    <xdr:pic>
      <xdr:nvPicPr>
        <xdr:cNvPr id="7" name="Imagen 6">
          <a:extLst>
            <a:ext uri="{FF2B5EF4-FFF2-40B4-BE49-F238E27FC236}">
              <a16:creationId xmlns:a16="http://schemas.microsoft.com/office/drawing/2014/main" id="{9EA65D11-8AC2-1364-E2C3-AC70F4EA63E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924746" y="13700760"/>
          <a:ext cx="2988374" cy="1666018"/>
        </a:xfrm>
        <a:prstGeom prst="rect">
          <a:avLst/>
        </a:prstGeom>
      </xdr:spPr>
    </xdr:pic>
    <xdr:clientData/>
  </xdr:twoCellAnchor>
  <xdr:twoCellAnchor editAs="oneCell">
    <xdr:from>
      <xdr:col>3</xdr:col>
      <xdr:colOff>38100</xdr:colOff>
      <xdr:row>11</xdr:row>
      <xdr:rowOff>60960</xdr:rowOff>
    </xdr:from>
    <xdr:to>
      <xdr:col>3</xdr:col>
      <xdr:colOff>3026528</xdr:colOff>
      <xdr:row>11</xdr:row>
      <xdr:rowOff>1735455</xdr:rowOff>
    </xdr:to>
    <xdr:pic>
      <xdr:nvPicPr>
        <xdr:cNvPr id="9" name="Imagen 8">
          <a:extLst>
            <a:ext uri="{FF2B5EF4-FFF2-40B4-BE49-F238E27FC236}">
              <a16:creationId xmlns:a16="http://schemas.microsoft.com/office/drawing/2014/main" id="{3C492C65-3035-CBC1-5CFC-0FCF668D873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926080" y="15430500"/>
          <a:ext cx="2996048" cy="1684020"/>
        </a:xfrm>
        <a:prstGeom prst="rect">
          <a:avLst/>
        </a:prstGeom>
      </xdr:spPr>
    </xdr:pic>
    <xdr:clientData/>
  </xdr:twoCellAnchor>
  <xdr:twoCellAnchor editAs="oneCell">
    <xdr:from>
      <xdr:col>3</xdr:col>
      <xdr:colOff>28623</xdr:colOff>
      <xdr:row>3</xdr:row>
      <xdr:rowOff>30480</xdr:rowOff>
    </xdr:from>
    <xdr:to>
      <xdr:col>3</xdr:col>
      <xdr:colOff>3048001</xdr:colOff>
      <xdr:row>3</xdr:row>
      <xdr:rowOff>1545882</xdr:rowOff>
    </xdr:to>
    <xdr:pic>
      <xdr:nvPicPr>
        <xdr:cNvPr id="11" name="Imagen 10">
          <a:extLst>
            <a:ext uri="{FF2B5EF4-FFF2-40B4-BE49-F238E27FC236}">
              <a16:creationId xmlns:a16="http://schemas.microsoft.com/office/drawing/2014/main" id="{97488B25-714E-424F-5AF9-1B85299E74A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16603" y="579120"/>
          <a:ext cx="3019378" cy="1521117"/>
        </a:xfrm>
        <a:prstGeom prst="rect">
          <a:avLst/>
        </a:prstGeom>
      </xdr:spPr>
    </xdr:pic>
    <xdr:clientData/>
  </xdr:twoCellAnchor>
  <xdr:twoCellAnchor editAs="oneCell">
    <xdr:from>
      <xdr:col>3</xdr:col>
      <xdr:colOff>53341</xdr:colOff>
      <xdr:row>33</xdr:row>
      <xdr:rowOff>53341</xdr:rowOff>
    </xdr:from>
    <xdr:to>
      <xdr:col>3</xdr:col>
      <xdr:colOff>2987040</xdr:colOff>
      <xdr:row>33</xdr:row>
      <xdr:rowOff>1484320</xdr:rowOff>
    </xdr:to>
    <xdr:pic>
      <xdr:nvPicPr>
        <xdr:cNvPr id="4" name="Imagen 3">
          <a:extLst>
            <a:ext uri="{FF2B5EF4-FFF2-40B4-BE49-F238E27FC236}">
              <a16:creationId xmlns:a16="http://schemas.microsoft.com/office/drawing/2014/main" id="{8407406B-8D48-2C6D-8673-B21151727EB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939416" y="57670066"/>
          <a:ext cx="2933699" cy="1430979"/>
        </a:xfrm>
        <a:prstGeom prst="rect">
          <a:avLst/>
        </a:prstGeom>
      </xdr:spPr>
    </xdr:pic>
    <xdr:clientData/>
  </xdr:twoCellAnchor>
  <xdr:twoCellAnchor editAs="oneCell">
    <xdr:from>
      <xdr:col>3</xdr:col>
      <xdr:colOff>59026</xdr:colOff>
      <xdr:row>34</xdr:row>
      <xdr:rowOff>110490</xdr:rowOff>
    </xdr:from>
    <xdr:to>
      <xdr:col>3</xdr:col>
      <xdr:colOff>3029460</xdr:colOff>
      <xdr:row>34</xdr:row>
      <xdr:rowOff>1731645</xdr:rowOff>
    </xdr:to>
    <xdr:pic>
      <xdr:nvPicPr>
        <xdr:cNvPr id="8" name="Imagen 7">
          <a:extLst>
            <a:ext uri="{FF2B5EF4-FFF2-40B4-BE49-F238E27FC236}">
              <a16:creationId xmlns:a16="http://schemas.microsoft.com/office/drawing/2014/main" id="{A81489B7-FABD-BF80-A9B8-AD00F5C24FF4}"/>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945101" y="59279790"/>
          <a:ext cx="2970434" cy="1632585"/>
        </a:xfrm>
        <a:prstGeom prst="rect">
          <a:avLst/>
        </a:prstGeom>
      </xdr:spPr>
    </xdr:pic>
    <xdr:clientData/>
  </xdr:twoCellAnchor>
  <xdr:twoCellAnchor editAs="oneCell">
    <xdr:from>
      <xdr:col>3</xdr:col>
      <xdr:colOff>17145</xdr:colOff>
      <xdr:row>16</xdr:row>
      <xdr:rowOff>43815</xdr:rowOff>
    </xdr:from>
    <xdr:to>
      <xdr:col>3</xdr:col>
      <xdr:colOff>3030855</xdr:colOff>
      <xdr:row>16</xdr:row>
      <xdr:rowOff>1337241</xdr:rowOff>
    </xdr:to>
    <xdr:pic>
      <xdr:nvPicPr>
        <xdr:cNvPr id="10" name="Imagen 9">
          <a:extLst>
            <a:ext uri="{FF2B5EF4-FFF2-40B4-BE49-F238E27FC236}">
              <a16:creationId xmlns:a16="http://schemas.microsoft.com/office/drawing/2014/main" id="{F933925C-51F4-F85F-A631-EA1771B8934C}"/>
            </a:ext>
          </a:extLst>
        </xdr:cNvPr>
        <xdr:cNvPicPr>
          <a:picLocks noChangeAspect="1"/>
        </xdr:cNvPicPr>
      </xdr:nvPicPr>
      <xdr:blipFill>
        <a:blip xmlns:r="http://schemas.openxmlformats.org/officeDocument/2006/relationships" r:embed="rId8"/>
        <a:stretch>
          <a:fillRect/>
        </a:stretch>
      </xdr:blipFill>
      <xdr:spPr>
        <a:xfrm>
          <a:off x="2903220" y="24627840"/>
          <a:ext cx="3013710" cy="1293426"/>
        </a:xfrm>
        <a:prstGeom prst="rect">
          <a:avLst/>
        </a:prstGeom>
      </xdr:spPr>
    </xdr:pic>
    <xdr:clientData/>
  </xdr:twoCellAnchor>
  <xdr:twoCellAnchor editAs="oneCell">
    <xdr:from>
      <xdr:col>3</xdr:col>
      <xdr:colOff>47625</xdr:colOff>
      <xdr:row>17</xdr:row>
      <xdr:rowOff>45671</xdr:rowOff>
    </xdr:from>
    <xdr:to>
      <xdr:col>3</xdr:col>
      <xdr:colOff>3044190</xdr:colOff>
      <xdr:row>17</xdr:row>
      <xdr:rowOff>1273964</xdr:rowOff>
    </xdr:to>
    <xdr:pic>
      <xdr:nvPicPr>
        <xdr:cNvPr id="12" name="Imagen 11">
          <a:extLst>
            <a:ext uri="{FF2B5EF4-FFF2-40B4-BE49-F238E27FC236}">
              <a16:creationId xmlns:a16="http://schemas.microsoft.com/office/drawing/2014/main" id="{A5860B2A-0F80-0A1E-EAB6-D071818AA16A}"/>
            </a:ext>
          </a:extLst>
        </xdr:cNvPr>
        <xdr:cNvPicPr>
          <a:picLocks noChangeAspect="1"/>
        </xdr:cNvPicPr>
      </xdr:nvPicPr>
      <xdr:blipFill>
        <a:blip xmlns:r="http://schemas.openxmlformats.org/officeDocument/2006/relationships" r:embed="rId9"/>
        <a:stretch>
          <a:fillRect/>
        </a:stretch>
      </xdr:blipFill>
      <xdr:spPr>
        <a:xfrm>
          <a:off x="2933700" y="26020346"/>
          <a:ext cx="2996565" cy="1220673"/>
        </a:xfrm>
        <a:prstGeom prst="rect">
          <a:avLst/>
        </a:prstGeom>
      </xdr:spPr>
    </xdr:pic>
    <xdr:clientData/>
  </xdr:twoCellAnchor>
  <xdr:twoCellAnchor editAs="oneCell">
    <xdr:from>
      <xdr:col>3</xdr:col>
      <xdr:colOff>59142</xdr:colOff>
      <xdr:row>18</xdr:row>
      <xdr:rowOff>91440</xdr:rowOff>
    </xdr:from>
    <xdr:to>
      <xdr:col>3</xdr:col>
      <xdr:colOff>3009900</xdr:colOff>
      <xdr:row>18</xdr:row>
      <xdr:rowOff>1274902</xdr:rowOff>
    </xdr:to>
    <xdr:pic>
      <xdr:nvPicPr>
        <xdr:cNvPr id="13" name="Imagen 12">
          <a:extLst>
            <a:ext uri="{FF2B5EF4-FFF2-40B4-BE49-F238E27FC236}">
              <a16:creationId xmlns:a16="http://schemas.microsoft.com/office/drawing/2014/main" id="{3299D294-F88F-63A6-4F71-C24FB45C023A}"/>
            </a:ext>
          </a:extLst>
        </xdr:cNvPr>
        <xdr:cNvPicPr>
          <a:picLocks noChangeAspect="1"/>
        </xdr:cNvPicPr>
      </xdr:nvPicPr>
      <xdr:blipFill>
        <a:blip xmlns:r="http://schemas.openxmlformats.org/officeDocument/2006/relationships" r:embed="rId10"/>
        <a:stretch>
          <a:fillRect/>
        </a:stretch>
      </xdr:blipFill>
      <xdr:spPr>
        <a:xfrm>
          <a:off x="2945217" y="27399615"/>
          <a:ext cx="2950758" cy="1194892"/>
        </a:xfrm>
        <a:prstGeom prst="rect">
          <a:avLst/>
        </a:prstGeom>
      </xdr:spPr>
    </xdr:pic>
    <xdr:clientData/>
  </xdr:twoCellAnchor>
  <xdr:twoCellAnchor editAs="oneCell">
    <xdr:from>
      <xdr:col>3</xdr:col>
      <xdr:colOff>5715</xdr:colOff>
      <xdr:row>19</xdr:row>
      <xdr:rowOff>20955</xdr:rowOff>
    </xdr:from>
    <xdr:to>
      <xdr:col>4</xdr:col>
      <xdr:colOff>2802</xdr:colOff>
      <xdr:row>19</xdr:row>
      <xdr:rowOff>1163955</xdr:rowOff>
    </xdr:to>
    <xdr:pic>
      <xdr:nvPicPr>
        <xdr:cNvPr id="14" name="Imagen 13">
          <a:extLst>
            <a:ext uri="{FF2B5EF4-FFF2-40B4-BE49-F238E27FC236}">
              <a16:creationId xmlns:a16="http://schemas.microsoft.com/office/drawing/2014/main" id="{AD241C68-57FF-9966-3853-9BBB004BFD14}"/>
            </a:ext>
          </a:extLst>
        </xdr:cNvPr>
        <xdr:cNvPicPr>
          <a:picLocks noChangeAspect="1"/>
        </xdr:cNvPicPr>
      </xdr:nvPicPr>
      <xdr:blipFill>
        <a:blip xmlns:r="http://schemas.openxmlformats.org/officeDocument/2006/relationships" r:embed="rId11"/>
        <a:stretch>
          <a:fillRect/>
        </a:stretch>
      </xdr:blipFill>
      <xdr:spPr>
        <a:xfrm>
          <a:off x="2891790" y="28348305"/>
          <a:ext cx="3064137" cy="1143000"/>
        </a:xfrm>
        <a:prstGeom prst="rect">
          <a:avLst/>
        </a:prstGeom>
      </xdr:spPr>
    </xdr:pic>
    <xdr:clientData/>
  </xdr:twoCellAnchor>
  <xdr:twoCellAnchor editAs="oneCell">
    <xdr:from>
      <xdr:col>3</xdr:col>
      <xdr:colOff>53340</xdr:colOff>
      <xdr:row>4</xdr:row>
      <xdr:rowOff>28679</xdr:rowOff>
    </xdr:from>
    <xdr:to>
      <xdr:col>3</xdr:col>
      <xdr:colOff>3009900</xdr:colOff>
      <xdr:row>4</xdr:row>
      <xdr:rowOff>1540358</xdr:rowOff>
    </xdr:to>
    <xdr:pic>
      <xdr:nvPicPr>
        <xdr:cNvPr id="15" name="Imagen 14">
          <a:extLst>
            <a:ext uri="{FF2B5EF4-FFF2-40B4-BE49-F238E27FC236}">
              <a16:creationId xmlns:a16="http://schemas.microsoft.com/office/drawing/2014/main" id="{0F7ACEF2-08E4-211A-6BDD-59C77303F3DB}"/>
            </a:ext>
          </a:extLst>
        </xdr:cNvPr>
        <xdr:cNvPicPr>
          <a:picLocks noChangeAspect="1"/>
        </xdr:cNvPicPr>
      </xdr:nvPicPr>
      <xdr:blipFill>
        <a:blip xmlns:r="http://schemas.openxmlformats.org/officeDocument/2006/relationships" r:embed="rId12"/>
        <a:stretch>
          <a:fillRect/>
        </a:stretch>
      </xdr:blipFill>
      <xdr:spPr>
        <a:xfrm>
          <a:off x="2939415" y="2171804"/>
          <a:ext cx="2956560" cy="1502154"/>
        </a:xfrm>
        <a:prstGeom prst="rect">
          <a:avLst/>
        </a:prstGeom>
      </xdr:spPr>
    </xdr:pic>
    <xdr:clientData/>
  </xdr:twoCellAnchor>
  <xdr:twoCellAnchor editAs="oneCell">
    <xdr:from>
      <xdr:col>3</xdr:col>
      <xdr:colOff>38101</xdr:colOff>
      <xdr:row>28</xdr:row>
      <xdr:rowOff>26671</xdr:rowOff>
    </xdr:from>
    <xdr:to>
      <xdr:col>4</xdr:col>
      <xdr:colOff>1</xdr:colOff>
      <xdr:row>28</xdr:row>
      <xdr:rowOff>1546281</xdr:rowOff>
    </xdr:to>
    <xdr:pic>
      <xdr:nvPicPr>
        <xdr:cNvPr id="17" name="Imagen 16">
          <a:extLst>
            <a:ext uri="{FF2B5EF4-FFF2-40B4-BE49-F238E27FC236}">
              <a16:creationId xmlns:a16="http://schemas.microsoft.com/office/drawing/2014/main" id="{844A5C3D-FEEF-67CC-DA61-922055F681BF}"/>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924176" y="45118021"/>
          <a:ext cx="3028950" cy="1529135"/>
        </a:xfrm>
        <a:prstGeom prst="rect">
          <a:avLst/>
        </a:prstGeom>
      </xdr:spPr>
    </xdr:pic>
    <xdr:clientData/>
  </xdr:twoCellAnchor>
  <xdr:twoCellAnchor editAs="oneCell">
    <xdr:from>
      <xdr:col>3</xdr:col>
      <xdr:colOff>15241</xdr:colOff>
      <xdr:row>31</xdr:row>
      <xdr:rowOff>28576</xdr:rowOff>
    </xdr:from>
    <xdr:to>
      <xdr:col>3</xdr:col>
      <xdr:colOff>3051207</xdr:colOff>
      <xdr:row>31</xdr:row>
      <xdr:rowOff>1653541</xdr:rowOff>
    </xdr:to>
    <xdr:pic>
      <xdr:nvPicPr>
        <xdr:cNvPr id="19" name="Imagen 18">
          <a:extLst>
            <a:ext uri="{FF2B5EF4-FFF2-40B4-BE49-F238E27FC236}">
              <a16:creationId xmlns:a16="http://schemas.microsoft.com/office/drawing/2014/main" id="{F96DDB93-3ED5-9613-0CBA-7C090932F1BB}"/>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901316" y="50587276"/>
          <a:ext cx="3035966" cy="1615440"/>
        </a:xfrm>
        <a:prstGeom prst="rect">
          <a:avLst/>
        </a:prstGeom>
      </xdr:spPr>
    </xdr:pic>
    <xdr:clientData/>
  </xdr:twoCellAnchor>
  <xdr:twoCellAnchor editAs="oneCell">
    <xdr:from>
      <xdr:col>3</xdr:col>
      <xdr:colOff>49529</xdr:colOff>
      <xdr:row>5</xdr:row>
      <xdr:rowOff>51156</xdr:rowOff>
    </xdr:from>
    <xdr:to>
      <xdr:col>4</xdr:col>
      <xdr:colOff>0</xdr:colOff>
      <xdr:row>5</xdr:row>
      <xdr:rowOff>1600951</xdr:rowOff>
    </xdr:to>
    <xdr:pic>
      <xdr:nvPicPr>
        <xdr:cNvPr id="2" name="Imagen 1">
          <a:extLst>
            <a:ext uri="{FF2B5EF4-FFF2-40B4-BE49-F238E27FC236}">
              <a16:creationId xmlns:a16="http://schemas.microsoft.com/office/drawing/2014/main" id="{0566CE71-FE6A-A42C-5EA3-69CB3FCBE5AF}"/>
            </a:ext>
          </a:extLst>
        </xdr:cNvPr>
        <xdr:cNvPicPr>
          <a:picLocks noChangeAspect="1"/>
        </xdr:cNvPicPr>
      </xdr:nvPicPr>
      <xdr:blipFill>
        <a:blip xmlns:r="http://schemas.openxmlformats.org/officeDocument/2006/relationships" r:embed="rId15"/>
        <a:stretch>
          <a:fillRect/>
        </a:stretch>
      </xdr:blipFill>
      <xdr:spPr>
        <a:xfrm>
          <a:off x="2935604" y="3794481"/>
          <a:ext cx="3017521" cy="1549795"/>
        </a:xfrm>
        <a:prstGeom prst="rect">
          <a:avLst/>
        </a:prstGeom>
      </xdr:spPr>
    </xdr:pic>
    <xdr:clientData/>
  </xdr:twoCellAnchor>
  <xdr:twoCellAnchor editAs="oneCell">
    <xdr:from>
      <xdr:col>3</xdr:col>
      <xdr:colOff>47625</xdr:colOff>
      <xdr:row>6</xdr:row>
      <xdr:rowOff>47625</xdr:rowOff>
    </xdr:from>
    <xdr:to>
      <xdr:col>3</xdr:col>
      <xdr:colOff>3006090</xdr:colOff>
      <xdr:row>6</xdr:row>
      <xdr:rowOff>1539995</xdr:rowOff>
    </xdr:to>
    <xdr:pic>
      <xdr:nvPicPr>
        <xdr:cNvPr id="6" name="Imagen 5">
          <a:extLst>
            <a:ext uri="{FF2B5EF4-FFF2-40B4-BE49-F238E27FC236}">
              <a16:creationId xmlns:a16="http://schemas.microsoft.com/office/drawing/2014/main" id="{00234613-20D6-1E8F-4F3A-1F9C706FEB8A}"/>
            </a:ext>
          </a:extLst>
        </xdr:cNvPr>
        <xdr:cNvPicPr>
          <a:picLocks noChangeAspect="1"/>
        </xdr:cNvPicPr>
      </xdr:nvPicPr>
      <xdr:blipFill>
        <a:blip xmlns:r="http://schemas.openxmlformats.org/officeDocument/2006/relationships" r:embed="rId16"/>
        <a:stretch>
          <a:fillRect/>
        </a:stretch>
      </xdr:blipFill>
      <xdr:spPr>
        <a:xfrm>
          <a:off x="2933700" y="5448300"/>
          <a:ext cx="2958465" cy="1486655"/>
        </a:xfrm>
        <a:prstGeom prst="rect">
          <a:avLst/>
        </a:prstGeom>
      </xdr:spPr>
    </xdr:pic>
    <xdr:clientData/>
  </xdr:twoCellAnchor>
  <xdr:twoCellAnchor editAs="oneCell">
    <xdr:from>
      <xdr:col>3</xdr:col>
      <xdr:colOff>39482</xdr:colOff>
      <xdr:row>7</xdr:row>
      <xdr:rowOff>38100</xdr:rowOff>
    </xdr:from>
    <xdr:to>
      <xdr:col>3</xdr:col>
      <xdr:colOff>3048000</xdr:colOff>
      <xdr:row>7</xdr:row>
      <xdr:rowOff>1544958</xdr:rowOff>
    </xdr:to>
    <xdr:pic>
      <xdr:nvPicPr>
        <xdr:cNvPr id="16" name="Imagen 15">
          <a:extLst>
            <a:ext uri="{FF2B5EF4-FFF2-40B4-BE49-F238E27FC236}">
              <a16:creationId xmlns:a16="http://schemas.microsoft.com/office/drawing/2014/main" id="{B761C36B-99D6-9099-9D41-AE01B2CFAB42}"/>
            </a:ext>
          </a:extLst>
        </xdr:cNvPr>
        <xdr:cNvPicPr>
          <a:picLocks noChangeAspect="1"/>
        </xdr:cNvPicPr>
      </xdr:nvPicPr>
      <xdr:blipFill>
        <a:blip xmlns:r="http://schemas.openxmlformats.org/officeDocument/2006/relationships" r:embed="rId17"/>
        <a:stretch>
          <a:fillRect/>
        </a:stretch>
      </xdr:blipFill>
      <xdr:spPr>
        <a:xfrm>
          <a:off x="2925557" y="7010400"/>
          <a:ext cx="3008518" cy="1514478"/>
        </a:xfrm>
        <a:prstGeom prst="rect">
          <a:avLst/>
        </a:prstGeom>
      </xdr:spPr>
    </xdr:pic>
    <xdr:clientData/>
  </xdr:twoCellAnchor>
  <xdr:twoCellAnchor editAs="oneCell">
    <xdr:from>
      <xdr:col>3</xdr:col>
      <xdr:colOff>54343</xdr:colOff>
      <xdr:row>12</xdr:row>
      <xdr:rowOff>28574</xdr:rowOff>
    </xdr:from>
    <xdr:to>
      <xdr:col>3</xdr:col>
      <xdr:colOff>3025140</xdr:colOff>
      <xdr:row>12</xdr:row>
      <xdr:rowOff>1692093</xdr:rowOff>
    </xdr:to>
    <xdr:pic>
      <xdr:nvPicPr>
        <xdr:cNvPr id="20" name="Imagen 19">
          <a:extLst>
            <a:ext uri="{FF2B5EF4-FFF2-40B4-BE49-F238E27FC236}">
              <a16:creationId xmlns:a16="http://schemas.microsoft.com/office/drawing/2014/main" id="{20EC10FA-519C-4991-D3F3-1D45ADC2021C}"/>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702418" y="15554324"/>
          <a:ext cx="2970797" cy="1663519"/>
        </a:xfrm>
        <a:prstGeom prst="rect">
          <a:avLst/>
        </a:prstGeom>
      </xdr:spPr>
    </xdr:pic>
    <xdr:clientData/>
  </xdr:twoCellAnchor>
  <xdr:twoCellAnchor editAs="oneCell">
    <xdr:from>
      <xdr:col>3</xdr:col>
      <xdr:colOff>19420</xdr:colOff>
      <xdr:row>13</xdr:row>
      <xdr:rowOff>40005</xdr:rowOff>
    </xdr:from>
    <xdr:to>
      <xdr:col>3</xdr:col>
      <xdr:colOff>3025140</xdr:colOff>
      <xdr:row>13</xdr:row>
      <xdr:rowOff>1544712</xdr:rowOff>
    </xdr:to>
    <xdr:pic>
      <xdr:nvPicPr>
        <xdr:cNvPr id="22" name="Imagen 21">
          <a:extLst>
            <a:ext uri="{FF2B5EF4-FFF2-40B4-BE49-F238E27FC236}">
              <a16:creationId xmlns:a16="http://schemas.microsoft.com/office/drawing/2014/main" id="{C9210D2D-76D3-40F0-A5A3-8FD4FF8423E2}"/>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667495" y="17242155"/>
          <a:ext cx="3009530" cy="1495182"/>
        </a:xfrm>
        <a:prstGeom prst="rect">
          <a:avLst/>
        </a:prstGeom>
      </xdr:spPr>
    </xdr:pic>
    <xdr:clientData/>
  </xdr:twoCellAnchor>
  <xdr:twoCellAnchor editAs="oneCell">
    <xdr:from>
      <xdr:col>3</xdr:col>
      <xdr:colOff>17603</xdr:colOff>
      <xdr:row>15</xdr:row>
      <xdr:rowOff>22859</xdr:rowOff>
    </xdr:from>
    <xdr:to>
      <xdr:col>3</xdr:col>
      <xdr:colOff>3027045</xdr:colOff>
      <xdr:row>16</xdr:row>
      <xdr:rowOff>2073</xdr:rowOff>
    </xdr:to>
    <xdr:pic>
      <xdr:nvPicPr>
        <xdr:cNvPr id="24" name="Imagen 23">
          <a:extLst>
            <a:ext uri="{FF2B5EF4-FFF2-40B4-BE49-F238E27FC236}">
              <a16:creationId xmlns:a16="http://schemas.microsoft.com/office/drawing/2014/main" id="{3E6D76D6-23B8-8E32-B0E5-8869A43D9FFD}"/>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665678" y="20730209"/>
          <a:ext cx="3020872" cy="1642279"/>
        </a:xfrm>
        <a:prstGeom prst="rect">
          <a:avLst/>
        </a:prstGeom>
      </xdr:spPr>
    </xdr:pic>
    <xdr:clientData/>
  </xdr:twoCellAnchor>
  <xdr:twoCellAnchor editAs="oneCell">
    <xdr:from>
      <xdr:col>3</xdr:col>
      <xdr:colOff>38101</xdr:colOff>
      <xdr:row>21</xdr:row>
      <xdr:rowOff>15414</xdr:rowOff>
    </xdr:from>
    <xdr:to>
      <xdr:col>3</xdr:col>
      <xdr:colOff>3048001</xdr:colOff>
      <xdr:row>21</xdr:row>
      <xdr:rowOff>1641415</xdr:rowOff>
    </xdr:to>
    <xdr:pic>
      <xdr:nvPicPr>
        <xdr:cNvPr id="18" name="Imagen 17">
          <a:extLst>
            <a:ext uri="{FF2B5EF4-FFF2-40B4-BE49-F238E27FC236}">
              <a16:creationId xmlns:a16="http://schemas.microsoft.com/office/drawing/2014/main" id="{98B5A298-9DDA-E270-10F4-899EF2DB8AC4}"/>
            </a:ext>
          </a:extLst>
        </xdr:cNvPr>
        <xdr:cNvPicPr>
          <a:picLocks noChangeAspect="1"/>
        </xdr:cNvPicPr>
      </xdr:nvPicPr>
      <xdr:blipFill>
        <a:blip xmlns:r="http://schemas.openxmlformats.org/officeDocument/2006/relationships" r:embed="rId21"/>
        <a:stretch>
          <a:fillRect/>
        </a:stretch>
      </xdr:blipFill>
      <xdr:spPr>
        <a:xfrm>
          <a:off x="3686176" y="29628639"/>
          <a:ext cx="3009900" cy="1626001"/>
        </a:xfrm>
        <a:prstGeom prst="rect">
          <a:avLst/>
        </a:prstGeom>
      </xdr:spPr>
    </xdr:pic>
    <xdr:clientData/>
  </xdr:twoCellAnchor>
  <xdr:twoCellAnchor editAs="oneCell">
    <xdr:from>
      <xdr:col>3</xdr:col>
      <xdr:colOff>25124</xdr:colOff>
      <xdr:row>22</xdr:row>
      <xdr:rowOff>19049</xdr:rowOff>
    </xdr:from>
    <xdr:to>
      <xdr:col>3</xdr:col>
      <xdr:colOff>3030856</xdr:colOff>
      <xdr:row>22</xdr:row>
      <xdr:rowOff>1258622</xdr:rowOff>
    </xdr:to>
    <xdr:pic>
      <xdr:nvPicPr>
        <xdr:cNvPr id="21" name="Imagen 20">
          <a:extLst>
            <a:ext uri="{FF2B5EF4-FFF2-40B4-BE49-F238E27FC236}">
              <a16:creationId xmlns:a16="http://schemas.microsoft.com/office/drawing/2014/main" id="{B01E2D29-B4C8-2EE8-2EF5-B1195B2BD7FE}"/>
            </a:ext>
          </a:extLst>
        </xdr:cNvPr>
        <xdr:cNvPicPr>
          <a:picLocks noChangeAspect="1"/>
        </xdr:cNvPicPr>
      </xdr:nvPicPr>
      <xdr:blipFill>
        <a:blip xmlns:r="http://schemas.openxmlformats.org/officeDocument/2006/relationships" r:embed="rId22"/>
        <a:stretch>
          <a:fillRect/>
        </a:stretch>
      </xdr:blipFill>
      <xdr:spPr>
        <a:xfrm>
          <a:off x="3673199" y="31299149"/>
          <a:ext cx="3013352" cy="1239573"/>
        </a:xfrm>
        <a:prstGeom prst="rect">
          <a:avLst/>
        </a:prstGeom>
      </xdr:spPr>
    </xdr:pic>
    <xdr:clientData/>
  </xdr:twoCellAnchor>
  <xdr:twoCellAnchor editAs="oneCell">
    <xdr:from>
      <xdr:col>3</xdr:col>
      <xdr:colOff>17992</xdr:colOff>
      <xdr:row>23</xdr:row>
      <xdr:rowOff>24766</xdr:rowOff>
    </xdr:from>
    <xdr:to>
      <xdr:col>3</xdr:col>
      <xdr:colOff>3025140</xdr:colOff>
      <xdr:row>23</xdr:row>
      <xdr:rowOff>1278851</xdr:rowOff>
    </xdr:to>
    <xdr:pic>
      <xdr:nvPicPr>
        <xdr:cNvPr id="23" name="Imagen 22">
          <a:extLst>
            <a:ext uri="{FF2B5EF4-FFF2-40B4-BE49-F238E27FC236}">
              <a16:creationId xmlns:a16="http://schemas.microsoft.com/office/drawing/2014/main" id="{02AFBF59-C56B-75E5-1CBA-3C35A14706E2}"/>
            </a:ext>
          </a:extLst>
        </xdr:cNvPr>
        <xdr:cNvPicPr>
          <a:picLocks noChangeAspect="1"/>
        </xdr:cNvPicPr>
      </xdr:nvPicPr>
      <xdr:blipFill>
        <a:blip xmlns:r="http://schemas.openxmlformats.org/officeDocument/2006/relationships" r:embed="rId23"/>
        <a:stretch>
          <a:fillRect/>
        </a:stretch>
      </xdr:blipFill>
      <xdr:spPr>
        <a:xfrm>
          <a:off x="3666067" y="32590741"/>
          <a:ext cx="3010958" cy="1265515"/>
        </a:xfrm>
        <a:prstGeom prst="rect">
          <a:avLst/>
        </a:prstGeom>
      </xdr:spPr>
    </xdr:pic>
    <xdr:clientData/>
  </xdr:twoCellAnchor>
  <xdr:twoCellAnchor editAs="oneCell">
    <xdr:from>
      <xdr:col>3</xdr:col>
      <xdr:colOff>26671</xdr:colOff>
      <xdr:row>24</xdr:row>
      <xdr:rowOff>1</xdr:rowOff>
    </xdr:from>
    <xdr:to>
      <xdr:col>3</xdr:col>
      <xdr:colOff>3048000</xdr:colOff>
      <xdr:row>24</xdr:row>
      <xdr:rowOff>1502199</xdr:rowOff>
    </xdr:to>
    <xdr:pic>
      <xdr:nvPicPr>
        <xdr:cNvPr id="25" name="Imagen 24">
          <a:extLst>
            <a:ext uri="{FF2B5EF4-FFF2-40B4-BE49-F238E27FC236}">
              <a16:creationId xmlns:a16="http://schemas.microsoft.com/office/drawing/2014/main" id="{2AF2EF1D-DA26-E192-1FF2-033631AA7456}"/>
            </a:ext>
          </a:extLst>
        </xdr:cNvPr>
        <xdr:cNvPicPr>
          <a:picLocks noChangeAspect="1"/>
        </xdr:cNvPicPr>
      </xdr:nvPicPr>
      <xdr:blipFill>
        <a:blip xmlns:r="http://schemas.openxmlformats.org/officeDocument/2006/relationships" r:embed="rId24"/>
        <a:stretch>
          <a:fillRect/>
        </a:stretch>
      </xdr:blipFill>
      <xdr:spPr>
        <a:xfrm>
          <a:off x="3674746" y="33966151"/>
          <a:ext cx="3021329" cy="1506008"/>
        </a:xfrm>
        <a:prstGeom prst="rect">
          <a:avLst/>
        </a:prstGeom>
      </xdr:spPr>
    </xdr:pic>
    <xdr:clientData/>
  </xdr:twoCellAnchor>
  <xdr:twoCellAnchor editAs="oneCell">
    <xdr:from>
      <xdr:col>3</xdr:col>
      <xdr:colOff>57150</xdr:colOff>
      <xdr:row>25</xdr:row>
      <xdr:rowOff>38101</xdr:rowOff>
    </xdr:from>
    <xdr:to>
      <xdr:col>3</xdr:col>
      <xdr:colOff>3027045</xdr:colOff>
      <xdr:row>25</xdr:row>
      <xdr:rowOff>1563595</xdr:rowOff>
    </xdr:to>
    <xdr:pic>
      <xdr:nvPicPr>
        <xdr:cNvPr id="26" name="Imagen 25">
          <a:extLst>
            <a:ext uri="{FF2B5EF4-FFF2-40B4-BE49-F238E27FC236}">
              <a16:creationId xmlns:a16="http://schemas.microsoft.com/office/drawing/2014/main" id="{AAA7CDDB-A4F0-47B6-0074-333397E06495}"/>
            </a:ext>
          </a:extLst>
        </xdr:cNvPr>
        <xdr:cNvPicPr>
          <a:picLocks noChangeAspect="1"/>
        </xdr:cNvPicPr>
      </xdr:nvPicPr>
      <xdr:blipFill>
        <a:blip xmlns:r="http://schemas.openxmlformats.org/officeDocument/2006/relationships" r:embed="rId25"/>
        <a:stretch>
          <a:fillRect/>
        </a:stretch>
      </xdr:blipFill>
      <xdr:spPr>
        <a:xfrm>
          <a:off x="3705225" y="35547301"/>
          <a:ext cx="2983230" cy="1525494"/>
        </a:xfrm>
        <a:prstGeom prst="rect">
          <a:avLst/>
        </a:prstGeom>
      </xdr:spPr>
    </xdr:pic>
    <xdr:clientData/>
  </xdr:twoCellAnchor>
  <xdr:twoCellAnchor editAs="oneCell">
    <xdr:from>
      <xdr:col>3</xdr:col>
      <xdr:colOff>29364</xdr:colOff>
      <xdr:row>26</xdr:row>
      <xdr:rowOff>19048</xdr:rowOff>
    </xdr:from>
    <xdr:to>
      <xdr:col>3</xdr:col>
      <xdr:colOff>3048000</xdr:colOff>
      <xdr:row>26</xdr:row>
      <xdr:rowOff>1580522</xdr:rowOff>
    </xdr:to>
    <xdr:pic>
      <xdr:nvPicPr>
        <xdr:cNvPr id="27" name="Imagen 26">
          <a:extLst>
            <a:ext uri="{FF2B5EF4-FFF2-40B4-BE49-F238E27FC236}">
              <a16:creationId xmlns:a16="http://schemas.microsoft.com/office/drawing/2014/main" id="{0C3F4468-E92D-1CB5-55DE-31C2B6E042EF}"/>
            </a:ext>
          </a:extLst>
        </xdr:cNvPr>
        <xdr:cNvPicPr>
          <a:picLocks noChangeAspect="1"/>
        </xdr:cNvPicPr>
      </xdr:nvPicPr>
      <xdr:blipFill>
        <a:blip xmlns:r="http://schemas.openxmlformats.org/officeDocument/2006/relationships" r:embed="rId26"/>
        <a:stretch>
          <a:fillRect/>
        </a:stretch>
      </xdr:blipFill>
      <xdr:spPr>
        <a:xfrm>
          <a:off x="3677439" y="37157023"/>
          <a:ext cx="3018636" cy="1570999"/>
        </a:xfrm>
        <a:prstGeom prst="rect">
          <a:avLst/>
        </a:prstGeom>
      </xdr:spPr>
    </xdr:pic>
    <xdr:clientData/>
  </xdr:twoCellAnchor>
  <xdr:twoCellAnchor editAs="oneCell">
    <xdr:from>
      <xdr:col>3</xdr:col>
      <xdr:colOff>45720</xdr:colOff>
      <xdr:row>32</xdr:row>
      <xdr:rowOff>38101</xdr:rowOff>
    </xdr:from>
    <xdr:to>
      <xdr:col>3</xdr:col>
      <xdr:colOff>3025140</xdr:colOff>
      <xdr:row>32</xdr:row>
      <xdr:rowOff>1415505</xdr:rowOff>
    </xdr:to>
    <xdr:pic>
      <xdr:nvPicPr>
        <xdr:cNvPr id="28" name="Imagen 27">
          <a:extLst>
            <a:ext uri="{FF2B5EF4-FFF2-40B4-BE49-F238E27FC236}">
              <a16:creationId xmlns:a16="http://schemas.microsoft.com/office/drawing/2014/main" id="{B9FEFC58-E412-2980-0CBD-7A71A273B019}"/>
            </a:ext>
          </a:extLst>
        </xdr:cNvPr>
        <xdr:cNvPicPr>
          <a:picLocks noChangeAspect="1"/>
        </xdr:cNvPicPr>
      </xdr:nvPicPr>
      <xdr:blipFill>
        <a:blip xmlns:r="http://schemas.openxmlformats.org/officeDocument/2006/relationships" r:embed="rId27"/>
        <a:stretch>
          <a:fillRect/>
        </a:stretch>
      </xdr:blipFill>
      <xdr:spPr>
        <a:xfrm>
          <a:off x="3695700" y="44988481"/>
          <a:ext cx="2979420" cy="1377404"/>
        </a:xfrm>
        <a:prstGeom prst="rect">
          <a:avLst/>
        </a:prstGeom>
      </xdr:spPr>
    </xdr:pic>
    <xdr:clientData/>
  </xdr:twoCellAnchor>
  <xdr:twoCellAnchor editAs="oneCell">
    <xdr:from>
      <xdr:col>3</xdr:col>
      <xdr:colOff>43159</xdr:colOff>
      <xdr:row>14</xdr:row>
      <xdr:rowOff>39717</xdr:rowOff>
    </xdr:from>
    <xdr:to>
      <xdr:col>3</xdr:col>
      <xdr:colOff>2987041</xdr:colOff>
      <xdr:row>14</xdr:row>
      <xdr:rowOff>1548049</xdr:rowOff>
    </xdr:to>
    <xdr:pic>
      <xdr:nvPicPr>
        <xdr:cNvPr id="29" name="Imagen 28">
          <a:extLst>
            <a:ext uri="{FF2B5EF4-FFF2-40B4-BE49-F238E27FC236}">
              <a16:creationId xmlns:a16="http://schemas.microsoft.com/office/drawing/2014/main" id="{2849F02C-EF57-433E-3FE0-E8967FD5E761}"/>
            </a:ext>
          </a:extLst>
        </xdr:cNvPr>
        <xdr:cNvPicPr>
          <a:picLocks noChangeAspect="1"/>
        </xdr:cNvPicPr>
      </xdr:nvPicPr>
      <xdr:blipFill>
        <a:blip xmlns:r="http://schemas.openxmlformats.org/officeDocument/2006/relationships" r:embed="rId28"/>
        <a:stretch>
          <a:fillRect/>
        </a:stretch>
      </xdr:blipFill>
      <xdr:spPr>
        <a:xfrm>
          <a:off x="3693139" y="18807777"/>
          <a:ext cx="2943882" cy="15083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367391</xdr:colOff>
      <xdr:row>1</xdr:row>
      <xdr:rowOff>176894</xdr:rowOff>
    </xdr:from>
    <xdr:ext cx="2810000" cy="906789"/>
    <xdr:pic>
      <xdr:nvPicPr>
        <xdr:cNvPr id="2" name="Imagen 1">
          <a:extLst>
            <a:ext uri="{FF2B5EF4-FFF2-40B4-BE49-F238E27FC236}">
              <a16:creationId xmlns:a16="http://schemas.microsoft.com/office/drawing/2014/main" id="{10AF11EF-F7CF-412B-BE90-2FE0D74F1FCB}"/>
            </a:ext>
          </a:extLst>
        </xdr:cNvPr>
        <xdr:cNvPicPr>
          <a:picLocks noChangeAspect="1"/>
        </xdr:cNvPicPr>
      </xdr:nvPicPr>
      <xdr:blipFill rotWithShape="1">
        <a:blip xmlns:r="http://schemas.openxmlformats.org/officeDocument/2006/relationships" r:embed="rId1"/>
        <a:srcRect l="23542" t="48182" r="56132" b="38879"/>
        <a:stretch/>
      </xdr:blipFill>
      <xdr:spPr>
        <a:xfrm>
          <a:off x="367391" y="359774"/>
          <a:ext cx="2810000" cy="906789"/>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38100</xdr:colOff>
      <xdr:row>1</xdr:row>
      <xdr:rowOff>285750</xdr:rowOff>
    </xdr:from>
    <xdr:to>
      <xdr:col>0</xdr:col>
      <xdr:colOff>2133600</xdr:colOff>
      <xdr:row>2</xdr:row>
      <xdr:rowOff>3029</xdr:rowOff>
    </xdr:to>
    <xdr:pic>
      <xdr:nvPicPr>
        <xdr:cNvPr id="2" name="Imagen 2">
          <a:extLst>
            <a:ext uri="{FF2B5EF4-FFF2-40B4-BE49-F238E27FC236}">
              <a16:creationId xmlns:a16="http://schemas.microsoft.com/office/drawing/2014/main" id="{E97B8CF1-896F-4A53-BA39-5CB5AE4755BA}"/>
            </a:ext>
          </a:extLst>
        </xdr:cNvPr>
        <xdr:cNvPicPr>
          <a:picLocks noChangeAspect="1"/>
        </xdr:cNvPicPr>
      </xdr:nvPicPr>
      <xdr:blipFill rotWithShape="1">
        <a:blip xmlns:r="http://schemas.openxmlformats.org/officeDocument/2006/relationships" r:embed="rId1"/>
        <a:srcRect l="23542" t="48182" r="56132" b="38879"/>
        <a:stretch/>
      </xdr:blipFill>
      <xdr:spPr>
        <a:xfrm>
          <a:off x="800100" y="933450"/>
          <a:ext cx="2095500" cy="87615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34.xml"/><Relationship Id="rId2" Type="http://schemas.openxmlformats.org/officeDocument/2006/relationships/vmlDrawing" Target="../drawings/vmlDrawing34.v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J52"/>
  <sheetViews>
    <sheetView tabSelected="1" view="pageBreakPreview" zoomScale="70" zoomScaleNormal="80" zoomScaleSheetLayoutView="70" workbookViewId="0">
      <pane ySplit="9" topLeftCell="A32" activePane="bottomLeft" state="frozenSplit"/>
      <selection pane="bottomLeft" activeCell="H46" sqref="H46"/>
    </sheetView>
  </sheetViews>
  <sheetFormatPr baseColWidth="10" defaultColWidth="11.5" defaultRowHeight="15" x14ac:dyDescent="0.2"/>
  <cols>
    <col min="1" max="1" width="6.33203125" style="14" customWidth="1"/>
    <col min="2" max="2" width="36.6640625" customWidth="1"/>
    <col min="3" max="3" width="20.1640625" style="15" customWidth="1"/>
    <col min="4" max="4" width="18.5" customWidth="1"/>
    <col min="5" max="5" width="21.5" customWidth="1"/>
    <col min="6" max="6" width="22.5" customWidth="1"/>
    <col min="7" max="7" width="21.5" customWidth="1"/>
    <col min="8" max="8" width="22" customWidth="1"/>
    <col min="9" max="9" width="28.1640625" customWidth="1"/>
    <col min="10" max="10" width="134.33203125" customWidth="1"/>
    <col min="11" max="11" width="11.5" customWidth="1"/>
  </cols>
  <sheetData>
    <row r="1" spans="1:10" x14ac:dyDescent="0.2">
      <c r="A1" s="231"/>
      <c r="B1" s="231"/>
      <c r="C1" s="231"/>
      <c r="D1" s="231"/>
      <c r="E1" s="231"/>
      <c r="F1" s="231"/>
      <c r="G1" s="231"/>
      <c r="H1" s="231"/>
      <c r="I1" s="231"/>
    </row>
    <row r="2" spans="1:10" ht="24.75" customHeight="1" x14ac:dyDescent="0.2">
      <c r="A2" s="230" t="s">
        <v>177</v>
      </c>
      <c r="B2" s="230"/>
      <c r="C2" s="230"/>
      <c r="D2" s="230"/>
      <c r="E2" s="230"/>
      <c r="F2" s="230"/>
      <c r="G2" s="230"/>
      <c r="H2" s="230"/>
      <c r="I2" s="230"/>
    </row>
    <row r="3" spans="1:10" ht="8.5" customHeight="1" x14ac:dyDescent="0.2">
      <c r="A3" s="231"/>
      <c r="B3" s="231"/>
      <c r="C3" s="231"/>
      <c r="D3" s="231"/>
      <c r="E3" s="231"/>
      <c r="F3" s="231"/>
      <c r="G3" s="231"/>
      <c r="H3" s="231"/>
      <c r="I3" s="231"/>
    </row>
    <row r="4" spans="1:10" ht="73.5" customHeight="1" x14ac:dyDescent="0.2">
      <c r="A4" s="231"/>
      <c r="B4" s="232"/>
      <c r="C4" s="233" t="s">
        <v>24</v>
      </c>
      <c r="D4" s="233"/>
      <c r="E4" s="234"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F4" s="234"/>
      <c r="G4" s="234"/>
      <c r="H4" s="234"/>
      <c r="I4" s="234"/>
    </row>
    <row r="5" spans="1:10" ht="55.5" customHeight="1" x14ac:dyDescent="0.2">
      <c r="A5" s="231"/>
      <c r="B5" s="232"/>
      <c r="C5" s="233" t="s">
        <v>25</v>
      </c>
      <c r="D5" s="233"/>
      <c r="E5" s="236" t="str">
        <f>'DATOS INICIALES'!G4</f>
        <v xml:space="preserve">FDLUSA-LP-002-2024 </v>
      </c>
      <c r="F5" s="237"/>
      <c r="G5" s="237"/>
      <c r="H5" s="238"/>
      <c r="I5" s="19">
        <f>'DATOS INICIALES'!C5</f>
        <v>20496577313</v>
      </c>
    </row>
    <row r="6" spans="1:10" ht="7.5" customHeight="1" x14ac:dyDescent="0.2">
      <c r="B6" s="235"/>
      <c r="C6" s="235"/>
      <c r="D6" s="235"/>
      <c r="E6" s="235"/>
      <c r="F6" s="235"/>
      <c r="G6" s="235"/>
      <c r="H6" s="235"/>
      <c r="I6" s="235"/>
    </row>
    <row r="7" spans="1:10" ht="21.75" customHeight="1" x14ac:dyDescent="0.2">
      <c r="A7" s="224" t="str">
        <f>CONCATENATE("RESUMEN DE EVALUACIÓN REQUISITOS HABILITANTES - ",'DATOS INICIALES'!G4)</f>
        <v xml:space="preserve">RESUMEN DE EVALUACIÓN REQUISITOS HABILITANTES - FDLUSA-LP-002-2024 </v>
      </c>
      <c r="B7" s="225"/>
      <c r="C7" s="225"/>
      <c r="D7" s="225"/>
      <c r="E7" s="225"/>
      <c r="F7" s="225"/>
      <c r="G7" s="225"/>
      <c r="H7" s="225"/>
      <c r="I7" s="225"/>
      <c r="J7" s="225"/>
    </row>
    <row r="8" spans="1:10" ht="8.25" customHeight="1" x14ac:dyDescent="0.2"/>
    <row r="9" spans="1:10" s="3" customFormat="1" ht="32" x14ac:dyDescent="0.2">
      <c r="A9" s="153" t="s">
        <v>79</v>
      </c>
      <c r="B9" s="153" t="s">
        <v>26</v>
      </c>
      <c r="C9" s="153" t="s">
        <v>49</v>
      </c>
      <c r="D9" s="153" t="s">
        <v>27</v>
      </c>
      <c r="E9" s="153" t="s">
        <v>28</v>
      </c>
      <c r="F9" s="153" t="s">
        <v>41</v>
      </c>
      <c r="G9" s="153" t="s">
        <v>42</v>
      </c>
      <c r="H9" s="153" t="s">
        <v>43</v>
      </c>
      <c r="I9" s="153" t="s">
        <v>29</v>
      </c>
      <c r="J9" s="153" t="s">
        <v>72</v>
      </c>
    </row>
    <row r="10" spans="1:10" ht="6.75" customHeight="1" x14ac:dyDescent="0.2"/>
    <row r="11" spans="1:10" ht="16" x14ac:dyDescent="0.2">
      <c r="A11" s="195">
        <v>1</v>
      </c>
      <c r="B11" s="194" t="str">
        <f>+PROPONENTES!B10</f>
        <v>CONSORCIO EL TAMBILLO</v>
      </c>
      <c r="C11" s="34">
        <f>+PROPONENTES!M10</f>
        <v>2</v>
      </c>
      <c r="D11" s="130">
        <f>+PROPONENTES!N10</f>
        <v>1</v>
      </c>
      <c r="E11" s="18" t="str">
        <f>+KRESIDUAL!C4</f>
        <v>CUMPLE</v>
      </c>
      <c r="F11" s="18" t="str">
        <f>+'1'!$I$11</f>
        <v>CUMPLE</v>
      </c>
      <c r="G11" s="18" t="s">
        <v>14</v>
      </c>
      <c r="H11" s="18" t="str">
        <f>+'1'!$I$11</f>
        <v>CUMPLE</v>
      </c>
      <c r="I11" s="67" t="str">
        <f>IF(AND(E11="",F11="",G11="",H11=""),"",IF(AND(E11="CUMPLE",F11="CUMPLE",G11="CUMPLE",H11="CUMPLE"),"HABILITADO","INHABILITADO"))</f>
        <v>INHABILITADO</v>
      </c>
      <c r="J11" s="89"/>
    </row>
    <row r="12" spans="1:10" ht="72.5" customHeight="1" x14ac:dyDescent="0.2">
      <c r="A12" s="195">
        <v>2</v>
      </c>
      <c r="B12" s="194" t="str">
        <f>+PROPONENTES!B11</f>
        <v>UNION TEMPORAL VIAL USAQUN 2024</v>
      </c>
      <c r="C12" s="34">
        <f>+PROPONENTES!M11</f>
        <v>2</v>
      </c>
      <c r="D12" s="130">
        <f>+PROPONENTES!N11</f>
        <v>1</v>
      </c>
      <c r="E12" s="18" t="s">
        <v>13</v>
      </c>
      <c r="F12" s="18" t="str">
        <f>+'2'!$I$11</f>
        <v>NO CUMPLE</v>
      </c>
      <c r="G12" s="18" t="s">
        <v>14</v>
      </c>
      <c r="H12" s="18" t="str">
        <f>+'1'!$I$11</f>
        <v>CUMPLE</v>
      </c>
      <c r="I12" s="67" t="str">
        <f t="shared" ref="I12:I43" si="0">IF(AND(E12="",F12="",G12="",H12=""),"",IF(AND(E12="CUMPLE",F12="CUMPLE",G12="CUMPLE",H12="CUMPLE"),"HABILITADO","INHABILITADO"))</f>
        <v>INHABILITADO</v>
      </c>
      <c r="J12" s="202" t="s">
        <v>396</v>
      </c>
    </row>
    <row r="13" spans="1:10" ht="23.25" customHeight="1" x14ac:dyDescent="0.2">
      <c r="A13" s="195">
        <v>3</v>
      </c>
      <c r="B13" s="194" t="str">
        <f>+PROPONENTES!B12</f>
        <v>CONSORCIO CCU</v>
      </c>
      <c r="C13" s="34">
        <f>+PROPONENTES!M12</f>
        <v>2</v>
      </c>
      <c r="D13" s="130">
        <f>+PROPONENTES!N12</f>
        <v>1</v>
      </c>
      <c r="E13" s="18" t="s">
        <v>13</v>
      </c>
      <c r="F13" s="18" t="str">
        <f>+'3'!$I$11</f>
        <v>CUMPLE</v>
      </c>
      <c r="G13" s="18" t="s">
        <v>14</v>
      </c>
      <c r="H13" s="18" t="str">
        <f>+'1'!$I$11</f>
        <v>CUMPLE</v>
      </c>
      <c r="I13" s="67" t="str">
        <f t="shared" si="0"/>
        <v>INHABILITADO</v>
      </c>
      <c r="J13" s="89"/>
    </row>
    <row r="14" spans="1:10" ht="23.25" customHeight="1" x14ac:dyDescent="0.2">
      <c r="A14" s="195">
        <v>4</v>
      </c>
      <c r="B14" s="194" t="str">
        <f>+PROPONENTES!B13</f>
        <v>CONSORCIO MEB VIAL</v>
      </c>
      <c r="C14" s="34">
        <f>+PROPONENTES!M13</f>
        <v>3</v>
      </c>
      <c r="D14" s="130">
        <f>+PROPONENTES!N13</f>
        <v>1</v>
      </c>
      <c r="E14" s="18" t="s">
        <v>13</v>
      </c>
      <c r="F14" s="18" t="str">
        <f>+'4'!$I$11</f>
        <v>CUMPLE</v>
      </c>
      <c r="G14" s="18" t="s">
        <v>14</v>
      </c>
      <c r="H14" s="18" t="str">
        <f>+'1'!$I$11</f>
        <v>CUMPLE</v>
      </c>
      <c r="I14" s="67" t="str">
        <f t="shared" si="0"/>
        <v>INHABILITADO</v>
      </c>
      <c r="J14" s="89"/>
    </row>
    <row r="15" spans="1:10" ht="113.5" customHeight="1" x14ac:dyDescent="0.2">
      <c r="A15" s="195">
        <v>5</v>
      </c>
      <c r="B15" s="194" t="str">
        <f>+PROPONENTES!B14</f>
        <v>CONSORCIO CONSERVACION DK</v>
      </c>
      <c r="C15" s="34">
        <f>+PROPONENTES!M14</f>
        <v>2</v>
      </c>
      <c r="D15" s="130">
        <f>+PROPONENTES!N14</f>
        <v>1</v>
      </c>
      <c r="E15" s="18" t="s">
        <v>13</v>
      </c>
      <c r="F15" s="18" t="str">
        <f>+'5'!$I$11</f>
        <v>NO CUMPLE</v>
      </c>
      <c r="G15" s="18" t="s">
        <v>14</v>
      </c>
      <c r="H15" s="18" t="str">
        <f>+'1'!$I$11</f>
        <v>CUMPLE</v>
      </c>
      <c r="I15" s="67" t="str">
        <f t="shared" si="0"/>
        <v>INHABILITADO</v>
      </c>
      <c r="J15" s="202" t="s">
        <v>769</v>
      </c>
    </row>
    <row r="16" spans="1:10" ht="146.5" customHeight="1" x14ac:dyDescent="0.2">
      <c r="A16" s="195">
        <v>6</v>
      </c>
      <c r="B16" s="194" t="str">
        <f>+PROPONENTES!B15</f>
        <v>CONSORCIO USAQUEN VIAL 2025</v>
      </c>
      <c r="C16" s="34">
        <f>+PROPONENTES!M15</f>
        <v>2</v>
      </c>
      <c r="D16" s="130">
        <f>+PROPONENTES!N15</f>
        <v>1</v>
      </c>
      <c r="E16" s="18" t="str">
        <f>+KRESIDUAL!C9</f>
        <v>CUMPLE</v>
      </c>
      <c r="F16" s="18" t="str">
        <f>+'6'!$I$11</f>
        <v>CUMPLE</v>
      </c>
      <c r="G16" s="18" t="s">
        <v>14</v>
      </c>
      <c r="H16" s="18" t="str">
        <f>+'1'!$I$11</f>
        <v>CUMPLE</v>
      </c>
      <c r="I16" s="67" t="str">
        <f t="shared" si="0"/>
        <v>INHABILITADO</v>
      </c>
      <c r="J16" s="200"/>
    </row>
    <row r="17" spans="1:10" ht="93" customHeight="1" x14ac:dyDescent="0.2">
      <c r="A17" s="195">
        <v>7</v>
      </c>
      <c r="B17" s="194" t="str">
        <f>+PROPONENTES!B16</f>
        <v>CONSORCIO VIAS URBANAS</v>
      </c>
      <c r="C17" s="34">
        <f>+PROPONENTES!M16</f>
        <v>2</v>
      </c>
      <c r="D17" s="130">
        <f>+PROPONENTES!N16</f>
        <v>1</v>
      </c>
      <c r="E17" s="18" t="str">
        <f>+KRESIDUAL!C10</f>
        <v>CUMPLE</v>
      </c>
      <c r="F17" s="18" t="str">
        <f>+'7'!$I$11</f>
        <v>NO CUMPLE</v>
      </c>
      <c r="G17" s="18" t="s">
        <v>14</v>
      </c>
      <c r="H17" s="18" t="str">
        <f>+'1'!$I$11</f>
        <v>CUMPLE</v>
      </c>
      <c r="I17" s="67" t="str">
        <f t="shared" si="0"/>
        <v>INHABILITADO</v>
      </c>
      <c r="J17" s="202" t="s">
        <v>454</v>
      </c>
    </row>
    <row r="18" spans="1:10" ht="45" customHeight="1" x14ac:dyDescent="0.2">
      <c r="A18" s="195">
        <v>8</v>
      </c>
      <c r="B18" s="194" t="str">
        <f>+PROPONENTES!B17</f>
        <v>CONSORCIO VIAL LA ROCA USAQUEN 2024</v>
      </c>
      <c r="C18" s="34">
        <f>+PROPONENTES!M17</f>
        <v>2</v>
      </c>
      <c r="D18" s="130">
        <f>+PROPONENTES!N17</f>
        <v>1</v>
      </c>
      <c r="E18" s="18" t="str">
        <f>+KRESIDUAL!C11</f>
        <v>CUMPLE</v>
      </c>
      <c r="F18" s="18" t="str">
        <f>+'8'!$I$11</f>
        <v>CUMPLE</v>
      </c>
      <c r="G18" s="18" t="s">
        <v>14</v>
      </c>
      <c r="H18" s="18" t="str">
        <f>+'1'!$I$11</f>
        <v>CUMPLE</v>
      </c>
      <c r="I18" s="67" t="str">
        <f t="shared" si="0"/>
        <v>INHABILITADO</v>
      </c>
      <c r="J18" s="200"/>
    </row>
    <row r="19" spans="1:10" ht="104.5" customHeight="1" x14ac:dyDescent="0.2">
      <c r="A19" s="195">
        <v>9</v>
      </c>
      <c r="B19" s="194" t="str">
        <f>+PROPONENTES!B18</f>
        <v>Consorcio LG</v>
      </c>
      <c r="C19" s="34">
        <f>+PROPONENTES!M18</f>
        <v>3</v>
      </c>
      <c r="D19" s="130">
        <f>+PROPONENTES!N18</f>
        <v>1</v>
      </c>
      <c r="E19" s="18" t="str">
        <f>+KRESIDUAL!C12</f>
        <v>CUMPLE</v>
      </c>
      <c r="F19" s="18" t="str">
        <f>+'9'!$I$11</f>
        <v>NO CUMPLE</v>
      </c>
      <c r="G19" s="18" t="str">
        <f>+'1'!$I$11</f>
        <v>CUMPLE</v>
      </c>
      <c r="H19" s="18" t="str">
        <f>+'1'!$I$11</f>
        <v>CUMPLE</v>
      </c>
      <c r="I19" s="67" t="str">
        <f t="shared" si="0"/>
        <v>INHABILITADO</v>
      </c>
      <c r="J19" s="202" t="s">
        <v>480</v>
      </c>
    </row>
    <row r="20" spans="1:10" ht="114" customHeight="1" x14ac:dyDescent="0.2">
      <c r="A20" s="195">
        <v>10</v>
      </c>
      <c r="B20" s="194" t="str">
        <f>+PROPONENTES!B19</f>
        <v>CONSORCIO VIAL URBANO DC</v>
      </c>
      <c r="C20" s="34">
        <f>+PROPONENTES!M19</f>
        <v>2</v>
      </c>
      <c r="D20" s="130">
        <f>+PROPONENTES!N19</f>
        <v>1</v>
      </c>
      <c r="E20" s="18" t="str">
        <f>+KRESIDUAL!C13</f>
        <v>NO CUMPLE</v>
      </c>
      <c r="F20" s="18" t="str">
        <f>+'10'!$I$11</f>
        <v>NO CUMPLE</v>
      </c>
      <c r="G20" s="18" t="str">
        <f>+'1'!$I$11</f>
        <v>CUMPLE</v>
      </c>
      <c r="H20" s="18" t="str">
        <f>+'1'!$I$11</f>
        <v>CUMPLE</v>
      </c>
      <c r="I20" s="67" t="str">
        <f t="shared" si="0"/>
        <v>INHABILITADO</v>
      </c>
      <c r="J20" s="202" t="s">
        <v>784</v>
      </c>
    </row>
    <row r="21" spans="1:10" ht="23.25" customHeight="1" x14ac:dyDescent="0.2">
      <c r="A21" s="195">
        <v>11</v>
      </c>
      <c r="B21" s="194" t="str">
        <f>+PROPONENTES!B20</f>
        <v>CONSTRUCTORA CAMACON S.A.S</v>
      </c>
      <c r="C21" s="34">
        <f>+PROPONENTES!M20</f>
        <v>1</v>
      </c>
      <c r="D21" s="130">
        <f>+PROPONENTES!N20</f>
        <v>1</v>
      </c>
      <c r="E21" s="18" t="str">
        <f>+KRESIDUAL!C14</f>
        <v>CUMPLE</v>
      </c>
      <c r="F21" s="18" t="str">
        <f>+'11'!$I$11</f>
        <v>CUMPLE</v>
      </c>
      <c r="G21" s="18" t="s">
        <v>14</v>
      </c>
      <c r="H21" s="18" t="str">
        <f>+'1'!$I$11</f>
        <v>CUMPLE</v>
      </c>
      <c r="I21" s="67" t="str">
        <f t="shared" si="0"/>
        <v>INHABILITADO</v>
      </c>
      <c r="J21" s="89"/>
    </row>
    <row r="22" spans="1:10" ht="23.25" customHeight="1" x14ac:dyDescent="0.2">
      <c r="A22" s="195">
        <v>12</v>
      </c>
      <c r="B22" s="194" t="str">
        <f>+PROPONENTES!B21</f>
        <v>CONSORCIO LA VICTORIA 2024</v>
      </c>
      <c r="C22" s="34">
        <f>+PROPONENTES!M21</f>
        <v>2</v>
      </c>
      <c r="D22" s="130">
        <f>+PROPONENTES!N21</f>
        <v>1</v>
      </c>
      <c r="E22" s="18" t="str">
        <f>+KRESIDUAL!C15</f>
        <v>CUMPLE</v>
      </c>
      <c r="F22" s="18" t="str">
        <f>+'12'!$I$11</f>
        <v>CUMPLE</v>
      </c>
      <c r="G22" s="18" t="str">
        <f>+'12'!$I$11</f>
        <v>CUMPLE</v>
      </c>
      <c r="H22" s="18" t="str">
        <f>+'1'!$I$11</f>
        <v>CUMPLE</v>
      </c>
      <c r="I22" s="67" t="str">
        <f t="shared" si="0"/>
        <v>HABILITADO</v>
      </c>
      <c r="J22" s="89"/>
    </row>
    <row r="23" spans="1:10" ht="23.25" customHeight="1" x14ac:dyDescent="0.2">
      <c r="A23" s="195">
        <v>13</v>
      </c>
      <c r="B23" s="194" t="str">
        <f>+PROPONENTES!B22</f>
        <v>VIALUSA 2024</v>
      </c>
      <c r="C23" s="34">
        <f>+PROPONENTES!M22</f>
        <v>2</v>
      </c>
      <c r="D23" s="130">
        <f>+PROPONENTES!N22</f>
        <v>1</v>
      </c>
      <c r="E23" s="18" t="str">
        <f>+KRESIDUAL!C16</f>
        <v>CUMPLE</v>
      </c>
      <c r="F23" s="18" t="str">
        <f>+'13'!$I$11</f>
        <v>CUMPLE</v>
      </c>
      <c r="G23" s="18" t="str">
        <f>+'12'!$I$11</f>
        <v>CUMPLE</v>
      </c>
      <c r="H23" s="18" t="str">
        <f>+'1'!$I$11</f>
        <v>CUMPLE</v>
      </c>
      <c r="I23" s="67" t="str">
        <f t="shared" si="0"/>
        <v>HABILITADO</v>
      </c>
      <c r="J23" s="89"/>
    </row>
    <row r="24" spans="1:10" ht="23.25" customHeight="1" x14ac:dyDescent="0.2">
      <c r="A24" s="195">
        <v>14</v>
      </c>
      <c r="B24" s="194" t="str">
        <f>+PROPONENTES!B23</f>
        <v>14 CONSORCIO VIAL USAQUEN</v>
      </c>
      <c r="C24" s="34">
        <f>+PROPONENTES!M23</f>
        <v>2</v>
      </c>
      <c r="D24" s="130">
        <f>+PROPONENTES!N23</f>
        <v>1</v>
      </c>
      <c r="E24" s="18" t="str">
        <f>+KRESIDUAL!C17</f>
        <v>CUMPLE</v>
      </c>
      <c r="F24" s="18" t="str">
        <f>+'14'!$I$11</f>
        <v>CUMPLE</v>
      </c>
      <c r="G24" s="18" t="s">
        <v>14</v>
      </c>
      <c r="H24" s="18" t="str">
        <f>+'1'!$I$11</f>
        <v>CUMPLE</v>
      </c>
      <c r="I24" s="67" t="str">
        <f t="shared" si="0"/>
        <v>INHABILITADO</v>
      </c>
      <c r="J24" s="89"/>
    </row>
    <row r="25" spans="1:10" ht="23.25" customHeight="1" x14ac:dyDescent="0.2">
      <c r="A25" s="195">
        <v>15</v>
      </c>
      <c r="B25" s="194" t="str">
        <f>+PROPONENTES!B24</f>
        <v>CONSORCIO ZINFRA</v>
      </c>
      <c r="C25" s="34">
        <f>+PROPONENTES!M24</f>
        <v>2</v>
      </c>
      <c r="D25" s="130">
        <f>+PROPONENTES!N24</f>
        <v>1</v>
      </c>
      <c r="E25" s="18" t="str">
        <f>+KRESIDUAL!C18</f>
        <v>CUMPLE</v>
      </c>
      <c r="F25" s="18" t="str">
        <f>+'15'!$I$11</f>
        <v>CUMPLE</v>
      </c>
      <c r="G25" s="18" t="s">
        <v>14</v>
      </c>
      <c r="H25" s="18" t="str">
        <f>+'1'!$I$11</f>
        <v>CUMPLE</v>
      </c>
      <c r="I25" s="67" t="str">
        <f t="shared" si="0"/>
        <v>INHABILITADO</v>
      </c>
      <c r="J25" s="89"/>
    </row>
    <row r="26" spans="1:10" ht="40.25" customHeight="1" x14ac:dyDescent="0.2">
      <c r="A26" s="195">
        <v>16</v>
      </c>
      <c r="B26" s="194" t="str">
        <f>+PROPONENTES!B25</f>
        <v>CONSORCIO MANTENIMIENTO VIAL USAQUEN II</v>
      </c>
      <c r="C26" s="34">
        <f>+PROPONENTES!M25</f>
        <v>2</v>
      </c>
      <c r="D26" s="130">
        <f>+PROPONENTES!N25</f>
        <v>1</v>
      </c>
      <c r="E26" s="18" t="str">
        <f>+KRESIDUAL!C19</f>
        <v>CUMPLE</v>
      </c>
      <c r="F26" s="18" t="str">
        <f>+'16'!$I$11</f>
        <v>CUMPLE</v>
      </c>
      <c r="G26" s="18" t="s">
        <v>14</v>
      </c>
      <c r="H26" s="18" t="str">
        <f>+'1'!$I$11</f>
        <v>CUMPLE</v>
      </c>
      <c r="I26" s="67" t="str">
        <f t="shared" si="0"/>
        <v>INHABILITADO</v>
      </c>
      <c r="J26" s="89"/>
    </row>
    <row r="27" spans="1:10" ht="23.25" customHeight="1" x14ac:dyDescent="0.2">
      <c r="A27" s="195">
        <v>17</v>
      </c>
      <c r="B27" s="194" t="str">
        <f>+PROPONENTES!B26</f>
        <v>CONSORCIO DAI USAQUEN</v>
      </c>
      <c r="C27" s="34">
        <f>+PROPONENTES!M26</f>
        <v>2</v>
      </c>
      <c r="D27" s="130">
        <f>+PROPONENTES!N26</f>
        <v>1</v>
      </c>
      <c r="E27" s="18" t="str">
        <f>+KRESIDUAL!C20</f>
        <v>CUMPLE</v>
      </c>
      <c r="F27" s="18" t="str">
        <f>+'17'!$I$11</f>
        <v>CUMPLE</v>
      </c>
      <c r="G27" s="18" t="s">
        <v>14</v>
      </c>
      <c r="H27" s="18" t="str">
        <f>+'1'!$I$11</f>
        <v>CUMPLE</v>
      </c>
      <c r="I27" s="67" t="str">
        <f t="shared" si="0"/>
        <v>INHABILITADO</v>
      </c>
      <c r="J27" s="89"/>
    </row>
    <row r="28" spans="1:10" ht="77.5" customHeight="1" x14ac:dyDescent="0.2">
      <c r="A28" s="195">
        <v>18</v>
      </c>
      <c r="B28" s="194" t="str">
        <f>+PROPONENTES!B27</f>
        <v>CONSORCIO USAQUEN 002</v>
      </c>
      <c r="C28" s="34">
        <f>+PROPONENTES!M27</f>
        <v>2</v>
      </c>
      <c r="D28" s="130">
        <f>+PROPONENTES!N27</f>
        <v>1</v>
      </c>
      <c r="E28" s="18" t="str">
        <f>+KRESIDUAL!C21</f>
        <v>NO CUMPLE</v>
      </c>
      <c r="F28" s="18" t="str">
        <f>+'18'!$I$11</f>
        <v>NO CUMPLE</v>
      </c>
      <c r="G28" s="18" t="str">
        <f>+'1'!$I$11</f>
        <v>CUMPLE</v>
      </c>
      <c r="H28" s="18" t="str">
        <f>+'1'!$I$11</f>
        <v>CUMPLE</v>
      </c>
      <c r="I28" s="67" t="str">
        <f t="shared" si="0"/>
        <v>INHABILITADO</v>
      </c>
      <c r="J28" s="220" t="s">
        <v>781</v>
      </c>
    </row>
    <row r="29" spans="1:10" ht="46.25" customHeight="1" x14ac:dyDescent="0.2">
      <c r="A29" s="195">
        <v>19</v>
      </c>
      <c r="B29" s="194" t="str">
        <f>+PROPONENTES!B28</f>
        <v>CONSORCIO MALLA VIAL USAQUEN</v>
      </c>
      <c r="C29" s="34">
        <f>+PROPONENTES!M28</f>
        <v>2</v>
      </c>
      <c r="D29" s="130">
        <f>+PROPONENTES!N28</f>
        <v>1</v>
      </c>
      <c r="E29" s="18" t="str">
        <f>+KRESIDUAL!C22</f>
        <v>CUMPLE</v>
      </c>
      <c r="F29" s="18" t="str">
        <f>+'19'!$I$11</f>
        <v>CUMPLE</v>
      </c>
      <c r="G29" s="18" t="s">
        <v>14</v>
      </c>
      <c r="H29" s="18" t="str">
        <f>+'1'!$I$11</f>
        <v>CUMPLE</v>
      </c>
      <c r="I29" s="67" t="str">
        <f t="shared" si="0"/>
        <v>INHABILITADO</v>
      </c>
      <c r="J29" s="220"/>
    </row>
    <row r="30" spans="1:10" ht="16" x14ac:dyDescent="0.2">
      <c r="A30" s="195">
        <v>20</v>
      </c>
      <c r="B30" s="194" t="str">
        <f>+PROPONENTES!B29</f>
        <v>CONSORCIO SEGMENTOS VIALES</v>
      </c>
      <c r="C30" s="34">
        <f>+PROPONENTES!M29</f>
        <v>3</v>
      </c>
      <c r="D30" s="130">
        <f>+PROPONENTES!N29</f>
        <v>1</v>
      </c>
      <c r="E30" s="18" t="str">
        <f>+KRESIDUAL!C23</f>
        <v>CUMPLE</v>
      </c>
      <c r="F30" s="18" t="str">
        <f>+'20'!$I$11</f>
        <v>CUMPLE</v>
      </c>
      <c r="G30" s="18" t="s">
        <v>14</v>
      </c>
      <c r="H30" s="18" t="str">
        <f>+'1'!$I$11</f>
        <v>CUMPLE</v>
      </c>
      <c r="I30" s="67" t="str">
        <f t="shared" si="0"/>
        <v>INHABILITADO</v>
      </c>
      <c r="J30" s="220"/>
    </row>
    <row r="31" spans="1:10" ht="88.25" customHeight="1" x14ac:dyDescent="0.2">
      <c r="A31" s="195">
        <v>21</v>
      </c>
      <c r="B31" s="194" t="str">
        <f>+PROPONENTES!B30</f>
        <v>CONSORCIO LOCALIDAD USAQUEN</v>
      </c>
      <c r="C31" s="34">
        <f>+PROPONENTES!M30</f>
        <v>3</v>
      </c>
      <c r="D31" s="130">
        <f>+PROPONENTES!N30</f>
        <v>1</v>
      </c>
      <c r="E31" s="18" t="str">
        <f>+KRESIDUAL!C24</f>
        <v>CUMPLE</v>
      </c>
      <c r="F31" s="18" t="str">
        <f>+'21'!$I$11</f>
        <v>NO CUMPLE</v>
      </c>
      <c r="G31" s="18" t="s">
        <v>14</v>
      </c>
      <c r="H31" s="18" t="str">
        <f>+'1'!$I$11</f>
        <v>CUMPLE</v>
      </c>
      <c r="I31" s="67" t="str">
        <f t="shared" si="0"/>
        <v>INHABILITADO</v>
      </c>
      <c r="J31" s="220" t="s">
        <v>786</v>
      </c>
    </row>
    <row r="32" spans="1:10" ht="99" customHeight="1" x14ac:dyDescent="0.2">
      <c r="A32" s="195">
        <v>22</v>
      </c>
      <c r="B32" s="194" t="str">
        <f>+PROPONENTES!B31</f>
        <v>22 CONSORCIO VIAL USAQUEN</v>
      </c>
      <c r="C32" s="34">
        <f>+PROPONENTES!M31</f>
        <v>4</v>
      </c>
      <c r="D32" s="130">
        <f>+PROPONENTES!N31</f>
        <v>1</v>
      </c>
      <c r="E32" s="18" t="str">
        <f>+KRESIDUAL!C25</f>
        <v>CUMPLE</v>
      </c>
      <c r="F32" s="18" t="str">
        <f>+'22'!$I$11</f>
        <v>NO CUMPLE</v>
      </c>
      <c r="G32" s="18" t="s">
        <v>14</v>
      </c>
      <c r="H32" s="18" t="str">
        <f>+'1'!$I$11</f>
        <v>CUMPLE</v>
      </c>
      <c r="I32" s="67" t="str">
        <f t="shared" si="0"/>
        <v>INHABILITADO</v>
      </c>
      <c r="J32" s="222" t="s">
        <v>770</v>
      </c>
    </row>
    <row r="33" spans="1:10" ht="23.25" customHeight="1" x14ac:dyDescent="0.2">
      <c r="A33" s="195">
        <v>23</v>
      </c>
      <c r="B33" s="194" t="str">
        <f>+PROPONENTES!B32</f>
        <v>VD USAQUEN 2024</v>
      </c>
      <c r="C33" s="34">
        <f>+PROPONENTES!M32</f>
        <v>2</v>
      </c>
      <c r="D33" s="130">
        <f>+PROPONENTES!N32</f>
        <v>1</v>
      </c>
      <c r="E33" s="18" t="str">
        <f>+KRESIDUAL!C26</f>
        <v>CUMPLE</v>
      </c>
      <c r="F33" s="18" t="str">
        <f>+'23'!$I$11</f>
        <v>CUMPLE</v>
      </c>
      <c r="G33" s="18" t="s">
        <v>14</v>
      </c>
      <c r="H33" s="18" t="str">
        <f>+'1'!$I$11</f>
        <v>CUMPLE</v>
      </c>
      <c r="I33" s="67" t="str">
        <f t="shared" si="0"/>
        <v>INHABILITADO</v>
      </c>
      <c r="J33" s="89"/>
    </row>
    <row r="34" spans="1:10" ht="23.25" customHeight="1" x14ac:dyDescent="0.2">
      <c r="A34" s="195">
        <v>24</v>
      </c>
      <c r="B34" s="194" t="str">
        <f>+PROPONENTES!B33</f>
        <v>CONSORCIO ZONA 1</v>
      </c>
      <c r="C34" s="34">
        <f>+PROPONENTES!M29</f>
        <v>3</v>
      </c>
      <c r="D34" s="130">
        <f>+PROPONENTES!N29</f>
        <v>1</v>
      </c>
      <c r="E34" s="18" t="str">
        <f>+KRESIDUAL!C27</f>
        <v>CUMPLE</v>
      </c>
      <c r="F34" s="18" t="str">
        <f>+'24'!$I$11</f>
        <v>CUMPLE</v>
      </c>
      <c r="G34" s="18" t="str">
        <f>+'1'!$I$11</f>
        <v>CUMPLE</v>
      </c>
      <c r="H34" s="18" t="str">
        <f>+'1'!$I$11</f>
        <v>CUMPLE</v>
      </c>
      <c r="I34" s="67" t="str">
        <f t="shared" ref="I34:I37" si="1">IF(AND(E34="",F34="",G34="",H34=""),"",IF(AND(E34="CUMPLE",F34="CUMPLE",G34="CUMPLE",H34="CUMPLE"),"HABILITADO","INHABILITADO"))</f>
        <v>HABILITADO</v>
      </c>
      <c r="J34" s="89"/>
    </row>
    <row r="35" spans="1:10" ht="23.25" customHeight="1" x14ac:dyDescent="0.2">
      <c r="A35" s="195">
        <v>25</v>
      </c>
      <c r="B35" s="194" t="str">
        <f>+PROPONENTES!B34</f>
        <v>CONSORCIO VIAS USAQUEN 2027</v>
      </c>
      <c r="C35" s="34">
        <f>+PROPONENTES!M30</f>
        <v>3</v>
      </c>
      <c r="D35" s="130">
        <f>+PROPONENTES!N30</f>
        <v>1</v>
      </c>
      <c r="E35" s="18" t="str">
        <f>+KRESIDUAL!C28</f>
        <v>NO CUMPLE</v>
      </c>
      <c r="F35" s="18" t="str">
        <f>+'25'!$I$11</f>
        <v>CUMPLE</v>
      </c>
      <c r="G35" s="18" t="s">
        <v>14</v>
      </c>
      <c r="H35" s="18" t="str">
        <f>+'1'!$I$11</f>
        <v>CUMPLE</v>
      </c>
      <c r="I35" s="67" t="str">
        <f t="shared" si="1"/>
        <v>INHABILITADO</v>
      </c>
      <c r="J35" s="202" t="s">
        <v>783</v>
      </c>
    </row>
    <row r="36" spans="1:10" ht="23.25" customHeight="1" x14ac:dyDescent="0.2">
      <c r="A36" s="195">
        <v>26</v>
      </c>
      <c r="B36" s="194" t="str">
        <f>+PROPONENTES!B35</f>
        <v>ARCO CONSTRUCTORES SAS</v>
      </c>
      <c r="C36" s="34">
        <f>+PROPONENTES!M31</f>
        <v>4</v>
      </c>
      <c r="D36" s="130">
        <f>+PROPONENTES!N31</f>
        <v>1</v>
      </c>
      <c r="E36" s="18" t="str">
        <f>+KRESIDUAL!C29</f>
        <v>CUMPLE</v>
      </c>
      <c r="F36" s="18" t="str">
        <f>+'26'!$I$11</f>
        <v>CUMPLE</v>
      </c>
      <c r="G36" s="18" t="s">
        <v>14</v>
      </c>
      <c r="H36" s="18" t="str">
        <f>+'1'!$I$11</f>
        <v>CUMPLE</v>
      </c>
      <c r="I36" s="67" t="str">
        <f t="shared" si="1"/>
        <v>INHABILITADO</v>
      </c>
      <c r="J36" s="89"/>
    </row>
    <row r="37" spans="1:10" ht="97.75" customHeight="1" x14ac:dyDescent="0.2">
      <c r="A37" s="195">
        <v>27</v>
      </c>
      <c r="B37" s="194" t="str">
        <f>+PROPONENTES!B36</f>
        <v>OCCIDENTAL DE COLOMBIA SAS</v>
      </c>
      <c r="C37" s="34">
        <f>+PROPONENTES!M32</f>
        <v>2</v>
      </c>
      <c r="D37" s="130">
        <f>+PROPONENTES!N32</f>
        <v>1</v>
      </c>
      <c r="E37" s="18" t="str">
        <f>+KRESIDUAL!C30</f>
        <v>NO CUMPLE</v>
      </c>
      <c r="F37" s="18" t="str">
        <f>+'27'!$I$11</f>
        <v>NO CUMPLE</v>
      </c>
      <c r="G37" s="18" t="str">
        <f>+'1'!$I$11</f>
        <v>CUMPLE</v>
      </c>
      <c r="H37" s="18" t="str">
        <f>+'1'!$I$11</f>
        <v>CUMPLE</v>
      </c>
      <c r="I37" s="67" t="str">
        <f t="shared" si="1"/>
        <v>INHABILITADO</v>
      </c>
      <c r="J37" s="202" t="s">
        <v>772</v>
      </c>
    </row>
    <row r="38" spans="1:10" ht="77.5" customHeight="1" x14ac:dyDescent="0.2">
      <c r="A38" s="195">
        <v>28</v>
      </c>
      <c r="B38" s="194" t="str">
        <f>+PROPONENTES!B37</f>
        <v>CONSORCIO BELZCON - USAQUEN</v>
      </c>
      <c r="C38" s="34">
        <f>+PROPONENTES!M33</f>
        <v>2</v>
      </c>
      <c r="D38" s="130">
        <f>+PROPONENTES!N33</f>
        <v>1</v>
      </c>
      <c r="E38" s="18" t="str">
        <f>+KRESIDUAL!C31</f>
        <v>NO CUMPLE</v>
      </c>
      <c r="F38" s="18" t="str">
        <f>+'28'!$I$11</f>
        <v>CUMPLE</v>
      </c>
      <c r="G38" s="18" t="s">
        <v>14</v>
      </c>
      <c r="H38" s="18" t="str">
        <f>+'1'!$I$11</f>
        <v>CUMPLE</v>
      </c>
      <c r="I38" s="67" t="str">
        <f t="shared" si="0"/>
        <v>INHABILITADO</v>
      </c>
      <c r="J38" s="202" t="s">
        <v>779</v>
      </c>
    </row>
    <row r="39" spans="1:10" ht="37.75" customHeight="1" x14ac:dyDescent="0.2">
      <c r="A39" s="195">
        <v>29</v>
      </c>
      <c r="B39" s="194" t="str">
        <f>+PROPONENTES!B38</f>
        <v>CONSORCIO INFRAVIAL 4G</v>
      </c>
      <c r="C39" s="34">
        <f>+PROPONENTES!M34</f>
        <v>3</v>
      </c>
      <c r="D39" s="130">
        <f>+PROPONENTES!N34</f>
        <v>1</v>
      </c>
      <c r="E39" s="18" t="str">
        <f>+KRESIDUAL!C32</f>
        <v>CUMPLE</v>
      </c>
      <c r="F39" s="18" t="str">
        <f>+'29'!$I$11</f>
        <v>CUMPLE</v>
      </c>
      <c r="G39" s="18" t="s">
        <v>14</v>
      </c>
      <c r="H39" s="18" t="str">
        <f>+'1'!$I$11</f>
        <v>CUMPLE</v>
      </c>
      <c r="I39" s="67" t="str">
        <f t="shared" si="0"/>
        <v>INHABILITADO</v>
      </c>
      <c r="J39" s="202"/>
    </row>
    <row r="40" spans="1:10" ht="23.25" customHeight="1" x14ac:dyDescent="0.2">
      <c r="A40" s="195">
        <v>30</v>
      </c>
      <c r="B40" s="194" t="str">
        <f>+PROPONENTES!B39</f>
        <v>CONSORCIO VIAS PRO BOGOTA</v>
      </c>
      <c r="C40" s="34">
        <f>+PROPONENTES!M35</f>
        <v>1</v>
      </c>
      <c r="D40" s="130">
        <f>+PROPONENTES!N35</f>
        <v>1</v>
      </c>
      <c r="E40" s="18" t="str">
        <f>+KRESIDUAL!C33</f>
        <v>CUMPLE</v>
      </c>
      <c r="F40" s="18" t="str">
        <f>+'30'!$I$11</f>
        <v>CUMPLE</v>
      </c>
      <c r="G40" s="18" t="s">
        <v>14</v>
      </c>
      <c r="H40" s="18" t="str">
        <f>+'1'!$I$11</f>
        <v>CUMPLE</v>
      </c>
      <c r="I40" s="67" t="str">
        <f t="shared" si="0"/>
        <v>INHABILITADO</v>
      </c>
      <c r="J40" s="89"/>
    </row>
    <row r="41" spans="1:10" ht="23.25" customHeight="1" x14ac:dyDescent="0.2">
      <c r="A41" s="195">
        <v>31</v>
      </c>
      <c r="B41" s="194" t="str">
        <f>+PROPONENTES!B40</f>
        <v>CONSORCIO BP VIAS USAQUEN</v>
      </c>
      <c r="C41" s="34">
        <f>+PROPONENTES!M36</f>
        <v>1</v>
      </c>
      <c r="D41" s="130">
        <f>+PROPONENTES!N36</f>
        <v>1</v>
      </c>
      <c r="E41" s="18" t="str">
        <f>+KRESIDUAL!C34</f>
        <v>CUMPLE</v>
      </c>
      <c r="F41" s="18" t="str">
        <f>+'31'!$I$11</f>
        <v>CUMPLE</v>
      </c>
      <c r="G41" s="18" t="str">
        <f>+'1'!$I$11</f>
        <v>CUMPLE</v>
      </c>
      <c r="H41" s="18" t="str">
        <f>+'1'!$I$11</f>
        <v>CUMPLE</v>
      </c>
      <c r="I41" s="67" t="str">
        <f t="shared" si="0"/>
        <v>HABILITADO</v>
      </c>
      <c r="J41" s="89"/>
    </row>
    <row r="42" spans="1:10" ht="23.25" customHeight="1" x14ac:dyDescent="0.2">
      <c r="A42" s="195">
        <v>32</v>
      </c>
      <c r="B42" s="194" t="str">
        <f>+PROPONENTES!B41</f>
        <v>CONSORCIO MALLA VIAL U</v>
      </c>
      <c r="C42" s="34">
        <f>+PROPONENTES!M41</f>
        <v>3</v>
      </c>
      <c r="D42" s="130">
        <f>+PROPONENTES!N41</f>
        <v>1</v>
      </c>
      <c r="E42" s="18" t="str">
        <f>+KRESIDUAL!C35</f>
        <v>CUMPLE</v>
      </c>
      <c r="F42" s="18" t="str">
        <f>+'32'!$I$11</f>
        <v>CUMPLE</v>
      </c>
      <c r="G42" s="18" t="s">
        <v>14</v>
      </c>
      <c r="H42" s="18" t="str">
        <f>+'1'!$I$11</f>
        <v>CUMPLE</v>
      </c>
      <c r="I42" s="67" t="str">
        <f t="shared" ref="I42" si="2">IF(AND(E42="",F42="",G42="",H42=""),"",IF(AND(E42="CUMPLE",F42="CUMPLE",G42="CUMPLE",H42="CUMPLE"),"HABILITADO","INHABILITADO"))</f>
        <v>INHABILITADO</v>
      </c>
      <c r="J42" s="89"/>
    </row>
    <row r="43" spans="1:10" ht="52.75" customHeight="1" x14ac:dyDescent="0.2">
      <c r="A43" s="195">
        <v>33</v>
      </c>
      <c r="B43" s="194" t="str">
        <f>+PROPONENTES!B42</f>
        <v>CONSORCIO SANTA ANA 2024</v>
      </c>
      <c r="C43" s="34">
        <f>+PROPONENTES!M42</f>
        <v>4</v>
      </c>
      <c r="D43" s="130">
        <f>+PROPONENTES!N42</f>
        <v>1</v>
      </c>
      <c r="E43" s="18" t="str">
        <f>+KRESIDUAL!C36</f>
        <v>NO CUMPLE</v>
      </c>
      <c r="F43" s="18" t="str">
        <f>+'33'!$I$11</f>
        <v>CUMPLE</v>
      </c>
      <c r="G43" s="18" t="s">
        <v>14</v>
      </c>
      <c r="H43" s="18" t="str">
        <f>+'1'!$I$11</f>
        <v>CUMPLE</v>
      </c>
      <c r="I43" s="67" t="str">
        <f t="shared" si="0"/>
        <v>INHABILITADO</v>
      </c>
      <c r="J43" s="202" t="s">
        <v>774</v>
      </c>
    </row>
    <row r="44" spans="1:10" ht="23.25" customHeight="1" x14ac:dyDescent="0.2">
      <c r="B44" s="15"/>
      <c r="D44" s="22"/>
      <c r="E44" s="16"/>
      <c r="F44" s="16"/>
      <c r="G44" s="16"/>
      <c r="H44" s="16"/>
      <c r="I44" s="23"/>
    </row>
    <row r="45" spans="1:10" ht="39" customHeight="1" x14ac:dyDescent="0.2"/>
    <row r="46" spans="1:10" ht="16.75" customHeight="1" x14ac:dyDescent="0.2">
      <c r="B46" s="227" t="s">
        <v>180</v>
      </c>
      <c r="C46" s="226"/>
      <c r="D46" s="226"/>
      <c r="E46" s="89"/>
    </row>
    <row r="47" spans="1:10" ht="15.5" customHeight="1" x14ac:dyDescent="0.2">
      <c r="B47" s="228"/>
      <c r="C47" s="226"/>
      <c r="D47" s="226"/>
      <c r="E47" s="89"/>
    </row>
    <row r="48" spans="1:10" ht="16.25" customHeight="1" x14ac:dyDescent="0.2">
      <c r="B48" s="228"/>
      <c r="C48" s="226"/>
      <c r="D48" s="226"/>
      <c r="E48" s="89"/>
    </row>
    <row r="49" spans="2:5" ht="15.5" customHeight="1" x14ac:dyDescent="0.2">
      <c r="B49" s="228"/>
      <c r="C49" s="226"/>
      <c r="D49" s="226"/>
      <c r="E49" s="89"/>
    </row>
    <row r="50" spans="2:5" ht="15.5" customHeight="1" x14ac:dyDescent="0.2">
      <c r="B50" s="228"/>
      <c r="C50" s="226"/>
      <c r="D50" s="226"/>
      <c r="E50" s="89"/>
    </row>
    <row r="51" spans="2:5" ht="17.5" customHeight="1" x14ac:dyDescent="0.2">
      <c r="B51" s="228"/>
      <c r="C51" s="226"/>
      <c r="D51" s="226"/>
      <c r="E51" s="89"/>
    </row>
    <row r="52" spans="2:5" ht="18.5" customHeight="1" x14ac:dyDescent="0.2">
      <c r="B52" s="229"/>
      <c r="C52" s="226"/>
      <c r="D52" s="226"/>
      <c r="E52" s="89"/>
    </row>
  </sheetData>
  <mergeCells count="18">
    <mergeCell ref="A1:I1"/>
    <mergeCell ref="C5:D5"/>
    <mergeCell ref="C4:D4"/>
    <mergeCell ref="E4:I4"/>
    <mergeCell ref="B6:I6"/>
    <mergeCell ref="E5:H5"/>
    <mergeCell ref="A7:J7"/>
    <mergeCell ref="C51:D51"/>
    <mergeCell ref="C52:D52"/>
    <mergeCell ref="B46:B52"/>
    <mergeCell ref="A2:I2"/>
    <mergeCell ref="A4:B5"/>
    <mergeCell ref="A3:I3"/>
    <mergeCell ref="C46:D46"/>
    <mergeCell ref="C47:D47"/>
    <mergeCell ref="C48:D48"/>
    <mergeCell ref="C49:D49"/>
    <mergeCell ref="C50:D50"/>
  </mergeCells>
  <phoneticPr fontId="15" type="noConversion"/>
  <conditionalFormatting sqref="E11:H43">
    <cfRule type="cellIs" dxfId="1540" priority="3" operator="equal">
      <formula>"CUMPLE"</formula>
    </cfRule>
    <cfRule type="cellIs" dxfId="1539" priority="4" operator="equal">
      <formula>"NO CUMPLE"</formula>
    </cfRule>
    <cfRule type="cellIs" dxfId="1538" priority="5" operator="equal">
      <formula>"""CUMPLE"""</formula>
    </cfRule>
  </conditionalFormatting>
  <conditionalFormatting sqref="E44:H44">
    <cfRule type="containsText" dxfId="1537" priority="199" operator="containsText" text="NO CUMPLE">
      <formula>NOT(ISERROR(SEARCH("NO CUMPLE",E44)))</formula>
    </cfRule>
    <cfRule type="containsText" dxfId="1536" priority="200" operator="containsText" text="CUMPLE">
      <formula>NOT(ISERROR(SEARCH("CUMPLE",E44)))</formula>
    </cfRule>
  </conditionalFormatting>
  <conditionalFormatting sqref="I11:I44">
    <cfRule type="containsText" dxfId="1535" priority="189" operator="containsText" text="INHABILITADO">
      <formula>NOT(ISERROR(SEARCH("INHABILITADO",I11)))</formula>
    </cfRule>
    <cfRule type="containsText" dxfId="1534" priority="190" operator="containsText" text="HABILITADO">
      <formula>NOT(ISERROR(SEARCH("HABILITADO",I11)))</formula>
    </cfRule>
  </conditionalFormatting>
  <conditionalFormatting sqref="J28:J32">
    <cfRule type="containsText" dxfId="1533" priority="1" operator="containsText" text="INHABILITADO">
      <formula>NOT(ISERROR(SEARCH("INHABILITADO",J28)))</formula>
    </cfRule>
    <cfRule type="containsText" dxfId="1532" priority="2" operator="containsText" text="HABILITADO">
      <formula>NOT(ISERROR(SEARCH("HABILITADO",J28)))</formula>
    </cfRule>
  </conditionalFormatting>
  <pageMargins left="0.7" right="0.7" top="0.75" bottom="0.75" header="0.3" footer="0.3"/>
  <pageSetup scale="32" orientation="landscape" r:id="rId1"/>
  <rowBreaks count="1" manualBreakCount="1">
    <brk id="43" max="8"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B00-000000000000}">
          <x14:formula1>
            <xm:f>'DATOS INICIALES'!$A$53:$A$54</xm:f>
          </x14:formula1>
          <xm:sqref>E11:E43 G11:G18 G21 G24:G27 G29:G33 G35:G36 G38:G40 G42:G43</xm:sqref>
        </x14:dataValidation>
        <x14:dataValidation type="list" allowBlank="1" showInputMessage="1" showErrorMessage="1" xr:uid="{00000000-0002-0000-1B00-000001000000}">
          <x14:formula1>
            <xm:f>'DATOS INICIALES'!$A$48:$A$49</xm:f>
          </x14:formula1>
          <xm:sqref>I11:I43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51"/>
  <sheetViews>
    <sheetView view="pageBreakPreview" topLeftCell="C1" zoomScale="80" zoomScaleNormal="80" zoomScaleSheetLayoutView="80" workbookViewId="0">
      <pane ySplit="9" topLeftCell="A10" activePane="bottomLeft" state="frozenSplit"/>
      <selection pane="bottomLeft" activeCell="N10" sqref="N10"/>
    </sheetView>
  </sheetViews>
  <sheetFormatPr baseColWidth="10" defaultColWidth="11.5" defaultRowHeight="15" x14ac:dyDescent="0.2"/>
  <cols>
    <col min="1" max="1" width="7.5" style="14" customWidth="1"/>
    <col min="2" max="2" width="52.6640625" customWidth="1"/>
    <col min="3" max="3" width="22.6640625" style="15" customWidth="1"/>
    <col min="4" max="4" width="18.1640625" style="68" customWidth="1"/>
    <col min="5" max="5" width="16.5" style="68" customWidth="1"/>
    <col min="6" max="6" width="17.33203125" style="68" customWidth="1"/>
    <col min="7" max="12" width="23.83203125" customWidth="1"/>
    <col min="13" max="13" width="28.5" customWidth="1"/>
    <col min="14" max="14" width="50.33203125" customWidth="1"/>
    <col min="16" max="16" width="11.5" customWidth="1"/>
  </cols>
  <sheetData>
    <row r="1" spans="1:14" x14ac:dyDescent="0.2">
      <c r="A1" s="226"/>
      <c r="B1" s="226"/>
      <c r="C1" s="226"/>
      <c r="D1" s="226"/>
      <c r="E1" s="226"/>
      <c r="F1" s="226"/>
      <c r="G1" s="226"/>
      <c r="H1" s="226"/>
      <c r="I1" s="226"/>
      <c r="J1" s="226"/>
      <c r="K1" s="226"/>
      <c r="L1" s="226"/>
      <c r="M1" s="226"/>
      <c r="N1" s="14"/>
    </row>
    <row r="2" spans="1:14" ht="24.75" customHeight="1" x14ac:dyDescent="0.2">
      <c r="A2" s="230" t="s">
        <v>177</v>
      </c>
      <c r="B2" s="230"/>
      <c r="C2" s="230"/>
      <c r="D2" s="230"/>
      <c r="E2" s="230"/>
      <c r="F2" s="230"/>
      <c r="G2" s="230"/>
      <c r="H2" s="230"/>
      <c r="I2" s="230"/>
      <c r="J2" s="230"/>
      <c r="K2" s="230"/>
      <c r="L2" s="230"/>
      <c r="M2" s="230"/>
      <c r="N2" s="188"/>
    </row>
    <row r="3" spans="1:14" ht="8.5" customHeight="1" x14ac:dyDescent="0.2">
      <c r="A3" s="226"/>
      <c r="B3" s="226"/>
      <c r="C3" s="226"/>
      <c r="D3" s="226"/>
      <c r="E3" s="226"/>
      <c r="F3" s="226"/>
      <c r="G3" s="226"/>
      <c r="H3" s="226"/>
      <c r="I3" s="226"/>
      <c r="J3" s="226"/>
      <c r="K3" s="226"/>
      <c r="L3" s="226"/>
      <c r="M3" s="226"/>
      <c r="N3" s="14"/>
    </row>
    <row r="4" spans="1:14" ht="73.5" customHeight="1" x14ac:dyDescent="0.2">
      <c r="A4" s="226"/>
      <c r="B4" s="226"/>
      <c r="C4" s="230" t="s">
        <v>24</v>
      </c>
      <c r="D4" s="230"/>
      <c r="E4" s="154"/>
      <c r="F4" s="154"/>
      <c r="G4" s="234"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H4" s="234"/>
      <c r="I4" s="234"/>
      <c r="J4" s="234"/>
      <c r="K4" s="234"/>
      <c r="L4" s="234"/>
      <c r="M4" s="234"/>
      <c r="N4" s="189"/>
    </row>
    <row r="5" spans="1:14" ht="55.5" customHeight="1" x14ac:dyDescent="0.2">
      <c r="A5" s="226"/>
      <c r="B5" s="226"/>
      <c r="C5" s="230" t="s">
        <v>25</v>
      </c>
      <c r="D5" s="230"/>
      <c r="E5" s="154"/>
      <c r="F5" s="154"/>
      <c r="G5" s="240" t="str">
        <f>'DATOS INICIALES'!G4</f>
        <v xml:space="preserve">FDLUSA-LP-002-2024 </v>
      </c>
      <c r="H5" s="240"/>
      <c r="I5" s="240"/>
      <c r="J5" s="240"/>
      <c r="K5" s="240"/>
      <c r="L5" s="240"/>
      <c r="M5" s="19">
        <f>'DATOS INICIALES'!C5</f>
        <v>20496577313</v>
      </c>
      <c r="N5" s="190"/>
    </row>
    <row r="6" spans="1:14" ht="7.5" customHeight="1" x14ac:dyDescent="0.2">
      <c r="A6" s="241"/>
      <c r="B6" s="242"/>
      <c r="C6" s="242"/>
      <c r="D6" s="242"/>
      <c r="E6" s="242"/>
      <c r="F6" s="242"/>
      <c r="G6" s="242"/>
      <c r="H6" s="242"/>
      <c r="I6" s="242"/>
      <c r="J6" s="242"/>
      <c r="K6" s="242"/>
      <c r="L6" s="242"/>
      <c r="M6" s="243"/>
      <c r="N6" s="14"/>
    </row>
    <row r="7" spans="1:14" ht="21.75" customHeight="1" x14ac:dyDescent="0.2">
      <c r="A7" s="230" t="str">
        <f>CONCATENATE("RESUMEN DE EVALUACIÓN PUNTAJE - ",'DATOS INICIALES'!G4)</f>
        <v xml:space="preserve">RESUMEN DE EVALUACIÓN PUNTAJE - FDLUSA-LP-002-2024 </v>
      </c>
      <c r="B7" s="230"/>
      <c r="C7" s="230"/>
      <c r="D7" s="230"/>
      <c r="E7" s="230"/>
      <c r="F7" s="230"/>
      <c r="G7" s="230"/>
      <c r="H7" s="230"/>
      <c r="I7" s="230"/>
      <c r="J7" s="230"/>
      <c r="K7" s="230"/>
      <c r="L7" s="230"/>
      <c r="M7" s="230"/>
      <c r="N7" s="188"/>
    </row>
    <row r="8" spans="1:14" ht="8.25" customHeight="1" x14ac:dyDescent="0.2">
      <c r="A8" s="241"/>
      <c r="B8" s="242"/>
      <c r="C8" s="242"/>
      <c r="D8" s="242"/>
      <c r="E8" s="242"/>
      <c r="F8" s="242"/>
      <c r="G8" s="242"/>
      <c r="H8" s="242"/>
      <c r="I8" s="242"/>
      <c r="J8" s="242"/>
      <c r="K8" s="242"/>
      <c r="L8" s="242"/>
      <c r="M8" s="243"/>
      <c r="N8" s="14"/>
    </row>
    <row r="9" spans="1:14" s="3" customFormat="1" ht="75" customHeight="1" x14ac:dyDescent="0.2">
      <c r="A9" s="153" t="s">
        <v>79</v>
      </c>
      <c r="B9" s="153" t="s">
        <v>26</v>
      </c>
      <c r="C9" s="153" t="s">
        <v>109</v>
      </c>
      <c r="D9" s="244" t="s">
        <v>311</v>
      </c>
      <c r="E9" s="245"/>
      <c r="F9" s="246"/>
      <c r="G9" s="153" t="s">
        <v>310</v>
      </c>
      <c r="H9" s="153" t="s">
        <v>312</v>
      </c>
      <c r="I9" s="153" t="s">
        <v>313</v>
      </c>
      <c r="J9" s="153" t="s">
        <v>314</v>
      </c>
      <c r="K9" s="153" t="s">
        <v>315</v>
      </c>
      <c r="L9" s="153" t="s">
        <v>110</v>
      </c>
      <c r="M9" s="153" t="s">
        <v>111</v>
      </c>
      <c r="N9" s="191" t="s">
        <v>316</v>
      </c>
    </row>
    <row r="10" spans="1:14" ht="27.5" customHeight="1" x14ac:dyDescent="0.2">
      <c r="D10" s="192" t="s">
        <v>325</v>
      </c>
      <c r="E10" s="193" t="s">
        <v>320</v>
      </c>
      <c r="F10" s="193" t="s">
        <v>321</v>
      </c>
      <c r="G10" s="34" t="s">
        <v>326</v>
      </c>
      <c r="H10" s="34" t="s">
        <v>327</v>
      </c>
      <c r="I10" s="34" t="s">
        <v>328</v>
      </c>
      <c r="J10" s="34"/>
    </row>
    <row r="11" spans="1:14" ht="23.25" customHeight="1" x14ac:dyDescent="0.2">
      <c r="A11" s="195">
        <v>1</v>
      </c>
      <c r="B11" s="17" t="str">
        <f>+PROPONENTES!B10</f>
        <v>CONSORCIO EL TAMBILLO</v>
      </c>
      <c r="C11" s="18" t="str">
        <f>CONSOLIDADO!I11</f>
        <v>INHABILITADO</v>
      </c>
      <c r="D11" s="33">
        <v>5</v>
      </c>
      <c r="E11" s="33">
        <v>5</v>
      </c>
      <c r="F11" s="33">
        <v>9</v>
      </c>
      <c r="G11" s="36">
        <v>20</v>
      </c>
      <c r="H11" s="25">
        <v>1</v>
      </c>
      <c r="I11" s="25">
        <v>0.25</v>
      </c>
      <c r="J11" s="25">
        <v>0.25</v>
      </c>
      <c r="K11" s="70"/>
      <c r="L11" s="69">
        <f>IFERROR(K11+E11+F11+H11+G11+D11+I11+J11,"0")</f>
        <v>40.5</v>
      </c>
      <c r="M11" s="18">
        <f>RANK(L11,$L$11:$L$43,0)</f>
        <v>2</v>
      </c>
      <c r="N11" s="18"/>
    </row>
    <row r="12" spans="1:14" ht="40.75" customHeight="1" x14ac:dyDescent="0.2">
      <c r="A12" s="195">
        <v>2</v>
      </c>
      <c r="B12" s="17" t="str">
        <f>+PROPONENTES!B11</f>
        <v>UNION TEMPORAL VIAL USAQUN 2024</v>
      </c>
      <c r="C12" s="18" t="str">
        <f>CONSOLIDADO!I12</f>
        <v>INHABILITADO</v>
      </c>
      <c r="D12" s="33">
        <v>5</v>
      </c>
      <c r="E12" s="33">
        <v>5</v>
      </c>
      <c r="F12" s="33">
        <v>9</v>
      </c>
      <c r="G12" s="201">
        <v>0</v>
      </c>
      <c r="H12" s="25">
        <v>1</v>
      </c>
      <c r="I12" s="25">
        <v>0.25</v>
      </c>
      <c r="J12" s="25">
        <v>0.25</v>
      </c>
      <c r="K12" s="71"/>
      <c r="L12" s="69">
        <f>IFERROR(K12+E12+F12+H12+G12+D12+I12+J12,"0")</f>
        <v>20.5</v>
      </c>
      <c r="M12" s="18">
        <f t="shared" ref="M12:M43" si="0">RANK(L12,$L$11:$L$43,0)</f>
        <v>28</v>
      </c>
      <c r="N12" s="18" t="s">
        <v>400</v>
      </c>
    </row>
    <row r="13" spans="1:14" ht="23.25" customHeight="1" x14ac:dyDescent="0.2">
      <c r="A13" s="195">
        <v>3</v>
      </c>
      <c r="B13" s="17" t="str">
        <f>+PROPONENTES!B12</f>
        <v>CONSORCIO CCU</v>
      </c>
      <c r="C13" s="18" t="str">
        <f>CONSOLIDADO!I13</f>
        <v>INHABILITADO</v>
      </c>
      <c r="D13" s="33">
        <v>5</v>
      </c>
      <c r="E13" s="33">
        <v>5</v>
      </c>
      <c r="F13" s="33">
        <v>9</v>
      </c>
      <c r="G13" s="36">
        <v>20</v>
      </c>
      <c r="H13" s="25">
        <v>1</v>
      </c>
      <c r="I13" s="25">
        <v>0.25</v>
      </c>
      <c r="J13" s="25">
        <v>0.25</v>
      </c>
      <c r="K13" s="71"/>
      <c r="L13" s="69">
        <f t="shared" ref="L13:L38" si="1">IFERROR(K13+E13+F13+H13+G13+D13+I13+J13,"0")</f>
        <v>40.5</v>
      </c>
      <c r="M13" s="18">
        <f t="shared" si="0"/>
        <v>2</v>
      </c>
      <c r="N13" s="18"/>
    </row>
    <row r="14" spans="1:14" ht="23.25" customHeight="1" x14ac:dyDescent="0.2">
      <c r="A14" s="195">
        <v>4</v>
      </c>
      <c r="B14" s="17" t="str">
        <f>+PROPONENTES!B13</f>
        <v>CONSORCIO MEB VIAL</v>
      </c>
      <c r="C14" s="18" t="str">
        <f>CONSOLIDADO!I14</f>
        <v>INHABILITADO</v>
      </c>
      <c r="D14" s="33">
        <v>5</v>
      </c>
      <c r="E14" s="33">
        <v>5</v>
      </c>
      <c r="F14" s="33">
        <v>9</v>
      </c>
      <c r="G14" s="36">
        <v>20</v>
      </c>
      <c r="H14" s="25">
        <v>1</v>
      </c>
      <c r="I14" s="25">
        <v>0.25</v>
      </c>
      <c r="J14" s="25">
        <v>0.25</v>
      </c>
      <c r="K14" s="71"/>
      <c r="L14" s="69">
        <f t="shared" si="1"/>
        <v>40.5</v>
      </c>
      <c r="M14" s="18">
        <f t="shared" si="0"/>
        <v>2</v>
      </c>
      <c r="N14" s="18"/>
    </row>
    <row r="15" spans="1:14" ht="23.25" customHeight="1" x14ac:dyDescent="0.2">
      <c r="A15" s="195">
        <v>5</v>
      </c>
      <c r="B15" s="17" t="str">
        <f>+PROPONENTES!B14</f>
        <v>CONSORCIO CONSERVACION DK</v>
      </c>
      <c r="C15" s="18" t="str">
        <f>CONSOLIDADO!I15</f>
        <v>INHABILITADO</v>
      </c>
      <c r="D15" s="33">
        <v>5</v>
      </c>
      <c r="E15" s="33">
        <v>5</v>
      </c>
      <c r="F15" s="33">
        <v>9</v>
      </c>
      <c r="G15" s="36">
        <v>20</v>
      </c>
      <c r="H15" s="25">
        <v>1</v>
      </c>
      <c r="I15" s="25">
        <v>0.25</v>
      </c>
      <c r="J15" s="25">
        <v>0.25</v>
      </c>
      <c r="K15" s="71"/>
      <c r="L15" s="69">
        <f t="shared" si="1"/>
        <v>40.5</v>
      </c>
      <c r="M15" s="18">
        <f t="shared" si="0"/>
        <v>2</v>
      </c>
      <c r="N15" s="18"/>
    </row>
    <row r="16" spans="1:14" ht="23.25" customHeight="1" x14ac:dyDescent="0.2">
      <c r="A16" s="195">
        <v>6</v>
      </c>
      <c r="B16" s="17" t="str">
        <f>+PROPONENTES!B15</f>
        <v>CONSORCIO USAQUEN VIAL 2025</v>
      </c>
      <c r="C16" s="18" t="str">
        <f>CONSOLIDADO!I16</f>
        <v>INHABILITADO</v>
      </c>
      <c r="D16" s="33">
        <v>5</v>
      </c>
      <c r="E16" s="33">
        <v>5</v>
      </c>
      <c r="F16" s="33">
        <v>9</v>
      </c>
      <c r="G16" s="36">
        <v>20</v>
      </c>
      <c r="H16" s="25">
        <v>1</v>
      </c>
      <c r="I16" s="25">
        <v>0.25</v>
      </c>
      <c r="J16" s="25">
        <v>0.25</v>
      </c>
      <c r="K16" s="71"/>
      <c r="L16" s="69">
        <f t="shared" si="1"/>
        <v>40.5</v>
      </c>
      <c r="M16" s="18">
        <f t="shared" si="0"/>
        <v>2</v>
      </c>
      <c r="N16" s="18" t="s">
        <v>420</v>
      </c>
    </row>
    <row r="17" spans="1:14" ht="23.25" customHeight="1" x14ac:dyDescent="0.2">
      <c r="A17" s="195">
        <v>7</v>
      </c>
      <c r="B17" s="17" t="str">
        <f>+PROPONENTES!B16</f>
        <v>CONSORCIO VIAS URBANAS</v>
      </c>
      <c r="C17" s="18" t="str">
        <f>CONSOLIDADO!I17</f>
        <v>INHABILITADO</v>
      </c>
      <c r="D17" s="33">
        <v>5</v>
      </c>
      <c r="E17" s="33">
        <v>5</v>
      </c>
      <c r="F17" s="33">
        <v>9</v>
      </c>
      <c r="G17" s="36">
        <v>20</v>
      </c>
      <c r="H17" s="25">
        <v>1</v>
      </c>
      <c r="I17" s="25">
        <v>0.25</v>
      </c>
      <c r="J17" s="25">
        <v>0.25</v>
      </c>
      <c r="K17" s="71"/>
      <c r="L17" s="69">
        <f t="shared" si="1"/>
        <v>40.5</v>
      </c>
      <c r="M17" s="18">
        <f t="shared" si="0"/>
        <v>2</v>
      </c>
      <c r="N17" s="18" t="s">
        <v>421</v>
      </c>
    </row>
    <row r="18" spans="1:14" ht="23.25" customHeight="1" x14ac:dyDescent="0.2">
      <c r="A18" s="195">
        <v>8</v>
      </c>
      <c r="B18" s="17" t="str">
        <f>+PROPONENTES!B17</f>
        <v>CONSORCIO VIAL LA ROCA USAQUEN 2024</v>
      </c>
      <c r="C18" s="18" t="str">
        <f>CONSOLIDADO!I18</f>
        <v>INHABILITADO</v>
      </c>
      <c r="D18" s="33">
        <v>5</v>
      </c>
      <c r="E18" s="33">
        <v>5</v>
      </c>
      <c r="F18" s="33">
        <v>9</v>
      </c>
      <c r="G18" s="201">
        <v>0</v>
      </c>
      <c r="H18" s="25">
        <v>1</v>
      </c>
      <c r="I18" s="25">
        <v>0.25</v>
      </c>
      <c r="J18" s="25">
        <v>0.25</v>
      </c>
      <c r="K18" s="71"/>
      <c r="L18" s="69">
        <f t="shared" si="1"/>
        <v>20.5</v>
      </c>
      <c r="M18" s="18">
        <f t="shared" si="0"/>
        <v>28</v>
      </c>
      <c r="N18" s="18" t="s">
        <v>422</v>
      </c>
    </row>
    <row r="19" spans="1:14" ht="23.25" customHeight="1" x14ac:dyDescent="0.2">
      <c r="A19" s="195">
        <v>9</v>
      </c>
      <c r="B19" s="17" t="str">
        <f>+PROPONENTES!B18</f>
        <v>Consorcio LG</v>
      </c>
      <c r="C19" s="18" t="str">
        <f>CONSOLIDADO!I19</f>
        <v>INHABILITADO</v>
      </c>
      <c r="D19" s="33">
        <v>5</v>
      </c>
      <c r="E19" s="33">
        <v>5</v>
      </c>
      <c r="F19" s="33">
        <v>9</v>
      </c>
      <c r="G19" s="201">
        <v>0</v>
      </c>
      <c r="H19" s="25">
        <v>1</v>
      </c>
      <c r="I19" s="25">
        <v>0.25</v>
      </c>
      <c r="J19" s="25">
        <v>0.25</v>
      </c>
      <c r="K19" s="71"/>
      <c r="L19" s="69">
        <f t="shared" si="1"/>
        <v>20.5</v>
      </c>
      <c r="M19" s="18">
        <f t="shared" si="0"/>
        <v>28</v>
      </c>
      <c r="N19" s="18" t="s">
        <v>423</v>
      </c>
    </row>
    <row r="20" spans="1:14" ht="23.25" customHeight="1" x14ac:dyDescent="0.2">
      <c r="A20" s="195">
        <v>10</v>
      </c>
      <c r="B20" s="17" t="str">
        <f>+PROPONENTES!B19</f>
        <v>CONSORCIO VIAL URBANO DC</v>
      </c>
      <c r="C20" s="18" t="str">
        <f>CONSOLIDADO!I20</f>
        <v>INHABILITADO</v>
      </c>
      <c r="D20" s="33">
        <v>5</v>
      </c>
      <c r="E20" s="33">
        <v>5</v>
      </c>
      <c r="F20" s="33">
        <v>9</v>
      </c>
      <c r="G20" s="36">
        <v>20</v>
      </c>
      <c r="H20" s="25">
        <v>1</v>
      </c>
      <c r="I20" s="25">
        <v>0.25</v>
      </c>
      <c r="J20" s="25">
        <v>0.25</v>
      </c>
      <c r="K20" s="71"/>
      <c r="L20" s="69">
        <f t="shared" si="1"/>
        <v>40.5</v>
      </c>
      <c r="M20" s="18">
        <f t="shared" si="0"/>
        <v>2</v>
      </c>
      <c r="N20" s="18"/>
    </row>
    <row r="21" spans="1:14" ht="23.25" customHeight="1" x14ac:dyDescent="0.2">
      <c r="A21" s="195">
        <v>11</v>
      </c>
      <c r="B21" s="17" t="str">
        <f>+PROPONENTES!B20</f>
        <v>CONSTRUCTORA CAMACON S.A.S</v>
      </c>
      <c r="C21" s="18" t="str">
        <f>CONSOLIDADO!I21</f>
        <v>INHABILITADO</v>
      </c>
      <c r="D21" s="33">
        <v>5</v>
      </c>
      <c r="E21" s="33">
        <v>5</v>
      </c>
      <c r="F21" s="33">
        <v>9</v>
      </c>
      <c r="G21" s="36">
        <v>20</v>
      </c>
      <c r="H21" s="25">
        <v>1</v>
      </c>
      <c r="I21" s="25">
        <v>0.25</v>
      </c>
      <c r="J21" s="25">
        <v>0.25</v>
      </c>
      <c r="K21" s="71"/>
      <c r="L21" s="69">
        <f t="shared" si="1"/>
        <v>40.5</v>
      </c>
      <c r="M21" s="18">
        <f t="shared" si="0"/>
        <v>2</v>
      </c>
      <c r="N21" s="18"/>
    </row>
    <row r="22" spans="1:14" ht="42.5" customHeight="1" x14ac:dyDescent="0.2">
      <c r="A22" s="195">
        <v>12</v>
      </c>
      <c r="B22" s="17" t="str">
        <f>+PROPONENTES!B21</f>
        <v>CONSORCIO LA VICTORIA 2024</v>
      </c>
      <c r="C22" s="18" t="str">
        <f>CONSOLIDADO!I22</f>
        <v>HABILITADO</v>
      </c>
      <c r="D22" s="33">
        <v>5</v>
      </c>
      <c r="E22" s="33">
        <v>5</v>
      </c>
      <c r="F22" s="33">
        <v>9</v>
      </c>
      <c r="G22" s="201">
        <v>0</v>
      </c>
      <c r="H22" s="25">
        <v>1</v>
      </c>
      <c r="I22" s="25">
        <v>0.25</v>
      </c>
      <c r="J22" s="25">
        <v>0.25</v>
      </c>
      <c r="K22" s="71"/>
      <c r="L22" s="69">
        <f t="shared" si="1"/>
        <v>20.5</v>
      </c>
      <c r="M22" s="18">
        <f t="shared" si="0"/>
        <v>28</v>
      </c>
      <c r="N22" s="18" t="s">
        <v>399</v>
      </c>
    </row>
    <row r="23" spans="1:14" ht="23.25" customHeight="1" x14ac:dyDescent="0.2">
      <c r="A23" s="195">
        <v>13</v>
      </c>
      <c r="B23" s="17" t="str">
        <f>+PROPONENTES!B22</f>
        <v>VIALUSA 2024</v>
      </c>
      <c r="C23" s="18" t="str">
        <f>CONSOLIDADO!I23</f>
        <v>HABILITADO</v>
      </c>
      <c r="D23" s="33">
        <v>5</v>
      </c>
      <c r="E23" s="33">
        <v>5</v>
      </c>
      <c r="F23" s="33">
        <v>9</v>
      </c>
      <c r="G23" s="36">
        <v>20</v>
      </c>
      <c r="H23" s="25">
        <v>1</v>
      </c>
      <c r="I23" s="25">
        <v>0.25</v>
      </c>
      <c r="J23" s="25">
        <v>0.25</v>
      </c>
      <c r="K23" s="71"/>
      <c r="L23" s="69">
        <f t="shared" si="1"/>
        <v>40.5</v>
      </c>
      <c r="M23" s="18">
        <f t="shared" si="0"/>
        <v>2</v>
      </c>
      <c r="N23" s="18"/>
    </row>
    <row r="24" spans="1:14" ht="23.25" customHeight="1" x14ac:dyDescent="0.2">
      <c r="A24" s="195">
        <v>14</v>
      </c>
      <c r="B24" s="17" t="str">
        <f>+PROPONENTES!B23</f>
        <v>14 CONSORCIO VIAL USAQUEN</v>
      </c>
      <c r="C24" s="18" t="str">
        <f>CONSOLIDADO!I24</f>
        <v>INHABILITADO</v>
      </c>
      <c r="D24" s="33">
        <v>5</v>
      </c>
      <c r="E24" s="33">
        <v>5</v>
      </c>
      <c r="F24" s="33">
        <v>9</v>
      </c>
      <c r="G24" s="36">
        <v>20</v>
      </c>
      <c r="H24" s="25">
        <v>1</v>
      </c>
      <c r="I24" s="25">
        <v>0.25</v>
      </c>
      <c r="J24" s="25">
        <v>0.25</v>
      </c>
      <c r="K24" s="71"/>
      <c r="L24" s="69">
        <f t="shared" si="1"/>
        <v>40.5</v>
      </c>
      <c r="M24" s="18">
        <f t="shared" si="0"/>
        <v>2</v>
      </c>
      <c r="N24" s="18"/>
    </row>
    <row r="25" spans="1:14" ht="23.25" customHeight="1" x14ac:dyDescent="0.2">
      <c r="A25" s="195">
        <v>15</v>
      </c>
      <c r="B25" s="17" t="str">
        <f>+PROPONENTES!B24</f>
        <v>CONSORCIO ZINFRA</v>
      </c>
      <c r="C25" s="18" t="str">
        <f>CONSOLIDADO!I25</f>
        <v>INHABILITADO</v>
      </c>
      <c r="D25" s="33">
        <v>5</v>
      </c>
      <c r="E25" s="33">
        <v>5</v>
      </c>
      <c r="F25" s="33">
        <v>9</v>
      </c>
      <c r="G25" s="36">
        <v>20</v>
      </c>
      <c r="H25" s="25">
        <v>1</v>
      </c>
      <c r="I25" s="25">
        <v>0.25</v>
      </c>
      <c r="J25" s="25">
        <v>0.25</v>
      </c>
      <c r="K25" s="71"/>
      <c r="L25" s="69">
        <f t="shared" si="1"/>
        <v>40.5</v>
      </c>
      <c r="M25" s="18">
        <f t="shared" si="0"/>
        <v>2</v>
      </c>
      <c r="N25" s="18"/>
    </row>
    <row r="26" spans="1:14" ht="23.25" customHeight="1" x14ac:dyDescent="0.2">
      <c r="A26" s="195">
        <v>16</v>
      </c>
      <c r="B26" s="17" t="str">
        <f>+PROPONENTES!B25</f>
        <v>CONSORCIO MANTENIMIENTO VIAL USAQUEN II</v>
      </c>
      <c r="C26" s="18" t="str">
        <f>CONSOLIDADO!I26</f>
        <v>INHABILITADO</v>
      </c>
      <c r="D26" s="33">
        <v>5</v>
      </c>
      <c r="E26" s="33">
        <v>5</v>
      </c>
      <c r="F26" s="33">
        <v>9</v>
      </c>
      <c r="G26" s="36">
        <v>20</v>
      </c>
      <c r="H26" s="25">
        <v>1</v>
      </c>
      <c r="I26" s="25">
        <v>0.25</v>
      </c>
      <c r="J26" s="25">
        <v>0.25</v>
      </c>
      <c r="K26" s="71"/>
      <c r="L26" s="69">
        <f t="shared" si="1"/>
        <v>40.5</v>
      </c>
      <c r="M26" s="18">
        <f t="shared" si="0"/>
        <v>2</v>
      </c>
      <c r="N26" s="18"/>
    </row>
    <row r="27" spans="1:14" ht="23.25" customHeight="1" x14ac:dyDescent="0.2">
      <c r="A27" s="195">
        <v>17</v>
      </c>
      <c r="B27" s="17" t="str">
        <f>+PROPONENTES!B26</f>
        <v>CONSORCIO DAI USAQUEN</v>
      </c>
      <c r="C27" s="18" t="str">
        <f>CONSOLIDADO!I27</f>
        <v>INHABILITADO</v>
      </c>
      <c r="D27" s="33">
        <v>5</v>
      </c>
      <c r="E27" s="33">
        <v>5</v>
      </c>
      <c r="F27" s="33">
        <v>9</v>
      </c>
      <c r="G27" s="36">
        <v>20</v>
      </c>
      <c r="H27" s="25">
        <v>1</v>
      </c>
      <c r="I27" s="25">
        <v>0.25</v>
      </c>
      <c r="J27" s="25">
        <v>0.25</v>
      </c>
      <c r="K27" s="71"/>
      <c r="L27" s="69">
        <f t="shared" si="1"/>
        <v>40.5</v>
      </c>
      <c r="M27" s="18">
        <f t="shared" si="0"/>
        <v>2</v>
      </c>
      <c r="N27" s="18"/>
    </row>
    <row r="28" spans="1:14" ht="23.25" customHeight="1" x14ac:dyDescent="0.2">
      <c r="A28" s="195">
        <v>18</v>
      </c>
      <c r="B28" s="17" t="str">
        <f>+PROPONENTES!B27</f>
        <v>CONSORCIO USAQUEN 002</v>
      </c>
      <c r="C28" s="18" t="str">
        <f>CONSOLIDADO!I28</f>
        <v>INHABILITADO</v>
      </c>
      <c r="D28" s="33">
        <v>5</v>
      </c>
      <c r="E28" s="33">
        <v>5</v>
      </c>
      <c r="F28" s="33">
        <v>9</v>
      </c>
      <c r="G28" s="36">
        <v>20</v>
      </c>
      <c r="H28" s="25">
        <v>1</v>
      </c>
      <c r="I28" s="25">
        <v>0.25</v>
      </c>
      <c r="J28" s="25">
        <v>0.25</v>
      </c>
      <c r="K28" s="71"/>
      <c r="L28" s="69">
        <f t="shared" si="1"/>
        <v>40.5</v>
      </c>
      <c r="M28" s="18">
        <f t="shared" si="0"/>
        <v>2</v>
      </c>
      <c r="N28" s="18"/>
    </row>
    <row r="29" spans="1:14" ht="40.75" customHeight="1" x14ac:dyDescent="0.2">
      <c r="A29" s="195">
        <v>19</v>
      </c>
      <c r="B29" s="17" t="str">
        <f>+PROPONENTES!B28</f>
        <v>CONSORCIO MALLA VIAL USAQUEN</v>
      </c>
      <c r="C29" s="18" t="str">
        <f>CONSOLIDADO!I29</f>
        <v>INHABILITADO</v>
      </c>
      <c r="D29" s="33">
        <v>5</v>
      </c>
      <c r="E29" s="33">
        <v>5</v>
      </c>
      <c r="F29" s="33">
        <v>9</v>
      </c>
      <c r="G29" s="201">
        <v>0</v>
      </c>
      <c r="H29" s="25">
        <v>1</v>
      </c>
      <c r="I29" s="25">
        <v>0.25</v>
      </c>
      <c r="J29" s="25">
        <v>0.25</v>
      </c>
      <c r="K29" s="71"/>
      <c r="L29" s="69">
        <f t="shared" si="1"/>
        <v>20.5</v>
      </c>
      <c r="M29" s="18">
        <f t="shared" si="0"/>
        <v>28</v>
      </c>
      <c r="N29" s="18" t="s">
        <v>785</v>
      </c>
    </row>
    <row r="30" spans="1:14" ht="23.25" customHeight="1" x14ac:dyDescent="0.2">
      <c r="A30" s="195">
        <v>20</v>
      </c>
      <c r="B30" s="17" t="str">
        <f>+PROPONENTES!B29</f>
        <v>CONSORCIO SEGMENTOS VIALES</v>
      </c>
      <c r="C30" s="18" t="str">
        <f>CONSOLIDADO!I30</f>
        <v>INHABILITADO</v>
      </c>
      <c r="D30" s="33">
        <v>5</v>
      </c>
      <c r="E30" s="33">
        <v>5</v>
      </c>
      <c r="F30" s="33">
        <v>9</v>
      </c>
      <c r="G30" s="36">
        <v>20</v>
      </c>
      <c r="H30" s="25">
        <v>1</v>
      </c>
      <c r="I30" s="25">
        <v>0.25</v>
      </c>
      <c r="J30" s="25">
        <v>0.25</v>
      </c>
      <c r="K30" s="71"/>
      <c r="L30" s="69">
        <f t="shared" si="1"/>
        <v>40.5</v>
      </c>
      <c r="M30" s="18">
        <f t="shared" si="0"/>
        <v>2</v>
      </c>
      <c r="N30" s="18"/>
    </row>
    <row r="31" spans="1:14" ht="67.75" customHeight="1" x14ac:dyDescent="0.2">
      <c r="A31" s="195">
        <v>21</v>
      </c>
      <c r="B31" s="17" t="str">
        <f>+PROPONENTES!B30</f>
        <v>CONSORCIO LOCALIDAD USAQUEN</v>
      </c>
      <c r="C31" s="18" t="str">
        <f>CONSOLIDADO!I31</f>
        <v>INHABILITADO</v>
      </c>
      <c r="D31" s="33">
        <v>5</v>
      </c>
      <c r="E31" s="33">
        <v>5</v>
      </c>
      <c r="F31" s="33">
        <v>9</v>
      </c>
      <c r="G31" s="201">
        <v>0</v>
      </c>
      <c r="H31" s="25">
        <v>1</v>
      </c>
      <c r="I31" s="25">
        <v>0.25</v>
      </c>
      <c r="J31" s="25">
        <v>0.25</v>
      </c>
      <c r="K31" s="71"/>
      <c r="L31" s="69">
        <f t="shared" si="1"/>
        <v>20.5</v>
      </c>
      <c r="M31" s="18">
        <f t="shared" si="0"/>
        <v>28</v>
      </c>
      <c r="N31" s="18" t="s">
        <v>771</v>
      </c>
    </row>
    <row r="32" spans="1:14" ht="23.25" customHeight="1" x14ac:dyDescent="0.2">
      <c r="A32" s="195">
        <v>22</v>
      </c>
      <c r="B32" s="17" t="str">
        <f>+PROPONENTES!B31</f>
        <v>22 CONSORCIO VIAL USAQUEN</v>
      </c>
      <c r="C32" s="18" t="str">
        <f>CONSOLIDADO!I32</f>
        <v>INHABILITADO</v>
      </c>
      <c r="D32" s="33">
        <v>5</v>
      </c>
      <c r="E32" s="33">
        <v>5</v>
      </c>
      <c r="F32" s="33">
        <v>9</v>
      </c>
      <c r="G32" s="36">
        <v>20</v>
      </c>
      <c r="H32" s="25">
        <v>1</v>
      </c>
      <c r="I32" s="25">
        <v>0.25</v>
      </c>
      <c r="J32" s="25">
        <v>0.25</v>
      </c>
      <c r="K32" s="71"/>
      <c r="L32" s="69">
        <f t="shared" si="1"/>
        <v>40.5</v>
      </c>
      <c r="M32" s="18">
        <f t="shared" si="0"/>
        <v>2</v>
      </c>
      <c r="N32" s="18"/>
    </row>
    <row r="33" spans="1:14" ht="23.25" customHeight="1" x14ac:dyDescent="0.2">
      <c r="A33" s="195">
        <v>23</v>
      </c>
      <c r="B33" s="17" t="str">
        <f>+PROPONENTES!B32</f>
        <v>VD USAQUEN 2024</v>
      </c>
      <c r="C33" s="18" t="str">
        <f>CONSOLIDADO!I33</f>
        <v>INHABILITADO</v>
      </c>
      <c r="D33" s="33">
        <v>5</v>
      </c>
      <c r="E33" s="33">
        <v>5</v>
      </c>
      <c r="F33" s="33">
        <v>9</v>
      </c>
      <c r="G33" s="36">
        <v>20</v>
      </c>
      <c r="H33" s="25">
        <v>1</v>
      </c>
      <c r="I33" s="25">
        <v>0.25</v>
      </c>
      <c r="J33" s="25">
        <v>0.25</v>
      </c>
      <c r="K33" s="71"/>
      <c r="L33" s="69">
        <f t="shared" si="1"/>
        <v>40.5</v>
      </c>
      <c r="M33" s="18">
        <f t="shared" si="0"/>
        <v>2</v>
      </c>
      <c r="N33" s="18"/>
    </row>
    <row r="34" spans="1:14" ht="23.25" customHeight="1" x14ac:dyDescent="0.2">
      <c r="A34" s="195">
        <v>24</v>
      </c>
      <c r="B34" s="17" t="str">
        <f>+PROPONENTES!B33</f>
        <v>CONSORCIO ZONA 1</v>
      </c>
      <c r="C34" s="18" t="str">
        <f>CONSOLIDADO!I34</f>
        <v>HABILITADO</v>
      </c>
      <c r="D34" s="33">
        <v>5</v>
      </c>
      <c r="E34" s="33">
        <v>5</v>
      </c>
      <c r="F34" s="33">
        <v>9</v>
      </c>
      <c r="G34" s="36">
        <v>20</v>
      </c>
      <c r="H34" s="25">
        <v>1</v>
      </c>
      <c r="I34" s="25">
        <v>0.25</v>
      </c>
      <c r="J34" s="25">
        <v>0.25</v>
      </c>
      <c r="K34" s="71"/>
      <c r="L34" s="69">
        <f t="shared" si="1"/>
        <v>40.5</v>
      </c>
      <c r="M34" s="18">
        <f t="shared" si="0"/>
        <v>2</v>
      </c>
      <c r="N34" s="18"/>
    </row>
    <row r="35" spans="1:14" ht="37.75" customHeight="1" x14ac:dyDescent="0.2">
      <c r="A35" s="195">
        <v>25</v>
      </c>
      <c r="B35" s="17" t="str">
        <f>+PROPONENTES!B34</f>
        <v>CONSORCIO VIAS USAQUEN 2027</v>
      </c>
      <c r="C35" s="18" t="str">
        <f>CONSOLIDADO!I35</f>
        <v>INHABILITADO</v>
      </c>
      <c r="D35" s="33">
        <v>5</v>
      </c>
      <c r="E35" s="221">
        <v>0</v>
      </c>
      <c r="F35" s="33">
        <v>9</v>
      </c>
      <c r="G35" s="36">
        <v>20</v>
      </c>
      <c r="H35" s="25">
        <v>1</v>
      </c>
      <c r="I35" s="25">
        <v>0.25</v>
      </c>
      <c r="J35" s="25">
        <v>0.25</v>
      </c>
      <c r="K35" s="71"/>
      <c r="L35" s="69">
        <f t="shared" si="1"/>
        <v>35.5</v>
      </c>
      <c r="M35" s="18">
        <f t="shared" si="0"/>
        <v>27</v>
      </c>
      <c r="N35" s="18" t="s">
        <v>778</v>
      </c>
    </row>
    <row r="36" spans="1:14" ht="23.25" customHeight="1" x14ac:dyDescent="0.2">
      <c r="A36" s="195">
        <v>26</v>
      </c>
      <c r="B36" s="17" t="str">
        <f>+PROPONENTES!B35</f>
        <v>ARCO CONSTRUCTORES SAS</v>
      </c>
      <c r="C36" s="18" t="str">
        <f>CONSOLIDADO!I36</f>
        <v>INHABILITADO</v>
      </c>
      <c r="D36" s="33">
        <v>5</v>
      </c>
      <c r="E36" s="33">
        <v>5</v>
      </c>
      <c r="F36" s="33">
        <v>9</v>
      </c>
      <c r="G36" s="36">
        <v>20</v>
      </c>
      <c r="H36" s="25">
        <v>1</v>
      </c>
      <c r="I36" s="25">
        <v>0.25</v>
      </c>
      <c r="J36" s="25">
        <v>0.25</v>
      </c>
      <c r="K36" s="71"/>
      <c r="L36" s="69">
        <f t="shared" si="1"/>
        <v>40.5</v>
      </c>
      <c r="M36" s="18">
        <f t="shared" si="0"/>
        <v>2</v>
      </c>
      <c r="N36" s="18"/>
    </row>
    <row r="37" spans="1:14" ht="23.25" customHeight="1" x14ac:dyDescent="0.2">
      <c r="A37" s="195">
        <v>27</v>
      </c>
      <c r="B37" s="17" t="str">
        <f>+PROPONENTES!B36</f>
        <v>OCCIDENTAL DE COLOMBIA SAS</v>
      </c>
      <c r="C37" s="18" t="str">
        <f>CONSOLIDADO!I37</f>
        <v>INHABILITADO</v>
      </c>
      <c r="D37" s="33">
        <v>5</v>
      </c>
      <c r="E37" s="33">
        <v>5</v>
      </c>
      <c r="F37" s="33">
        <v>9</v>
      </c>
      <c r="G37" s="36">
        <v>20</v>
      </c>
      <c r="H37" s="25">
        <v>1</v>
      </c>
      <c r="I37" s="25">
        <v>0.25</v>
      </c>
      <c r="J37" s="25">
        <v>0.25</v>
      </c>
      <c r="K37" s="71"/>
      <c r="L37" s="69">
        <f t="shared" si="1"/>
        <v>40.5</v>
      </c>
      <c r="M37" s="18">
        <f t="shared" si="0"/>
        <v>2</v>
      </c>
      <c r="N37" s="18"/>
    </row>
    <row r="38" spans="1:14" ht="23.25" customHeight="1" x14ac:dyDescent="0.2">
      <c r="A38" s="195">
        <v>28</v>
      </c>
      <c r="B38" s="17" t="str">
        <f>+PROPONENTES!B37</f>
        <v>CONSORCIO BELZCON - USAQUEN</v>
      </c>
      <c r="C38" s="18" t="str">
        <f>CONSOLIDADO!I38</f>
        <v>INHABILITADO</v>
      </c>
      <c r="D38" s="33">
        <v>5</v>
      </c>
      <c r="E38" s="33">
        <v>5</v>
      </c>
      <c r="F38" s="33">
        <v>9</v>
      </c>
      <c r="G38" s="36">
        <v>20</v>
      </c>
      <c r="H38" s="25">
        <v>1</v>
      </c>
      <c r="I38" s="25">
        <v>0.25</v>
      </c>
      <c r="J38" s="25">
        <v>0.25</v>
      </c>
      <c r="K38" s="71"/>
      <c r="L38" s="69">
        <f t="shared" si="1"/>
        <v>40.5</v>
      </c>
      <c r="M38" s="18">
        <f t="shared" si="0"/>
        <v>2</v>
      </c>
      <c r="N38" s="18"/>
    </row>
    <row r="39" spans="1:14" ht="23.25" customHeight="1" x14ac:dyDescent="0.2">
      <c r="A39" s="195">
        <v>29</v>
      </c>
      <c r="B39" s="17" t="str">
        <f>+PROPONENTES!B38</f>
        <v>CONSORCIO INFRAVIAL 4G</v>
      </c>
      <c r="C39" s="18" t="str">
        <f>CONSOLIDADO!I39</f>
        <v>INHABILITADO</v>
      </c>
      <c r="D39" s="33">
        <v>5</v>
      </c>
      <c r="E39" s="33">
        <v>5</v>
      </c>
      <c r="F39" s="33">
        <v>9</v>
      </c>
      <c r="G39" s="36">
        <v>20</v>
      </c>
      <c r="H39" s="25">
        <v>1</v>
      </c>
      <c r="I39" s="25">
        <v>0.25</v>
      </c>
      <c r="J39" s="25">
        <v>0.25</v>
      </c>
      <c r="K39" s="71"/>
      <c r="L39" s="69">
        <f t="shared" ref="L39:L41" si="2">IFERROR(K39+E39+F39+H39+G39+D39+I39+J39,"0")</f>
        <v>40.5</v>
      </c>
      <c r="M39" s="18">
        <f t="shared" si="0"/>
        <v>2</v>
      </c>
      <c r="N39" s="18"/>
    </row>
    <row r="40" spans="1:14" ht="23.25" customHeight="1" x14ac:dyDescent="0.2">
      <c r="A40" s="195">
        <v>30</v>
      </c>
      <c r="B40" s="17" t="str">
        <f>+PROPONENTES!B39</f>
        <v>CONSORCIO VIAS PRO BOGOTA</v>
      </c>
      <c r="C40" s="18" t="str">
        <f>CONSOLIDADO!I40</f>
        <v>INHABILITADO</v>
      </c>
      <c r="D40" s="33">
        <v>5</v>
      </c>
      <c r="E40" s="33">
        <v>5</v>
      </c>
      <c r="F40" s="33">
        <v>9</v>
      </c>
      <c r="G40" s="36">
        <v>20</v>
      </c>
      <c r="H40" s="25">
        <v>1</v>
      </c>
      <c r="I40" s="25">
        <v>0.25</v>
      </c>
      <c r="J40" s="25">
        <v>0.25</v>
      </c>
      <c r="K40" s="71"/>
      <c r="L40" s="69">
        <f t="shared" si="2"/>
        <v>40.5</v>
      </c>
      <c r="M40" s="18">
        <f t="shared" si="0"/>
        <v>2</v>
      </c>
      <c r="N40" s="18"/>
    </row>
    <row r="41" spans="1:14" ht="23.25" customHeight="1" x14ac:dyDescent="0.2">
      <c r="A41" s="195">
        <v>31</v>
      </c>
      <c r="B41" s="17" t="str">
        <f>+PROPONENTES!B40</f>
        <v>CONSORCIO BP VIAS USAQUEN</v>
      </c>
      <c r="C41" s="18" t="str">
        <f>CONSOLIDADO!I41</f>
        <v>HABILITADO</v>
      </c>
      <c r="D41" s="33">
        <v>5</v>
      </c>
      <c r="E41" s="33">
        <v>5</v>
      </c>
      <c r="F41" s="33">
        <v>9</v>
      </c>
      <c r="G41" s="36">
        <v>20</v>
      </c>
      <c r="H41" s="25">
        <v>1</v>
      </c>
      <c r="I41" s="25">
        <v>0.25</v>
      </c>
      <c r="J41" s="25">
        <v>0.25</v>
      </c>
      <c r="K41" s="71"/>
      <c r="L41" s="69">
        <f t="shared" si="2"/>
        <v>40.5</v>
      </c>
      <c r="M41" s="18">
        <f t="shared" si="0"/>
        <v>2</v>
      </c>
      <c r="N41" s="18"/>
    </row>
    <row r="42" spans="1:14" ht="23.25" customHeight="1" x14ac:dyDescent="0.2">
      <c r="A42" s="195">
        <v>32</v>
      </c>
      <c r="B42" s="17" t="str">
        <f>+PROPONENTES!B41</f>
        <v>CONSORCIO MALLA VIAL U</v>
      </c>
      <c r="C42" s="18" t="str">
        <f>CONSOLIDADO!I42</f>
        <v>INHABILITADO</v>
      </c>
      <c r="D42" s="33">
        <v>5</v>
      </c>
      <c r="E42" s="33">
        <v>5</v>
      </c>
      <c r="F42" s="33">
        <v>9</v>
      </c>
      <c r="G42" s="36">
        <v>20</v>
      </c>
      <c r="H42" s="25">
        <v>1</v>
      </c>
      <c r="I42" s="25">
        <v>0.25</v>
      </c>
      <c r="J42" s="25">
        <v>0.25</v>
      </c>
      <c r="K42" s="71"/>
      <c r="L42" s="69">
        <f t="shared" ref="L42:L43" si="3">IFERROR(K42+E42+F42+H42+G42+D42+I42+J42,"0")</f>
        <v>40.5</v>
      </c>
      <c r="M42" s="18">
        <f t="shared" si="0"/>
        <v>2</v>
      </c>
      <c r="N42" s="18"/>
    </row>
    <row r="43" spans="1:14" ht="23.25" customHeight="1" x14ac:dyDescent="0.2">
      <c r="A43" s="195">
        <v>33</v>
      </c>
      <c r="B43" s="17" t="str">
        <f>+PROPONENTES!B42</f>
        <v>CONSORCIO SANTA ANA 2024</v>
      </c>
      <c r="C43" s="18" t="str">
        <f>CONSOLIDADO!I43</f>
        <v>INHABILITADO</v>
      </c>
      <c r="D43" s="33">
        <v>5</v>
      </c>
      <c r="E43" s="33">
        <v>5</v>
      </c>
      <c r="F43" s="33">
        <v>9</v>
      </c>
      <c r="G43" s="36">
        <v>20</v>
      </c>
      <c r="H43" s="25">
        <v>1</v>
      </c>
      <c r="I43" s="25">
        <v>1</v>
      </c>
      <c r="J43" s="25">
        <v>1</v>
      </c>
      <c r="K43" s="71"/>
      <c r="L43" s="69">
        <f t="shared" si="3"/>
        <v>42</v>
      </c>
      <c r="M43" s="18">
        <f t="shared" si="0"/>
        <v>1</v>
      </c>
      <c r="N43" s="18"/>
    </row>
    <row r="44" spans="1:14" ht="23.25" customHeight="1" x14ac:dyDescent="0.2">
      <c r="B44" s="15"/>
      <c r="D44" s="32"/>
      <c r="E44" s="32"/>
      <c r="F44" s="32"/>
      <c r="G44" s="16"/>
      <c r="H44" s="16"/>
      <c r="I44" s="16"/>
      <c r="J44" s="16"/>
      <c r="K44" s="16"/>
      <c r="L44" s="16"/>
      <c r="M44" s="23"/>
      <c r="N44" s="23"/>
    </row>
    <row r="45" spans="1:14" ht="6.75" customHeight="1" x14ac:dyDescent="0.2"/>
    <row r="46" spans="1:14" ht="45" customHeight="1" x14ac:dyDescent="0.2">
      <c r="B46" s="239" t="s">
        <v>181</v>
      </c>
      <c r="C46" s="226"/>
      <c r="D46" s="226"/>
      <c r="E46" s="34"/>
      <c r="F46" s="34"/>
      <c r="G46" s="89"/>
    </row>
    <row r="47" spans="1:14" ht="45" customHeight="1" x14ac:dyDescent="0.2">
      <c r="B47" s="239"/>
      <c r="C47" s="226"/>
      <c r="D47" s="226"/>
      <c r="E47" s="34"/>
      <c r="F47" s="34"/>
      <c r="G47" s="89"/>
    </row>
    <row r="48" spans="1:14" ht="45" customHeight="1" x14ac:dyDescent="0.2">
      <c r="B48" s="239"/>
      <c r="C48" s="226"/>
      <c r="D48" s="226"/>
      <c r="E48" s="34"/>
      <c r="F48" s="34"/>
      <c r="G48" s="89"/>
    </row>
    <row r="49" spans="2:7" ht="25.5" customHeight="1" x14ac:dyDescent="0.2">
      <c r="B49" s="239"/>
      <c r="C49" s="226"/>
      <c r="D49" s="226"/>
      <c r="E49" s="34"/>
      <c r="F49" s="34"/>
      <c r="G49" s="89"/>
    </row>
    <row r="50" spans="2:7" ht="5.25" customHeight="1" x14ac:dyDescent="0.2"/>
    <row r="51" spans="2:7" x14ac:dyDescent="0.2">
      <c r="C51" s="68"/>
    </row>
  </sheetData>
  <mergeCells count="17">
    <mergeCell ref="A1:M1"/>
    <mergeCell ref="A2:M2"/>
    <mergeCell ref="A3:M3"/>
    <mergeCell ref="A4:B5"/>
    <mergeCell ref="A7:M7"/>
    <mergeCell ref="B46:B49"/>
    <mergeCell ref="C4:D4"/>
    <mergeCell ref="G4:M4"/>
    <mergeCell ref="C5:D5"/>
    <mergeCell ref="G5:L5"/>
    <mergeCell ref="C46:D46"/>
    <mergeCell ref="C47:D47"/>
    <mergeCell ref="C48:D48"/>
    <mergeCell ref="C49:D49"/>
    <mergeCell ref="A8:M8"/>
    <mergeCell ref="A6:M6"/>
    <mergeCell ref="D9:F9"/>
  </mergeCells>
  <conditionalFormatting sqref="C11:C43">
    <cfRule type="containsText" dxfId="1531" priority="5" operator="containsText" text="INHABILITADO">
      <formula>NOT(ISERROR(SEARCH("INHABILITADO",C11)))</formula>
    </cfRule>
    <cfRule type="containsText" dxfId="1530" priority="6" operator="containsText" text="HABILITADO">
      <formula>NOT(ISERROR(SEARCH("HABILITADO",C11)))</formula>
    </cfRule>
  </conditionalFormatting>
  <conditionalFormatting sqref="G11:L11 G12:J43 L12:L43">
    <cfRule type="cellIs" dxfId="1529" priority="7" operator="equal">
      <formula>"CUMPLE"</formula>
    </cfRule>
    <cfRule type="cellIs" dxfId="1528" priority="8" operator="equal">
      <formula>"NO CUMPLE"</formula>
    </cfRule>
    <cfRule type="cellIs" dxfId="1527" priority="9" operator="equal">
      <formula>"""CUMPLE"""</formula>
    </cfRule>
  </conditionalFormatting>
  <conditionalFormatting sqref="K12:K43 G44:L44">
    <cfRule type="containsText" dxfId="1526" priority="12" operator="containsText" text="NO CUMPLE">
      <formula>NOT(ISERROR(SEARCH("NO CUMPLE",G12)))</formula>
    </cfRule>
    <cfRule type="containsText" dxfId="1525" priority="13" operator="containsText" text="CUMPLE">
      <formula>NOT(ISERROR(SEARCH("CUMPLE",G12)))</formula>
    </cfRule>
  </conditionalFormatting>
  <conditionalFormatting sqref="M11:N44">
    <cfRule type="containsText" dxfId="1524" priority="1" operator="containsText" text="INHABILITADO">
      <formula>NOT(ISERROR(SEARCH("INHABILITADO",M11)))</formula>
    </cfRule>
    <cfRule type="containsText" dxfId="1523" priority="2" operator="containsText" text="HABILITADO">
      <formula>NOT(ISERROR(SEARCH("HABILITADO",M11)))</formula>
    </cfRule>
  </conditionalFormatting>
  <pageMargins left="0.7" right="0.7" top="0.75" bottom="0.75" header="0.3" footer="0.3"/>
  <pageSetup scale="39" orientation="landscape" r:id="rId1"/>
  <drawing r:id="rId2"/>
  <legacyDrawing r:id="rId3"/>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1D00-000000000000}">
          <x14:formula1>
            <xm:f>'DATOS INICIALES'!$A$48:$A$49</xm:f>
          </x14:formula1>
          <xm:sqref>M44:N44</xm:sqref>
        </x14:dataValidation>
        <x14:dataValidation type="list" allowBlank="1" showInputMessage="1" showErrorMessage="1" xr:uid="{00000000-0002-0000-1D00-000001000000}">
          <x14:formula1>
            <xm:f>'DATOS INICIALES'!$A$53:$A$54</xm:f>
          </x14:formula1>
          <xm:sqref>K44:L44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EB6EC-2A43-4E6B-90BE-191273444A1F}">
  <dimension ref="A3:D36"/>
  <sheetViews>
    <sheetView zoomScaleNormal="100" workbookViewId="0">
      <selection activeCell="D30" sqref="D30"/>
    </sheetView>
  </sheetViews>
  <sheetFormatPr baseColWidth="10" defaultRowHeight="15" x14ac:dyDescent="0.2"/>
  <cols>
    <col min="1" max="1" width="6.5" customWidth="1"/>
    <col min="2" max="2" width="27.1640625" customWidth="1"/>
    <col min="3" max="3" width="19.5" customWidth="1"/>
    <col min="4" max="4" width="44.6640625" customWidth="1"/>
  </cols>
  <sheetData>
    <row r="3" spans="1:4" x14ac:dyDescent="0.2">
      <c r="A3" s="196" t="s">
        <v>332</v>
      </c>
      <c r="B3" s="197" t="s">
        <v>23</v>
      </c>
      <c r="C3" s="198" t="s">
        <v>331</v>
      </c>
      <c r="D3" s="199" t="s">
        <v>333</v>
      </c>
    </row>
    <row r="4" spans="1:4" ht="126" customHeight="1" x14ac:dyDescent="0.2">
      <c r="A4" s="17">
        <v>1</v>
      </c>
      <c r="B4" s="194" t="str">
        <f>+PROPONENTES!B10</f>
        <v>CONSORCIO EL TAMBILLO</v>
      </c>
      <c r="C4" s="18" t="s">
        <v>13</v>
      </c>
      <c r="D4" s="34"/>
    </row>
    <row r="5" spans="1:4" ht="126" customHeight="1" x14ac:dyDescent="0.2">
      <c r="A5" s="17">
        <v>2</v>
      </c>
      <c r="B5" s="194" t="str">
        <f>+PROPONENTES!B11</f>
        <v>UNION TEMPORAL VIAL USAQUN 2024</v>
      </c>
      <c r="C5" s="18" t="s">
        <v>13</v>
      </c>
      <c r="D5" s="89"/>
    </row>
    <row r="6" spans="1:4" ht="130.25" customHeight="1" x14ac:dyDescent="0.2">
      <c r="A6" s="17">
        <v>3</v>
      </c>
      <c r="B6" s="194" t="str">
        <f>+PROPONENTES!B12</f>
        <v>CONSORCIO CCU</v>
      </c>
      <c r="C6" s="18" t="s">
        <v>13</v>
      </c>
      <c r="D6" s="89"/>
    </row>
    <row r="7" spans="1:4" ht="123.5" customHeight="1" x14ac:dyDescent="0.2">
      <c r="A7" s="17">
        <v>4</v>
      </c>
      <c r="B7" s="194" t="str">
        <f>+PROPONENTES!B13</f>
        <v>CONSORCIO MEB VIAL</v>
      </c>
      <c r="C7" s="18" t="s">
        <v>13</v>
      </c>
      <c r="D7" s="89"/>
    </row>
    <row r="8" spans="1:4" ht="130.25" customHeight="1" x14ac:dyDescent="0.2">
      <c r="A8" s="17">
        <v>5</v>
      </c>
      <c r="B8" s="194" t="str">
        <f>+PROPONENTES!B14</f>
        <v>CONSORCIO CONSERVACION DK</v>
      </c>
      <c r="C8" s="18" t="s">
        <v>13</v>
      </c>
      <c r="D8" s="89"/>
    </row>
    <row r="9" spans="1:4" ht="127.75" customHeight="1" x14ac:dyDescent="0.2">
      <c r="A9" s="17">
        <v>6</v>
      </c>
      <c r="B9" s="194" t="str">
        <f>+PROPONENTES!B15</f>
        <v>CONSORCIO USAQUEN VIAL 2025</v>
      </c>
      <c r="C9" s="18" t="s">
        <v>13</v>
      </c>
    </row>
    <row r="10" spans="1:4" ht="134.5" customHeight="1" x14ac:dyDescent="0.2">
      <c r="A10" s="17">
        <v>7</v>
      </c>
      <c r="B10" s="194" t="str">
        <f>+PROPONENTES!B16</f>
        <v>CONSORCIO VIAS URBANAS</v>
      </c>
      <c r="C10" s="18" t="s">
        <v>13</v>
      </c>
      <c r="D10" s="89"/>
    </row>
    <row r="11" spans="1:4" ht="139.75" customHeight="1" x14ac:dyDescent="0.2">
      <c r="A11" s="17">
        <v>8</v>
      </c>
      <c r="B11" s="194" t="str">
        <f>+PROPONENTES!B17</f>
        <v>CONSORCIO VIAL LA ROCA USAQUEN 2024</v>
      </c>
      <c r="C11" s="18" t="s">
        <v>13</v>
      </c>
      <c r="D11" s="89"/>
    </row>
    <row r="12" spans="1:4" ht="138.5" customHeight="1" x14ac:dyDescent="0.2">
      <c r="A12" s="17">
        <v>9</v>
      </c>
      <c r="B12" s="194" t="str">
        <f>+PROPONENTES!B18</f>
        <v>Consorcio LG</v>
      </c>
      <c r="C12" s="18" t="s">
        <v>13</v>
      </c>
      <c r="D12" s="89"/>
    </row>
    <row r="13" spans="1:4" ht="135" customHeight="1" x14ac:dyDescent="0.2">
      <c r="A13" s="17">
        <v>10</v>
      </c>
      <c r="B13" s="194" t="str">
        <f>+PROPONENTES!B19</f>
        <v>CONSORCIO VIAL URBANO DC</v>
      </c>
      <c r="C13" s="18" t="s">
        <v>14</v>
      </c>
      <c r="D13" s="89"/>
    </row>
    <row r="14" spans="1:4" ht="123" customHeight="1" x14ac:dyDescent="0.2">
      <c r="A14" s="17">
        <v>11</v>
      </c>
      <c r="B14" s="194" t="str">
        <f>+PROPONENTES!B20</f>
        <v>CONSTRUCTORA CAMACON S.A.S</v>
      </c>
      <c r="C14" s="18" t="s">
        <v>13</v>
      </c>
      <c r="D14" s="89"/>
    </row>
    <row r="15" spans="1:4" ht="128.5" customHeight="1" x14ac:dyDescent="0.2">
      <c r="A15" s="17">
        <v>12</v>
      </c>
      <c r="B15" s="194" t="str">
        <f>+PROPONENTES!B21</f>
        <v>CONSORCIO LA VICTORIA 2024</v>
      </c>
      <c r="C15" s="18" t="s">
        <v>13</v>
      </c>
      <c r="D15" s="89"/>
    </row>
    <row r="16" spans="1:4" ht="130.25" customHeight="1" x14ac:dyDescent="0.2">
      <c r="A16" s="17">
        <v>13</v>
      </c>
      <c r="B16" s="194" t="str">
        <f>+PROPONENTES!B22</f>
        <v>VIALUSA 2024</v>
      </c>
      <c r="C16" s="18" t="s">
        <v>13</v>
      </c>
      <c r="D16" s="89"/>
    </row>
    <row r="17" spans="1:4" ht="109.75" customHeight="1" x14ac:dyDescent="0.2">
      <c r="A17" s="17">
        <v>14</v>
      </c>
      <c r="B17" s="194" t="str">
        <f>+PROPONENTES!B23</f>
        <v>14 CONSORCIO VIAL USAQUEN</v>
      </c>
      <c r="C17" s="18" t="s">
        <v>13</v>
      </c>
      <c r="D17" s="89"/>
    </row>
    <row r="18" spans="1:4" ht="105" customHeight="1" x14ac:dyDescent="0.2">
      <c r="A18" s="17">
        <v>15</v>
      </c>
      <c r="B18" s="194" t="str">
        <f>+PROPONENTES!B24</f>
        <v>CONSORCIO ZINFRA</v>
      </c>
      <c r="C18" s="18" t="s">
        <v>13</v>
      </c>
      <c r="D18" s="89"/>
    </row>
    <row r="19" spans="1:4" ht="107.5" customHeight="1" x14ac:dyDescent="0.2">
      <c r="A19" s="17">
        <v>16</v>
      </c>
      <c r="B19" s="194" t="str">
        <f>+PROPONENTES!B25</f>
        <v>CONSORCIO MANTENIMIENTO VIAL USAQUEN II</v>
      </c>
      <c r="C19" s="18" t="s">
        <v>13</v>
      </c>
      <c r="D19" s="89"/>
    </row>
    <row r="20" spans="1:4" ht="96" customHeight="1" x14ac:dyDescent="0.2">
      <c r="A20" s="17">
        <v>17</v>
      </c>
      <c r="B20" s="194" t="str">
        <f>+PROPONENTES!B26</f>
        <v>CONSORCIO DAI USAQUEN</v>
      </c>
      <c r="C20" s="18" t="s">
        <v>13</v>
      </c>
      <c r="D20" s="89"/>
    </row>
    <row r="21" spans="1:4" ht="48" x14ac:dyDescent="0.2">
      <c r="A21" s="17">
        <v>18</v>
      </c>
      <c r="B21" s="194" t="str">
        <f>+PROPONENTES!B27</f>
        <v>CONSORCIO USAQUEN 002</v>
      </c>
      <c r="C21" s="18" t="s">
        <v>14</v>
      </c>
      <c r="D21" s="202" t="s">
        <v>780</v>
      </c>
    </row>
    <row r="22" spans="1:4" ht="131.5" customHeight="1" x14ac:dyDescent="0.2">
      <c r="A22" s="17">
        <v>19</v>
      </c>
      <c r="B22" s="194" t="str">
        <f>+PROPONENTES!B28</f>
        <v>CONSORCIO MALLA VIAL USAQUEN</v>
      </c>
      <c r="C22" s="18" t="s">
        <v>13</v>
      </c>
      <c r="D22" s="89"/>
    </row>
    <row r="23" spans="1:4" ht="101.5" customHeight="1" x14ac:dyDescent="0.2">
      <c r="A23" s="17">
        <v>20</v>
      </c>
      <c r="B23" s="194" t="str">
        <f>+PROPONENTES!B29</f>
        <v>CONSORCIO SEGMENTOS VIALES</v>
      </c>
      <c r="C23" s="18" t="s">
        <v>13</v>
      </c>
      <c r="D23" s="89"/>
    </row>
    <row r="24" spans="1:4" ht="110.5" customHeight="1" x14ac:dyDescent="0.2">
      <c r="A24" s="17">
        <v>21</v>
      </c>
      <c r="B24" s="194" t="str">
        <f>+PROPONENTES!B30</f>
        <v>CONSORCIO LOCALIDAD USAQUEN</v>
      </c>
      <c r="C24" s="18" t="s">
        <v>13</v>
      </c>
      <c r="D24" s="89"/>
    </row>
    <row r="25" spans="1:4" ht="121.25" customHeight="1" x14ac:dyDescent="0.2">
      <c r="A25" s="17">
        <v>22</v>
      </c>
      <c r="B25" s="194" t="str">
        <f>+PROPONENTES!B31</f>
        <v>22 CONSORCIO VIAL USAQUEN</v>
      </c>
      <c r="C25" s="18" t="s">
        <v>13</v>
      </c>
      <c r="D25" s="89"/>
    </row>
    <row r="26" spans="1:4" ht="128.5" customHeight="1" x14ac:dyDescent="0.2">
      <c r="A26" s="17">
        <v>23</v>
      </c>
      <c r="B26" s="194" t="str">
        <f>+PROPONENTES!B32</f>
        <v>VD USAQUEN 2024</v>
      </c>
      <c r="C26" s="18" t="s">
        <v>13</v>
      </c>
      <c r="D26" s="89"/>
    </row>
    <row r="27" spans="1:4" ht="133.25" customHeight="1" x14ac:dyDescent="0.2">
      <c r="A27" s="17">
        <v>24</v>
      </c>
      <c r="B27" s="194" t="str">
        <f>+PROPONENTES!B33</f>
        <v>CONSORCIO ZONA 1</v>
      </c>
      <c r="C27" s="18" t="s">
        <v>13</v>
      </c>
      <c r="D27" s="89"/>
    </row>
    <row r="28" spans="1:4" ht="32" x14ac:dyDescent="0.2">
      <c r="A28" s="17">
        <v>25</v>
      </c>
      <c r="B28" s="194" t="str">
        <f>+PROPONENTES!B34</f>
        <v>CONSORCIO VIAS USAQUEN 2027</v>
      </c>
      <c r="C28" s="18" t="s">
        <v>14</v>
      </c>
      <c r="D28" s="202" t="s">
        <v>782</v>
      </c>
    </row>
    <row r="29" spans="1:4" ht="124.25" customHeight="1" x14ac:dyDescent="0.2">
      <c r="A29" s="17">
        <v>26</v>
      </c>
      <c r="B29" s="194" t="str">
        <f>+PROPONENTES!B35</f>
        <v>ARCO CONSTRUCTORES SAS</v>
      </c>
      <c r="C29" s="18" t="s">
        <v>13</v>
      </c>
      <c r="D29" s="89"/>
    </row>
    <row r="30" spans="1:4" ht="76.25" customHeight="1" x14ac:dyDescent="0.2">
      <c r="A30" s="17">
        <v>27</v>
      </c>
      <c r="B30" s="194" t="str">
        <f>+PROPONENTES!B36</f>
        <v>OCCIDENTAL DE COLOMBIA SAS</v>
      </c>
      <c r="C30" s="18" t="s">
        <v>14</v>
      </c>
      <c r="D30" s="202" t="s">
        <v>767</v>
      </c>
    </row>
    <row r="31" spans="1:4" ht="118.75" customHeight="1" x14ac:dyDescent="0.2">
      <c r="A31" s="17">
        <v>28</v>
      </c>
      <c r="B31" s="194" t="str">
        <f>+PROPONENTES!B37</f>
        <v>CONSORCIO BELZCON - USAQUEN</v>
      </c>
      <c r="C31" s="18" t="s">
        <v>14</v>
      </c>
      <c r="D31" s="202" t="s">
        <v>768</v>
      </c>
    </row>
    <row r="32" spans="1:4" ht="133.25" customHeight="1" x14ac:dyDescent="0.2">
      <c r="A32" s="17">
        <v>29</v>
      </c>
      <c r="B32" s="194" t="str">
        <f>+PROPONENTES!B38</f>
        <v>CONSORCIO INFRAVIAL 4G</v>
      </c>
      <c r="C32" s="18" t="s">
        <v>13</v>
      </c>
      <c r="D32" s="89"/>
    </row>
    <row r="33" spans="1:4" ht="115.25" customHeight="1" x14ac:dyDescent="0.2">
      <c r="A33" s="17">
        <v>30</v>
      </c>
      <c r="B33" s="194" t="str">
        <f>+PROPONENTES!B39</f>
        <v>CONSORCIO VIAS PRO BOGOTA</v>
      </c>
      <c r="C33" s="18" t="s">
        <v>13</v>
      </c>
      <c r="D33" s="89"/>
    </row>
    <row r="34" spans="1:4" ht="122.5" customHeight="1" x14ac:dyDescent="0.2">
      <c r="A34" s="17">
        <v>31</v>
      </c>
      <c r="B34" s="194" t="str">
        <f>+PROPONENTES!B40</f>
        <v>CONSORCIO BP VIAS USAQUEN</v>
      </c>
      <c r="C34" s="18" t="s">
        <v>13</v>
      </c>
      <c r="D34" s="89"/>
    </row>
    <row r="35" spans="1:4" ht="153" customHeight="1" x14ac:dyDescent="0.2">
      <c r="A35" s="17">
        <v>32</v>
      </c>
      <c r="B35" s="194" t="str">
        <f>+PROPONENTES!B41</f>
        <v>CONSORCIO MALLA VIAL U</v>
      </c>
      <c r="C35" s="18" t="s">
        <v>13</v>
      </c>
      <c r="D35" s="89"/>
    </row>
    <row r="36" spans="1:4" ht="78" customHeight="1" x14ac:dyDescent="0.2">
      <c r="A36" s="17">
        <v>33</v>
      </c>
      <c r="B36" s="194" t="str">
        <f>+PROPONENTES!B42</f>
        <v>CONSORCIO SANTA ANA 2024</v>
      </c>
      <c r="C36" s="18" t="s">
        <v>14</v>
      </c>
      <c r="D36" s="200" t="s">
        <v>773</v>
      </c>
    </row>
  </sheetData>
  <conditionalFormatting sqref="C4:C36">
    <cfRule type="cellIs" dxfId="1522" priority="1" operator="equal">
      <formula>"CUMPLE"</formula>
    </cfRule>
    <cfRule type="cellIs" dxfId="1521" priority="2" operator="equal">
      <formula>"NO CUMPLE"</formula>
    </cfRule>
    <cfRule type="cellIs" dxfId="1520" priority="3" operator="equal">
      <formula>"""CUMPLE"""</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1DE35AD-D695-4AC5-9DB4-755ADD74F1CD}">
          <x14:formula1>
            <xm:f>'DATOS INICIALES'!$A$53:$A$54</xm:f>
          </x14:formula1>
          <xm:sqref>C4:C36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B1:N82"/>
  <sheetViews>
    <sheetView view="pageBreakPreview" zoomScale="70" zoomScaleNormal="55" zoomScaleSheetLayoutView="70" workbookViewId="0">
      <pane ySplit="11" topLeftCell="A12" activePane="bottomLeft" state="frozenSplit"/>
      <selection activeCell="C11" sqref="C11:G11"/>
      <selection pane="bottomLeft" activeCell="B62" sqref="B62:C62"/>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+PROPONENTES!B10</f>
        <v>CONSORCIO EL TAMBILLO</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ISAIAS VARGAS GONZALEZ </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6908.4610000000002</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13816.922</v>
      </c>
      <c r="L15" s="265" t="str">
        <f>IF(K15&gt;=J15,"CUMPLE","NO CUMPLE")</f>
        <v>CUMPLE</v>
      </c>
    </row>
    <row r="16" spans="2:12" ht="33.75" customHeight="1" x14ac:dyDescent="0.2">
      <c r="B16" s="273"/>
      <c r="C16" s="100" t="str">
        <f>IF(VLOOKUP(C11,PROPONENTES!B10:N44,4,FALSE)=0,"",VLOOKUP(C11,PROPONENTES!B10:N44,4,FALSE))</f>
        <v xml:space="preserve">V &amp; M INGENIERIA S.A.S. </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6908.4610000000002</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13816.922</v>
      </c>
      <c r="J19" s="253">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13816.922</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254"/>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231</v>
      </c>
      <c r="E24" s="91" t="s">
        <v>231</v>
      </c>
      <c r="F24" s="91"/>
      <c r="G24" s="91"/>
      <c r="H24" s="91"/>
      <c r="I24" s="91"/>
      <c r="J24" s="91"/>
      <c r="K24" s="247"/>
      <c r="L24" s="248"/>
    </row>
    <row r="25" spans="2:14" ht="39.75" customHeight="1" x14ac:dyDescent="0.2">
      <c r="B25" s="259" t="s">
        <v>116</v>
      </c>
      <c r="C25" s="260"/>
      <c r="D25" s="91" t="s">
        <v>232</v>
      </c>
      <c r="E25" s="91" t="s">
        <v>232</v>
      </c>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317</v>
      </c>
      <c r="E27" s="92" t="s">
        <v>318</v>
      </c>
      <c r="F27" s="92"/>
      <c r="G27" s="92"/>
      <c r="H27" s="92"/>
      <c r="I27" s="92"/>
      <c r="J27" s="92"/>
      <c r="K27" s="247"/>
      <c r="L27" s="248"/>
    </row>
    <row r="28" spans="2:14" ht="156.75" customHeight="1" x14ac:dyDescent="0.2">
      <c r="B28" s="277"/>
      <c r="C28" s="26" t="s">
        <v>36</v>
      </c>
      <c r="D28" s="92" t="s">
        <v>303</v>
      </c>
      <c r="E28" s="92" t="s">
        <v>304</v>
      </c>
      <c r="F28" s="92"/>
      <c r="G28" s="92"/>
      <c r="H28" s="92"/>
      <c r="I28" s="92"/>
      <c r="J28" s="92"/>
      <c r="K28" s="247"/>
      <c r="L28" s="248"/>
    </row>
    <row r="29" spans="2:14" ht="52.5" customHeight="1" x14ac:dyDescent="0.2">
      <c r="B29" s="277"/>
      <c r="C29" s="26" t="s">
        <v>172</v>
      </c>
      <c r="D29" s="96">
        <v>44223</v>
      </c>
      <c r="E29" s="96">
        <v>43514</v>
      </c>
      <c r="F29" s="96"/>
      <c r="G29" s="96"/>
      <c r="H29" s="96"/>
      <c r="I29" s="96"/>
      <c r="J29" s="96"/>
      <c r="K29" s="247"/>
      <c r="L29" s="248"/>
    </row>
    <row r="30" spans="2:14" ht="54.75" customHeight="1" x14ac:dyDescent="0.2">
      <c r="B30" s="277"/>
      <c r="C30" s="26" t="s">
        <v>40</v>
      </c>
      <c r="D30" s="96">
        <v>44519</v>
      </c>
      <c r="E30" s="96">
        <v>43907</v>
      </c>
      <c r="F30" s="96"/>
      <c r="G30" s="96"/>
      <c r="H30" s="96"/>
      <c r="I30" s="96"/>
      <c r="J30" s="96"/>
      <c r="K30" s="247"/>
      <c r="L30" s="248"/>
    </row>
    <row r="31" spans="2:14" ht="41.25" customHeight="1" x14ac:dyDescent="0.2">
      <c r="B31" s="277"/>
      <c r="C31" s="26" t="s">
        <v>37</v>
      </c>
      <c r="D31" s="93">
        <v>2021</v>
      </c>
      <c r="E31" s="93">
        <v>2020</v>
      </c>
      <c r="F31" s="93"/>
      <c r="G31" s="93"/>
      <c r="H31" s="93"/>
      <c r="I31" s="93"/>
      <c r="J31" s="93"/>
      <c r="K31" s="247"/>
      <c r="L31" s="248"/>
    </row>
    <row r="32" spans="2:14" ht="63" customHeight="1" x14ac:dyDescent="0.2">
      <c r="B32" s="277"/>
      <c r="C32" s="26" t="s">
        <v>38</v>
      </c>
      <c r="D32" s="92" t="s">
        <v>305</v>
      </c>
      <c r="E32" s="92" t="s">
        <v>306</v>
      </c>
      <c r="F32" s="92"/>
      <c r="G32" s="92"/>
      <c r="H32" s="92"/>
      <c r="I32" s="92"/>
      <c r="J32" s="92"/>
      <c r="K32" s="247"/>
      <c r="L32" s="248"/>
    </row>
    <row r="33" spans="2:12" ht="46.5" customHeight="1" x14ac:dyDescent="0.2">
      <c r="B33" s="277"/>
      <c r="C33" s="26" t="s">
        <v>39</v>
      </c>
      <c r="D33" s="92" t="s">
        <v>307</v>
      </c>
      <c r="E33" s="92" t="s">
        <v>319</v>
      </c>
      <c r="F33" s="92"/>
      <c r="G33" s="92"/>
      <c r="H33" s="92"/>
      <c r="I33" s="92"/>
      <c r="J33" s="92"/>
      <c r="K33" s="247"/>
      <c r="L33" s="248"/>
    </row>
    <row r="34" spans="2:12" ht="109.25" customHeight="1" x14ac:dyDescent="0.2">
      <c r="B34" s="277"/>
      <c r="C34" s="28" t="s">
        <v>33</v>
      </c>
      <c r="D34" s="187" t="s">
        <v>308</v>
      </c>
      <c r="E34" s="187" t="s">
        <v>309</v>
      </c>
      <c r="F34" s="97"/>
      <c r="G34" s="98"/>
      <c r="H34" s="98"/>
      <c r="I34" s="98"/>
      <c r="J34" s="98"/>
      <c r="K34" s="247"/>
      <c r="L34" s="248"/>
    </row>
    <row r="35" spans="2:12" ht="102.75" customHeight="1" x14ac:dyDescent="0.2">
      <c r="B35" s="277"/>
      <c r="C35" s="26" t="s">
        <v>118</v>
      </c>
      <c r="D35" s="94">
        <v>5479.3</v>
      </c>
      <c r="E35" s="94">
        <v>15722.47</v>
      </c>
      <c r="F35" s="94"/>
      <c r="G35" s="94"/>
      <c r="H35" s="94"/>
      <c r="I35" s="94"/>
      <c r="J35" s="94"/>
      <c r="K35" s="279"/>
      <c r="L35" s="280"/>
    </row>
    <row r="36" spans="2:12" ht="48" customHeight="1" x14ac:dyDescent="0.2">
      <c r="B36" s="277"/>
      <c r="C36" s="26" t="s">
        <v>74</v>
      </c>
      <c r="D36" s="105">
        <f>IFERROR(D35*VLOOKUP(D31,'DATOS INICIALES'!$A$12:$B$44,2,0),"0")</f>
        <v>4978086511.8000002</v>
      </c>
      <c r="E36" s="105">
        <f>IFERROR(E35*VLOOKUP(E31,'DATOS INICIALES'!$A$12:$B$44,2,0),"0")</f>
        <v>13801231333.41</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0.4</v>
      </c>
      <c r="E37" s="95">
        <v>0.3</v>
      </c>
      <c r="F37" s="95"/>
      <c r="G37" s="95"/>
      <c r="H37" s="95"/>
      <c r="I37" s="95"/>
      <c r="J37" s="95"/>
      <c r="K37" s="247"/>
      <c r="L37" s="248"/>
    </row>
    <row r="38" spans="2:12" ht="48.75" customHeight="1" x14ac:dyDescent="0.2">
      <c r="B38" s="277"/>
      <c r="C38" s="26" t="s">
        <v>125</v>
      </c>
      <c r="D38" s="105">
        <f t="shared" ref="D38:J38" si="3">IF(D24="","0",D37*D36)</f>
        <v>1991234604.7200003</v>
      </c>
      <c r="E38" s="105">
        <f t="shared" si="3"/>
        <v>4140369400.0229998</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2191.7200000000003</v>
      </c>
      <c r="E39" s="106">
        <f t="shared" si="4"/>
        <v>4716.741</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v>0.4</v>
      </c>
      <c r="E40" s="95">
        <v>0.3</v>
      </c>
      <c r="F40" s="95"/>
      <c r="G40" s="95"/>
      <c r="H40" s="95"/>
      <c r="I40" s="95"/>
      <c r="J40" s="95"/>
      <c r="K40" s="247"/>
      <c r="L40" s="248"/>
    </row>
    <row r="41" spans="2:12" ht="65.25" customHeight="1" x14ac:dyDescent="0.2">
      <c r="B41" s="277"/>
      <c r="C41" s="26" t="s">
        <v>126</v>
      </c>
      <c r="D41" s="107">
        <f t="shared" ref="D41:J41" si="5">IF(D25="","0",D40*D36)</f>
        <v>1991234604.7200003</v>
      </c>
      <c r="E41" s="107">
        <f t="shared" si="5"/>
        <v>4140369400.0229998</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2191.7200000000003</v>
      </c>
      <c r="E42" s="106">
        <f t="shared" ref="E42:J42" si="6">IF(E25="",0,E35*E40)</f>
        <v>4716.741</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77</v>
      </c>
      <c r="E50" s="97" t="s">
        <v>77</v>
      </c>
      <c r="F50" s="97"/>
      <c r="G50" s="97"/>
      <c r="H50" s="97"/>
      <c r="I50" s="97"/>
      <c r="J50" s="98"/>
      <c r="K50" s="247"/>
      <c r="L50" s="248"/>
    </row>
    <row r="51" spans="2:12" ht="24.75" customHeight="1" x14ac:dyDescent="0.2">
      <c r="B51" s="285"/>
      <c r="C51" s="29">
        <f>+'DATOS INICIALES'!D26</f>
        <v>721527</v>
      </c>
      <c r="D51" s="97" t="s">
        <v>77</v>
      </c>
      <c r="E51" s="97" t="s">
        <v>77</v>
      </c>
      <c r="F51" s="97"/>
      <c r="G51" s="97"/>
      <c r="H51" s="97"/>
      <c r="I51" s="97"/>
      <c r="J51" s="98"/>
      <c r="K51" s="247"/>
      <c r="L51" s="248"/>
    </row>
    <row r="52" spans="2:12" ht="24.75" customHeight="1" x14ac:dyDescent="0.2">
      <c r="B52" s="285"/>
      <c r="C52" s="29">
        <f>+'DATOS INICIALES'!D27</f>
        <v>721539</v>
      </c>
      <c r="D52" s="97" t="s">
        <v>77</v>
      </c>
      <c r="E52" s="97" t="s">
        <v>77</v>
      </c>
      <c r="F52" s="97"/>
      <c r="G52" s="97"/>
      <c r="H52" s="97"/>
      <c r="I52" s="97"/>
      <c r="J52" s="98"/>
      <c r="K52" s="247"/>
      <c r="L52" s="248"/>
    </row>
    <row r="53" spans="2:12" ht="24.75" customHeight="1" x14ac:dyDescent="0.2">
      <c r="B53" s="285"/>
      <c r="C53" s="29">
        <f>+'DATOS INICIALES'!D28</f>
        <v>951115</v>
      </c>
      <c r="D53" s="97" t="s">
        <v>75</v>
      </c>
      <c r="E53" s="97" t="s">
        <v>75</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N/A</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N/A</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K67:L67"/>
    <mergeCell ref="K45:L45"/>
    <mergeCell ref="K46:L46"/>
    <mergeCell ref="K47:L47"/>
    <mergeCell ref="K48:L48"/>
    <mergeCell ref="K49:L49"/>
    <mergeCell ref="K63:L63"/>
    <mergeCell ref="K64:L64"/>
    <mergeCell ref="K65:L65"/>
    <mergeCell ref="K58:L58"/>
    <mergeCell ref="K59:L59"/>
    <mergeCell ref="K61:L61"/>
    <mergeCell ref="K62:L62"/>
    <mergeCell ref="K52:L52"/>
    <mergeCell ref="K54:L54"/>
    <mergeCell ref="K55:L55"/>
    <mergeCell ref="I15:I17"/>
    <mergeCell ref="J15:J17"/>
    <mergeCell ref="K30:L30"/>
    <mergeCell ref="K31:L31"/>
    <mergeCell ref="K27:L27"/>
    <mergeCell ref="B12:L12"/>
    <mergeCell ref="B13:L13"/>
    <mergeCell ref="I11:L11"/>
    <mergeCell ref="C8:I8"/>
    <mergeCell ref="C9:I9"/>
    <mergeCell ref="C10:I10"/>
    <mergeCell ref="C11:G11"/>
    <mergeCell ref="B2:L2"/>
    <mergeCell ref="B3:L3"/>
    <mergeCell ref="B4:L4"/>
    <mergeCell ref="B5:L5"/>
    <mergeCell ref="B7:I7"/>
    <mergeCell ref="J7:L7"/>
    <mergeCell ref="B67:C67"/>
    <mergeCell ref="B59:C59"/>
    <mergeCell ref="B64:C64"/>
    <mergeCell ref="B58:C58"/>
    <mergeCell ref="B47:B55"/>
    <mergeCell ref="B56:C56"/>
    <mergeCell ref="B57:C57"/>
    <mergeCell ref="B65:C65"/>
    <mergeCell ref="B66:C66"/>
    <mergeCell ref="B61:C61"/>
    <mergeCell ref="B60:C60"/>
    <mergeCell ref="B26:C26"/>
    <mergeCell ref="B27:B45"/>
    <mergeCell ref="K28:L28"/>
    <mergeCell ref="K29:L29"/>
    <mergeCell ref="K32:L32"/>
    <mergeCell ref="K33:L33"/>
    <mergeCell ref="K34:L34"/>
    <mergeCell ref="K44:L44"/>
    <mergeCell ref="K35:L35"/>
    <mergeCell ref="K36:L36"/>
    <mergeCell ref="K37:L37"/>
    <mergeCell ref="K38:L38"/>
    <mergeCell ref="K39:L39"/>
    <mergeCell ref="K40:L40"/>
    <mergeCell ref="K41:L41"/>
    <mergeCell ref="K42:L42"/>
    <mergeCell ref="B24:C24"/>
    <mergeCell ref="B62:C62"/>
    <mergeCell ref="B63:C63"/>
    <mergeCell ref="K15:K17"/>
    <mergeCell ref="L15:L17"/>
    <mergeCell ref="K18:L18"/>
    <mergeCell ref="B21:L21"/>
    <mergeCell ref="B22:L22"/>
    <mergeCell ref="B14:B19"/>
    <mergeCell ref="K50:L50"/>
    <mergeCell ref="K51:L51"/>
    <mergeCell ref="K23:L23"/>
    <mergeCell ref="K24:L24"/>
    <mergeCell ref="K25:L25"/>
    <mergeCell ref="K26:L26"/>
    <mergeCell ref="B25:C25"/>
    <mergeCell ref="K60:L60"/>
    <mergeCell ref="K53:L53"/>
    <mergeCell ref="K19:L20"/>
    <mergeCell ref="J19:J20"/>
    <mergeCell ref="I19:I20"/>
    <mergeCell ref="K57:L57"/>
    <mergeCell ref="K56:L56"/>
    <mergeCell ref="K43:L43"/>
  </mergeCells>
  <conditionalFormatting sqref="D25:J35">
    <cfRule type="containsBlanks" dxfId="1519" priority="17">
      <formula>LEN(TRIM(D25))=0</formula>
    </cfRule>
    <cfRule type="notContainsErrors" dxfId="1518" priority="18">
      <formula>NOT(ISERROR(D25))</formula>
    </cfRule>
  </conditionalFormatting>
  <conditionalFormatting sqref="D34:J34 D24:K24">
    <cfRule type="containsBlanks" dxfId="1517" priority="19">
      <formula>LEN(TRIM(D24))=0</formula>
    </cfRule>
  </conditionalFormatting>
  <conditionalFormatting sqref="D37:J37">
    <cfRule type="containsBlanks" dxfId="1516" priority="15">
      <formula>LEN(TRIM(D37))=0</formula>
    </cfRule>
    <cfRule type="notContainsErrors" dxfId="1515" priority="16">
      <formula>NOT(ISERROR(D37))</formula>
    </cfRule>
  </conditionalFormatting>
  <conditionalFormatting sqref="D40:J40">
    <cfRule type="containsBlanks" dxfId="1514" priority="13">
      <formula>LEN(TRIM(D40))=0</formula>
    </cfRule>
    <cfRule type="notContainsErrors" dxfId="1513" priority="14">
      <formula>NOT(ISERROR(D40))</formula>
    </cfRule>
  </conditionalFormatting>
  <conditionalFormatting sqref="D43:J43 K66:L66">
    <cfRule type="containsBlanks" dxfId="1512" priority="47">
      <formula>LEN(TRIM(D43))=0</formula>
    </cfRule>
    <cfRule type="notContainsErrors" dxfId="1511" priority="48">
      <formula>NOT(ISERROR(D43))</formula>
    </cfRule>
  </conditionalFormatting>
  <conditionalFormatting sqref="D46:J54">
    <cfRule type="cellIs" dxfId="1510" priority="9" operator="equal">
      <formula>"NO CUMPLE"</formula>
    </cfRule>
    <cfRule type="cellIs" dxfId="1509" priority="10" operator="equal">
      <formula>"CUMPLE"</formula>
    </cfRule>
    <cfRule type="containsBlanks" dxfId="1508" priority="11">
      <formula>LEN(TRIM(D46))=0</formula>
    </cfRule>
    <cfRule type="notContainsErrors" dxfId="1507" priority="12">
      <formula>NOT(ISERROR(D46))</formula>
    </cfRule>
  </conditionalFormatting>
  <conditionalFormatting sqref="D55:J55">
    <cfRule type="cellIs" dxfId="1506" priority="87" operator="equal">
      <formula>"""CUMPLE"""</formula>
    </cfRule>
    <cfRule type="cellIs" dxfId="1505" priority="86" operator="equal">
      <formula>"NO CUMPLE"</formula>
    </cfRule>
    <cfRule type="cellIs" dxfId="1504" priority="85" operator="equal">
      <formula>"CUMPLE"</formula>
    </cfRule>
    <cfRule type="cellIs" dxfId="1503" priority="66" operator="equal">
      <formula>"N/A"</formula>
    </cfRule>
  </conditionalFormatting>
  <conditionalFormatting sqref="D56:J65">
    <cfRule type="cellIs" dxfId="1502" priority="5" operator="equal">
      <formula>"NO CUMPLE"</formula>
    </cfRule>
    <cfRule type="cellIs" dxfId="1501" priority="6" operator="equal">
      <formula>"CUMPLE"</formula>
    </cfRule>
    <cfRule type="containsBlanks" dxfId="1500" priority="7">
      <formula>LEN(TRIM(D56))=0</formula>
    </cfRule>
    <cfRule type="notContainsErrors" dxfId="1499" priority="8">
      <formula>NOT(ISERROR(D56))</formula>
    </cfRule>
  </conditionalFormatting>
  <conditionalFormatting sqref="D66:J66">
    <cfRule type="cellIs" dxfId="1498" priority="63" operator="equal">
      <formula>"CUMPLE"</formula>
    </cfRule>
    <cfRule type="cellIs" dxfId="1497" priority="64" operator="equal">
      <formula>"NO CUMPLE"</formula>
    </cfRule>
    <cfRule type="cellIs" dxfId="1496" priority="65" operator="equal">
      <formula>"""CUMPLE"""</formula>
    </cfRule>
    <cfRule type="cellIs" dxfId="1495" priority="62" operator="equal">
      <formula>"N/A"</formula>
    </cfRule>
  </conditionalFormatting>
  <conditionalFormatting sqref="D67:J67">
    <cfRule type="cellIs" dxfId="1494" priority="1" operator="equal">
      <formula>"NO CUMPLE"</formula>
    </cfRule>
    <cfRule type="cellIs" dxfId="1493" priority="2" operator="equal">
      <formula>"CUMPLE"</formula>
    </cfRule>
  </conditionalFormatting>
  <conditionalFormatting sqref="D24:K24 D34:J34">
    <cfRule type="notContainsErrors" dxfId="1492" priority="20">
      <formula>NOT(ISERROR(D24))</formula>
    </cfRule>
  </conditionalFormatting>
  <conditionalFormatting sqref="D67:K67">
    <cfRule type="notContainsErrors" dxfId="1491" priority="4">
      <formula>NOT(ISERROR(D67))</formula>
    </cfRule>
    <cfRule type="containsBlanks" dxfId="1490" priority="3">
      <formula>LEN(TRIM(D67))=0</formula>
    </cfRule>
  </conditionalFormatting>
  <conditionalFormatting sqref="F20:H20">
    <cfRule type="cellIs" dxfId="1489" priority="102" operator="equal">
      <formula>"CUMPLE"</formula>
    </cfRule>
    <cfRule type="cellIs" dxfId="1488" priority="103" operator="equal">
      <formula>"NO CUMPLE"</formula>
    </cfRule>
    <cfRule type="cellIs" dxfId="1487" priority="104" operator="equal">
      <formula>"""CUMPLE"""</formula>
    </cfRule>
  </conditionalFormatting>
  <conditionalFormatting sqref="I11">
    <cfRule type="containsText" dxfId="1486" priority="127" operator="containsText" text="INHABILITADO">
      <formula>NOT(ISERROR(SEARCH("INHABILITADO",I11)))</formula>
    </cfRule>
    <cfRule type="containsText" dxfId="1485" priority="128" operator="containsText" text="HABILITADO">
      <formula>NOT(ISERROR(SEARCH("HABILITADO",I11)))</formula>
    </cfRule>
    <cfRule type="containsText" dxfId="1484" priority="129" operator="containsText" text="HABILITADO">
      <formula>NOT(ISERROR(SEARCH("HABILITADO",I11)))</formula>
    </cfRule>
    <cfRule type="containsText" dxfId="1483" priority="142" operator="containsText" text="NO CUMPLE">
      <formula>NOT(ISERROR(SEARCH("NO CUMPLE",I11)))</formula>
    </cfRule>
  </conditionalFormatting>
  <conditionalFormatting sqref="K19">
    <cfRule type="cellIs" dxfId="1482" priority="71" operator="equal">
      <formula>"CUMPLE"</formula>
    </cfRule>
    <cfRule type="cellIs" dxfId="1481" priority="72" operator="equal">
      <formula>"NO CUMPLE"</formula>
    </cfRule>
    <cfRule type="cellIs" dxfId="1480" priority="73" operator="equal">
      <formula>"""CUMPLE"""</formula>
    </cfRule>
  </conditionalFormatting>
  <conditionalFormatting sqref="K25:K65">
    <cfRule type="notContainsErrors" dxfId="1479" priority="22">
      <formula>NOT(ISERROR(K25))</formula>
    </cfRule>
    <cfRule type="containsBlanks" dxfId="1478" priority="21">
      <formula>LEN(TRIM(K25))=0</formula>
    </cfRule>
  </conditionalFormatting>
  <conditionalFormatting sqref="L15">
    <cfRule type="cellIs" dxfId="1477" priority="99" operator="equal">
      <formula>"CUMPLE"</formula>
    </cfRule>
    <cfRule type="cellIs" dxfId="1476" priority="100" operator="equal">
      <formula>"NO CUMPLE"</formula>
    </cfRule>
    <cfRule type="cellIs" dxfId="1475" priority="101" operator="equal">
      <formula>"""CUMPLE"""</formula>
    </cfRule>
  </conditionalFormatting>
  <dataValidations count="3">
    <dataValidation type="list" allowBlank="1" showInputMessage="1" showErrorMessage="1" sqref="D67:I67" xr:uid="{00000000-0002-0000-0200-000000000000}">
      <formula1>"CUMPLE,NO CUMPLE"</formula1>
    </dataValidation>
    <dataValidation type="list" allowBlank="1" showInputMessage="1" showErrorMessage="1" sqref="D24:J26" xr:uid="{00000000-0002-0000-0200-000001000000}">
      <formula1>$C$15:$C$19</formula1>
    </dataValidation>
    <dataValidation type="list" allowBlank="1" showInputMessage="1" showErrorMessage="1" sqref="L58:L66" xr:uid="{00000000-0002-0000-0200-000002000000}">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3000000}">
          <x14:formula1>
            <xm:f>'DATOS INICIALES'!$A$13:$A$44</xm:f>
          </x14:formula1>
          <xm:sqref>D31:I31</xm:sqref>
        </x14:dataValidation>
        <x14:dataValidation type="list" allowBlank="1" showInputMessage="1" showErrorMessage="1" xr:uid="{00000000-0002-0000-0200-000004000000}">
          <x14:formula1>
            <xm:f>'DATOS INICIALES'!$D$22:$D$26</xm:f>
          </x14:formula1>
          <xm:sqref>M47:M55</xm:sqref>
        </x14:dataValidation>
        <x14:dataValidation type="list" allowBlank="1" showInputMessage="1" showErrorMessage="1" xr:uid="{00000000-0002-0000-0200-000005000000}">
          <x14:formula1>
            <xm:f>'DATOS INICIALES'!$A$57:$A$62</xm:f>
          </x14:formula1>
          <xm:sqref>D23:I23</xm:sqref>
        </x14:dataValidation>
        <x14:dataValidation type="list" allowBlank="1" showInputMessage="1" showErrorMessage="1" xr:uid="{00000000-0002-0000-0200-000006000000}">
          <x14:formula1>
            <xm:f>'DATOS INICIALES'!$A$53:$A$55</xm:f>
          </x14:formula1>
          <xm:sqref>D46:J46 D56:I58 D59:J65 J56:J57</xm:sqref>
        </x14:dataValidation>
        <x14:dataValidation type="list" allowBlank="1" showInputMessage="1" showErrorMessage="1" xr:uid="{00000000-0002-0000-0200-000007000000}">
          <x14:formula1>
            <xm:f>'DATOS INICIALES'!$C$48:$C$49</xm:f>
          </x14:formula1>
          <xm:sqref>J47:J52 D47:I54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47"/>
  <sheetViews>
    <sheetView zoomScale="55" zoomScaleNormal="55" workbookViewId="0">
      <pane ySplit="12" topLeftCell="A31" activePane="bottomLeft" state="frozen"/>
      <selection activeCell="E20" sqref="E20"/>
      <selection pane="bottomLeft" activeCell="H18" sqref="H18"/>
    </sheetView>
  </sheetViews>
  <sheetFormatPr baseColWidth="10" defaultColWidth="11.5" defaultRowHeight="15" x14ac:dyDescent="0.2"/>
  <cols>
    <col min="1" max="1" width="4.1640625" style="16" customWidth="1"/>
    <col min="2" max="2" width="26.83203125" style="16" customWidth="1"/>
    <col min="3" max="3" width="26.6640625" style="16" customWidth="1"/>
    <col min="4" max="4" width="7.83203125" style="38" customWidth="1"/>
    <col min="5" max="5" width="12" style="66" customWidth="1"/>
    <col min="6" max="6" width="29.83203125" style="16" customWidth="1"/>
    <col min="7" max="7" width="26.33203125" style="16" customWidth="1"/>
    <col min="8" max="8" width="26.5" style="16" customWidth="1"/>
    <col min="9" max="9" width="23.5" style="16" customWidth="1"/>
    <col min="10" max="10" width="24.6640625" style="16" customWidth="1"/>
    <col min="11" max="11" width="20.33203125" style="16" customWidth="1"/>
    <col min="12" max="12" width="16.5" style="16" customWidth="1"/>
    <col min="13" max="13" width="16.5" style="16" bestFit="1" customWidth="1"/>
    <col min="14" max="14" width="16.5" style="16" customWidth="1"/>
    <col min="15" max="15" width="18.6640625" style="16" customWidth="1"/>
    <col min="16" max="16" width="16.33203125" style="16" customWidth="1"/>
    <col min="17" max="17" width="16.5" style="16" customWidth="1"/>
    <col min="18" max="18" width="48.5" style="16" customWidth="1"/>
    <col min="19" max="16384" width="11.5" style="16"/>
  </cols>
  <sheetData>
    <row r="1" spans="1:18" x14ac:dyDescent="0.2">
      <c r="A1" s="25"/>
      <c r="B1" s="89"/>
      <c r="C1" s="89"/>
      <c r="D1" s="89"/>
      <c r="E1" s="89"/>
      <c r="F1" s="89"/>
      <c r="G1" s="89"/>
      <c r="H1" s="89"/>
      <c r="I1" s="89"/>
      <c r="J1" s="89"/>
      <c r="K1" s="89"/>
      <c r="L1" s="89"/>
      <c r="M1" s="89"/>
      <c r="N1" s="89"/>
      <c r="O1" s="89"/>
      <c r="P1" s="89"/>
      <c r="Q1" s="25"/>
      <c r="R1" s="25"/>
    </row>
    <row r="2" spans="1:18" ht="19" x14ac:dyDescent="0.25">
      <c r="A2" s="336" t="s">
        <v>21</v>
      </c>
      <c r="B2" s="336"/>
      <c r="C2" s="336"/>
      <c r="D2" s="336"/>
      <c r="E2" s="336"/>
      <c r="F2" s="336"/>
      <c r="G2" s="336"/>
      <c r="H2" s="336"/>
      <c r="I2" s="336"/>
      <c r="J2" s="336"/>
      <c r="K2" s="336"/>
      <c r="L2" s="336"/>
      <c r="M2" s="336"/>
      <c r="N2" s="336"/>
      <c r="O2" s="336"/>
      <c r="P2" s="336"/>
      <c r="Q2" s="336"/>
      <c r="R2" s="336"/>
    </row>
    <row r="3" spans="1:18" x14ac:dyDescent="0.2">
      <c r="A3" s="239"/>
      <c r="B3" s="239"/>
      <c r="C3" s="239"/>
      <c r="D3" s="239"/>
      <c r="E3" s="239"/>
      <c r="F3" s="239"/>
      <c r="G3" s="239"/>
      <c r="H3" s="239"/>
      <c r="I3" s="239"/>
      <c r="J3" s="239"/>
      <c r="K3" s="239"/>
      <c r="L3" s="239"/>
      <c r="M3" s="239"/>
      <c r="N3" s="239"/>
      <c r="O3" s="239"/>
      <c r="P3" s="239"/>
      <c r="Q3" s="239"/>
      <c r="R3" s="239"/>
    </row>
    <row r="4" spans="1:18" ht="19" x14ac:dyDescent="0.25">
      <c r="A4" s="336" t="str">
        <f>'DATOS INICIALES'!G4</f>
        <v xml:space="preserve">FDLUSA-LP-002-2024 </v>
      </c>
      <c r="B4" s="336"/>
      <c r="C4" s="336"/>
      <c r="D4" s="336"/>
      <c r="E4" s="336"/>
      <c r="F4" s="336"/>
      <c r="G4" s="336"/>
      <c r="H4" s="336"/>
      <c r="I4" s="336"/>
      <c r="J4" s="336"/>
      <c r="K4" s="336"/>
      <c r="L4" s="336"/>
      <c r="M4" s="336"/>
      <c r="N4" s="336"/>
      <c r="O4" s="336"/>
      <c r="P4" s="336"/>
      <c r="Q4" s="336"/>
      <c r="R4" s="336"/>
    </row>
    <row r="5" spans="1:18" x14ac:dyDescent="0.2">
      <c r="A5" s="239"/>
      <c r="B5" s="239"/>
      <c r="C5" s="239"/>
      <c r="D5" s="239"/>
      <c r="E5" s="239"/>
      <c r="F5" s="239"/>
      <c r="G5" s="239"/>
      <c r="H5" s="239"/>
      <c r="I5" s="239"/>
      <c r="J5" s="239"/>
      <c r="K5" s="239"/>
      <c r="L5" s="239"/>
      <c r="M5" s="239"/>
      <c r="N5" s="239"/>
      <c r="O5" s="239"/>
      <c r="P5" s="239"/>
      <c r="Q5" s="239"/>
      <c r="R5" s="239"/>
    </row>
    <row r="6" spans="1:18" x14ac:dyDescent="0.2">
      <c r="A6" s="332" t="s">
        <v>30</v>
      </c>
      <c r="B6" s="332"/>
      <c r="C6" s="64" t="s">
        <v>52</v>
      </c>
      <c r="D6" s="333" t="s">
        <v>68</v>
      </c>
      <c r="E6" s="333"/>
      <c r="F6" s="333"/>
      <c r="G6" s="88">
        <v>44498</v>
      </c>
      <c r="H6" s="337"/>
      <c r="I6" s="337"/>
      <c r="J6" s="337"/>
      <c r="K6" s="337"/>
      <c r="L6" s="337"/>
      <c r="M6" s="337"/>
      <c r="N6" s="337"/>
      <c r="O6" s="337"/>
      <c r="P6" s="337"/>
      <c r="Q6" s="337"/>
      <c r="R6" s="337"/>
    </row>
    <row r="7" spans="1:18" x14ac:dyDescent="0.2">
      <c r="A7" s="339" t="s">
        <v>87</v>
      </c>
      <c r="B7" s="339"/>
      <c r="C7" s="339"/>
      <c r="D7" s="339"/>
      <c r="E7" s="339"/>
      <c r="F7" s="339"/>
      <c r="G7" s="339"/>
      <c r="H7" s="339"/>
      <c r="I7" s="339"/>
      <c r="J7" s="339"/>
      <c r="K7" s="339"/>
      <c r="L7" s="339"/>
      <c r="M7" s="339"/>
      <c r="N7" s="339"/>
      <c r="O7" s="339"/>
      <c r="P7" s="339"/>
      <c r="Q7" s="339"/>
      <c r="R7" s="339"/>
    </row>
    <row r="8" spans="1:18" ht="36" customHeight="1" x14ac:dyDescent="0.2">
      <c r="A8" s="334" t="s">
        <v>22</v>
      </c>
      <c r="B8" s="334"/>
      <c r="C8" s="34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40"/>
      <c r="E8" s="340"/>
      <c r="F8" s="340"/>
      <c r="G8" s="340"/>
      <c r="H8" s="340"/>
      <c r="I8" s="340"/>
      <c r="J8" s="340"/>
      <c r="K8" s="340"/>
      <c r="L8" s="340"/>
      <c r="M8" s="340"/>
      <c r="N8" s="340"/>
      <c r="O8" s="340"/>
      <c r="P8" s="340"/>
      <c r="Q8" s="340"/>
      <c r="R8" s="340"/>
    </row>
    <row r="9" spans="1:18" x14ac:dyDescent="0.2">
      <c r="A9" s="334" t="s">
        <v>66</v>
      </c>
      <c r="B9" s="334"/>
      <c r="C9" s="338">
        <f>+'DATOS INICIALES'!C6</f>
        <v>0</v>
      </c>
      <c r="D9" s="338"/>
      <c r="E9" s="338"/>
      <c r="F9" s="60" t="s">
        <v>93</v>
      </c>
      <c r="G9" s="62">
        <v>4</v>
      </c>
      <c r="H9" s="338"/>
      <c r="I9" s="338"/>
      <c r="J9" s="338"/>
      <c r="K9" s="338"/>
      <c r="L9" s="338"/>
      <c r="M9" s="338"/>
      <c r="N9" s="338"/>
      <c r="O9" s="338"/>
      <c r="P9" s="338"/>
      <c r="Q9" s="338"/>
      <c r="R9" s="338"/>
    </row>
    <row r="10" spans="1:18" x14ac:dyDescent="0.2">
      <c r="A10" s="334" t="s">
        <v>67</v>
      </c>
      <c r="B10" s="334"/>
      <c r="C10" s="335">
        <f>C9/'DATOS INICIALES'!B44</f>
        <v>0</v>
      </c>
      <c r="D10" s="335"/>
      <c r="E10" s="335"/>
      <c r="F10" s="61" t="s">
        <v>94</v>
      </c>
      <c r="G10" s="63">
        <v>0</v>
      </c>
      <c r="H10" s="335"/>
      <c r="I10" s="335"/>
      <c r="J10" s="335"/>
      <c r="K10" s="335"/>
      <c r="L10" s="335"/>
      <c r="M10" s="335"/>
      <c r="N10" s="335"/>
      <c r="O10" s="335"/>
      <c r="P10" s="335"/>
      <c r="Q10" s="335"/>
      <c r="R10" s="335"/>
    </row>
    <row r="11" spans="1:18" ht="9" customHeight="1" x14ac:dyDescent="0.2">
      <c r="E11" s="38"/>
    </row>
    <row r="12" spans="1:18" ht="81" thickBot="1" x14ac:dyDescent="0.25">
      <c r="A12" s="43" t="s">
        <v>79</v>
      </c>
      <c r="B12" s="43" t="s">
        <v>23</v>
      </c>
      <c r="C12" s="43" t="s">
        <v>59</v>
      </c>
      <c r="D12" s="43" t="s">
        <v>80</v>
      </c>
      <c r="E12" s="43" t="s">
        <v>104</v>
      </c>
      <c r="F12" s="43" t="s">
        <v>98</v>
      </c>
      <c r="G12" s="43" t="s">
        <v>96</v>
      </c>
      <c r="H12" s="43" t="s">
        <v>97</v>
      </c>
      <c r="I12" s="43" t="s">
        <v>99</v>
      </c>
      <c r="J12" s="43" t="s">
        <v>100</v>
      </c>
      <c r="K12" s="43" t="s">
        <v>101</v>
      </c>
      <c r="L12" s="43" t="s">
        <v>102</v>
      </c>
      <c r="M12" s="43" t="s">
        <v>103</v>
      </c>
      <c r="N12" s="43" t="s">
        <v>105</v>
      </c>
      <c r="O12" s="43" t="s">
        <v>85</v>
      </c>
      <c r="P12" s="43" t="s">
        <v>86</v>
      </c>
      <c r="Q12" s="43" t="s">
        <v>106</v>
      </c>
      <c r="R12" s="43" t="s">
        <v>72</v>
      </c>
    </row>
    <row r="13" spans="1:18" ht="16" x14ac:dyDescent="0.2">
      <c r="A13" s="321">
        <v>1</v>
      </c>
      <c r="B13" s="324" t="str">
        <f>+PROPONENTES!B10</f>
        <v>CONSORCIO EL TAMBILLO</v>
      </c>
      <c r="C13" s="44" t="str">
        <f>IF(VLOOKUP(B13,PROPONENTES!$B$10:$N$16,2,FALSE)="","",VLOOKUP(B13,PROPONENTES!$B$10:$N$16,2,FALSE))</f>
        <v xml:space="preserve">ISAIAS VARGAS GONZALEZ </v>
      </c>
      <c r="D13" s="45">
        <f>VLOOKUP(B13,PROPONENTES!$B$10:$N$16,3,FALSE)</f>
        <v>0.5</v>
      </c>
      <c r="E13" s="108" t="s">
        <v>13</v>
      </c>
      <c r="F13" s="109" t="s">
        <v>14</v>
      </c>
      <c r="G13" s="109" t="s">
        <v>13</v>
      </c>
      <c r="H13" s="110" t="s">
        <v>13</v>
      </c>
      <c r="I13" s="109" t="s">
        <v>13</v>
      </c>
      <c r="J13" s="111" t="s">
        <v>12</v>
      </c>
      <c r="K13" s="111" t="s">
        <v>13</v>
      </c>
      <c r="L13" s="111" t="s">
        <v>13</v>
      </c>
      <c r="M13" s="112" t="s">
        <v>13</v>
      </c>
      <c r="N13" s="44" t="str">
        <f t="shared" ref="N13:N47" si="0">IF(C13="","N/A",IF(AND(OR(E13="CUMPLE",E13="N/A"),OR(F13="CUMPLE",F13="N/A"),OR(G13="CUMPLE",G13="N/A"),OR(H13="CUMPLE",H13="N/A"),OR(I13="CUMPLE",I13="N/A"),OR(J13="CUMPLE",J13="N/A"),OR(K13="CUMPLE",K13="N/A"),OR(L13="CUMPLE",L13="N/A"),OR(M13="CUMPLE",M13="N/A")),"CUMPLE","NO CUMPLE"))</f>
        <v>NO CUMPLE</v>
      </c>
      <c r="O13" s="326" t="e">
        <f>+'K RESIDUAL CALCULO'!N13</f>
        <v>#DIV/0!</v>
      </c>
      <c r="P13" s="327">
        <f>IF($G$9&lt;=12,$C$9-$G$10*$C$9,(($C$9-$G$10)/$G$9)*12)</f>
        <v>0</v>
      </c>
      <c r="Q13" s="330" t="e">
        <f>IF(AND(O13&gt;=P13,OR(N13="CUMPLE",N13="N/A"),OR(N14="CUMPLE",N14="N/A"),OR(N15="CUMPLE",N15="N/A"),OR(N16="CUMPLE",N16="N/A")*OR(N17="CUMPLE",N17="N/A")),"CUMPLE","NO CUMPLE")</f>
        <v>#DIV/0!</v>
      </c>
      <c r="R13" s="320"/>
    </row>
    <row r="14" spans="1:18" ht="16" x14ac:dyDescent="0.2">
      <c r="A14" s="322"/>
      <c r="B14" s="239"/>
      <c r="C14" s="25" t="str">
        <f>IF(VLOOKUP(B13,PROPONENTES!$B$10:$N$16,4,FALSE)="","",VLOOKUP(B13,PROPONENTES!$B$10:$N$16,4,FALSE))</f>
        <v xml:space="preserve">V &amp; M INGENIERIA S.A.S. </v>
      </c>
      <c r="D14" s="37">
        <f>VLOOKUP(B13,PROPONENTES!$B$10:$N$16,5,FALSE)</f>
        <v>0.5</v>
      </c>
      <c r="E14" s="113" t="s">
        <v>13</v>
      </c>
      <c r="F14" s="114" t="s">
        <v>14</v>
      </c>
      <c r="G14" s="114" t="s">
        <v>13</v>
      </c>
      <c r="H14" s="115" t="s">
        <v>13</v>
      </c>
      <c r="I14" s="114" t="s">
        <v>13</v>
      </c>
      <c r="J14" s="116" t="s">
        <v>12</v>
      </c>
      <c r="K14" s="116" t="s">
        <v>13</v>
      </c>
      <c r="L14" s="116" t="s">
        <v>13</v>
      </c>
      <c r="M14" s="114" t="s">
        <v>13</v>
      </c>
      <c r="N14" s="25" t="str">
        <f t="shared" si="0"/>
        <v>NO CUMPLE</v>
      </c>
      <c r="O14" s="239"/>
      <c r="P14" s="328"/>
      <c r="Q14" s="265"/>
      <c r="R14" s="318"/>
    </row>
    <row r="15" spans="1:18" ht="16" x14ac:dyDescent="0.2">
      <c r="A15" s="322"/>
      <c r="B15" s="239"/>
      <c r="C15" s="25" t="str">
        <f>IF(VLOOKUP(B13,PROPONENTES!$B$10:$N$16,6,FALSE)="","",VLOOKUP(B13,PROPONENTES!$B$10:$N$16,6,FALSE))</f>
        <v/>
      </c>
      <c r="D15" s="37">
        <f>VLOOKUP(B13,PROPONENTES!$B$10:$N$16,7,FALSE)</f>
        <v>0</v>
      </c>
      <c r="E15" s="113"/>
      <c r="F15" s="114"/>
      <c r="G15" s="114"/>
      <c r="H15" s="115"/>
      <c r="I15" s="114"/>
      <c r="J15" s="116"/>
      <c r="K15" s="116"/>
      <c r="L15" s="116"/>
      <c r="M15" s="114"/>
      <c r="N15" s="25" t="str">
        <f t="shared" si="0"/>
        <v>N/A</v>
      </c>
      <c r="O15" s="239"/>
      <c r="P15" s="328"/>
      <c r="Q15" s="265"/>
      <c r="R15" s="318"/>
    </row>
    <row r="16" spans="1:18" ht="16" x14ac:dyDescent="0.2">
      <c r="A16" s="322"/>
      <c r="B16" s="239"/>
      <c r="C16" s="25" t="str">
        <f>IF(VLOOKUP(B13,PROPONENTES!$B$10:$N$16,8,FALSE)="","",VLOOKUP(B13,PROPONENTES!$B$10:$N$16,8,FALSE))</f>
        <v/>
      </c>
      <c r="D16" s="37">
        <f>VLOOKUP(B13,PROPONENTES!$B$10:$N$16,9,FALSE)</f>
        <v>0</v>
      </c>
      <c r="E16" s="113"/>
      <c r="F16" s="113"/>
      <c r="G16" s="113"/>
      <c r="H16" s="113"/>
      <c r="I16" s="113"/>
      <c r="J16" s="113"/>
      <c r="K16" s="113"/>
      <c r="L16" s="113"/>
      <c r="M16" s="113"/>
      <c r="N16" s="25" t="str">
        <f t="shared" si="0"/>
        <v>N/A</v>
      </c>
      <c r="O16" s="239"/>
      <c r="P16" s="328"/>
      <c r="Q16" s="265"/>
      <c r="R16" s="318"/>
    </row>
    <row r="17" spans="1:18" ht="17" thickBot="1" x14ac:dyDescent="0.25">
      <c r="A17" s="323"/>
      <c r="B17" s="325"/>
      <c r="C17" s="49" t="str">
        <f>IF(VLOOKUP(B13,PROPONENTES!$B$10:$N$16,8,FALSE)="","",VLOOKUP(B13,PROPONENTES!$B$10:$N$16,10,FALSE))</f>
        <v/>
      </c>
      <c r="D17" s="50">
        <f>VLOOKUP(B13,PROPONENTES!$B$10:$N$16,11,FALSE)</f>
        <v>0</v>
      </c>
      <c r="E17" s="117"/>
      <c r="F17" s="117"/>
      <c r="G17" s="117"/>
      <c r="H17" s="117"/>
      <c r="I17" s="117"/>
      <c r="J17" s="117"/>
      <c r="K17" s="117"/>
      <c r="L17" s="117"/>
      <c r="M17" s="117"/>
      <c r="N17" s="49" t="str">
        <f t="shared" si="0"/>
        <v>N/A</v>
      </c>
      <c r="O17" s="325"/>
      <c r="P17" s="329"/>
      <c r="Q17" s="331"/>
      <c r="R17" s="319"/>
    </row>
    <row r="18" spans="1:18" ht="66" customHeight="1" x14ac:dyDescent="0.2">
      <c r="A18" s="321">
        <v>2</v>
      </c>
      <c r="B18" s="324" t="str">
        <f>+PROPONENTES!B11</f>
        <v>UNION TEMPORAL VIAL USAQUN 2024</v>
      </c>
      <c r="C18" s="44" t="str">
        <f>IF(VLOOKUP(B18,PROPONENTES!$B$10:$N$16,2,FALSE)="","",VLOOKUP(B18,PROPONENTES!$B$10:$N$16,2,FALSE))</f>
        <v>ASFALTEMOS SAS</v>
      </c>
      <c r="D18" s="45">
        <f>VLOOKUP(B18,PROPONENTES!$B$10:$N$16,3,FALSE)</f>
        <v>0.9</v>
      </c>
      <c r="E18" s="108" t="s">
        <v>13</v>
      </c>
      <c r="F18" s="109" t="s">
        <v>12</v>
      </c>
      <c r="G18" s="109" t="s">
        <v>14</v>
      </c>
      <c r="H18" s="110" t="s">
        <v>14</v>
      </c>
      <c r="I18" s="109" t="s">
        <v>14</v>
      </c>
      <c r="J18" s="111" t="s">
        <v>12</v>
      </c>
      <c r="K18" s="111" t="s">
        <v>13</v>
      </c>
      <c r="L18" s="111" t="s">
        <v>13</v>
      </c>
      <c r="M18" s="112" t="s">
        <v>14</v>
      </c>
      <c r="N18" s="44" t="str">
        <f t="shared" si="0"/>
        <v>NO CUMPLE</v>
      </c>
      <c r="O18" s="326" t="e">
        <f>+'K RESIDUAL CALCULO'!N18</f>
        <v>#DIV/0!</v>
      </c>
      <c r="P18" s="327">
        <f t="shared" ref="P18" si="1">IF($G$9&lt;=12,$C$9-$G$10*$C$9,(($C$9-$G$10)/$G$9)*12)</f>
        <v>0</v>
      </c>
      <c r="Q18" s="330" t="e">
        <f t="shared" ref="Q18" si="2">IF(AND(O18&gt;=P18,OR(N18="CUMPLE",N18="N/A"),OR(N19="CUMPLE",N19="N/A"),OR(N20="CUMPLE",N20="N/A"),OR(N21="CUMPLE",N21="N/A")*OR(N22="CUMPLE",N22="N/A")),"CUMPLE","NO CUMPLE")</f>
        <v>#DIV/0!</v>
      </c>
      <c r="R18" s="317" t="s">
        <v>130</v>
      </c>
    </row>
    <row r="19" spans="1:18" ht="66" customHeight="1" x14ac:dyDescent="0.2">
      <c r="A19" s="322"/>
      <c r="B19" s="239"/>
      <c r="C19" s="25" t="str">
        <f>IF(VLOOKUP(B18,PROPONENTES!$B$10:$N$16,4,FALSE)="","",VLOOKUP(B18,PROPONENTES!$B$10:$N$16,4,FALSE))</f>
        <v xml:space="preserve">AGREGADOS MARTÍNEZ SAS </v>
      </c>
      <c r="D19" s="37">
        <f>VLOOKUP(B18,PROPONENTES!$B$10:$N$16,5,FALSE)</f>
        <v>0.1</v>
      </c>
      <c r="E19" s="113"/>
      <c r="F19" s="114"/>
      <c r="G19" s="114"/>
      <c r="H19" s="115"/>
      <c r="I19" s="114"/>
      <c r="J19" s="116"/>
      <c r="K19" s="116"/>
      <c r="L19" s="116"/>
      <c r="M19" s="114"/>
      <c r="N19" s="25" t="str">
        <f t="shared" si="0"/>
        <v>NO CUMPLE</v>
      </c>
      <c r="O19" s="239"/>
      <c r="P19" s="328"/>
      <c r="Q19" s="265"/>
      <c r="R19" s="318"/>
    </row>
    <row r="20" spans="1:18" ht="66" customHeight="1" x14ac:dyDescent="0.2">
      <c r="A20" s="322"/>
      <c r="B20" s="239"/>
      <c r="C20" s="25" t="str">
        <f>IF(VLOOKUP(B18,PROPONENTES!$B$10:$N$16,6,FALSE)="","",VLOOKUP(B18,PROPONENTES!$B$10:$N$16,6,FALSE))</f>
        <v/>
      </c>
      <c r="D20" s="37">
        <f>VLOOKUP(B18,PROPONENTES!$B$10:$N$16,7,FALSE)</f>
        <v>0</v>
      </c>
      <c r="E20" s="113"/>
      <c r="F20" s="114"/>
      <c r="G20" s="114"/>
      <c r="H20" s="115"/>
      <c r="I20" s="114"/>
      <c r="J20" s="116"/>
      <c r="K20" s="116"/>
      <c r="L20" s="116"/>
      <c r="M20" s="114"/>
      <c r="N20" s="25" t="str">
        <f t="shared" si="0"/>
        <v>N/A</v>
      </c>
      <c r="O20" s="239"/>
      <c r="P20" s="328"/>
      <c r="Q20" s="265"/>
      <c r="R20" s="318"/>
    </row>
    <row r="21" spans="1:18" ht="66" customHeight="1" x14ac:dyDescent="0.2">
      <c r="A21" s="322"/>
      <c r="B21" s="239"/>
      <c r="C21" s="25" t="str">
        <f>IF(VLOOKUP(B18,PROPONENTES!$B$10:$N$16,8,FALSE)="","",VLOOKUP(B18,PROPONENTES!$B$10:$N$16,8,FALSE))</f>
        <v/>
      </c>
      <c r="D21" s="37">
        <f>VLOOKUP(B18,PROPONENTES!$B$10:$N$16,9,FALSE)</f>
        <v>0</v>
      </c>
      <c r="E21" s="113"/>
      <c r="F21" s="113"/>
      <c r="G21" s="113"/>
      <c r="H21" s="113"/>
      <c r="I21" s="113"/>
      <c r="J21" s="113"/>
      <c r="K21" s="113"/>
      <c r="L21" s="113"/>
      <c r="M21" s="113"/>
      <c r="N21" s="25" t="str">
        <f t="shared" si="0"/>
        <v>N/A</v>
      </c>
      <c r="O21" s="239"/>
      <c r="P21" s="328"/>
      <c r="Q21" s="265"/>
      <c r="R21" s="318"/>
    </row>
    <row r="22" spans="1:18" ht="66" customHeight="1" thickBot="1" x14ac:dyDescent="0.25">
      <c r="A22" s="323"/>
      <c r="B22" s="325"/>
      <c r="C22" s="49" t="str">
        <f>IF(VLOOKUP(B18,PROPONENTES!$B$10:$N$16,8,FALSE)="","",VLOOKUP(B18,PROPONENTES!$B$10:$N$16,10,FALSE))</f>
        <v/>
      </c>
      <c r="D22" s="50">
        <f>VLOOKUP(B18,PROPONENTES!$B$10:$N$16,11,FALSE)</f>
        <v>0</v>
      </c>
      <c r="E22" s="117"/>
      <c r="F22" s="117"/>
      <c r="G22" s="117"/>
      <c r="H22" s="117"/>
      <c r="I22" s="117"/>
      <c r="J22" s="117"/>
      <c r="K22" s="117"/>
      <c r="L22" s="117"/>
      <c r="M22" s="117"/>
      <c r="N22" s="49" t="str">
        <f t="shared" si="0"/>
        <v>N/A</v>
      </c>
      <c r="O22" s="325"/>
      <c r="P22" s="329"/>
      <c r="Q22" s="331"/>
      <c r="R22" s="319"/>
    </row>
    <row r="23" spans="1:18" ht="56.25" customHeight="1" x14ac:dyDescent="0.2">
      <c r="A23" s="321">
        <v>3</v>
      </c>
      <c r="B23" s="324" t="str">
        <f>+PROPONENTES!B12</f>
        <v>CONSORCIO CCU</v>
      </c>
      <c r="C23" s="44" t="str">
        <f>IF(VLOOKUP(B23,PROPONENTES!$B$10:$N$16,2,FALSE)="","",VLOOKUP(B23,PROPONENTES!$B$10:$N$16,2,FALSE))</f>
        <v>CLAUDIA STELLA CARVAJAL PINEDA</v>
      </c>
      <c r="D23" s="45">
        <f>VLOOKUP(B23,PROPONENTES!$B$10:$N$16,3,FALSE)</f>
        <v>0.4</v>
      </c>
      <c r="E23" s="108" t="s">
        <v>13</v>
      </c>
      <c r="F23" s="109" t="s">
        <v>12</v>
      </c>
      <c r="G23" s="109" t="s">
        <v>14</v>
      </c>
      <c r="H23" s="110" t="s">
        <v>14</v>
      </c>
      <c r="I23" s="109" t="s">
        <v>14</v>
      </c>
      <c r="J23" s="111" t="s">
        <v>12</v>
      </c>
      <c r="K23" s="111" t="s">
        <v>13</v>
      </c>
      <c r="L23" s="111" t="s">
        <v>13</v>
      </c>
      <c r="M23" s="112" t="s">
        <v>13</v>
      </c>
      <c r="N23" s="44" t="str">
        <f t="shared" si="0"/>
        <v>NO CUMPLE</v>
      </c>
      <c r="O23" s="326" t="e">
        <f>+'K RESIDUAL CALCULO'!N23</f>
        <v>#DIV/0!</v>
      </c>
      <c r="P23" s="327">
        <f t="shared" ref="P23" si="3">IF($G$9&lt;=12,$C$9-$G$10*$C$9,(($C$9-$G$10)/$G$9)*12)</f>
        <v>0</v>
      </c>
      <c r="Q23" s="330" t="e">
        <f t="shared" ref="Q23" si="4">IF(AND(O23&gt;=P23,OR(N23="CUMPLE",N23="N/A"),OR(N24="CUMPLE",N24="N/A"),OR(N25="CUMPLE",N25="N/A"),OR(N26="CUMPLE",N26="N/A")*OR(N27="CUMPLE",N27="N/A")),"CUMPLE","NO CUMPLE")</f>
        <v>#DIV/0!</v>
      </c>
      <c r="R23" s="317" t="s">
        <v>131</v>
      </c>
    </row>
    <row r="24" spans="1:18" ht="56.25" customHeight="1" x14ac:dyDescent="0.2">
      <c r="A24" s="322"/>
      <c r="B24" s="239"/>
      <c r="C24" s="25" t="str">
        <f>IF(VLOOKUP(B23,PROPONENTES!$B$10:$N$16,4,FALSE)="","",VLOOKUP(B23,PROPONENTES!$B$10:$N$16,4,FALSE))</f>
        <v>C.C.P INGENIEROS S.A.S</v>
      </c>
      <c r="D24" s="37">
        <f>VLOOKUP(B23,PROPONENTES!$B$10:$N$16,5,FALSE)</f>
        <v>0.6</v>
      </c>
      <c r="E24" s="113"/>
      <c r="F24" s="114"/>
      <c r="G24" s="114"/>
      <c r="H24" s="115"/>
      <c r="I24" s="114"/>
      <c r="J24" s="116"/>
      <c r="K24" s="116"/>
      <c r="L24" s="116"/>
      <c r="M24" s="114"/>
      <c r="N24" s="25" t="str">
        <f t="shared" si="0"/>
        <v>NO CUMPLE</v>
      </c>
      <c r="O24" s="239"/>
      <c r="P24" s="328"/>
      <c r="Q24" s="265"/>
      <c r="R24" s="318"/>
    </row>
    <row r="25" spans="1:18" ht="56.25" customHeight="1" x14ac:dyDescent="0.2">
      <c r="A25" s="322"/>
      <c r="B25" s="239"/>
      <c r="C25" s="25" t="str">
        <f>IF(VLOOKUP(B23,PROPONENTES!$B$10:$N$16,6,FALSE)="","",VLOOKUP(B23,PROPONENTES!$B$10:$N$16,6,FALSE))</f>
        <v/>
      </c>
      <c r="D25" s="37">
        <f>VLOOKUP(B23,PROPONENTES!$B$10:$N$16,7,FALSE)</f>
        <v>0</v>
      </c>
      <c r="E25" s="113"/>
      <c r="F25" s="114"/>
      <c r="G25" s="114"/>
      <c r="H25" s="115"/>
      <c r="I25" s="114"/>
      <c r="J25" s="116"/>
      <c r="K25" s="116"/>
      <c r="L25" s="116"/>
      <c r="M25" s="114"/>
      <c r="N25" s="25" t="str">
        <f t="shared" si="0"/>
        <v>N/A</v>
      </c>
      <c r="O25" s="239"/>
      <c r="P25" s="328"/>
      <c r="Q25" s="265"/>
      <c r="R25" s="318"/>
    </row>
    <row r="26" spans="1:18" ht="56.25" customHeight="1" x14ac:dyDescent="0.2">
      <c r="A26" s="322"/>
      <c r="B26" s="239"/>
      <c r="C26" s="25" t="str">
        <f>IF(VLOOKUP(B23,PROPONENTES!$B$10:$N$16,8,FALSE)="","",VLOOKUP(B23,PROPONENTES!$B$10:$N$16,8,FALSE))</f>
        <v/>
      </c>
      <c r="D26" s="37">
        <f>VLOOKUP(B23,PROPONENTES!$B$10:$N$16,9,FALSE)</f>
        <v>0</v>
      </c>
      <c r="E26" s="113"/>
      <c r="F26" s="113"/>
      <c r="G26" s="113"/>
      <c r="H26" s="113"/>
      <c r="I26" s="113"/>
      <c r="J26" s="113"/>
      <c r="K26" s="113"/>
      <c r="L26" s="113"/>
      <c r="M26" s="113"/>
      <c r="N26" s="25" t="str">
        <f t="shared" si="0"/>
        <v>N/A</v>
      </c>
      <c r="O26" s="239"/>
      <c r="P26" s="328"/>
      <c r="Q26" s="265"/>
      <c r="R26" s="318"/>
    </row>
    <row r="27" spans="1:18" ht="56.25" customHeight="1" thickBot="1" x14ac:dyDescent="0.25">
      <c r="A27" s="323"/>
      <c r="B27" s="325"/>
      <c r="C27" s="49" t="str">
        <f>IF(VLOOKUP(B23,PROPONENTES!$B$10:$N$16,8,FALSE)="","",VLOOKUP(B23,PROPONENTES!$B$10:$N$16,10,FALSE))</f>
        <v/>
      </c>
      <c r="D27" s="50">
        <f>VLOOKUP(B23,PROPONENTES!$B$10:$N$16,11,FALSE)</f>
        <v>0</v>
      </c>
      <c r="E27" s="117"/>
      <c r="F27" s="117"/>
      <c r="G27" s="117"/>
      <c r="H27" s="117"/>
      <c r="I27" s="117"/>
      <c r="J27" s="117"/>
      <c r="K27" s="117"/>
      <c r="L27" s="117"/>
      <c r="M27" s="117"/>
      <c r="N27" s="49" t="str">
        <f t="shared" si="0"/>
        <v>N/A</v>
      </c>
      <c r="O27" s="325"/>
      <c r="P27" s="329"/>
      <c r="Q27" s="331"/>
      <c r="R27" s="319"/>
    </row>
    <row r="28" spans="1:18" ht="57" customHeight="1" x14ac:dyDescent="0.2">
      <c r="A28" s="321">
        <v>4</v>
      </c>
      <c r="B28" s="324" t="str">
        <f>+PROPONENTES!B13</f>
        <v>CONSORCIO MEB VIAL</v>
      </c>
      <c r="C28" s="44" t="str">
        <f>IF(VLOOKUP(B28,PROPONENTES!$B$10:$N$16,2,FALSE)="","",VLOOKUP(B28,PROPONENTES!$B$10:$N$16,2,FALSE))</f>
        <v>EMIRO CARLOS BARGUIL CUBILLOS</v>
      </c>
      <c r="D28" s="45">
        <f>VLOOKUP(B28,PROPONENTES!$B$10:$N$16,3,FALSE)</f>
        <v>0.1</v>
      </c>
      <c r="E28" s="108" t="s">
        <v>13</v>
      </c>
      <c r="F28" s="109" t="s">
        <v>13</v>
      </c>
      <c r="G28" s="109" t="s">
        <v>13</v>
      </c>
      <c r="H28" s="110" t="s">
        <v>13</v>
      </c>
      <c r="I28" s="109" t="s">
        <v>13</v>
      </c>
      <c r="J28" s="111" t="s">
        <v>12</v>
      </c>
      <c r="K28" s="111" t="s">
        <v>13</v>
      </c>
      <c r="L28" s="111" t="s">
        <v>13</v>
      </c>
      <c r="M28" s="112" t="s">
        <v>13</v>
      </c>
      <c r="N28" s="44" t="str">
        <f t="shared" si="0"/>
        <v>CUMPLE</v>
      </c>
      <c r="O28" s="326" t="e">
        <f>+'K RESIDUAL CALCULO'!N28</f>
        <v>#DIV/0!</v>
      </c>
      <c r="P28" s="327">
        <f t="shared" ref="P28" si="5">IF($G$9&lt;=12,$C$9-$G$10*$C$9,(($C$9-$G$10)/$G$9)*12)</f>
        <v>0</v>
      </c>
      <c r="Q28" s="330" t="e">
        <f t="shared" ref="Q28" si="6">IF(AND(O28&gt;=P28,OR(N28="CUMPLE",N28="N/A"),OR(N29="CUMPLE",N29="N/A"),OR(N30="CUMPLE",N30="N/A"),OR(N31="CUMPLE",N31="N/A")*OR(N32="CUMPLE",N32="N/A")),"CUMPLE","NO CUMPLE")</f>
        <v>#DIV/0!</v>
      </c>
      <c r="R28" s="320" t="s">
        <v>136</v>
      </c>
    </row>
    <row r="29" spans="1:18" ht="35.25" customHeight="1" x14ac:dyDescent="0.2">
      <c r="A29" s="322"/>
      <c r="B29" s="239"/>
      <c r="C29" s="25" t="str">
        <f>IF(VLOOKUP(B28,PROPONENTES!$B$10:$N$16,4,FALSE)="","",VLOOKUP(B28,PROPONENTES!$B$10:$N$16,4,FALSE))</f>
        <v>ARMAR CONSTRUCCIONES S.A.S</v>
      </c>
      <c r="D29" s="37">
        <f>VLOOKUP(B28,PROPONENTES!$B$10:$N$16,5,FALSE)</f>
        <v>0.4</v>
      </c>
      <c r="E29" s="113" t="s">
        <v>13</v>
      </c>
      <c r="F29" s="114" t="s">
        <v>13</v>
      </c>
      <c r="G29" s="114" t="s">
        <v>13</v>
      </c>
      <c r="H29" s="115" t="s">
        <v>14</v>
      </c>
      <c r="I29" s="114" t="s">
        <v>13</v>
      </c>
      <c r="J29" s="116" t="s">
        <v>12</v>
      </c>
      <c r="K29" s="116" t="s">
        <v>13</v>
      </c>
      <c r="L29" s="116" t="s">
        <v>13</v>
      </c>
      <c r="M29" s="114" t="s">
        <v>13</v>
      </c>
      <c r="N29" s="25" t="str">
        <f t="shared" si="0"/>
        <v>NO CUMPLE</v>
      </c>
      <c r="O29" s="239"/>
      <c r="P29" s="328"/>
      <c r="Q29" s="265"/>
      <c r="R29" s="318"/>
    </row>
    <row r="30" spans="1:18" ht="16" x14ac:dyDescent="0.2">
      <c r="A30" s="322"/>
      <c r="B30" s="239"/>
      <c r="C30" s="25" t="str">
        <f>IF(VLOOKUP(B28,PROPONENTES!$B$10:$N$16,6,FALSE)="","",VLOOKUP(B28,PROPONENTES!$B$10:$N$16,6,FALSE))</f>
        <v xml:space="preserve">MINATORE S.A.S </v>
      </c>
      <c r="D30" s="37">
        <f>VLOOKUP(B28,PROPONENTES!$B$10:$N$16,7,FALSE)</f>
        <v>0.5</v>
      </c>
      <c r="E30" s="113"/>
      <c r="F30" s="114"/>
      <c r="G30" s="114"/>
      <c r="H30" s="115"/>
      <c r="I30" s="114"/>
      <c r="J30" s="116"/>
      <c r="K30" s="116"/>
      <c r="L30" s="116"/>
      <c r="M30" s="114"/>
      <c r="N30" s="25" t="str">
        <f t="shared" si="0"/>
        <v>NO CUMPLE</v>
      </c>
      <c r="O30" s="239"/>
      <c r="P30" s="328"/>
      <c r="Q30" s="265"/>
      <c r="R30" s="318"/>
    </row>
    <row r="31" spans="1:18" ht="16" x14ac:dyDescent="0.2">
      <c r="A31" s="322"/>
      <c r="B31" s="239"/>
      <c r="C31" s="25" t="str">
        <f>IF(VLOOKUP(B28,PROPONENTES!$B$10:$N$16,8,FALSE)="","",VLOOKUP(B28,PROPONENTES!$B$10:$N$16,8,FALSE))</f>
        <v/>
      </c>
      <c r="D31" s="37">
        <f>VLOOKUP(B28,PROPONENTES!$B$10:$N$16,9,FALSE)</f>
        <v>0</v>
      </c>
      <c r="E31" s="113"/>
      <c r="F31" s="113"/>
      <c r="G31" s="113"/>
      <c r="H31" s="113"/>
      <c r="I31" s="113"/>
      <c r="J31" s="113"/>
      <c r="K31" s="113"/>
      <c r="L31" s="113"/>
      <c r="M31" s="113"/>
      <c r="N31" s="25" t="str">
        <f t="shared" si="0"/>
        <v>N/A</v>
      </c>
      <c r="O31" s="239"/>
      <c r="P31" s="328"/>
      <c r="Q31" s="265"/>
      <c r="R31" s="318"/>
    </row>
    <row r="32" spans="1:18" ht="17" thickBot="1" x14ac:dyDescent="0.25">
      <c r="A32" s="323"/>
      <c r="B32" s="325"/>
      <c r="C32" s="49" t="str">
        <f>IF(VLOOKUP(B28,PROPONENTES!$B$10:$N$16,8,FALSE)="","",VLOOKUP(B28,PROPONENTES!$B$10:$N$16,10,FALSE))</f>
        <v/>
      </c>
      <c r="D32" s="50">
        <f>VLOOKUP(B28,PROPONENTES!$B$10:$N$16,11,FALSE)</f>
        <v>0</v>
      </c>
      <c r="E32" s="117"/>
      <c r="F32" s="117"/>
      <c r="G32" s="117"/>
      <c r="H32" s="117"/>
      <c r="I32" s="117"/>
      <c r="J32" s="117"/>
      <c r="K32" s="117"/>
      <c r="L32" s="117"/>
      <c r="M32" s="117"/>
      <c r="N32" s="49" t="str">
        <f t="shared" si="0"/>
        <v>N/A</v>
      </c>
      <c r="O32" s="325"/>
      <c r="P32" s="329"/>
      <c r="Q32" s="331"/>
      <c r="R32" s="319"/>
    </row>
    <row r="33" spans="1:18" ht="48" customHeight="1" x14ac:dyDescent="0.2">
      <c r="A33" s="321">
        <v>5</v>
      </c>
      <c r="B33" s="324" t="str">
        <f>+PROPONENTES!B14</f>
        <v>CONSORCIO CONSERVACION DK</v>
      </c>
      <c r="C33" s="44" t="str">
        <f>IF(VLOOKUP(B33,PROPONENTES!$B$10:$N$16,2,FALSE)="","",VLOOKUP(B33,PROPONENTES!$B$10:$N$16,2,FALSE))</f>
        <v xml:space="preserve">KAP CONSTRUCCIONES SAS </v>
      </c>
      <c r="D33" s="45">
        <f>VLOOKUP(B33,PROPONENTES!$B$10:$N$16,3,FALSE)</f>
        <v>0.5</v>
      </c>
      <c r="E33" s="108" t="s">
        <v>13</v>
      </c>
      <c r="F33" s="109" t="s">
        <v>14</v>
      </c>
      <c r="G33" s="109" t="s">
        <v>14</v>
      </c>
      <c r="H33" s="109" t="s">
        <v>14</v>
      </c>
      <c r="I33" s="109" t="s">
        <v>14</v>
      </c>
      <c r="J33" s="111" t="s">
        <v>12</v>
      </c>
      <c r="K33" s="111" t="s">
        <v>14</v>
      </c>
      <c r="L33" s="111" t="s">
        <v>14</v>
      </c>
      <c r="M33" s="112" t="s">
        <v>14</v>
      </c>
      <c r="N33" s="44" t="str">
        <f t="shared" si="0"/>
        <v>NO CUMPLE</v>
      </c>
      <c r="O33" s="326" t="e">
        <f>+'K RESIDUAL CALCULO'!N33</f>
        <v>#DIV/0!</v>
      </c>
      <c r="P33" s="327">
        <f t="shared" ref="P33" si="7">IF($G$9&lt;=12,$C$9-$G$10*$C$9,(($C$9-$G$10)/$G$9)*12)</f>
        <v>0</v>
      </c>
      <c r="Q33" s="330" t="e">
        <f t="shared" ref="Q33" si="8">IF(AND(O33&gt;=P33,OR(N33="CUMPLE",N33="N/A"),OR(N34="CUMPLE",N34="N/A"),OR(N35="CUMPLE",N35="N/A"),OR(N36="CUMPLE",N36="N/A")*OR(N37="CUMPLE",N37="N/A")),"CUMPLE","NO CUMPLE")</f>
        <v>#DIV/0!</v>
      </c>
      <c r="R33" s="320" t="s">
        <v>137</v>
      </c>
    </row>
    <row r="34" spans="1:18" ht="36.75" customHeight="1" x14ac:dyDescent="0.2">
      <c r="A34" s="322"/>
      <c r="B34" s="239"/>
      <c r="C34" s="25" t="str">
        <f>IF(VLOOKUP(B33,PROPONENTES!$B$10:$N$16,4,FALSE)="","",VLOOKUP(B33,PROPONENTES!$B$10:$N$16,4,FALSE))</f>
        <v>DBD INGENIERIA SAS</v>
      </c>
      <c r="D34" s="37">
        <f>VLOOKUP(B33,PROPONENTES!$B$10:$N$16,5,FALSE)</f>
        <v>0.5</v>
      </c>
      <c r="E34" s="113" t="s">
        <v>13</v>
      </c>
      <c r="F34" s="114" t="s">
        <v>14</v>
      </c>
      <c r="G34" s="114" t="s">
        <v>14</v>
      </c>
      <c r="H34" s="115" t="s">
        <v>14</v>
      </c>
      <c r="I34" s="114" t="s">
        <v>14</v>
      </c>
      <c r="J34" s="116" t="s">
        <v>12</v>
      </c>
      <c r="K34" s="116" t="s">
        <v>14</v>
      </c>
      <c r="L34" s="116" t="s">
        <v>14</v>
      </c>
      <c r="M34" s="114" t="s">
        <v>13</v>
      </c>
      <c r="N34" s="25" t="str">
        <f t="shared" si="0"/>
        <v>NO CUMPLE</v>
      </c>
      <c r="O34" s="239"/>
      <c r="P34" s="328"/>
      <c r="Q34" s="265"/>
      <c r="R34" s="318"/>
    </row>
    <row r="35" spans="1:18" ht="16" x14ac:dyDescent="0.2">
      <c r="A35" s="322"/>
      <c r="B35" s="239"/>
      <c r="C35" s="25" t="str">
        <f>IF(VLOOKUP(B33,PROPONENTES!$B$10:$N$16,6,FALSE)="","",VLOOKUP(B33,PROPONENTES!$B$10:$N$16,6,FALSE))</f>
        <v/>
      </c>
      <c r="D35" s="37">
        <f>VLOOKUP(B33,PROPONENTES!$B$10:$N$16,7,FALSE)</f>
        <v>0</v>
      </c>
      <c r="E35" s="113"/>
      <c r="F35" s="114"/>
      <c r="G35" s="114"/>
      <c r="H35" s="115"/>
      <c r="I35" s="114"/>
      <c r="J35" s="116"/>
      <c r="K35" s="116"/>
      <c r="L35" s="116"/>
      <c r="M35" s="114"/>
      <c r="N35" s="25" t="str">
        <f t="shared" si="0"/>
        <v>N/A</v>
      </c>
      <c r="O35" s="239"/>
      <c r="P35" s="328"/>
      <c r="Q35" s="265"/>
      <c r="R35" s="318"/>
    </row>
    <row r="36" spans="1:18" ht="16" x14ac:dyDescent="0.2">
      <c r="A36" s="322"/>
      <c r="B36" s="239"/>
      <c r="C36" s="25" t="str">
        <f>IF(VLOOKUP(B33,PROPONENTES!$B$10:$N$16,8,FALSE)="","",VLOOKUP(B33,PROPONENTES!$B$10:$N$16,8,FALSE))</f>
        <v/>
      </c>
      <c r="D36" s="37">
        <f>VLOOKUP(B33,PROPONENTES!$B$10:$N$16,9,FALSE)</f>
        <v>0</v>
      </c>
      <c r="E36" s="113"/>
      <c r="F36" s="113"/>
      <c r="G36" s="113"/>
      <c r="H36" s="113"/>
      <c r="I36" s="113"/>
      <c r="J36" s="113"/>
      <c r="K36" s="113"/>
      <c r="L36" s="113"/>
      <c r="M36" s="113"/>
      <c r="N36" s="25" t="str">
        <f t="shared" si="0"/>
        <v>N/A</v>
      </c>
      <c r="O36" s="239"/>
      <c r="P36" s="328"/>
      <c r="Q36" s="265"/>
      <c r="R36" s="318"/>
    </row>
    <row r="37" spans="1:18" ht="17" thickBot="1" x14ac:dyDescent="0.25">
      <c r="A37" s="323"/>
      <c r="B37" s="325"/>
      <c r="C37" s="49" t="str">
        <f>IF(VLOOKUP(B33,PROPONENTES!$B$10:$N$16,8,FALSE)="","",VLOOKUP(B33,PROPONENTES!$B$10:$N$16,10,FALSE))</f>
        <v/>
      </c>
      <c r="D37" s="50">
        <f>VLOOKUP(B33,PROPONENTES!$B$10:$N$16,11,FALSE)</f>
        <v>0</v>
      </c>
      <c r="E37" s="117"/>
      <c r="F37" s="117"/>
      <c r="G37" s="117"/>
      <c r="H37" s="117"/>
      <c r="I37" s="117"/>
      <c r="J37" s="117"/>
      <c r="K37" s="117"/>
      <c r="L37" s="117"/>
      <c r="M37" s="117"/>
      <c r="N37" s="49" t="str">
        <f t="shared" si="0"/>
        <v>N/A</v>
      </c>
      <c r="O37" s="325"/>
      <c r="P37" s="329"/>
      <c r="Q37" s="331"/>
      <c r="R37" s="319"/>
    </row>
    <row r="38" spans="1:18" ht="60" customHeight="1" x14ac:dyDescent="0.2">
      <c r="A38" s="321">
        <v>6</v>
      </c>
      <c r="B38" s="324" t="str">
        <f>+PROPONENTES!B15</f>
        <v>CONSORCIO USAQUEN VIAL 2025</v>
      </c>
      <c r="C38" s="44" t="str">
        <f>IF(VLOOKUP(B38,PROPONENTES!$B$10:$N$16,2,FALSE)="","",VLOOKUP(B38,PROPONENTES!$B$10:$N$16,2,FALSE))</f>
        <v xml:space="preserve">CONSTRUCCIONES CORPOVIAL S.A.S </v>
      </c>
      <c r="D38" s="45">
        <f>VLOOKUP(B38,PROPONENTES!$B$10:$N$16,3,FALSE)</f>
        <v>0.5</v>
      </c>
      <c r="E38" s="108" t="s">
        <v>13</v>
      </c>
      <c r="F38" s="109" t="s">
        <v>13</v>
      </c>
      <c r="G38" s="109" t="s">
        <v>13</v>
      </c>
      <c r="H38" s="110" t="s">
        <v>13</v>
      </c>
      <c r="I38" s="109" t="s">
        <v>14</v>
      </c>
      <c r="J38" s="111" t="s">
        <v>12</v>
      </c>
      <c r="K38" s="111" t="s">
        <v>13</v>
      </c>
      <c r="L38" s="111" t="s">
        <v>13</v>
      </c>
      <c r="M38" s="112" t="s">
        <v>13</v>
      </c>
      <c r="N38" s="44" t="str">
        <f t="shared" si="0"/>
        <v>NO CUMPLE</v>
      </c>
      <c r="O38" s="326" t="e">
        <f>+'K RESIDUAL CALCULO'!N38</f>
        <v>#DIV/0!</v>
      </c>
      <c r="P38" s="327">
        <f t="shared" ref="P38" si="9">IF($G$9&lt;=12,$C$9-$G$10*$C$9,(($C$9-$G$10)/$G$9)*12)</f>
        <v>0</v>
      </c>
      <c r="Q38" s="330" t="e">
        <f t="shared" ref="Q38" si="10">IF(AND(O38&gt;=P38,OR(N38="CUMPLE",N38="N/A"),OR(N39="CUMPLE",N39="N/A"),OR(N40="CUMPLE",N40="N/A"),OR(N41="CUMPLE",N41="N/A")*OR(N42="CUMPLE",N42="N/A")),"CUMPLE","NO CUMPLE")</f>
        <v>#DIV/0!</v>
      </c>
      <c r="R38" s="320" t="s">
        <v>132</v>
      </c>
    </row>
    <row r="39" spans="1:18" ht="60" customHeight="1" x14ac:dyDescent="0.2">
      <c r="A39" s="322"/>
      <c r="B39" s="239"/>
      <c r="C39" s="25" t="str">
        <f>IF(VLOOKUP(B38,PROPONENTES!$B$10:$N$16,4,FALSE)="","",VLOOKUP(B38,PROPONENTES!$B$10:$N$16,4,FALSE))</f>
        <v>LIBERTY CONSTRUCTORA DEL CARIBE S.A.S.</v>
      </c>
      <c r="D39" s="37">
        <f>VLOOKUP(B38,PROPONENTES!$B$10:$N$16,5,FALSE)</f>
        <v>0.5</v>
      </c>
      <c r="E39" s="113"/>
      <c r="F39" s="114"/>
      <c r="G39" s="114"/>
      <c r="H39" s="115"/>
      <c r="I39" s="114"/>
      <c r="J39" s="116"/>
      <c r="K39" s="116"/>
      <c r="L39" s="116"/>
      <c r="M39" s="114"/>
      <c r="N39" s="25" t="str">
        <f t="shared" si="0"/>
        <v>NO CUMPLE</v>
      </c>
      <c r="O39" s="239"/>
      <c r="P39" s="328"/>
      <c r="Q39" s="265"/>
      <c r="R39" s="318"/>
    </row>
    <row r="40" spans="1:18" ht="60" customHeight="1" x14ac:dyDescent="0.2">
      <c r="A40" s="322"/>
      <c r="B40" s="239"/>
      <c r="C40" s="25" t="str">
        <f>IF(VLOOKUP(B38,PROPONENTES!$B$10:$N$16,6,FALSE)="","",VLOOKUP(B38,PROPONENTES!$B$10:$N$16,6,FALSE))</f>
        <v/>
      </c>
      <c r="D40" s="37">
        <f>VLOOKUP(B38,PROPONENTES!$B$10:$N$16,7,FALSE)</f>
        <v>0</v>
      </c>
      <c r="E40" s="113"/>
      <c r="F40" s="114"/>
      <c r="G40" s="114"/>
      <c r="H40" s="115"/>
      <c r="I40" s="114"/>
      <c r="J40" s="116"/>
      <c r="K40" s="116"/>
      <c r="L40" s="116"/>
      <c r="M40" s="114"/>
      <c r="N40" s="25" t="str">
        <f t="shared" si="0"/>
        <v>N/A</v>
      </c>
      <c r="O40" s="239"/>
      <c r="P40" s="328"/>
      <c r="Q40" s="265"/>
      <c r="R40" s="318"/>
    </row>
    <row r="41" spans="1:18" ht="60" customHeight="1" x14ac:dyDescent="0.2">
      <c r="A41" s="322"/>
      <c r="B41" s="239"/>
      <c r="C41" s="25" t="str">
        <f>IF(VLOOKUP(B38,PROPONENTES!$B$10:$N$16,8,FALSE)="","",VLOOKUP(B38,PROPONENTES!$B$10:$N$16,8,FALSE))</f>
        <v/>
      </c>
      <c r="D41" s="37">
        <f>VLOOKUP(B38,PROPONENTES!$B$10:$N$16,9,FALSE)</f>
        <v>0</v>
      </c>
      <c r="E41" s="113"/>
      <c r="F41" s="113"/>
      <c r="G41" s="113"/>
      <c r="H41" s="113"/>
      <c r="I41" s="113"/>
      <c r="J41" s="113"/>
      <c r="K41" s="113"/>
      <c r="L41" s="113"/>
      <c r="M41" s="113"/>
      <c r="N41" s="25" t="str">
        <f t="shared" si="0"/>
        <v>N/A</v>
      </c>
      <c r="O41" s="239"/>
      <c r="P41" s="328"/>
      <c r="Q41" s="265"/>
      <c r="R41" s="318"/>
    </row>
    <row r="42" spans="1:18" ht="60" customHeight="1" thickBot="1" x14ac:dyDescent="0.25">
      <c r="A42" s="323"/>
      <c r="B42" s="325"/>
      <c r="C42" s="49" t="str">
        <f>IF(VLOOKUP(B38,PROPONENTES!$B$10:$N$16,8,FALSE)="","",VLOOKUP(B38,PROPONENTES!$B$10:$N$16,10,FALSE))</f>
        <v/>
      </c>
      <c r="D42" s="50">
        <f>VLOOKUP(B38,PROPONENTES!$B$10:$N$16,11,FALSE)</f>
        <v>0</v>
      </c>
      <c r="E42" s="117"/>
      <c r="F42" s="117"/>
      <c r="G42" s="117"/>
      <c r="H42" s="117"/>
      <c r="I42" s="117"/>
      <c r="J42" s="117"/>
      <c r="K42" s="117"/>
      <c r="L42" s="117"/>
      <c r="M42" s="117"/>
      <c r="N42" s="49" t="str">
        <f t="shared" si="0"/>
        <v>N/A</v>
      </c>
      <c r="O42" s="325"/>
      <c r="P42" s="329"/>
      <c r="Q42" s="331"/>
      <c r="R42" s="319"/>
    </row>
    <row r="43" spans="1:18" ht="68.25" customHeight="1" x14ac:dyDescent="0.2">
      <c r="A43" s="321">
        <v>7</v>
      </c>
      <c r="B43" s="324" t="str">
        <f>+PROPONENTES!B16</f>
        <v>CONSORCIO VIAS URBANAS</v>
      </c>
      <c r="C43" s="44" t="str">
        <f>IF(VLOOKUP(B43,PROPONENTES!$B$10:$N$16,2,FALSE)="","",VLOOKUP(B43,PROPONENTES!$B$10:$N$16,2,FALSE))</f>
        <v xml:space="preserve">CONSTRUCCIONES, DISEÑOS Y OBRAS CIVILES S.A.S </v>
      </c>
      <c r="D43" s="45">
        <f>VLOOKUP(B43,PROPONENTES!$B$10:$N$16,3,FALSE)</f>
        <v>0.5</v>
      </c>
      <c r="E43" s="108" t="s">
        <v>13</v>
      </c>
      <c r="F43" s="109" t="s">
        <v>13</v>
      </c>
      <c r="G43" s="109" t="s">
        <v>13</v>
      </c>
      <c r="H43" s="110" t="s">
        <v>14</v>
      </c>
      <c r="I43" s="109" t="s">
        <v>14</v>
      </c>
      <c r="J43" s="111" t="s">
        <v>12</v>
      </c>
      <c r="K43" s="111" t="s">
        <v>13</v>
      </c>
      <c r="L43" s="111" t="s">
        <v>13</v>
      </c>
      <c r="M43" s="112" t="s">
        <v>13</v>
      </c>
      <c r="N43" s="44" t="str">
        <f t="shared" si="0"/>
        <v>NO CUMPLE</v>
      </c>
      <c r="O43" s="326" t="e">
        <f>+'K RESIDUAL CALCULO'!N43</f>
        <v>#DIV/0!</v>
      </c>
      <c r="P43" s="327">
        <f t="shared" ref="P43" si="11">IF($G$9&lt;=12,$C$9-$G$10*$C$9,(($C$9-$G$10)/$G$9)*12)</f>
        <v>0</v>
      </c>
      <c r="Q43" s="330" t="e">
        <f t="shared" ref="Q43" si="12">IF(AND(O43&gt;=P43,OR(N43="CUMPLE",N43="N/A"),OR(N44="CUMPLE",N44="N/A"),OR(N45="CUMPLE",N45="N/A"),OR(N46="CUMPLE",N46="N/A")*OR(N47="CUMPLE",N47="N/A")),"CUMPLE","NO CUMPLE")</f>
        <v>#DIV/0!</v>
      </c>
      <c r="R43" s="320" t="s">
        <v>133</v>
      </c>
    </row>
    <row r="44" spans="1:18" ht="68.25" customHeight="1" x14ac:dyDescent="0.2">
      <c r="A44" s="322"/>
      <c r="B44" s="239"/>
      <c r="C44" s="25" t="str">
        <f>IF(VLOOKUP(B43,PROPONENTES!$B$10:$N$16,4,FALSE)="","",VLOOKUP(B43,PROPONENTES!$B$10:$N$16,4,FALSE))</f>
        <v xml:space="preserve">AXECOL SAS </v>
      </c>
      <c r="D44" s="37">
        <f>VLOOKUP(B43,PROPONENTES!$B$10:$N$16,5,FALSE)</f>
        <v>0.5</v>
      </c>
      <c r="E44" s="113" t="s">
        <v>13</v>
      </c>
      <c r="F44" s="114" t="s">
        <v>13</v>
      </c>
      <c r="G44" s="114" t="s">
        <v>13</v>
      </c>
      <c r="H44" s="115" t="s">
        <v>14</v>
      </c>
      <c r="I44" s="114" t="s">
        <v>14</v>
      </c>
      <c r="J44" s="116" t="s">
        <v>12</v>
      </c>
      <c r="K44" s="116" t="s">
        <v>13</v>
      </c>
      <c r="L44" s="116" t="s">
        <v>13</v>
      </c>
      <c r="M44" s="114" t="s">
        <v>13</v>
      </c>
      <c r="N44" s="25" t="str">
        <f t="shared" si="0"/>
        <v>NO CUMPLE</v>
      </c>
      <c r="O44" s="239"/>
      <c r="P44" s="328"/>
      <c r="Q44" s="265"/>
      <c r="R44" s="318"/>
    </row>
    <row r="45" spans="1:18" ht="68.25" customHeight="1" x14ac:dyDescent="0.2">
      <c r="A45" s="322"/>
      <c r="B45" s="239"/>
      <c r="C45" s="25" t="str">
        <f>IF(VLOOKUP(B43,PROPONENTES!$B$10:$N$16,6,FALSE)="","",VLOOKUP(B43,PROPONENTES!$B$10:$N$16,6,FALSE))</f>
        <v/>
      </c>
      <c r="D45" s="37">
        <f>VLOOKUP(B43,PROPONENTES!$B$10:$N$16,7,FALSE)</f>
        <v>0</v>
      </c>
      <c r="E45" s="113"/>
      <c r="F45" s="114"/>
      <c r="G45" s="114"/>
      <c r="H45" s="115"/>
      <c r="I45" s="114"/>
      <c r="J45" s="116"/>
      <c r="K45" s="116"/>
      <c r="L45" s="116"/>
      <c r="M45" s="114"/>
      <c r="N45" s="25" t="str">
        <f t="shared" si="0"/>
        <v>N/A</v>
      </c>
      <c r="O45" s="239"/>
      <c r="P45" s="328"/>
      <c r="Q45" s="265"/>
      <c r="R45" s="318"/>
    </row>
    <row r="46" spans="1:18" ht="68.25" customHeight="1" x14ac:dyDescent="0.2">
      <c r="A46" s="322"/>
      <c r="B46" s="239"/>
      <c r="C46" s="25" t="str">
        <f>IF(VLOOKUP(B43,PROPONENTES!$B$10:$N$16,8,FALSE)="","",VLOOKUP(B43,PROPONENTES!$B$10:$N$16,8,FALSE))</f>
        <v/>
      </c>
      <c r="D46" s="37">
        <f>VLOOKUP(B43,PROPONENTES!$B$10:$N$16,9,FALSE)</f>
        <v>0</v>
      </c>
      <c r="E46" s="113"/>
      <c r="F46" s="113"/>
      <c r="G46" s="113"/>
      <c r="H46" s="113"/>
      <c r="I46" s="113"/>
      <c r="J46" s="113"/>
      <c r="K46" s="113"/>
      <c r="L46" s="113"/>
      <c r="M46" s="113"/>
      <c r="N46" s="25" t="str">
        <f t="shared" si="0"/>
        <v>N/A</v>
      </c>
      <c r="O46" s="239"/>
      <c r="P46" s="328"/>
      <c r="Q46" s="265"/>
      <c r="R46" s="318"/>
    </row>
    <row r="47" spans="1:18" ht="68.25" customHeight="1" thickBot="1" x14ac:dyDescent="0.25">
      <c r="A47" s="323"/>
      <c r="B47" s="325"/>
      <c r="C47" s="49" t="str">
        <f>IF(VLOOKUP(B43,PROPONENTES!$B$10:$N$16,8,FALSE)="","",VLOOKUP(B43,PROPONENTES!$B$10:$N$16,10,FALSE))</f>
        <v/>
      </c>
      <c r="D47" s="50">
        <f>VLOOKUP(B43,PROPONENTES!$B$10:$N$16,11,FALSE)</f>
        <v>0</v>
      </c>
      <c r="E47" s="117"/>
      <c r="F47" s="117"/>
      <c r="G47" s="117"/>
      <c r="H47" s="117"/>
      <c r="I47" s="117"/>
      <c r="J47" s="117"/>
      <c r="K47" s="117"/>
      <c r="L47" s="117"/>
      <c r="M47" s="117"/>
      <c r="N47" s="49" t="str">
        <f t="shared" si="0"/>
        <v>N/A</v>
      </c>
      <c r="O47" s="325"/>
      <c r="P47" s="329"/>
      <c r="Q47" s="331"/>
      <c r="R47" s="319"/>
    </row>
  </sheetData>
  <sheetProtection algorithmName="SHA-512" hashValue="eT0AsGeT8/Q0kz8SETKwhudraQhBiO71NegTTm1N9NKuDoLjRBbGtAgkH6C19d3irXa3GLNr+wd1qT3DUvUMlg==" saltValue="Tbf0rTb7wyQqTlrwv5I32Q==" spinCount="100000" sheet="1" objects="1" scenarios="1" formatCells="0" formatColumns="0" formatRows="0"/>
  <mergeCells count="58">
    <mergeCell ref="A6:B6"/>
    <mergeCell ref="D6:F6"/>
    <mergeCell ref="A10:B10"/>
    <mergeCell ref="C10:E10"/>
    <mergeCell ref="A2:R2"/>
    <mergeCell ref="A3:R3"/>
    <mergeCell ref="A4:R4"/>
    <mergeCell ref="A5:R5"/>
    <mergeCell ref="H6:R6"/>
    <mergeCell ref="A8:B8"/>
    <mergeCell ref="A9:B9"/>
    <mergeCell ref="C9:E9"/>
    <mergeCell ref="A7:R7"/>
    <mergeCell ref="C8:R8"/>
    <mergeCell ref="H9:R9"/>
    <mergeCell ref="H10:R10"/>
    <mergeCell ref="R13:R17"/>
    <mergeCell ref="A18:A22"/>
    <mergeCell ref="B18:B22"/>
    <mergeCell ref="O18:O22"/>
    <mergeCell ref="P18:P22"/>
    <mergeCell ref="Q18:Q22"/>
    <mergeCell ref="R18:R22"/>
    <mergeCell ref="A13:A17"/>
    <mergeCell ref="B13:B17"/>
    <mergeCell ref="O13:O17"/>
    <mergeCell ref="P13:P17"/>
    <mergeCell ref="Q13:Q17"/>
    <mergeCell ref="A23:A27"/>
    <mergeCell ref="B23:B27"/>
    <mergeCell ref="O23:O27"/>
    <mergeCell ref="P23:P27"/>
    <mergeCell ref="Q23:Q27"/>
    <mergeCell ref="A28:A32"/>
    <mergeCell ref="B28:B32"/>
    <mergeCell ref="O28:O32"/>
    <mergeCell ref="P28:P32"/>
    <mergeCell ref="Q28:Q32"/>
    <mergeCell ref="A33:A37"/>
    <mergeCell ref="B33:B37"/>
    <mergeCell ref="O33:O37"/>
    <mergeCell ref="P33:P37"/>
    <mergeCell ref="Q33:Q37"/>
    <mergeCell ref="A38:A42"/>
    <mergeCell ref="B38:B42"/>
    <mergeCell ref="O38:O42"/>
    <mergeCell ref="P38:P42"/>
    <mergeCell ref="Q38:Q42"/>
    <mergeCell ref="A43:A47"/>
    <mergeCell ref="B43:B47"/>
    <mergeCell ref="O43:O47"/>
    <mergeCell ref="P43:P47"/>
    <mergeCell ref="Q43:Q47"/>
    <mergeCell ref="R23:R27"/>
    <mergeCell ref="R28:R32"/>
    <mergeCell ref="R33:R37"/>
    <mergeCell ref="R38:R42"/>
    <mergeCell ref="R43:R47"/>
  </mergeCells>
  <conditionalFormatting sqref="Q13">
    <cfRule type="cellIs" dxfId="1474" priority="16" operator="equal">
      <formula>"CUMPLE"</formula>
    </cfRule>
    <cfRule type="cellIs" dxfId="1473" priority="17" operator="equal">
      <formula>"NO CUMPLE"</formula>
    </cfRule>
    <cfRule type="cellIs" dxfId="1472" priority="18" operator="equal">
      <formula>"""CUMPLE"""</formula>
    </cfRule>
  </conditionalFormatting>
  <conditionalFormatting sqref="Q18 Q23 Q28 Q33 Q38 Q43">
    <cfRule type="cellIs" dxfId="1471" priority="1" operator="equal">
      <formula>"CUMPLE"</formula>
    </cfRule>
    <cfRule type="cellIs" dxfId="1470" priority="2" operator="equal">
      <formula>"NO CUMPLE"</formula>
    </cfRule>
    <cfRule type="cellIs" dxfId="1469" priority="3" operator="equal">
      <formula>"""CUMPLE"""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'DATOS INICIALES'!$A$53:$A$55</xm:f>
          </x14:formula1>
          <xm:sqref>E13:M47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52"/>
  <sheetViews>
    <sheetView topLeftCell="A7" zoomScale="70" zoomScaleNormal="70" workbookViewId="0">
      <selection activeCell="E33" sqref="E33"/>
    </sheetView>
  </sheetViews>
  <sheetFormatPr baseColWidth="10" defaultColWidth="11.5" defaultRowHeight="15" x14ac:dyDescent="0.2"/>
  <cols>
    <col min="1" max="1" width="4.1640625" style="16" customWidth="1"/>
    <col min="2" max="2" width="26.83203125" style="16" customWidth="1"/>
    <col min="3" max="3" width="22.6640625" style="16" customWidth="1"/>
    <col min="4" max="4" width="12" style="38" customWidth="1"/>
    <col min="5" max="5" width="12" style="57" customWidth="1"/>
    <col min="6" max="6" width="29.83203125" style="16" customWidth="1"/>
    <col min="7" max="7" width="21.83203125" style="16" customWidth="1"/>
    <col min="8" max="8" width="26.5" style="16" customWidth="1"/>
    <col min="9" max="12" width="16.5" style="16" customWidth="1"/>
    <col min="13" max="13" width="16.5" style="16" bestFit="1" customWidth="1"/>
    <col min="14" max="14" width="19.5" style="16" customWidth="1"/>
    <col min="15" max="15" width="26.5" style="16" customWidth="1"/>
    <col min="16" max="16384" width="11.5" style="16"/>
  </cols>
  <sheetData>
    <row r="1" spans="1:16" x14ac:dyDescent="0.2">
      <c r="B1"/>
      <c r="C1"/>
      <c r="D1"/>
      <c r="E1"/>
      <c r="F1"/>
      <c r="G1"/>
      <c r="H1"/>
      <c r="I1"/>
      <c r="J1"/>
      <c r="K1"/>
      <c r="L1"/>
      <c r="M1"/>
      <c r="N1"/>
      <c r="O1"/>
    </row>
    <row r="2" spans="1:16" ht="19" x14ac:dyDescent="0.25">
      <c r="A2" s="336" t="s">
        <v>21</v>
      </c>
      <c r="B2" s="336"/>
      <c r="C2" s="336"/>
      <c r="D2" s="336"/>
      <c r="E2" s="336"/>
      <c r="F2" s="336"/>
      <c r="G2" s="336"/>
      <c r="H2" s="336"/>
      <c r="I2" s="336"/>
      <c r="J2" s="336"/>
      <c r="K2" s="336"/>
      <c r="L2" s="336"/>
      <c r="M2" s="336"/>
      <c r="N2" s="336"/>
      <c r="O2" s="336"/>
      <c r="P2" s="336"/>
    </row>
    <row r="3" spans="1:16" x14ac:dyDescent="0.2">
      <c r="A3" s="239"/>
      <c r="B3" s="239"/>
      <c r="C3" s="239"/>
      <c r="D3" s="239"/>
      <c r="E3" s="239"/>
      <c r="F3" s="239"/>
      <c r="G3" s="239"/>
      <c r="H3" s="239"/>
      <c r="I3" s="239"/>
      <c r="J3" s="239"/>
      <c r="K3" s="239"/>
      <c r="L3" s="239"/>
      <c r="M3" s="239"/>
      <c r="N3" s="239"/>
      <c r="O3" s="239"/>
      <c r="P3" s="239"/>
    </row>
    <row r="4" spans="1:16" ht="19" x14ac:dyDescent="0.25">
      <c r="A4" s="336" t="str">
        <f>'DATOS INICIALES'!G4</f>
        <v xml:space="preserve">FDLUSA-LP-002-2024 </v>
      </c>
      <c r="B4" s="336"/>
      <c r="C4" s="336"/>
      <c r="D4" s="336"/>
      <c r="E4" s="336"/>
      <c r="F4" s="336"/>
      <c r="G4" s="336"/>
      <c r="H4" s="336"/>
      <c r="I4" s="336"/>
      <c r="J4" s="336"/>
      <c r="K4" s="336"/>
      <c r="L4" s="336"/>
      <c r="M4" s="336"/>
      <c r="N4" s="336"/>
      <c r="O4" s="336"/>
      <c r="P4" s="336"/>
    </row>
    <row r="5" spans="1:16" x14ac:dyDescent="0.2">
      <c r="A5" s="239"/>
      <c r="B5" s="239"/>
      <c r="C5" s="239"/>
      <c r="D5" s="239"/>
      <c r="E5" s="239"/>
      <c r="F5" s="239"/>
      <c r="G5" s="239"/>
      <c r="H5" s="239"/>
      <c r="I5" s="239"/>
      <c r="J5" s="239"/>
      <c r="K5" s="239"/>
      <c r="L5" s="239"/>
      <c r="M5" s="239"/>
      <c r="N5" s="239"/>
      <c r="O5" s="239"/>
      <c r="P5" s="239"/>
    </row>
    <row r="6" spans="1:16" x14ac:dyDescent="0.2">
      <c r="A6" s="332" t="s">
        <v>30</v>
      </c>
      <c r="B6" s="332"/>
      <c r="C6" s="64" t="s">
        <v>52</v>
      </c>
      <c r="D6" s="333" t="s">
        <v>68</v>
      </c>
      <c r="E6" s="333"/>
      <c r="F6" s="333"/>
      <c r="G6" s="88">
        <v>44498</v>
      </c>
      <c r="H6" s="343"/>
      <c r="I6" s="344"/>
      <c r="J6" s="344"/>
      <c r="K6" s="344"/>
      <c r="L6" s="344"/>
      <c r="M6" s="344"/>
      <c r="N6" s="344"/>
      <c r="O6" s="344"/>
      <c r="P6" s="345"/>
    </row>
    <row r="7" spans="1:16" x14ac:dyDescent="0.2">
      <c r="A7" s="339" t="s">
        <v>87</v>
      </c>
      <c r="B7" s="339"/>
      <c r="C7" s="339"/>
      <c r="D7" s="339"/>
      <c r="E7" s="339"/>
      <c r="F7" s="339"/>
      <c r="G7" s="339"/>
      <c r="H7" s="339"/>
      <c r="I7" s="339"/>
      <c r="J7" s="339"/>
      <c r="K7" s="339"/>
      <c r="L7" s="339"/>
      <c r="M7" s="339"/>
      <c r="N7" s="339"/>
      <c r="O7" s="339"/>
      <c r="P7" s="339"/>
    </row>
    <row r="8" spans="1:16" ht="36" customHeight="1" x14ac:dyDescent="0.2">
      <c r="A8" s="334" t="s">
        <v>22</v>
      </c>
      <c r="B8" s="334"/>
      <c r="C8" s="346"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46"/>
      <c r="E8" s="346"/>
      <c r="F8" s="346"/>
      <c r="G8" s="346"/>
      <c r="H8" s="346"/>
      <c r="I8" s="346"/>
      <c r="J8" s="346"/>
      <c r="K8" s="346"/>
      <c r="L8" s="346"/>
      <c r="M8" s="346"/>
      <c r="N8" s="346"/>
      <c r="O8" s="346"/>
      <c r="P8" s="346"/>
    </row>
    <row r="9" spans="1:16" x14ac:dyDescent="0.2">
      <c r="A9" s="334" t="s">
        <v>66</v>
      </c>
      <c r="B9" s="334"/>
      <c r="C9" s="341">
        <f>+'DATOS INICIALES'!C6</f>
        <v>0</v>
      </c>
      <c r="D9" s="341"/>
      <c r="E9" s="341"/>
      <c r="F9" s="118" t="s">
        <v>93</v>
      </c>
      <c r="G9" s="119">
        <v>4</v>
      </c>
      <c r="H9" s="341"/>
      <c r="I9" s="341"/>
      <c r="J9" s="341"/>
      <c r="K9" s="341"/>
      <c r="L9" s="341"/>
      <c r="M9" s="341"/>
      <c r="N9" s="341"/>
      <c r="O9" s="341"/>
      <c r="P9" s="341"/>
    </row>
    <row r="10" spans="1:16" x14ac:dyDescent="0.2">
      <c r="A10" s="334" t="s">
        <v>67</v>
      </c>
      <c r="B10" s="334"/>
      <c r="C10" s="342">
        <f>C9/'DATOS INICIALES'!B44</f>
        <v>0</v>
      </c>
      <c r="D10" s="342"/>
      <c r="E10" s="342"/>
      <c r="F10" s="120" t="s">
        <v>94</v>
      </c>
      <c r="G10" s="121">
        <v>0</v>
      </c>
      <c r="H10" s="342"/>
      <c r="I10" s="342"/>
      <c r="J10" s="342"/>
      <c r="K10" s="342"/>
      <c r="L10" s="342"/>
      <c r="M10" s="342"/>
      <c r="N10" s="342"/>
      <c r="O10" s="342"/>
      <c r="P10" s="342"/>
    </row>
    <row r="11" spans="1:16" ht="9" customHeight="1" x14ac:dyDescent="0.2">
      <c r="E11" s="38"/>
    </row>
    <row r="12" spans="1:16" ht="86.25" customHeight="1" thickBot="1" x14ac:dyDescent="0.25">
      <c r="A12" s="43" t="s">
        <v>79</v>
      </c>
      <c r="B12" s="43" t="s">
        <v>23</v>
      </c>
      <c r="C12" s="43" t="s">
        <v>59</v>
      </c>
      <c r="D12" s="43" t="s">
        <v>80</v>
      </c>
      <c r="E12" s="43" t="s">
        <v>90</v>
      </c>
      <c r="F12" s="43" t="s">
        <v>88</v>
      </c>
      <c r="G12" s="43" t="s">
        <v>81</v>
      </c>
      <c r="H12" s="43" t="s">
        <v>82</v>
      </c>
      <c r="I12" s="43" t="s">
        <v>83</v>
      </c>
      <c r="J12" s="43" t="s">
        <v>89</v>
      </c>
      <c r="K12" s="43" t="s">
        <v>91</v>
      </c>
      <c r="L12" s="43" t="s">
        <v>92</v>
      </c>
      <c r="M12" s="43" t="s">
        <v>84</v>
      </c>
      <c r="N12" s="43" t="s">
        <v>85</v>
      </c>
      <c r="O12" s="43" t="s">
        <v>86</v>
      </c>
      <c r="P12" s="43" t="s">
        <v>71</v>
      </c>
    </row>
    <row r="13" spans="1:16" ht="48" customHeight="1" x14ac:dyDescent="0.2">
      <c r="A13" s="321">
        <v>1</v>
      </c>
      <c r="B13" s="324" t="str">
        <f>+PROPONENTES!B10</f>
        <v>CONSORCIO EL TAMBILLO</v>
      </c>
      <c r="C13" s="44" t="str">
        <f>IF(VLOOKUP(B13,PROPONENTES!$B$10:$N$16,2,FALSE)="","",VLOOKUP(B13,PROPONENTES!$B$10:$N$16,2,FALSE))</f>
        <v xml:space="preserve">ISAIAS VARGAS GONZALEZ </v>
      </c>
      <c r="D13" s="45">
        <f>VLOOKUP(B13,PROPONENTES!$B$10:$N$16,3,FALSE)</f>
        <v>0.5</v>
      </c>
      <c r="E13" s="54">
        <v>7.69</v>
      </c>
      <c r="F13" s="46">
        <v>1143587893</v>
      </c>
      <c r="G13" s="123">
        <v>47581519005.089996</v>
      </c>
      <c r="H13" s="47">
        <v>1</v>
      </c>
      <c r="I13" s="46">
        <v>114692409</v>
      </c>
      <c r="J13" s="48" t="e">
        <f>IF(C13="","",IF(AND((G13/($C$9*D13))&gt;0,(G13/($C$9*D13))&lt;=3),60,IF(AND((G13/($C$9*D13))&gt;3,(G13/($C$9*D13))&lt;=6),80,IF(AND((G13/($C$9*D13))&gt;6,(G13/($C$9*D13))&lt;=10),100,IF((G13/($C$9*D13))&gt;10,120,)))))</f>
        <v>#DIV/0!</v>
      </c>
      <c r="K13" s="48">
        <f>IF(C13="","",IF(AND(E13&gt;0,E13&lt;=0.5),20,IF(AND(E13&gt;0.5,E13&lt;=0.75),25,IF(AND(E13&gt;0.75,E13&lt;=1),30,IF(AND(E13&gt;1,E13&lt;=1.5),35,IF(E13&gt;1.5,40))))))</f>
        <v>40</v>
      </c>
      <c r="L13" s="48">
        <f>IF(C13="","",IF(AND(H13&gt;=1,H13&lt;=5),20,IF(AND(H13&gt;=6,H13&lt;=10),30,IF(H13&gt;=11,40,))))</f>
        <v>20</v>
      </c>
      <c r="M13" s="58" t="e">
        <f>+IF(C13="","",(F13*(J13+K13+L13)/100)-I13)</f>
        <v>#DIV/0!</v>
      </c>
      <c r="N13" s="347" t="e">
        <f>SUM(M13:M17)</f>
        <v>#DIV/0!</v>
      </c>
      <c r="O13" s="349">
        <f>IF($G$9&lt;=12,$C$9-$G$10*$C$9,(($C$9-$G$10)/$G$9)*12)</f>
        <v>0</v>
      </c>
      <c r="P13" s="352" t="e">
        <f>IF(N13&gt;=O13,"CUMPLE","NO CUMPLE")</f>
        <v>#DIV/0!</v>
      </c>
    </row>
    <row r="14" spans="1:16" ht="64.5" customHeight="1" x14ac:dyDescent="0.2">
      <c r="A14" s="322"/>
      <c r="B14" s="239"/>
      <c r="C14" s="25" t="str">
        <f>IF(VLOOKUP(B13,PROPONENTES!$B$10:$N$16,4,FALSE)="","",VLOOKUP(B13,PROPONENTES!$B$10:$N$16,4,FALSE))</f>
        <v xml:space="preserve">V &amp; M INGENIERIA S.A.S. </v>
      </c>
      <c r="D14" s="37">
        <f>VLOOKUP(B13,PROPONENTES!$B$10:$N$16,5,FALSE)</f>
        <v>0.5</v>
      </c>
      <c r="E14" s="124">
        <v>4.93</v>
      </c>
      <c r="F14" s="122">
        <v>126050742.52</v>
      </c>
      <c r="G14" s="122">
        <v>20725184508.040001</v>
      </c>
      <c r="H14" s="39">
        <v>1</v>
      </c>
      <c r="I14" s="40">
        <v>473451635</v>
      </c>
      <c r="J14" s="36" t="e">
        <f t="shared" ref="J14:J47" si="0">IF(C14="","",IF(AND((G14/($C$9*D14))&gt;0,(G14/($C$9*D14))&lt;=3),60,IF(AND((G14/($C$9*D14))&gt;3,(G14/($C$9*D14))&lt;=6),80,IF(AND((G14/($C$9*D14))&gt;6,(G14/($C$9*D14))&lt;=10),100,IF((G14/($C$9*D14))&gt;10,120,)))))</f>
        <v>#DIV/0!</v>
      </c>
      <c r="K14" s="36">
        <f t="shared" ref="K14:K47" si="1">IF(C14="","",IF(AND(E14&gt;0,E14&lt;=0.5),20,IF(AND(E14&gt;0.5,E14&lt;=0.75),25,IF(AND(E14&gt;0.75,E14&lt;=1),30,IF(AND(E14&gt;1,E14&lt;=1.5),35,IF(E14&gt;1.5,40))))))</f>
        <v>40</v>
      </c>
      <c r="L14" s="36">
        <f t="shared" ref="L14:L18" si="2">IF(C14="","",IF(AND(H14&gt;=1,H14&lt;=5),20,IF(AND(H14&gt;=6,H14&lt;=10),30,IF(H14&gt;=11,40,))))</f>
        <v>20</v>
      </c>
      <c r="M14" s="59" t="e">
        <f t="shared" ref="M14:M18" si="3">+IF(C14="","",(F14*(J14+K14+L14)/100)-I14)</f>
        <v>#DIV/0!</v>
      </c>
      <c r="N14" s="228"/>
      <c r="O14" s="350"/>
      <c r="P14" s="353"/>
    </row>
    <row r="15" spans="1:16" ht="16" x14ac:dyDescent="0.2">
      <c r="A15" s="322"/>
      <c r="B15" s="239"/>
      <c r="C15" s="25" t="str">
        <f>IF(VLOOKUP(B13,PROPONENTES!$B$10:$N$16,6,FALSE)="","",VLOOKUP(B13,PROPONENTES!$B$10:$N$16,6,FALSE))</f>
        <v/>
      </c>
      <c r="D15" s="37">
        <f>VLOOKUP(B13,PROPONENTES!$B$10:$N$16,7,FALSE)</f>
        <v>0</v>
      </c>
      <c r="E15" s="55"/>
      <c r="F15" s="40"/>
      <c r="G15" s="40"/>
      <c r="H15" s="39"/>
      <c r="I15" s="40"/>
      <c r="J15" s="36" t="str">
        <f t="shared" si="0"/>
        <v/>
      </c>
      <c r="K15" s="36" t="str">
        <f t="shared" si="1"/>
        <v/>
      </c>
      <c r="L15" s="36" t="str">
        <f t="shared" si="2"/>
        <v/>
      </c>
      <c r="M15" s="59" t="str">
        <f t="shared" si="3"/>
        <v/>
      </c>
      <c r="N15" s="228"/>
      <c r="O15" s="350"/>
      <c r="P15" s="353"/>
    </row>
    <row r="16" spans="1:16" ht="16" x14ac:dyDescent="0.2">
      <c r="A16" s="322"/>
      <c r="B16" s="239"/>
      <c r="C16" s="25" t="str">
        <f>IF(VLOOKUP(B13,PROPONENTES!$B$10:$N$16,8,FALSE)="","",VLOOKUP(B13,PROPONENTES!$B$10:$N$16,8,FALSE))</f>
        <v/>
      </c>
      <c r="D16" s="37">
        <f>VLOOKUP(B13,PROPONENTES!$B$10:$N$16,9,FALSE)</f>
        <v>0</v>
      </c>
      <c r="E16" s="55"/>
      <c r="F16" s="40"/>
      <c r="G16" s="40"/>
      <c r="H16" s="39"/>
      <c r="I16" s="40"/>
      <c r="J16" s="36" t="str">
        <f t="shared" si="0"/>
        <v/>
      </c>
      <c r="K16" s="36" t="str">
        <f t="shared" si="1"/>
        <v/>
      </c>
      <c r="L16" s="36" t="str">
        <f t="shared" si="2"/>
        <v/>
      </c>
      <c r="M16" s="25" t="str">
        <f t="shared" si="3"/>
        <v/>
      </c>
      <c r="N16" s="228"/>
      <c r="O16" s="350"/>
      <c r="P16" s="353"/>
    </row>
    <row r="17" spans="1:16" ht="17" thickBot="1" x14ac:dyDescent="0.25">
      <c r="A17" s="323"/>
      <c r="B17" s="325"/>
      <c r="C17" s="49" t="str">
        <f>IF(VLOOKUP(B13,PROPONENTES!$B$10:$N$16,8,FALSE)="","",VLOOKUP(B13,PROPONENTES!$B$10:$N$16,10,FALSE))</f>
        <v/>
      </c>
      <c r="D17" s="50">
        <f>VLOOKUP(B13,PROPONENTES!$B$10:$N$16,11,FALSE)</f>
        <v>0</v>
      </c>
      <c r="E17" s="56"/>
      <c r="F17" s="51"/>
      <c r="G17" s="51"/>
      <c r="H17" s="52"/>
      <c r="I17" s="51"/>
      <c r="J17" s="53" t="str">
        <f t="shared" si="0"/>
        <v/>
      </c>
      <c r="K17" s="53" t="str">
        <f t="shared" si="1"/>
        <v/>
      </c>
      <c r="L17" s="53" t="str">
        <f t="shared" si="2"/>
        <v/>
      </c>
      <c r="M17" s="49" t="str">
        <f t="shared" si="3"/>
        <v/>
      </c>
      <c r="N17" s="348"/>
      <c r="O17" s="351"/>
      <c r="P17" s="354"/>
    </row>
    <row r="18" spans="1:16" ht="16" x14ac:dyDescent="0.2">
      <c r="A18" s="321">
        <v>2</v>
      </c>
      <c r="B18" s="324" t="str">
        <f>+PROPONENTES!B11</f>
        <v>UNION TEMPORAL VIAL USAQUN 2024</v>
      </c>
      <c r="C18" s="44" t="str">
        <f>IF(VLOOKUP(B18,PROPONENTES!$B$10:$N$16,2,FALSE)="","",VLOOKUP(B18,PROPONENTES!$B$10:$N$16,2,FALSE))</f>
        <v>ASFALTEMOS SAS</v>
      </c>
      <c r="D18" s="45">
        <f>VLOOKUP(B18,PROPONENTES!$B$10:$N$16,3,FALSE)</f>
        <v>0.9</v>
      </c>
      <c r="E18" s="54">
        <v>9.36</v>
      </c>
      <c r="F18" s="46">
        <v>3939642522</v>
      </c>
      <c r="G18" s="46">
        <v>22662094014.450001</v>
      </c>
      <c r="H18" s="47">
        <v>9</v>
      </c>
      <c r="I18" s="46">
        <v>0</v>
      </c>
      <c r="J18" s="44" t="e">
        <f t="shared" si="0"/>
        <v>#DIV/0!</v>
      </c>
      <c r="K18" s="48">
        <f t="shared" si="1"/>
        <v>40</v>
      </c>
      <c r="L18" s="48">
        <f t="shared" si="2"/>
        <v>30</v>
      </c>
      <c r="M18" s="58" t="e">
        <f t="shared" si="3"/>
        <v>#DIV/0!</v>
      </c>
      <c r="N18" s="347" t="e">
        <f t="shared" ref="N18" si="4">SUM(M18:M22)</f>
        <v>#DIV/0!</v>
      </c>
      <c r="O18" s="349">
        <f t="shared" ref="O18" si="5">IF($G$9&lt;=12,$C$9-$G$10*$C$9,(($C$9-$G$10)/$G$9)*12)</f>
        <v>0</v>
      </c>
      <c r="P18" s="352" t="e">
        <f>IF(B18="","",IF(N18&gt;=O18,"CUMPLE","NO CUMPLE"))</f>
        <v>#DIV/0!</v>
      </c>
    </row>
    <row r="19" spans="1:16" ht="16" x14ac:dyDescent="0.2">
      <c r="A19" s="322"/>
      <c r="B19" s="239"/>
      <c r="C19" s="25" t="str">
        <f>IF(VLOOKUP(B18,PROPONENTES!$B$10:$N$16,4,FALSE)="","",VLOOKUP(B18,PROPONENTES!$B$10:$N$16,4,FALSE))</f>
        <v xml:space="preserve">AGREGADOS MARTÍNEZ SAS </v>
      </c>
      <c r="D19" s="37">
        <f>VLOOKUP(B18,PROPONENTES!$B$10:$N$16,5,FALSE)</f>
        <v>0.1</v>
      </c>
      <c r="E19" s="55"/>
      <c r="F19" s="40"/>
      <c r="G19" s="40"/>
      <c r="H19" s="39"/>
      <c r="I19" s="40"/>
      <c r="J19" s="25" t="e">
        <f t="shared" si="0"/>
        <v>#DIV/0!</v>
      </c>
      <c r="K19" s="36" t="b">
        <f t="shared" si="1"/>
        <v>0</v>
      </c>
      <c r="L19" s="36">
        <f t="shared" ref="L19:L47" si="6">IF(C19="","",IF(AND(H19&gt;=1,H19&lt;=5),20,IF(AND(H19&gt;=6,H19&lt;=10),30,IF(H19&gt;=11,40,))))</f>
        <v>0</v>
      </c>
      <c r="M19" s="59" t="e">
        <f t="shared" ref="M19:M47" si="7">+IF(C19="","",(F19*(J19+K19+L19)/100)-I19)</f>
        <v>#DIV/0!</v>
      </c>
      <c r="N19" s="228"/>
      <c r="O19" s="350"/>
      <c r="P19" s="353"/>
    </row>
    <row r="20" spans="1:16" ht="16" x14ac:dyDescent="0.2">
      <c r="A20" s="322"/>
      <c r="B20" s="239"/>
      <c r="C20" s="25" t="str">
        <f>IF(VLOOKUP(B18,PROPONENTES!$B$10:$N$16,6,FALSE)="","",VLOOKUP(B18,PROPONENTES!$B$10:$N$16,6,FALSE))</f>
        <v/>
      </c>
      <c r="D20" s="37">
        <f>VLOOKUP(B18,PROPONENTES!$B$10:$N$16,7,FALSE)</f>
        <v>0</v>
      </c>
      <c r="E20" s="55"/>
      <c r="F20" s="40"/>
      <c r="G20" s="40"/>
      <c r="H20" s="39"/>
      <c r="I20" s="40"/>
      <c r="J20" s="25" t="str">
        <f t="shared" si="0"/>
        <v/>
      </c>
      <c r="K20" s="36" t="str">
        <f t="shared" si="1"/>
        <v/>
      </c>
      <c r="L20" s="36" t="str">
        <f t="shared" si="6"/>
        <v/>
      </c>
      <c r="M20" s="59" t="str">
        <f t="shared" si="7"/>
        <v/>
      </c>
      <c r="N20" s="228"/>
      <c r="O20" s="350"/>
      <c r="P20" s="353"/>
    </row>
    <row r="21" spans="1:16" ht="16" x14ac:dyDescent="0.2">
      <c r="A21" s="322"/>
      <c r="B21" s="239"/>
      <c r="C21" s="25" t="str">
        <f>IF(VLOOKUP(B18,PROPONENTES!$B$10:$N$16,8,FALSE)="","",VLOOKUP(B18,PROPONENTES!$B$10:$N$16,8,FALSE))</f>
        <v/>
      </c>
      <c r="D21" s="37">
        <f>VLOOKUP(B18,PROPONENTES!$B$10:$N$16,9,FALSE)</f>
        <v>0</v>
      </c>
      <c r="E21" s="55"/>
      <c r="F21" s="40"/>
      <c r="G21" s="40"/>
      <c r="H21" s="39"/>
      <c r="I21" s="40"/>
      <c r="J21" s="25" t="str">
        <f t="shared" si="0"/>
        <v/>
      </c>
      <c r="K21" s="36" t="str">
        <f t="shared" si="1"/>
        <v/>
      </c>
      <c r="L21" s="36" t="str">
        <f t="shared" si="6"/>
        <v/>
      </c>
      <c r="M21" s="25" t="str">
        <f t="shared" si="7"/>
        <v/>
      </c>
      <c r="N21" s="228"/>
      <c r="O21" s="350"/>
      <c r="P21" s="353"/>
    </row>
    <row r="22" spans="1:16" ht="17" thickBot="1" x14ac:dyDescent="0.25">
      <c r="A22" s="323"/>
      <c r="B22" s="325"/>
      <c r="C22" s="49" t="str">
        <f>IF(VLOOKUP(B18,PROPONENTES!$B$10:$N$16,8,FALSE)="","",VLOOKUP(B18,PROPONENTES!$B$10:$N$16,10,FALSE))</f>
        <v/>
      </c>
      <c r="D22" s="50">
        <f>VLOOKUP(B18,PROPONENTES!$B$10:$N$16,11,FALSE)</f>
        <v>0</v>
      </c>
      <c r="E22" s="56"/>
      <c r="F22" s="51"/>
      <c r="G22" s="51"/>
      <c r="H22" s="52"/>
      <c r="I22" s="51"/>
      <c r="J22" s="49" t="str">
        <f t="shared" si="0"/>
        <v/>
      </c>
      <c r="K22" s="53" t="str">
        <f t="shared" si="1"/>
        <v/>
      </c>
      <c r="L22" s="53" t="str">
        <f t="shared" si="6"/>
        <v/>
      </c>
      <c r="M22" s="49" t="str">
        <f t="shared" si="7"/>
        <v/>
      </c>
      <c r="N22" s="348"/>
      <c r="O22" s="351"/>
      <c r="P22" s="354"/>
    </row>
    <row r="23" spans="1:16" ht="32" x14ac:dyDescent="0.2">
      <c r="A23" s="321">
        <v>3</v>
      </c>
      <c r="B23" s="324" t="str">
        <f>+PROPONENTES!B12</f>
        <v>CONSORCIO CCU</v>
      </c>
      <c r="C23" s="44" t="str">
        <f>IF(VLOOKUP(B23,PROPONENTES!$B$10:$N$16,2,FALSE)="","",VLOOKUP(B23,PROPONENTES!$B$10:$N$16,2,FALSE))</f>
        <v>CLAUDIA STELLA CARVAJAL PINEDA</v>
      </c>
      <c r="D23" s="45">
        <f>VLOOKUP(B23,PROPONENTES!$B$10:$N$16,3,FALSE)</f>
        <v>0.4</v>
      </c>
      <c r="E23" s="54">
        <v>61.61</v>
      </c>
      <c r="F23" s="46">
        <v>2950600000</v>
      </c>
      <c r="G23" s="46">
        <v>18288204552.619999</v>
      </c>
      <c r="H23" s="47">
        <v>1</v>
      </c>
      <c r="I23" s="46">
        <v>370167215.69999999</v>
      </c>
      <c r="J23" s="44" t="e">
        <f t="shared" si="0"/>
        <v>#DIV/0!</v>
      </c>
      <c r="K23" s="48">
        <f t="shared" si="1"/>
        <v>40</v>
      </c>
      <c r="L23" s="48">
        <f t="shared" si="6"/>
        <v>20</v>
      </c>
      <c r="M23" s="58" t="e">
        <f t="shared" si="7"/>
        <v>#DIV/0!</v>
      </c>
      <c r="N23" s="347" t="e">
        <f t="shared" ref="N23" si="8">SUM(M23:M27)</f>
        <v>#DIV/0!</v>
      </c>
      <c r="O23" s="349">
        <f t="shared" ref="O23" si="9">IF($G$9&lt;=12,$C$9-$G$10*$C$9,(($C$9-$G$10)/$G$9)*12)</f>
        <v>0</v>
      </c>
      <c r="P23" s="352" t="e">
        <f t="shared" ref="P23" si="10">IF(N23&gt;=O23,"CUMPLE","NO CUMPLE")</f>
        <v>#DIV/0!</v>
      </c>
    </row>
    <row r="24" spans="1:16" ht="16" x14ac:dyDescent="0.2">
      <c r="A24" s="322"/>
      <c r="B24" s="239"/>
      <c r="C24" s="25" t="str">
        <f>IF(VLOOKUP(B23,PROPONENTES!$B$10:$N$16,4,FALSE)="","",VLOOKUP(B23,PROPONENTES!$B$10:$N$16,4,FALSE))</f>
        <v>C.C.P INGENIEROS S.A.S</v>
      </c>
      <c r="D24" s="37">
        <f>VLOOKUP(B23,PROPONENTES!$B$10:$N$16,5,FALSE)</f>
        <v>0.6</v>
      </c>
      <c r="E24" s="55"/>
      <c r="F24" s="40"/>
      <c r="G24" s="40"/>
      <c r="H24" s="39"/>
      <c r="I24" s="40"/>
      <c r="J24" s="25" t="e">
        <f t="shared" si="0"/>
        <v>#DIV/0!</v>
      </c>
      <c r="K24" s="36" t="b">
        <f t="shared" si="1"/>
        <v>0</v>
      </c>
      <c r="L24" s="36">
        <f t="shared" si="6"/>
        <v>0</v>
      </c>
      <c r="M24" s="59" t="e">
        <f t="shared" si="7"/>
        <v>#DIV/0!</v>
      </c>
      <c r="N24" s="228"/>
      <c r="O24" s="350"/>
      <c r="P24" s="353"/>
    </row>
    <row r="25" spans="1:16" ht="16" x14ac:dyDescent="0.2">
      <c r="A25" s="322"/>
      <c r="B25" s="239"/>
      <c r="C25" s="25" t="str">
        <f>IF(VLOOKUP(B23,PROPONENTES!$B$10:$N$16,6,FALSE)="","",VLOOKUP(B23,PROPONENTES!$B$10:$N$16,6,FALSE))</f>
        <v/>
      </c>
      <c r="D25" s="37">
        <f>VLOOKUP(B23,PROPONENTES!$B$10:$N$16,7,FALSE)</f>
        <v>0</v>
      </c>
      <c r="E25" s="55"/>
      <c r="F25" s="40"/>
      <c r="G25" s="40"/>
      <c r="H25" s="39"/>
      <c r="I25" s="40"/>
      <c r="J25" s="25" t="str">
        <f t="shared" si="0"/>
        <v/>
      </c>
      <c r="K25" s="36" t="str">
        <f t="shared" si="1"/>
        <v/>
      </c>
      <c r="L25" s="36" t="str">
        <f t="shared" si="6"/>
        <v/>
      </c>
      <c r="M25" s="59" t="str">
        <f t="shared" si="7"/>
        <v/>
      </c>
      <c r="N25" s="228"/>
      <c r="O25" s="350"/>
      <c r="P25" s="353"/>
    </row>
    <row r="26" spans="1:16" ht="16" x14ac:dyDescent="0.2">
      <c r="A26" s="322"/>
      <c r="B26" s="239"/>
      <c r="C26" s="25" t="str">
        <f>IF(VLOOKUP(B23,PROPONENTES!$B$10:$N$16,8,FALSE)="","",VLOOKUP(B23,PROPONENTES!$B$10:$N$16,8,FALSE))</f>
        <v/>
      </c>
      <c r="D26" s="37">
        <f>VLOOKUP(B23,PROPONENTES!$B$10:$N$16,9,FALSE)</f>
        <v>0</v>
      </c>
      <c r="E26" s="55"/>
      <c r="F26" s="40"/>
      <c r="G26" s="40"/>
      <c r="H26" s="39"/>
      <c r="I26" s="40"/>
      <c r="J26" s="25" t="str">
        <f t="shared" si="0"/>
        <v/>
      </c>
      <c r="K26" s="36" t="str">
        <f t="shared" si="1"/>
        <v/>
      </c>
      <c r="L26" s="36" t="str">
        <f t="shared" si="6"/>
        <v/>
      </c>
      <c r="M26" s="25" t="str">
        <f t="shared" si="7"/>
        <v/>
      </c>
      <c r="N26" s="228"/>
      <c r="O26" s="350"/>
      <c r="P26" s="353"/>
    </row>
    <row r="27" spans="1:16" ht="17" thickBot="1" x14ac:dyDescent="0.25">
      <c r="A27" s="323"/>
      <c r="B27" s="325"/>
      <c r="C27" s="49" t="str">
        <f>IF(VLOOKUP(B23,PROPONENTES!$B$10:$N$16,8,FALSE)="","",VLOOKUP(B23,PROPONENTES!$B$10:$N$16,10,FALSE))</f>
        <v/>
      </c>
      <c r="D27" s="50">
        <f>VLOOKUP(B23,PROPONENTES!$B$10:$N$16,11,FALSE)</f>
        <v>0</v>
      </c>
      <c r="E27" s="56"/>
      <c r="F27" s="51"/>
      <c r="G27" s="51"/>
      <c r="H27" s="52"/>
      <c r="I27" s="51"/>
      <c r="J27" s="49" t="str">
        <f t="shared" si="0"/>
        <v/>
      </c>
      <c r="K27" s="53" t="str">
        <f t="shared" si="1"/>
        <v/>
      </c>
      <c r="L27" s="53" t="str">
        <f t="shared" si="6"/>
        <v/>
      </c>
      <c r="M27" s="49" t="str">
        <f t="shared" si="7"/>
        <v/>
      </c>
      <c r="N27" s="348"/>
      <c r="O27" s="351"/>
      <c r="P27" s="354"/>
    </row>
    <row r="28" spans="1:16" ht="32" x14ac:dyDescent="0.2">
      <c r="A28" s="321">
        <v>4</v>
      </c>
      <c r="B28" s="324" t="str">
        <f>+PROPONENTES!B13</f>
        <v>CONSORCIO MEB VIAL</v>
      </c>
      <c r="C28" s="44" t="str">
        <f>IF(VLOOKUP(B28,PROPONENTES!$B$10:$N$16,2,FALSE)="","",VLOOKUP(B28,PROPONENTES!$B$10:$N$16,2,FALSE))</f>
        <v>EMIRO CARLOS BARGUIL CUBILLOS</v>
      </c>
      <c r="D28" s="45">
        <f>VLOOKUP(B28,PROPONENTES!$B$10:$N$16,3,FALSE)</f>
        <v>0.1</v>
      </c>
      <c r="E28" s="54">
        <v>64.510000000000005</v>
      </c>
      <c r="F28" s="46">
        <v>626253000</v>
      </c>
      <c r="G28" s="46">
        <v>672215398.5</v>
      </c>
      <c r="H28" s="47">
        <v>1</v>
      </c>
      <c r="I28" s="46">
        <v>0</v>
      </c>
      <c r="J28" s="44" t="e">
        <f t="shared" si="0"/>
        <v>#DIV/0!</v>
      </c>
      <c r="K28" s="48">
        <f t="shared" si="1"/>
        <v>40</v>
      </c>
      <c r="L28" s="48">
        <f t="shared" si="6"/>
        <v>20</v>
      </c>
      <c r="M28" s="58" t="e">
        <f t="shared" si="7"/>
        <v>#DIV/0!</v>
      </c>
      <c r="N28" s="347" t="e">
        <f t="shared" ref="N28" si="11">SUM(M28:M32)</f>
        <v>#DIV/0!</v>
      </c>
      <c r="O28" s="349">
        <f t="shared" ref="O28" si="12">IF($G$9&lt;=12,$C$9-$G$10*$C$9,(($C$9-$G$10)/$G$9)*12)</f>
        <v>0</v>
      </c>
      <c r="P28" s="352" t="e">
        <f t="shared" ref="P28" si="13">IF(N28&gt;=O28,"CUMPLE","NO CUMPLE")</f>
        <v>#DIV/0!</v>
      </c>
    </row>
    <row r="29" spans="1:16" ht="32" x14ac:dyDescent="0.2">
      <c r="A29" s="322"/>
      <c r="B29" s="239"/>
      <c r="C29" s="25" t="str">
        <f>IF(VLOOKUP(B28,PROPONENTES!$B$10:$N$16,4,FALSE)="","",VLOOKUP(B28,PROPONENTES!$B$10:$N$16,4,FALSE))</f>
        <v>ARMAR CONSTRUCCIONES S.A.S</v>
      </c>
      <c r="D29" s="37">
        <f>VLOOKUP(B28,PROPONENTES!$B$10:$N$16,5,FALSE)</f>
        <v>0.4</v>
      </c>
      <c r="E29" s="55">
        <v>0</v>
      </c>
      <c r="F29" s="40">
        <v>12710667</v>
      </c>
      <c r="G29" s="40">
        <v>50115776593</v>
      </c>
      <c r="H29" s="39">
        <v>11</v>
      </c>
      <c r="I29" s="40">
        <v>0</v>
      </c>
      <c r="J29" s="25" t="e">
        <f t="shared" si="0"/>
        <v>#DIV/0!</v>
      </c>
      <c r="K29" s="36" t="b">
        <f t="shared" si="1"/>
        <v>0</v>
      </c>
      <c r="L29" s="36">
        <f t="shared" si="6"/>
        <v>40</v>
      </c>
      <c r="M29" s="59" t="e">
        <f t="shared" si="7"/>
        <v>#DIV/0!</v>
      </c>
      <c r="N29" s="228"/>
      <c r="O29" s="350"/>
      <c r="P29" s="353"/>
    </row>
    <row r="30" spans="1:16" ht="16" x14ac:dyDescent="0.2">
      <c r="A30" s="322"/>
      <c r="B30" s="239"/>
      <c r="C30" s="25" t="str">
        <f>IF(VLOOKUP(B28,PROPONENTES!$B$10:$N$16,6,FALSE)="","",VLOOKUP(B28,PROPONENTES!$B$10:$N$16,6,FALSE))</f>
        <v xml:space="preserve">MINATORE S.A.S </v>
      </c>
      <c r="D30" s="37">
        <f>VLOOKUP(B28,PROPONENTES!$B$10:$N$16,7,FALSE)</f>
        <v>0.5</v>
      </c>
      <c r="E30" s="55"/>
      <c r="F30" s="40"/>
      <c r="G30" s="40"/>
      <c r="H30" s="39"/>
      <c r="I30" s="40"/>
      <c r="J30" s="25" t="e">
        <f t="shared" si="0"/>
        <v>#DIV/0!</v>
      </c>
      <c r="K30" s="36" t="b">
        <f t="shared" si="1"/>
        <v>0</v>
      </c>
      <c r="L30" s="36">
        <f t="shared" si="6"/>
        <v>0</v>
      </c>
      <c r="M30" s="59" t="e">
        <f t="shared" si="7"/>
        <v>#DIV/0!</v>
      </c>
      <c r="N30" s="228"/>
      <c r="O30" s="350"/>
      <c r="P30" s="353"/>
    </row>
    <row r="31" spans="1:16" ht="16" x14ac:dyDescent="0.2">
      <c r="A31" s="322"/>
      <c r="B31" s="239"/>
      <c r="C31" s="25" t="str">
        <f>IF(VLOOKUP(B28,PROPONENTES!$B$10:$N$16,8,FALSE)="","",VLOOKUP(B28,PROPONENTES!$B$10:$N$16,8,FALSE))</f>
        <v/>
      </c>
      <c r="D31" s="37">
        <f>VLOOKUP(B28,PROPONENTES!$B$10:$N$16,9,FALSE)</f>
        <v>0</v>
      </c>
      <c r="E31" s="55"/>
      <c r="F31" s="40"/>
      <c r="G31" s="40"/>
      <c r="H31" s="39"/>
      <c r="I31" s="40"/>
      <c r="J31" s="25" t="str">
        <f t="shared" si="0"/>
        <v/>
      </c>
      <c r="K31" s="36" t="str">
        <f t="shared" si="1"/>
        <v/>
      </c>
      <c r="L31" s="36" t="str">
        <f t="shared" si="6"/>
        <v/>
      </c>
      <c r="M31" s="25" t="str">
        <f t="shared" si="7"/>
        <v/>
      </c>
      <c r="N31" s="228"/>
      <c r="O31" s="350"/>
      <c r="P31" s="353"/>
    </row>
    <row r="32" spans="1:16" ht="17" thickBot="1" x14ac:dyDescent="0.25">
      <c r="A32" s="323"/>
      <c r="B32" s="325"/>
      <c r="C32" s="49" t="str">
        <f>IF(VLOOKUP(B28,PROPONENTES!$B$10:$N$16,8,FALSE)="","",VLOOKUP(B28,PROPONENTES!$B$10:$N$16,10,FALSE))</f>
        <v/>
      </c>
      <c r="D32" s="50">
        <f>VLOOKUP(B28,PROPONENTES!$B$10:$N$16,11,FALSE)</f>
        <v>0</v>
      </c>
      <c r="E32" s="56"/>
      <c r="F32" s="51"/>
      <c r="G32" s="51"/>
      <c r="H32" s="52"/>
      <c r="I32" s="51"/>
      <c r="J32" s="49" t="str">
        <f t="shared" si="0"/>
        <v/>
      </c>
      <c r="K32" s="53" t="str">
        <f t="shared" si="1"/>
        <v/>
      </c>
      <c r="L32" s="53" t="str">
        <f t="shared" si="6"/>
        <v/>
      </c>
      <c r="M32" s="49" t="str">
        <f t="shared" si="7"/>
        <v/>
      </c>
      <c r="N32" s="348"/>
      <c r="O32" s="351"/>
      <c r="P32" s="354"/>
    </row>
    <row r="33" spans="1:16" ht="16" x14ac:dyDescent="0.2">
      <c r="A33" s="321">
        <v>5</v>
      </c>
      <c r="B33" s="324" t="str">
        <f>+PROPONENTES!B14</f>
        <v>CONSORCIO CONSERVACION DK</v>
      </c>
      <c r="C33" s="44" t="str">
        <f>IF(VLOOKUP(B33,PROPONENTES!$B$10:$N$16,2,FALSE)="","",VLOOKUP(B33,PROPONENTES!$B$10:$N$16,2,FALSE))</f>
        <v xml:space="preserve">KAP CONSTRUCCIONES SAS </v>
      </c>
      <c r="D33" s="45">
        <f>VLOOKUP(B33,PROPONENTES!$B$10:$N$16,3,FALSE)</f>
        <v>0.5</v>
      </c>
      <c r="E33" s="54"/>
      <c r="F33" s="46"/>
      <c r="G33" s="46"/>
      <c r="H33" s="47"/>
      <c r="I33" s="46"/>
      <c r="J33" s="44" t="e">
        <f t="shared" si="0"/>
        <v>#DIV/0!</v>
      </c>
      <c r="K33" s="48" t="b">
        <f t="shared" si="1"/>
        <v>0</v>
      </c>
      <c r="L33" s="48">
        <f t="shared" si="6"/>
        <v>0</v>
      </c>
      <c r="M33" s="58" t="e">
        <f t="shared" si="7"/>
        <v>#DIV/0!</v>
      </c>
      <c r="N33" s="347" t="e">
        <f t="shared" ref="N33" si="14">SUM(M33:M37)</f>
        <v>#DIV/0!</v>
      </c>
      <c r="O33" s="349">
        <f t="shared" ref="O33" si="15">IF($G$9&lt;=12,$C$9-$G$10*$C$9,(($C$9-$G$10)/$G$9)*12)</f>
        <v>0</v>
      </c>
      <c r="P33" s="352" t="e">
        <f t="shared" ref="P33" si="16">IF(N33&gt;=O33,"CUMPLE","NO CUMPLE")</f>
        <v>#DIV/0!</v>
      </c>
    </row>
    <row r="34" spans="1:16" ht="49.5" customHeight="1" x14ac:dyDescent="0.2">
      <c r="A34" s="322"/>
      <c r="B34" s="239"/>
      <c r="C34" s="25" t="str">
        <f>IF(VLOOKUP(B33,PROPONENTES!$B$10:$N$16,4,FALSE)="","",VLOOKUP(B33,PROPONENTES!$B$10:$N$16,4,FALSE))</f>
        <v>DBD INGENIERIA SAS</v>
      </c>
      <c r="D34" s="37">
        <f>VLOOKUP(B33,PROPONENTES!$B$10:$N$16,5,FALSE)</f>
        <v>0.5</v>
      </c>
      <c r="E34" s="55"/>
      <c r="F34" s="40"/>
      <c r="G34" s="40"/>
      <c r="H34" s="39"/>
      <c r="I34" s="40"/>
      <c r="J34" s="25" t="e">
        <f t="shared" si="0"/>
        <v>#DIV/0!</v>
      </c>
      <c r="K34" s="36" t="b">
        <f t="shared" si="1"/>
        <v>0</v>
      </c>
      <c r="L34" s="36">
        <f t="shared" si="6"/>
        <v>0</v>
      </c>
      <c r="M34" s="59" t="e">
        <f t="shared" si="7"/>
        <v>#DIV/0!</v>
      </c>
      <c r="N34" s="228"/>
      <c r="O34" s="350"/>
      <c r="P34" s="353"/>
    </row>
    <row r="35" spans="1:16" ht="16" x14ac:dyDescent="0.2">
      <c r="A35" s="322"/>
      <c r="B35" s="239"/>
      <c r="C35" s="25" t="str">
        <f>IF(VLOOKUP(B33,PROPONENTES!$B$10:$N$16,6,FALSE)="","",VLOOKUP(B33,PROPONENTES!$B$10:$N$16,6,FALSE))</f>
        <v/>
      </c>
      <c r="D35" s="37">
        <f>VLOOKUP(B33,PROPONENTES!$B$10:$N$16,7,FALSE)</f>
        <v>0</v>
      </c>
      <c r="E35" s="55"/>
      <c r="F35" s="40"/>
      <c r="G35" s="40"/>
      <c r="H35" s="39"/>
      <c r="I35" s="40"/>
      <c r="J35" s="25" t="str">
        <f t="shared" si="0"/>
        <v/>
      </c>
      <c r="K35" s="36" t="str">
        <f t="shared" si="1"/>
        <v/>
      </c>
      <c r="L35" s="36" t="str">
        <f t="shared" si="6"/>
        <v/>
      </c>
      <c r="M35" s="59" t="str">
        <f t="shared" si="7"/>
        <v/>
      </c>
      <c r="N35" s="228"/>
      <c r="O35" s="350"/>
      <c r="P35" s="353"/>
    </row>
    <row r="36" spans="1:16" ht="16" x14ac:dyDescent="0.2">
      <c r="A36" s="322"/>
      <c r="B36" s="239"/>
      <c r="C36" s="25" t="str">
        <f>IF(VLOOKUP(B33,PROPONENTES!$B$10:$N$16,8,FALSE)="","",VLOOKUP(B33,PROPONENTES!$B$10:$N$16,8,FALSE))</f>
        <v/>
      </c>
      <c r="D36" s="37">
        <f>VLOOKUP(B33,PROPONENTES!$B$10:$N$16,9,FALSE)</f>
        <v>0</v>
      </c>
      <c r="E36" s="55"/>
      <c r="F36" s="40"/>
      <c r="G36" s="40"/>
      <c r="H36" s="39"/>
      <c r="I36" s="40"/>
      <c r="J36" s="25" t="str">
        <f t="shared" si="0"/>
        <v/>
      </c>
      <c r="K36" s="36" t="str">
        <f t="shared" si="1"/>
        <v/>
      </c>
      <c r="L36" s="36" t="str">
        <f t="shared" si="6"/>
        <v/>
      </c>
      <c r="M36" s="25" t="str">
        <f t="shared" si="7"/>
        <v/>
      </c>
      <c r="N36" s="228"/>
      <c r="O36" s="350"/>
      <c r="P36" s="353"/>
    </row>
    <row r="37" spans="1:16" ht="17" thickBot="1" x14ac:dyDescent="0.25">
      <c r="A37" s="323"/>
      <c r="B37" s="325"/>
      <c r="C37" s="49" t="str">
        <f>IF(VLOOKUP(B33,PROPONENTES!$B$10:$N$16,8,FALSE)="","",VLOOKUP(B33,PROPONENTES!$B$10:$N$16,10,FALSE))</f>
        <v/>
      </c>
      <c r="D37" s="50">
        <f>VLOOKUP(B33,PROPONENTES!$B$10:$N$16,11,FALSE)</f>
        <v>0</v>
      </c>
      <c r="E37" s="56"/>
      <c r="F37" s="51"/>
      <c r="G37" s="51"/>
      <c r="H37" s="52"/>
      <c r="I37" s="51"/>
      <c r="J37" s="49" t="str">
        <f t="shared" si="0"/>
        <v/>
      </c>
      <c r="K37" s="53" t="str">
        <f t="shared" si="1"/>
        <v/>
      </c>
      <c r="L37" s="53" t="str">
        <f t="shared" si="6"/>
        <v/>
      </c>
      <c r="M37" s="49" t="str">
        <f t="shared" si="7"/>
        <v/>
      </c>
      <c r="N37" s="348"/>
      <c r="O37" s="351"/>
      <c r="P37" s="354"/>
    </row>
    <row r="38" spans="1:16" ht="32" x14ac:dyDescent="0.2">
      <c r="A38" s="321">
        <v>6</v>
      </c>
      <c r="B38" s="324" t="str">
        <f>+PROPONENTES!B15</f>
        <v>CONSORCIO USAQUEN VIAL 2025</v>
      </c>
      <c r="C38" s="44" t="str">
        <f>IF(VLOOKUP(B38,PROPONENTES!$B$10:$N$16,2,FALSE)="","",VLOOKUP(B38,PROPONENTES!$B$10:$N$16,2,FALSE))</f>
        <v xml:space="preserve">CONSTRUCCIONES CORPOVIAL S.A.S </v>
      </c>
      <c r="D38" s="45">
        <f>VLOOKUP(B38,PROPONENTES!$B$10:$N$16,3,FALSE)</f>
        <v>0.5</v>
      </c>
      <c r="E38" s="54">
        <v>4.04</v>
      </c>
      <c r="F38" s="46">
        <v>4188826509</v>
      </c>
      <c r="G38" s="46">
        <v>40534858108.996201</v>
      </c>
      <c r="H38" s="47">
        <v>3</v>
      </c>
      <c r="I38" s="46">
        <v>0</v>
      </c>
      <c r="J38" s="44" t="e">
        <f t="shared" si="0"/>
        <v>#DIV/0!</v>
      </c>
      <c r="K38" s="48">
        <f t="shared" si="1"/>
        <v>40</v>
      </c>
      <c r="L38" s="48">
        <f t="shared" si="6"/>
        <v>20</v>
      </c>
      <c r="M38" s="58" t="e">
        <f t="shared" si="7"/>
        <v>#DIV/0!</v>
      </c>
      <c r="N38" s="347" t="e">
        <f t="shared" ref="N38" si="17">SUM(M38:M42)</f>
        <v>#DIV/0!</v>
      </c>
      <c r="O38" s="349">
        <f t="shared" ref="O38" si="18">IF($G$9&lt;=12,$C$9-$G$10*$C$9,(($C$9-$G$10)/$G$9)*12)</f>
        <v>0</v>
      </c>
      <c r="P38" s="352" t="e">
        <f t="shared" ref="P38" si="19">IF(N38&gt;=O38,"CUMPLE","NO CUMPLE")</f>
        <v>#DIV/0!</v>
      </c>
    </row>
    <row r="39" spans="1:16" ht="32" x14ac:dyDescent="0.2">
      <c r="A39" s="322"/>
      <c r="B39" s="239"/>
      <c r="C39" s="25" t="str">
        <f>IF(VLOOKUP(B38,PROPONENTES!$B$10:$N$16,4,FALSE)="","",VLOOKUP(B38,PROPONENTES!$B$10:$N$16,4,FALSE))</f>
        <v>LIBERTY CONSTRUCTORA DEL CARIBE S.A.S.</v>
      </c>
      <c r="D39" s="37">
        <f>VLOOKUP(B38,PROPONENTES!$B$10:$N$16,5,FALSE)</f>
        <v>0.5</v>
      </c>
      <c r="E39" s="55"/>
      <c r="F39" s="40"/>
      <c r="G39" s="40"/>
      <c r="H39" s="39"/>
      <c r="I39" s="40"/>
      <c r="J39" s="25" t="e">
        <f t="shared" si="0"/>
        <v>#DIV/0!</v>
      </c>
      <c r="K39" s="36" t="b">
        <f t="shared" si="1"/>
        <v>0</v>
      </c>
      <c r="L39" s="36">
        <f t="shared" si="6"/>
        <v>0</v>
      </c>
      <c r="M39" s="59" t="e">
        <f t="shared" si="7"/>
        <v>#DIV/0!</v>
      </c>
      <c r="N39" s="228"/>
      <c r="O39" s="350"/>
      <c r="P39" s="353"/>
    </row>
    <row r="40" spans="1:16" ht="16" x14ac:dyDescent="0.2">
      <c r="A40" s="322"/>
      <c r="B40" s="239"/>
      <c r="C40" s="25" t="str">
        <f>IF(VLOOKUP(B38,PROPONENTES!$B$10:$N$16,6,FALSE)="","",VLOOKUP(B38,PROPONENTES!$B$10:$N$16,6,FALSE))</f>
        <v/>
      </c>
      <c r="D40" s="37">
        <f>VLOOKUP(B38,PROPONENTES!$B$10:$N$16,7,FALSE)</f>
        <v>0</v>
      </c>
      <c r="E40" s="55"/>
      <c r="F40" s="40"/>
      <c r="G40" s="40"/>
      <c r="H40" s="39"/>
      <c r="I40" s="40"/>
      <c r="J40" s="25" t="str">
        <f t="shared" si="0"/>
        <v/>
      </c>
      <c r="K40" s="36" t="str">
        <f t="shared" si="1"/>
        <v/>
      </c>
      <c r="L40" s="36" t="str">
        <f t="shared" si="6"/>
        <v/>
      </c>
      <c r="M40" s="59" t="str">
        <f t="shared" si="7"/>
        <v/>
      </c>
      <c r="N40" s="228"/>
      <c r="O40" s="350"/>
      <c r="P40" s="353"/>
    </row>
    <row r="41" spans="1:16" ht="16" x14ac:dyDescent="0.2">
      <c r="A41" s="322"/>
      <c r="B41" s="239"/>
      <c r="C41" s="25" t="str">
        <f>IF(VLOOKUP(B38,PROPONENTES!$B$10:$N$16,8,FALSE)="","",VLOOKUP(B38,PROPONENTES!$B$10:$N$16,8,FALSE))</f>
        <v/>
      </c>
      <c r="D41" s="37">
        <f>VLOOKUP(B38,PROPONENTES!$B$10:$N$16,9,FALSE)</f>
        <v>0</v>
      </c>
      <c r="E41" s="55"/>
      <c r="F41" s="40"/>
      <c r="G41" s="40"/>
      <c r="H41" s="39"/>
      <c r="I41" s="40"/>
      <c r="J41" s="25" t="str">
        <f t="shared" si="0"/>
        <v/>
      </c>
      <c r="K41" s="36" t="str">
        <f t="shared" si="1"/>
        <v/>
      </c>
      <c r="L41" s="36" t="str">
        <f t="shared" si="6"/>
        <v/>
      </c>
      <c r="M41" s="25" t="str">
        <f t="shared" si="7"/>
        <v/>
      </c>
      <c r="N41" s="228"/>
      <c r="O41" s="350"/>
      <c r="P41" s="353"/>
    </row>
    <row r="42" spans="1:16" ht="17" thickBot="1" x14ac:dyDescent="0.25">
      <c r="A42" s="323"/>
      <c r="B42" s="325"/>
      <c r="C42" s="49" t="str">
        <f>IF(VLOOKUP(B38,PROPONENTES!$B$10:$N$16,8,FALSE)="","",VLOOKUP(B38,PROPONENTES!$B$10:$N$16,10,FALSE))</f>
        <v/>
      </c>
      <c r="D42" s="50">
        <f>VLOOKUP(B38,PROPONENTES!$B$10:$N$16,11,FALSE)</f>
        <v>0</v>
      </c>
      <c r="E42" s="56"/>
      <c r="F42" s="51"/>
      <c r="G42" s="51"/>
      <c r="H42" s="52"/>
      <c r="I42" s="51"/>
      <c r="J42" s="49" t="str">
        <f t="shared" si="0"/>
        <v/>
      </c>
      <c r="K42" s="53" t="str">
        <f t="shared" si="1"/>
        <v/>
      </c>
      <c r="L42" s="53" t="str">
        <f t="shared" si="6"/>
        <v/>
      </c>
      <c r="M42" s="49" t="str">
        <f t="shared" si="7"/>
        <v/>
      </c>
      <c r="N42" s="348"/>
      <c r="O42" s="351"/>
      <c r="P42" s="354"/>
    </row>
    <row r="43" spans="1:16" ht="48" x14ac:dyDescent="0.2">
      <c r="A43" s="321">
        <v>7</v>
      </c>
      <c r="B43" s="324" t="str">
        <f>+PROPONENTES!B16</f>
        <v>CONSORCIO VIAS URBANAS</v>
      </c>
      <c r="C43" s="44" t="str">
        <f>IF(VLOOKUP(B43,PROPONENTES!$B$10:$N$16,2,FALSE)="","",VLOOKUP(B43,PROPONENTES!$B$10:$N$16,2,FALSE))</f>
        <v xml:space="preserve">CONSTRUCCIONES, DISEÑOS Y OBRAS CIVILES S.A.S </v>
      </c>
      <c r="D43" s="45">
        <f>VLOOKUP(B43,PROPONENTES!$B$10:$N$16,3,FALSE)</f>
        <v>0.5</v>
      </c>
      <c r="E43" s="54">
        <v>4.4000000000000004</v>
      </c>
      <c r="F43" s="46">
        <v>1953936784</v>
      </c>
      <c r="G43" s="46">
        <v>11553130875.139999</v>
      </c>
      <c r="H43" s="47">
        <v>11</v>
      </c>
      <c r="I43" s="46">
        <v>0</v>
      </c>
      <c r="J43" s="44" t="e">
        <f t="shared" si="0"/>
        <v>#DIV/0!</v>
      </c>
      <c r="K43" s="48">
        <f t="shared" si="1"/>
        <v>40</v>
      </c>
      <c r="L43" s="48">
        <f t="shared" si="6"/>
        <v>40</v>
      </c>
      <c r="M43" s="58" t="e">
        <f t="shared" si="7"/>
        <v>#DIV/0!</v>
      </c>
      <c r="N43" s="347" t="e">
        <f t="shared" ref="N43" si="20">SUM(M43:M47)</f>
        <v>#DIV/0!</v>
      </c>
      <c r="O43" s="349">
        <f t="shared" ref="O43" si="21">IF($G$9&lt;=12,$C$9-$G$10*$C$9,(($C$9-$G$10)/$G$9)*12)</f>
        <v>0</v>
      </c>
      <c r="P43" s="352" t="e">
        <f t="shared" ref="P43" si="22">IF(N43&gt;=O43,"CUMPLE","NO CUMPLE")</f>
        <v>#DIV/0!</v>
      </c>
    </row>
    <row r="44" spans="1:16" ht="16" x14ac:dyDescent="0.2">
      <c r="A44" s="322"/>
      <c r="B44" s="239"/>
      <c r="C44" s="25" t="str">
        <f>IF(VLOOKUP(B43,PROPONENTES!$B$10:$N$16,4,FALSE)="","",VLOOKUP(B43,PROPONENTES!$B$10:$N$16,4,FALSE))</f>
        <v xml:space="preserve">AXECOL SAS </v>
      </c>
      <c r="D44" s="37">
        <f>VLOOKUP(B43,PROPONENTES!$B$10:$N$16,5,FALSE)</f>
        <v>0.5</v>
      </c>
      <c r="E44" s="55">
        <v>2.81</v>
      </c>
      <c r="F44" s="40">
        <v>1742165766</v>
      </c>
      <c r="G44" s="40">
        <v>137270119527.75</v>
      </c>
      <c r="H44" s="39">
        <v>11</v>
      </c>
      <c r="I44" s="40">
        <v>0</v>
      </c>
      <c r="J44" s="25" t="e">
        <f t="shared" si="0"/>
        <v>#DIV/0!</v>
      </c>
      <c r="K44" s="36">
        <f t="shared" si="1"/>
        <v>40</v>
      </c>
      <c r="L44" s="36">
        <f t="shared" si="6"/>
        <v>40</v>
      </c>
      <c r="M44" s="59" t="e">
        <f t="shared" si="7"/>
        <v>#DIV/0!</v>
      </c>
      <c r="N44" s="228"/>
      <c r="O44" s="350"/>
      <c r="P44" s="353"/>
    </row>
    <row r="45" spans="1:16" ht="16" x14ac:dyDescent="0.2">
      <c r="A45" s="322"/>
      <c r="B45" s="239"/>
      <c r="C45" s="25" t="str">
        <f>IF(VLOOKUP(B43,PROPONENTES!$B$10:$N$16,6,FALSE)="","",VLOOKUP(B43,PROPONENTES!$B$10:$N$16,6,FALSE))</f>
        <v/>
      </c>
      <c r="D45" s="37">
        <f>VLOOKUP(B43,PROPONENTES!$B$10:$N$16,7,FALSE)</f>
        <v>0</v>
      </c>
      <c r="E45" s="55"/>
      <c r="F45" s="40"/>
      <c r="G45" s="40"/>
      <c r="H45" s="39"/>
      <c r="I45" s="40"/>
      <c r="J45" s="25" t="str">
        <f t="shared" si="0"/>
        <v/>
      </c>
      <c r="K45" s="36" t="str">
        <f t="shared" si="1"/>
        <v/>
      </c>
      <c r="L45" s="36" t="str">
        <f t="shared" si="6"/>
        <v/>
      </c>
      <c r="M45" s="59" t="str">
        <f t="shared" si="7"/>
        <v/>
      </c>
      <c r="N45" s="228"/>
      <c r="O45" s="350"/>
      <c r="P45" s="353"/>
    </row>
    <row r="46" spans="1:16" ht="16" x14ac:dyDescent="0.2">
      <c r="A46" s="322"/>
      <c r="B46" s="239"/>
      <c r="C46" s="25" t="str">
        <f>IF(VLOOKUP(B43,PROPONENTES!$B$10:$N$16,8,FALSE)="","",VLOOKUP(B43,PROPONENTES!$B$10:$N$16,8,FALSE))</f>
        <v/>
      </c>
      <c r="D46" s="37">
        <f>VLOOKUP(B43,PROPONENTES!$B$10:$N$16,9,FALSE)</f>
        <v>0</v>
      </c>
      <c r="E46" s="55"/>
      <c r="F46" s="40"/>
      <c r="G46" s="40"/>
      <c r="H46" s="39"/>
      <c r="I46" s="40"/>
      <c r="J46" s="25" t="str">
        <f t="shared" si="0"/>
        <v/>
      </c>
      <c r="K46" s="36" t="str">
        <f t="shared" si="1"/>
        <v/>
      </c>
      <c r="L46" s="36" t="str">
        <f t="shared" si="6"/>
        <v/>
      </c>
      <c r="M46" s="25" t="str">
        <f t="shared" si="7"/>
        <v/>
      </c>
      <c r="N46" s="228"/>
      <c r="O46" s="350"/>
      <c r="P46" s="353"/>
    </row>
    <row r="47" spans="1:16" ht="17" thickBot="1" x14ac:dyDescent="0.25">
      <c r="A47" s="323"/>
      <c r="B47" s="325"/>
      <c r="C47" s="49" t="str">
        <f>IF(VLOOKUP(B43,PROPONENTES!$B$10:$N$16,8,FALSE)="","",VLOOKUP(B43,PROPONENTES!$B$10:$N$16,10,FALSE))</f>
        <v/>
      </c>
      <c r="D47" s="50">
        <f>VLOOKUP(B43,PROPONENTES!$B$10:$N$16,11,FALSE)</f>
        <v>0</v>
      </c>
      <c r="E47" s="56"/>
      <c r="F47" s="51"/>
      <c r="G47" s="51"/>
      <c r="H47" s="52"/>
      <c r="I47" s="51"/>
      <c r="J47" s="49" t="str">
        <f t="shared" si="0"/>
        <v/>
      </c>
      <c r="K47" s="53" t="str">
        <f t="shared" si="1"/>
        <v/>
      </c>
      <c r="L47" s="53" t="str">
        <f t="shared" si="6"/>
        <v/>
      </c>
      <c r="M47" s="49" t="str">
        <f t="shared" si="7"/>
        <v/>
      </c>
      <c r="N47" s="348"/>
      <c r="O47" s="351"/>
      <c r="P47" s="354"/>
    </row>
    <row r="51" spans="6:8" ht="16" x14ac:dyDescent="0.2">
      <c r="F51" s="16" t="s">
        <v>134</v>
      </c>
      <c r="G51" s="125">
        <v>102730148</v>
      </c>
    </row>
    <row r="52" spans="6:8" ht="16" x14ac:dyDescent="0.2">
      <c r="F52" s="16" t="s">
        <v>135</v>
      </c>
      <c r="G52" s="125">
        <v>0</v>
      </c>
      <c r="H52" s="16" t="e">
        <f>G51/G52</f>
        <v>#DIV/0!</v>
      </c>
    </row>
  </sheetData>
  <mergeCells count="51">
    <mergeCell ref="B13:B17"/>
    <mergeCell ref="A13:A17"/>
    <mergeCell ref="A18:A22"/>
    <mergeCell ref="B18:B22"/>
    <mergeCell ref="A23:A27"/>
    <mergeCell ref="B23:B27"/>
    <mergeCell ref="A43:A47"/>
    <mergeCell ref="B43:B47"/>
    <mergeCell ref="A28:A32"/>
    <mergeCell ref="B28:B32"/>
    <mergeCell ref="A33:A37"/>
    <mergeCell ref="B33:B37"/>
    <mergeCell ref="A38:A42"/>
    <mergeCell ref="B38:B42"/>
    <mergeCell ref="N23:N27"/>
    <mergeCell ref="O23:O27"/>
    <mergeCell ref="P23:P27"/>
    <mergeCell ref="N28:N32"/>
    <mergeCell ref="O28:O32"/>
    <mergeCell ref="P28:P32"/>
    <mergeCell ref="N13:N17"/>
    <mergeCell ref="O13:O17"/>
    <mergeCell ref="P13:P17"/>
    <mergeCell ref="N18:N22"/>
    <mergeCell ref="O18:O22"/>
    <mergeCell ref="P18:P22"/>
    <mergeCell ref="N43:N47"/>
    <mergeCell ref="O43:O47"/>
    <mergeCell ref="P43:P47"/>
    <mergeCell ref="N33:N37"/>
    <mergeCell ref="O33:O37"/>
    <mergeCell ref="P33:P37"/>
    <mergeCell ref="N38:N42"/>
    <mergeCell ref="O38:O42"/>
    <mergeCell ref="P38:P42"/>
    <mergeCell ref="A9:B9"/>
    <mergeCell ref="A10:B10"/>
    <mergeCell ref="H9:P9"/>
    <mergeCell ref="H10:P10"/>
    <mergeCell ref="H6:P6"/>
    <mergeCell ref="C9:E9"/>
    <mergeCell ref="C10:E10"/>
    <mergeCell ref="C8:P8"/>
    <mergeCell ref="A7:P7"/>
    <mergeCell ref="A8:B8"/>
    <mergeCell ref="A2:P2"/>
    <mergeCell ref="A3:P3"/>
    <mergeCell ref="A4:P4"/>
    <mergeCell ref="A5:P5"/>
    <mergeCell ref="D6:F6"/>
    <mergeCell ref="A6:B6"/>
  </mergeCells>
  <conditionalFormatting sqref="P13">
    <cfRule type="cellIs" dxfId="1468" priority="4" operator="equal">
      <formula>"CUMPLE"</formula>
    </cfRule>
    <cfRule type="cellIs" dxfId="1467" priority="5" operator="equal">
      <formula>"NO CUMPLE"</formula>
    </cfRule>
    <cfRule type="cellIs" dxfId="1466" priority="6" operator="equal">
      <formula>"""CUMPLE"""</formula>
    </cfRule>
  </conditionalFormatting>
  <conditionalFormatting sqref="P18 P23 P28 P33 P38 P43">
    <cfRule type="cellIs" dxfId="1465" priority="1" operator="equal">
      <formula>"CUMPLE"</formula>
    </cfRule>
    <cfRule type="cellIs" dxfId="1464" priority="2" operator="equal">
      <formula>"NO CUMPLE"</formula>
    </cfRule>
    <cfRule type="cellIs" dxfId="1463" priority="3" operator="equal">
      <formula>"""CUMPLE"""</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84A52-442D-4E0C-A38E-0B2EA75E96FF}">
  <sheetPr>
    <tabColor rgb="FF92D050"/>
  </sheetPr>
  <dimension ref="B1:N82"/>
  <sheetViews>
    <sheetView view="pageBreakPreview" topLeftCell="B1" zoomScale="55" zoomScaleNormal="55" zoomScaleSheetLayoutView="55" workbookViewId="0">
      <pane ySplit="11" topLeftCell="A12" activePane="bottomLeft" state="frozenSplit"/>
      <selection activeCell="C11" sqref="C11:G11"/>
      <selection pane="bottomLeft" activeCell="C17" sqref="C17"/>
    </sheetView>
  </sheetViews>
  <sheetFormatPr baseColWidth="10" defaultColWidth="11.5" defaultRowHeight="15" x14ac:dyDescent="0.2"/>
  <cols>
    <col min="1" max="1" width="5.5" customWidth="1"/>
    <col min="2" max="2" width="65" customWidth="1"/>
    <col min="3" max="3" width="96.5" customWidth="1"/>
    <col min="4" max="4" width="37.6640625" customWidth="1"/>
    <col min="5" max="5" width="39"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+PROPONENTES!B11</f>
        <v>UNION TEMPORAL VIAL USAQUN 2024</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ASFALTEMOS SAS</v>
      </c>
      <c r="D15" s="101">
        <f>IF(VLOOKUP(C11,PROPONENTES!B10:N44,3,FALSE)=0,"",VLOOKUP(C11,PROPONENTES!B10:N44,3,FALSE))</f>
        <v>0.9</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11280.09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11280.09</v>
      </c>
      <c r="L15" s="265" t="str">
        <f>IF(K15&gt;=J15,"CUMPLE","NO CUMPLE")</f>
        <v>NO CUMPLE</v>
      </c>
    </row>
    <row r="16" spans="2:12" ht="33.75" customHeight="1" x14ac:dyDescent="0.2">
      <c r="B16" s="273"/>
      <c r="C16" s="100" t="str">
        <f>IF(VLOOKUP(C11,PROPONENTES!B10:N44,4,FALSE)=0,"",VLOOKUP(C11,PROPONENTES!B10:N44,4,FALSE))</f>
        <v xml:space="preserve">AGREGADOS MARTÍNEZ SAS </v>
      </c>
      <c r="D16" s="101">
        <f>IF(VLOOKUP(C11,PROPONENTES!B10:N44,5,FALSE)=0,"",VLOOKUP(C11,PROPONENTES!B10:N44,5,FALSE))</f>
        <v>0.1</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0</v>
      </c>
      <c r="F16" s="103" t="str">
        <f t="shared" si="1"/>
        <v>NO</v>
      </c>
      <c r="G16" s="104" t="str">
        <f t="shared" si="2"/>
        <v>NO APORTA EXPERIENCIA</v>
      </c>
      <c r="H16" s="104" t="str">
        <f>IF(C16="","",IF(AND(G16="NO APORTA EXPERIENCIA",D16&lt;=10%),"SI",IF(G16="SI","NO APLICA","NO - PORCENTAJE MAYOR AL 10%")))</f>
        <v>SI</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31144.709500000001</v>
      </c>
      <c r="J19" s="355">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11280.09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233</v>
      </c>
      <c r="E24" s="91" t="s">
        <v>233</v>
      </c>
      <c r="F24" s="91"/>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334</v>
      </c>
      <c r="E27" s="92" t="s">
        <v>335</v>
      </c>
      <c r="F27" s="92"/>
      <c r="G27" s="92"/>
      <c r="H27" s="92"/>
      <c r="I27" s="92"/>
      <c r="J27" s="92"/>
      <c r="K27" s="247"/>
      <c r="L27" s="248"/>
    </row>
    <row r="28" spans="2:14" ht="183.5" customHeight="1" x14ac:dyDescent="0.2">
      <c r="B28" s="277"/>
      <c r="C28" s="26" t="s">
        <v>36</v>
      </c>
      <c r="D28" s="92" t="s">
        <v>336</v>
      </c>
      <c r="E28" s="92" t="s">
        <v>337</v>
      </c>
      <c r="F28" s="92"/>
      <c r="G28" s="92"/>
      <c r="H28" s="92"/>
      <c r="I28" s="92"/>
      <c r="J28" s="92"/>
      <c r="K28" s="247"/>
      <c r="L28" s="248"/>
    </row>
    <row r="29" spans="2:14" ht="52.5" customHeight="1" x14ac:dyDescent="0.2">
      <c r="B29" s="277"/>
      <c r="C29" s="26" t="s">
        <v>172</v>
      </c>
      <c r="D29" s="96">
        <v>43808</v>
      </c>
      <c r="E29" s="96">
        <v>44907</v>
      </c>
      <c r="F29" s="96"/>
      <c r="G29" s="96"/>
      <c r="H29" s="96"/>
      <c r="I29" s="96"/>
      <c r="J29" s="96"/>
      <c r="K29" s="247"/>
      <c r="L29" s="248"/>
    </row>
    <row r="30" spans="2:14" ht="54.75" customHeight="1" x14ac:dyDescent="0.2">
      <c r="B30" s="277"/>
      <c r="C30" s="26" t="s">
        <v>40</v>
      </c>
      <c r="D30" s="96">
        <v>44269</v>
      </c>
      <c r="E30" s="96">
        <v>45253</v>
      </c>
      <c r="F30" s="96"/>
      <c r="G30" s="96"/>
      <c r="H30" s="96"/>
      <c r="I30" s="96"/>
      <c r="J30" s="96"/>
      <c r="K30" s="247"/>
      <c r="L30" s="248"/>
    </row>
    <row r="31" spans="2:14" ht="41.25" customHeight="1" x14ac:dyDescent="0.2">
      <c r="B31" s="277"/>
      <c r="C31" s="26" t="s">
        <v>37</v>
      </c>
      <c r="D31" s="93">
        <v>2021</v>
      </c>
      <c r="E31" s="93">
        <v>2023</v>
      </c>
      <c r="F31" s="93"/>
      <c r="G31" s="93"/>
      <c r="H31" s="93"/>
      <c r="I31" s="93"/>
      <c r="J31" s="93"/>
      <c r="K31" s="247"/>
      <c r="L31" s="248"/>
    </row>
    <row r="32" spans="2:14" ht="63" customHeight="1" x14ac:dyDescent="0.2">
      <c r="B32" s="277"/>
      <c r="C32" s="26" t="s">
        <v>38</v>
      </c>
      <c r="D32" s="92" t="s">
        <v>338</v>
      </c>
      <c r="E32" s="92" t="s">
        <v>339</v>
      </c>
      <c r="F32" s="92"/>
      <c r="G32" s="92"/>
      <c r="H32" s="92"/>
      <c r="I32" s="92"/>
      <c r="J32" s="92"/>
      <c r="K32" s="247"/>
      <c r="L32" s="248"/>
    </row>
    <row r="33" spans="2:12" ht="46.5" customHeight="1" x14ac:dyDescent="0.2">
      <c r="B33" s="277"/>
      <c r="C33" s="26" t="s">
        <v>39</v>
      </c>
      <c r="D33" s="92" t="s">
        <v>340</v>
      </c>
      <c r="E33" s="92" t="s">
        <v>233</v>
      </c>
      <c r="F33" s="92"/>
      <c r="G33" s="92"/>
      <c r="H33" s="92"/>
      <c r="I33" s="92"/>
      <c r="J33" s="92"/>
      <c r="K33" s="247"/>
      <c r="L33" s="248"/>
    </row>
    <row r="34" spans="2:12" ht="27.75" customHeight="1" x14ac:dyDescent="0.2">
      <c r="B34" s="277"/>
      <c r="C34" s="28" t="s">
        <v>33</v>
      </c>
      <c r="D34" s="97">
        <v>46</v>
      </c>
      <c r="E34" s="97">
        <v>56</v>
      </c>
      <c r="F34" s="97"/>
      <c r="G34" s="98"/>
      <c r="H34" s="98"/>
      <c r="I34" s="98"/>
      <c r="J34" s="98"/>
      <c r="K34" s="247"/>
      <c r="L34" s="248"/>
    </row>
    <row r="35" spans="2:12" ht="102.75" customHeight="1" x14ac:dyDescent="0.2">
      <c r="B35" s="277"/>
      <c r="C35" s="26" t="s">
        <v>118</v>
      </c>
      <c r="D35" s="94">
        <v>36117.49</v>
      </c>
      <c r="E35" s="94">
        <v>11280.09</v>
      </c>
      <c r="F35" s="94"/>
      <c r="G35" s="94"/>
      <c r="H35" s="94"/>
      <c r="I35" s="94"/>
      <c r="J35" s="94"/>
      <c r="K35" s="279"/>
      <c r="L35" s="280"/>
    </row>
    <row r="36" spans="2:12" ht="48" customHeight="1" x14ac:dyDescent="0.2">
      <c r="B36" s="277"/>
      <c r="C36" s="26" t="s">
        <v>74</v>
      </c>
      <c r="D36" s="105">
        <f>IFERROR(D35*VLOOKUP(D31,'DATOS INICIALES'!$A$12:$B$44,2,0),"0")</f>
        <v>32813678719.739998</v>
      </c>
      <c r="E36" s="105">
        <f>IFERROR(E35*VLOOKUP(E31,'DATOS INICIALES'!$A$12:$B$44,2,0),"0")</f>
        <v>13084904400</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0.55000000000000004</v>
      </c>
      <c r="E37" s="95">
        <v>1</v>
      </c>
      <c r="F37" s="95"/>
      <c r="G37" s="95"/>
      <c r="H37" s="95"/>
      <c r="I37" s="95"/>
      <c r="J37" s="95"/>
      <c r="K37" s="247"/>
      <c r="L37" s="248"/>
    </row>
    <row r="38" spans="2:12" ht="48.75" customHeight="1" x14ac:dyDescent="0.2">
      <c r="B38" s="277"/>
      <c r="C38" s="26" t="s">
        <v>125</v>
      </c>
      <c r="D38" s="105">
        <f t="shared" ref="D38:J38" si="3">IF(D24="","0",D37*D36)</f>
        <v>18047523295.856998</v>
      </c>
      <c r="E38" s="105">
        <f t="shared" si="3"/>
        <v>13084904400</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19864.619500000001</v>
      </c>
      <c r="E39" s="106">
        <f t="shared" si="4"/>
        <v>11280.09</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77</v>
      </c>
      <c r="E50" s="97" t="s">
        <v>77</v>
      </c>
      <c r="F50" s="97"/>
      <c r="G50" s="97"/>
      <c r="H50" s="97"/>
      <c r="I50" s="97"/>
      <c r="J50" s="98"/>
      <c r="K50" s="247"/>
      <c r="L50" s="248"/>
    </row>
    <row r="51" spans="2:12" ht="24.75" customHeight="1" x14ac:dyDescent="0.2">
      <c r="B51" s="285"/>
      <c r="C51" s="29">
        <f>+'DATOS INICIALES'!D26</f>
        <v>721527</v>
      </c>
      <c r="D51" s="97" t="s">
        <v>77</v>
      </c>
      <c r="E51" s="97" t="s">
        <v>77</v>
      </c>
      <c r="F51" s="97"/>
      <c r="G51" s="97"/>
      <c r="H51" s="97"/>
      <c r="I51" s="97"/>
      <c r="J51" s="98"/>
      <c r="K51" s="247"/>
      <c r="L51" s="248"/>
    </row>
    <row r="52" spans="2:12" ht="24.75" customHeight="1" x14ac:dyDescent="0.2">
      <c r="B52" s="285"/>
      <c r="C52" s="29">
        <f>+'DATOS INICIALES'!D27</f>
        <v>721539</v>
      </c>
      <c r="D52" s="97" t="s">
        <v>77</v>
      </c>
      <c r="E52" s="97" t="s">
        <v>77</v>
      </c>
      <c r="F52" s="97"/>
      <c r="G52" s="97"/>
      <c r="H52" s="97"/>
      <c r="I52" s="97"/>
      <c r="J52" s="98"/>
      <c r="K52" s="247"/>
      <c r="L52" s="248"/>
    </row>
    <row r="53" spans="2:12" ht="24.75" customHeight="1" x14ac:dyDescent="0.2">
      <c r="B53" s="285"/>
      <c r="C53" s="29">
        <f>+'DATOS INICIALES'!D28</f>
        <v>951115</v>
      </c>
      <c r="D53" s="97" t="s">
        <v>75</v>
      </c>
      <c r="E53" s="97" t="s">
        <v>75</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N/A</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14</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NO 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N/A</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462" priority="17">
      <formula>LEN(TRIM(D25))=0</formula>
    </cfRule>
    <cfRule type="notContainsErrors" dxfId="1461" priority="18">
      <formula>NOT(ISERROR(D25))</formula>
    </cfRule>
  </conditionalFormatting>
  <conditionalFormatting sqref="D34:J34 D24:K24">
    <cfRule type="containsBlanks" dxfId="1460" priority="19">
      <formula>LEN(TRIM(D24))=0</formula>
    </cfRule>
  </conditionalFormatting>
  <conditionalFormatting sqref="D37:J37">
    <cfRule type="containsBlanks" dxfId="1459" priority="15">
      <formula>LEN(TRIM(D37))=0</formula>
    </cfRule>
    <cfRule type="notContainsErrors" dxfId="1458" priority="16">
      <formula>NOT(ISERROR(D37))</formula>
    </cfRule>
  </conditionalFormatting>
  <conditionalFormatting sqref="D40:J40">
    <cfRule type="containsBlanks" dxfId="1457" priority="13">
      <formula>LEN(TRIM(D40))=0</formula>
    </cfRule>
    <cfRule type="notContainsErrors" dxfId="1456" priority="14">
      <formula>NOT(ISERROR(D40))</formula>
    </cfRule>
  </conditionalFormatting>
  <conditionalFormatting sqref="D43:J43 K66:L66">
    <cfRule type="containsBlanks" dxfId="1455" priority="23">
      <formula>LEN(TRIM(D43))=0</formula>
    </cfRule>
    <cfRule type="notContainsErrors" dxfId="1454" priority="24">
      <formula>NOT(ISERROR(D43))</formula>
    </cfRule>
  </conditionalFormatting>
  <conditionalFormatting sqref="D46:J54">
    <cfRule type="cellIs" dxfId="1453" priority="9" operator="equal">
      <formula>"NO CUMPLE"</formula>
    </cfRule>
    <cfRule type="cellIs" dxfId="1452" priority="10" operator="equal">
      <formula>"CUMPLE"</formula>
    </cfRule>
    <cfRule type="containsBlanks" dxfId="1451" priority="11">
      <formula>LEN(TRIM(D46))=0</formula>
    </cfRule>
    <cfRule type="notContainsErrors" dxfId="1450" priority="12">
      <formula>NOT(ISERROR(D46))</formula>
    </cfRule>
  </conditionalFormatting>
  <conditionalFormatting sqref="D55:J55">
    <cfRule type="cellIs" dxfId="1449" priority="35" operator="equal">
      <formula>"""CUMPLE"""</formula>
    </cfRule>
    <cfRule type="cellIs" dxfId="1448" priority="34" operator="equal">
      <formula>"NO CUMPLE"</formula>
    </cfRule>
    <cfRule type="cellIs" dxfId="1447" priority="33" operator="equal">
      <formula>"CUMPLE"</formula>
    </cfRule>
    <cfRule type="cellIs" dxfId="1446" priority="29" operator="equal">
      <formula>"N/A"</formula>
    </cfRule>
  </conditionalFormatting>
  <conditionalFormatting sqref="D56:J65">
    <cfRule type="cellIs" dxfId="1445" priority="5" operator="equal">
      <formula>"NO CUMPLE"</formula>
    </cfRule>
    <cfRule type="cellIs" dxfId="1444" priority="6" operator="equal">
      <formula>"CUMPLE"</formula>
    </cfRule>
    <cfRule type="containsBlanks" dxfId="1443" priority="7">
      <formula>LEN(TRIM(D56))=0</formula>
    </cfRule>
    <cfRule type="notContainsErrors" dxfId="1442" priority="8">
      <formula>NOT(ISERROR(D56))</formula>
    </cfRule>
  </conditionalFormatting>
  <conditionalFormatting sqref="D66:J66">
    <cfRule type="cellIs" dxfId="1441" priority="26" operator="equal">
      <formula>"CUMPLE"</formula>
    </cfRule>
    <cfRule type="cellIs" dxfId="1440" priority="27" operator="equal">
      <formula>"NO CUMPLE"</formula>
    </cfRule>
    <cfRule type="cellIs" dxfId="1439" priority="28" operator="equal">
      <formula>"""CUMPLE"""</formula>
    </cfRule>
    <cfRule type="cellIs" dxfId="1438" priority="25" operator="equal">
      <formula>"N/A"</formula>
    </cfRule>
  </conditionalFormatting>
  <conditionalFormatting sqref="D67:J67">
    <cfRule type="cellIs" dxfId="1437" priority="1" operator="equal">
      <formula>"NO CUMPLE"</formula>
    </cfRule>
    <cfRule type="cellIs" dxfId="1436" priority="2" operator="equal">
      <formula>"CUMPLE"</formula>
    </cfRule>
  </conditionalFormatting>
  <conditionalFormatting sqref="D24:K24 D34:J34">
    <cfRule type="notContainsErrors" dxfId="1435" priority="20">
      <formula>NOT(ISERROR(D24))</formula>
    </cfRule>
  </conditionalFormatting>
  <conditionalFormatting sqref="D67:K67">
    <cfRule type="notContainsErrors" dxfId="1434" priority="4">
      <formula>NOT(ISERROR(D67))</formula>
    </cfRule>
    <cfRule type="containsBlanks" dxfId="1433" priority="3">
      <formula>LEN(TRIM(D67))=0</formula>
    </cfRule>
  </conditionalFormatting>
  <conditionalFormatting sqref="F20:H20">
    <cfRule type="cellIs" dxfId="1432" priority="39" operator="equal">
      <formula>"CUMPLE"</formula>
    </cfRule>
    <cfRule type="cellIs" dxfId="1431" priority="40" operator="equal">
      <formula>"NO CUMPLE"</formula>
    </cfRule>
    <cfRule type="cellIs" dxfId="1430" priority="41" operator="equal">
      <formula>"""CUMPLE"""</formula>
    </cfRule>
  </conditionalFormatting>
  <conditionalFormatting sqref="I11">
    <cfRule type="containsText" dxfId="1429" priority="42" operator="containsText" text="INHABILITADO">
      <formula>NOT(ISERROR(SEARCH("INHABILITADO",I11)))</formula>
    </cfRule>
    <cfRule type="containsText" dxfId="1428" priority="43" operator="containsText" text="HABILITADO">
      <formula>NOT(ISERROR(SEARCH("HABILITADO",I11)))</formula>
    </cfRule>
    <cfRule type="containsText" dxfId="1427" priority="44" operator="containsText" text="HABILITADO">
      <formula>NOT(ISERROR(SEARCH("HABILITADO",I11)))</formula>
    </cfRule>
    <cfRule type="containsText" dxfId="1426" priority="45" operator="containsText" text="NO CUMPLE">
      <formula>NOT(ISERROR(SEARCH("NO CUMPLE",I11)))</formula>
    </cfRule>
  </conditionalFormatting>
  <conditionalFormatting sqref="K19">
    <cfRule type="cellIs" dxfId="1425" priority="30" operator="equal">
      <formula>"CUMPLE"</formula>
    </cfRule>
    <cfRule type="cellIs" dxfId="1424" priority="31" operator="equal">
      <formula>"NO CUMPLE"</formula>
    </cfRule>
    <cfRule type="cellIs" dxfId="1423" priority="32" operator="equal">
      <formula>"""CUMPLE"""</formula>
    </cfRule>
  </conditionalFormatting>
  <conditionalFormatting sqref="K25:K65">
    <cfRule type="notContainsErrors" dxfId="1422" priority="22">
      <formula>NOT(ISERROR(K25))</formula>
    </cfRule>
    <cfRule type="containsBlanks" dxfId="1421" priority="21">
      <formula>LEN(TRIM(K25))=0</formula>
    </cfRule>
  </conditionalFormatting>
  <conditionalFormatting sqref="L15">
    <cfRule type="cellIs" dxfId="1420" priority="36" operator="equal">
      <formula>"CUMPLE"</formula>
    </cfRule>
    <cfRule type="cellIs" dxfId="1419" priority="37" operator="equal">
      <formula>"NO CUMPLE"</formula>
    </cfRule>
    <cfRule type="cellIs" dxfId="1418" priority="38" operator="equal">
      <formula>"""CUMPLE"""</formula>
    </cfRule>
  </conditionalFormatting>
  <dataValidations count="3">
    <dataValidation type="list" allowBlank="1" showInputMessage="1" showErrorMessage="1" sqref="L58:L66" xr:uid="{578D76CA-4D4C-4B0E-B30A-FCEBF3A185F5}">
      <formula1>"0,1,2,3,4,5,6"</formula1>
    </dataValidation>
    <dataValidation type="list" allowBlank="1" showInputMessage="1" showErrorMessage="1" sqref="D24:J26" xr:uid="{8058EC57-F2B8-4603-A7D5-6A5F514524E8}">
      <formula1>$C$15:$C$19</formula1>
    </dataValidation>
    <dataValidation type="list" allowBlank="1" showInputMessage="1" showErrorMessage="1" sqref="D67:I67" xr:uid="{CAC41271-A1E2-4AE5-BE3B-03E7AA2A8196}">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44D44A0B-9E35-4F9A-B761-90A8F9410749}">
          <x14:formula1>
            <xm:f>'DATOS INICIALES'!$C$48:$C$49</xm:f>
          </x14:formula1>
          <xm:sqref>J47:J52 D47:I54</xm:sqref>
        </x14:dataValidation>
        <x14:dataValidation type="list" allowBlank="1" showInputMessage="1" showErrorMessage="1" xr:uid="{03F5371A-2FE6-4B9E-BE4C-FC04D6ED28A2}">
          <x14:formula1>
            <xm:f>'DATOS INICIALES'!$A$53:$A$55</xm:f>
          </x14:formula1>
          <xm:sqref>D56:I58 D59:J65 J56:J57 D46:J46</xm:sqref>
        </x14:dataValidation>
        <x14:dataValidation type="list" allowBlank="1" showInputMessage="1" showErrorMessage="1" xr:uid="{B6A0A002-B793-401D-AC66-1F5336297991}">
          <x14:formula1>
            <xm:f>'DATOS INICIALES'!$A$57:$A$62</xm:f>
          </x14:formula1>
          <xm:sqref>D23:I23</xm:sqref>
        </x14:dataValidation>
        <x14:dataValidation type="list" allowBlank="1" showInputMessage="1" showErrorMessage="1" xr:uid="{E841255B-B4BB-454B-8ECC-29A5C4D266E7}">
          <x14:formula1>
            <xm:f>'DATOS INICIALES'!$D$22:$D$26</xm:f>
          </x14:formula1>
          <xm:sqref>M47:M55</xm:sqref>
        </x14:dataValidation>
        <x14:dataValidation type="list" allowBlank="1" showInputMessage="1" showErrorMessage="1" xr:uid="{DA95CA9A-DBB2-4429-B567-E86F6EA771B1}">
          <x14:formula1>
            <xm:f>'DATOS INICIALES'!$A$13:$A$44</xm:f>
          </x14:formula1>
          <xm:sqref>D31:I31</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2BB16-0659-4BC3-A990-EEDE996E76EF}">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G65" sqref="G65"/>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+PROPONENTES!B12</f>
        <v>CONSORCIO CCU</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CLAUDIA STELLA CARVAJAL PINEDA</v>
      </c>
      <c r="D15" s="101">
        <f>IF(VLOOKUP(C11,PROPONENTES!B10:N44,3,FALSE)=0,"",VLOOKUP(C11,PROPONENTES!B10:N44,3,FALSE))</f>
        <v>0.4</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1588.9589999999998</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316">
        <v>3</v>
      </c>
      <c r="J15" s="264">
        <f>IF(AND(I15&gt;=1,I15&lt;=2),L8,IF(AND(I15&gt;=3,I15&lt;=4),L9,IF(AND(I15&gt;=5,I15&lt;=7),L10)))</f>
        <v>18919.917519692306</v>
      </c>
      <c r="K15" s="264">
        <f>+E20</f>
        <v>26365.83</v>
      </c>
      <c r="L15" s="265" t="str">
        <f>IF(K15&gt;=J15,"CUMPLE","NO CUMPLE")</f>
        <v>CUMPLE</v>
      </c>
    </row>
    <row r="16" spans="2:12" ht="33.75" customHeight="1" x14ac:dyDescent="0.2">
      <c r="B16" s="273"/>
      <c r="C16" s="100" t="str">
        <f>IF(VLOOKUP(C11,PROPONENTES!B10:N44,4,FALSE)=0,"",VLOOKUP(C11,PROPONENTES!B10:N44,4,FALSE))</f>
        <v>C.C.P INGENIEROS S.A.S</v>
      </c>
      <c r="D16" s="101">
        <f>IF(VLOOKUP(C11,PROPONENTES!B10:N44,5,FALSE)=0,"",VLOOKUP(C11,PROPONENTES!B10:N44,5,FALSE))</f>
        <v>0.6</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24776.871000000003</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26365.83</v>
      </c>
      <c r="J19" s="355">
        <f>IF(I15="","",VLOOKUP(I15,$D$76:$E$82,2,FALSE))</f>
        <v>18919.917519692306</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26365.83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236</v>
      </c>
      <c r="E24" s="91" t="s">
        <v>235</v>
      </c>
      <c r="F24" s="91" t="s">
        <v>236</v>
      </c>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341</v>
      </c>
      <c r="E27" s="92" t="s">
        <v>342</v>
      </c>
      <c r="F27" s="92" t="s">
        <v>343</v>
      </c>
      <c r="G27" s="92"/>
      <c r="H27" s="92"/>
      <c r="I27" s="92"/>
      <c r="J27" s="92"/>
      <c r="K27" s="247"/>
      <c r="L27" s="248"/>
    </row>
    <row r="28" spans="2:14" ht="212.5" customHeight="1" x14ac:dyDescent="0.2">
      <c r="B28" s="277"/>
      <c r="C28" s="26" t="s">
        <v>36</v>
      </c>
      <c r="D28" s="92" t="s">
        <v>344</v>
      </c>
      <c r="E28" s="92" t="s">
        <v>345</v>
      </c>
      <c r="F28" s="92" t="s">
        <v>346</v>
      </c>
      <c r="G28" s="92"/>
      <c r="H28" s="92"/>
      <c r="I28" s="92"/>
      <c r="J28" s="92"/>
      <c r="K28" s="247"/>
      <c r="L28" s="248"/>
    </row>
    <row r="29" spans="2:14" ht="52.5" customHeight="1" x14ac:dyDescent="0.2">
      <c r="B29" s="277"/>
      <c r="C29" s="26" t="s">
        <v>172</v>
      </c>
      <c r="D29" s="96">
        <v>43906</v>
      </c>
      <c r="E29" s="96">
        <v>42552</v>
      </c>
      <c r="F29" s="96">
        <v>43312</v>
      </c>
      <c r="G29" s="96"/>
      <c r="H29" s="96"/>
      <c r="I29" s="96"/>
      <c r="J29" s="96"/>
      <c r="K29" s="247"/>
      <c r="L29" s="248"/>
    </row>
    <row r="30" spans="2:14" ht="54.75" customHeight="1" x14ac:dyDescent="0.2">
      <c r="B30" s="277"/>
      <c r="C30" s="26" t="s">
        <v>40</v>
      </c>
      <c r="D30" s="96">
        <v>44426</v>
      </c>
      <c r="E30" s="96">
        <v>42906</v>
      </c>
      <c r="F30" s="96">
        <v>43465</v>
      </c>
      <c r="G30" s="96"/>
      <c r="H30" s="96"/>
      <c r="I30" s="96"/>
      <c r="J30" s="96"/>
      <c r="K30" s="247"/>
      <c r="L30" s="248"/>
    </row>
    <row r="31" spans="2:14" ht="41.25" customHeight="1" x14ac:dyDescent="0.2">
      <c r="B31" s="277"/>
      <c r="C31" s="26" t="s">
        <v>37</v>
      </c>
      <c r="D31" s="93">
        <v>2021</v>
      </c>
      <c r="E31" s="93">
        <v>2017</v>
      </c>
      <c r="F31" s="93">
        <v>2018</v>
      </c>
      <c r="G31" s="93"/>
      <c r="H31" s="93"/>
      <c r="I31" s="93"/>
      <c r="J31" s="93"/>
      <c r="K31" s="247"/>
      <c r="L31" s="248"/>
    </row>
    <row r="32" spans="2:14" ht="88.25" customHeight="1" x14ac:dyDescent="0.2">
      <c r="B32" s="277"/>
      <c r="C32" s="26" t="s">
        <v>38</v>
      </c>
      <c r="D32" s="92" t="s">
        <v>347</v>
      </c>
      <c r="E32" s="92" t="s">
        <v>348</v>
      </c>
      <c r="F32" s="92" t="s">
        <v>347</v>
      </c>
      <c r="G32" s="92"/>
      <c r="H32" s="92"/>
      <c r="I32" s="92"/>
      <c r="J32" s="92"/>
      <c r="K32" s="247"/>
      <c r="L32" s="248"/>
    </row>
    <row r="33" spans="2:12" ht="46.5" customHeight="1" x14ac:dyDescent="0.2">
      <c r="B33" s="277"/>
      <c r="C33" s="26" t="s">
        <v>39</v>
      </c>
      <c r="D33" s="92" t="s">
        <v>349</v>
      </c>
      <c r="E33" s="92" t="s">
        <v>350</v>
      </c>
      <c r="F33" s="92" t="s">
        <v>351</v>
      </c>
      <c r="G33" s="92"/>
      <c r="H33" s="92"/>
      <c r="I33" s="92"/>
      <c r="J33" s="92"/>
      <c r="K33" s="247"/>
      <c r="L33" s="248"/>
    </row>
    <row r="34" spans="2:12" ht="27.75" customHeight="1" x14ac:dyDescent="0.2">
      <c r="B34" s="277"/>
      <c r="C34" s="28" t="s">
        <v>33</v>
      </c>
      <c r="D34" s="97">
        <v>8</v>
      </c>
      <c r="E34" s="97">
        <v>11</v>
      </c>
      <c r="F34" s="97">
        <v>13</v>
      </c>
      <c r="G34" s="98"/>
      <c r="H34" s="98"/>
      <c r="I34" s="98"/>
      <c r="J34" s="98"/>
      <c r="K34" s="247"/>
      <c r="L34" s="248"/>
    </row>
    <row r="35" spans="2:12" ht="102.75" customHeight="1" x14ac:dyDescent="0.2">
      <c r="B35" s="277"/>
      <c r="C35" s="26" t="s">
        <v>118</v>
      </c>
      <c r="D35" s="94">
        <v>37670.76</v>
      </c>
      <c r="E35" s="94">
        <v>5296.53</v>
      </c>
      <c r="F35" s="94">
        <v>4348.83</v>
      </c>
      <c r="G35" s="94"/>
      <c r="H35" s="94"/>
      <c r="I35" s="94"/>
      <c r="J35" s="94"/>
      <c r="K35" s="279"/>
      <c r="L35" s="280"/>
    </row>
    <row r="36" spans="2:12" ht="48" customHeight="1" x14ac:dyDescent="0.2">
      <c r="B36" s="277"/>
      <c r="C36" s="26" t="s">
        <v>74</v>
      </c>
      <c r="D36" s="105">
        <f>IFERROR(D35*VLOOKUP(D31,'DATOS INICIALES'!$A$12:$B$44,2,0),"0")</f>
        <v>34224864899.760002</v>
      </c>
      <c r="E36" s="105">
        <f>IFERROR(E35*VLOOKUP(E31,'DATOS INICIALES'!$A$12:$B$44,2,0),"0")</f>
        <v>3907340222.0099998</v>
      </c>
      <c r="F36" s="105">
        <f>IFERROR(F35*VLOOKUP(F31,'DATOS INICIALES'!$A$12:$B$44,2,0),"0")</f>
        <v>3397488646.8600001</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0.6</v>
      </c>
      <c r="E37" s="95">
        <v>0.3</v>
      </c>
      <c r="F37" s="95">
        <v>0.5</v>
      </c>
      <c r="G37" s="95"/>
      <c r="H37" s="95"/>
      <c r="I37" s="95"/>
      <c r="J37" s="95"/>
      <c r="K37" s="247"/>
      <c r="L37" s="248"/>
    </row>
    <row r="38" spans="2:12" ht="48.75" customHeight="1" x14ac:dyDescent="0.2">
      <c r="B38" s="277"/>
      <c r="C38" s="26" t="s">
        <v>125</v>
      </c>
      <c r="D38" s="105">
        <f t="shared" ref="D38:J38" si="3">IF(D24="","0",D37*D36)</f>
        <v>20534918939.855999</v>
      </c>
      <c r="E38" s="105">
        <f t="shared" si="3"/>
        <v>1172202066.6029999</v>
      </c>
      <c r="F38" s="105">
        <f t="shared" si="3"/>
        <v>1698744323.4300001</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22602.456000000002</v>
      </c>
      <c r="E39" s="106">
        <f t="shared" si="4"/>
        <v>1588.9589999999998</v>
      </c>
      <c r="F39" s="106">
        <f t="shared" si="4"/>
        <v>2174.415</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c r="H46" s="91"/>
      <c r="I46" s="91"/>
      <c r="J46" s="91"/>
      <c r="K46" s="247"/>
      <c r="L46" s="248"/>
    </row>
    <row r="47" spans="2:12" ht="24.75" customHeight="1" x14ac:dyDescent="0.2">
      <c r="B47" s="284" t="s">
        <v>34</v>
      </c>
      <c r="C47" s="29">
        <f>+'DATOS INICIALES'!D22</f>
        <v>721033</v>
      </c>
      <c r="D47" s="97" t="s">
        <v>77</v>
      </c>
      <c r="E47" s="97" t="s">
        <v>77</v>
      </c>
      <c r="F47" s="97" t="s">
        <v>77</v>
      </c>
      <c r="G47" s="97"/>
      <c r="H47" s="97"/>
      <c r="I47" s="97"/>
      <c r="J47" s="98"/>
      <c r="K47" s="247"/>
      <c r="L47" s="248"/>
    </row>
    <row r="48" spans="2:12" ht="24.75" customHeight="1" x14ac:dyDescent="0.2">
      <c r="B48" s="285"/>
      <c r="C48" s="29">
        <f>+'DATOS INICIALES'!D23</f>
        <v>721410</v>
      </c>
      <c r="D48" s="97" t="s">
        <v>77</v>
      </c>
      <c r="E48" s="97" t="s">
        <v>77</v>
      </c>
      <c r="F48" s="97" t="s">
        <v>77</v>
      </c>
      <c r="G48" s="97"/>
      <c r="H48" s="97"/>
      <c r="I48" s="97"/>
      <c r="J48" s="98"/>
      <c r="K48" s="247"/>
      <c r="L48" s="248"/>
    </row>
    <row r="49" spans="2:12" ht="24.75" customHeight="1" x14ac:dyDescent="0.2">
      <c r="B49" s="285"/>
      <c r="C49" s="29">
        <f>+'DATOS INICIALES'!D24</f>
        <v>721411</v>
      </c>
      <c r="D49" s="97" t="s">
        <v>77</v>
      </c>
      <c r="E49" s="97" t="s">
        <v>77</v>
      </c>
      <c r="F49" s="97" t="s">
        <v>77</v>
      </c>
      <c r="G49" s="97"/>
      <c r="H49" s="97"/>
      <c r="I49" s="97"/>
      <c r="J49" s="98"/>
      <c r="K49" s="247"/>
      <c r="L49" s="248"/>
    </row>
    <row r="50" spans="2:12" ht="24.75" customHeight="1" x14ac:dyDescent="0.2">
      <c r="B50" s="285"/>
      <c r="C50" s="29">
        <f>+'DATOS INICIALES'!D25</f>
        <v>721416</v>
      </c>
      <c r="D50" s="97" t="s">
        <v>77</v>
      </c>
      <c r="E50" s="97" t="s">
        <v>77</v>
      </c>
      <c r="F50" s="97" t="s">
        <v>77</v>
      </c>
      <c r="G50" s="97"/>
      <c r="H50" s="97"/>
      <c r="I50" s="97"/>
      <c r="J50" s="98"/>
      <c r="K50" s="247"/>
      <c r="L50" s="248"/>
    </row>
    <row r="51" spans="2:12" ht="24.75" customHeight="1" x14ac:dyDescent="0.2">
      <c r="B51" s="285"/>
      <c r="C51" s="29">
        <f>+'DATOS INICIALES'!D26</f>
        <v>721527</v>
      </c>
      <c r="D51" s="97" t="s">
        <v>77</v>
      </c>
      <c r="E51" s="97" t="s">
        <v>77</v>
      </c>
      <c r="F51" s="97" t="s">
        <v>77</v>
      </c>
      <c r="G51" s="97"/>
      <c r="H51" s="97"/>
      <c r="I51" s="97"/>
      <c r="J51" s="98"/>
      <c r="K51" s="247"/>
      <c r="L51" s="248"/>
    </row>
    <row r="52" spans="2:12" ht="24.75" customHeight="1" x14ac:dyDescent="0.2">
      <c r="B52" s="285"/>
      <c r="C52" s="29">
        <f>+'DATOS INICIALES'!D27</f>
        <v>721539</v>
      </c>
      <c r="D52" s="97" t="s">
        <v>77</v>
      </c>
      <c r="E52" s="97" t="s">
        <v>77</v>
      </c>
      <c r="F52" s="97" t="s">
        <v>77</v>
      </c>
      <c r="G52" s="97"/>
      <c r="H52" s="97"/>
      <c r="I52" s="97"/>
      <c r="J52" s="98"/>
      <c r="K52" s="247"/>
      <c r="L52" s="248"/>
    </row>
    <row r="53" spans="2:12" ht="24.75" customHeight="1" x14ac:dyDescent="0.2">
      <c r="B53" s="285"/>
      <c r="C53" s="29">
        <f>+'DATOS INICIALES'!D28</f>
        <v>951115</v>
      </c>
      <c r="D53" s="97" t="s">
        <v>77</v>
      </c>
      <c r="E53" s="97" t="s">
        <v>77</v>
      </c>
      <c r="F53" s="97" t="s">
        <v>77</v>
      </c>
      <c r="G53" s="97"/>
      <c r="H53" s="97"/>
      <c r="I53" s="97"/>
      <c r="J53" s="97"/>
      <c r="K53" s="247"/>
      <c r="L53" s="248"/>
    </row>
    <row r="54" spans="2:12" ht="24.75" customHeight="1" x14ac:dyDescent="0.2">
      <c r="B54" s="285"/>
      <c r="C54" s="29">
        <f>+'DATOS INICIALES'!D29</f>
        <v>721033</v>
      </c>
      <c r="D54" s="97" t="s">
        <v>77</v>
      </c>
      <c r="E54" s="97" t="s">
        <v>77</v>
      </c>
      <c r="F54" s="97" t="s">
        <v>77</v>
      </c>
      <c r="G54" s="97"/>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CUMPLE</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t="s">
        <v>13</v>
      </c>
      <c r="G56" s="91"/>
      <c r="H56" s="91"/>
      <c r="I56" s="91"/>
      <c r="J56" s="91"/>
      <c r="K56" s="257"/>
      <c r="L56" s="258"/>
    </row>
    <row r="57" spans="2:12" ht="103.25" customHeight="1" x14ac:dyDescent="0.2">
      <c r="B57" s="287" t="s">
        <v>190</v>
      </c>
      <c r="C57" s="288"/>
      <c r="D57" s="91" t="s">
        <v>13</v>
      </c>
      <c r="E57" s="91" t="s">
        <v>13</v>
      </c>
      <c r="F57" s="91" t="s">
        <v>13</v>
      </c>
      <c r="G57" s="91"/>
      <c r="H57" s="91"/>
      <c r="I57" s="91"/>
      <c r="J57" s="91"/>
      <c r="K57" s="257"/>
      <c r="L57" s="258"/>
    </row>
    <row r="58" spans="2:12" ht="72" customHeight="1" x14ac:dyDescent="0.2">
      <c r="B58" s="281" t="s">
        <v>191</v>
      </c>
      <c r="C58" s="282"/>
      <c r="D58" s="91" t="s">
        <v>13</v>
      </c>
      <c r="E58" s="91" t="s">
        <v>13</v>
      </c>
      <c r="F58" s="91" t="s">
        <v>13</v>
      </c>
      <c r="G58" s="91"/>
      <c r="H58" s="91"/>
      <c r="I58" s="91"/>
      <c r="J58" s="91"/>
      <c r="K58" s="247"/>
      <c r="L58" s="248"/>
    </row>
    <row r="59" spans="2:12" ht="42.5" customHeight="1" x14ac:dyDescent="0.2">
      <c r="B59" s="281" t="s">
        <v>192</v>
      </c>
      <c r="C59" s="282"/>
      <c r="D59" s="91" t="s">
        <v>13</v>
      </c>
      <c r="E59" s="91" t="s">
        <v>13</v>
      </c>
      <c r="F59" s="91" t="s">
        <v>13</v>
      </c>
      <c r="G59" s="91"/>
      <c r="H59" s="91"/>
      <c r="I59" s="91"/>
      <c r="J59" s="91"/>
      <c r="K59" s="247"/>
      <c r="L59" s="248"/>
    </row>
    <row r="60" spans="2:12" ht="36" customHeight="1" x14ac:dyDescent="0.2">
      <c r="B60" s="281" t="s">
        <v>193</v>
      </c>
      <c r="C60" s="282"/>
      <c r="D60" s="91" t="s">
        <v>13</v>
      </c>
      <c r="E60" s="91" t="s">
        <v>13</v>
      </c>
      <c r="F60" s="91" t="s">
        <v>13</v>
      </c>
      <c r="G60" s="91"/>
      <c r="H60" s="91"/>
      <c r="I60" s="91"/>
      <c r="J60" s="91"/>
      <c r="K60" s="247"/>
      <c r="L60" s="248"/>
    </row>
    <row r="61" spans="2:12" ht="160.75" customHeight="1" x14ac:dyDescent="0.2">
      <c r="B61" s="281" t="s">
        <v>194</v>
      </c>
      <c r="C61" s="282"/>
      <c r="D61" s="91" t="s">
        <v>13</v>
      </c>
      <c r="E61" s="91" t="s">
        <v>13</v>
      </c>
      <c r="F61" s="91" t="s">
        <v>13</v>
      </c>
      <c r="G61" s="91"/>
      <c r="H61" s="91"/>
      <c r="I61" s="91"/>
      <c r="J61" s="91"/>
      <c r="K61" s="247"/>
      <c r="L61" s="248"/>
    </row>
    <row r="62" spans="2:12" ht="409.25" customHeight="1" x14ac:dyDescent="0.2">
      <c r="B62" s="261" t="s">
        <v>195</v>
      </c>
      <c r="C62" s="261"/>
      <c r="D62" s="91" t="s">
        <v>13</v>
      </c>
      <c r="E62" s="91" t="s">
        <v>13</v>
      </c>
      <c r="F62" s="91" t="s">
        <v>13</v>
      </c>
      <c r="G62" s="91"/>
      <c r="H62" s="91"/>
      <c r="I62" s="91"/>
      <c r="J62" s="91"/>
      <c r="K62" s="279"/>
      <c r="L62" s="280"/>
    </row>
    <row r="63" spans="2:12" ht="301.75" customHeight="1" x14ac:dyDescent="0.2">
      <c r="B63" s="262" t="s">
        <v>196</v>
      </c>
      <c r="C63" s="263"/>
      <c r="D63" s="91" t="s">
        <v>13</v>
      </c>
      <c r="E63" s="91" t="s">
        <v>13</v>
      </c>
      <c r="F63" s="91" t="s">
        <v>13</v>
      </c>
      <c r="G63" s="91"/>
      <c r="H63" s="91"/>
      <c r="I63" s="91"/>
      <c r="J63" s="91"/>
      <c r="K63" s="247"/>
      <c r="L63" s="248"/>
    </row>
    <row r="64" spans="2:12" ht="253.75" customHeight="1" x14ac:dyDescent="0.2">
      <c r="B64" s="283" t="s">
        <v>197</v>
      </c>
      <c r="C64" s="283"/>
      <c r="D64" s="91" t="s">
        <v>13</v>
      </c>
      <c r="E64" s="91" t="s">
        <v>13</v>
      </c>
      <c r="F64" s="91" t="s">
        <v>13</v>
      </c>
      <c r="G64" s="91"/>
      <c r="H64" s="91"/>
      <c r="I64" s="91"/>
      <c r="J64" s="91"/>
      <c r="K64" s="247"/>
      <c r="L64" s="248"/>
    </row>
    <row r="65" spans="2:12" ht="243.5" customHeight="1" x14ac:dyDescent="0.2">
      <c r="B65" s="261" t="s">
        <v>198</v>
      </c>
      <c r="C65" s="261"/>
      <c r="D65" s="91" t="s">
        <v>13</v>
      </c>
      <c r="E65" s="91" t="s">
        <v>13</v>
      </c>
      <c r="F65" s="91" t="s">
        <v>13</v>
      </c>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CUMPLE</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t="s">
        <v>13</v>
      </c>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417" priority="17">
      <formula>LEN(TRIM(D25))=0</formula>
    </cfRule>
    <cfRule type="notContainsErrors" dxfId="1416" priority="18">
      <formula>NOT(ISERROR(D25))</formula>
    </cfRule>
  </conditionalFormatting>
  <conditionalFormatting sqref="D34:J34 D24:K24">
    <cfRule type="containsBlanks" dxfId="1415" priority="19">
      <formula>LEN(TRIM(D24))=0</formula>
    </cfRule>
  </conditionalFormatting>
  <conditionalFormatting sqref="D37:J37">
    <cfRule type="containsBlanks" dxfId="1414" priority="15">
      <formula>LEN(TRIM(D37))=0</formula>
    </cfRule>
    <cfRule type="notContainsErrors" dxfId="1413" priority="16">
      <formula>NOT(ISERROR(D37))</formula>
    </cfRule>
  </conditionalFormatting>
  <conditionalFormatting sqref="D40:J40">
    <cfRule type="containsBlanks" dxfId="1412" priority="13">
      <formula>LEN(TRIM(D40))=0</formula>
    </cfRule>
    <cfRule type="notContainsErrors" dxfId="1411" priority="14">
      <formula>NOT(ISERROR(D40))</formula>
    </cfRule>
  </conditionalFormatting>
  <conditionalFormatting sqref="D43:J43 K66:L66">
    <cfRule type="containsBlanks" dxfId="1410" priority="23">
      <formula>LEN(TRIM(D43))=0</formula>
    </cfRule>
    <cfRule type="notContainsErrors" dxfId="1409" priority="24">
      <formula>NOT(ISERROR(D43))</formula>
    </cfRule>
  </conditionalFormatting>
  <conditionalFormatting sqref="D46:J54">
    <cfRule type="cellIs" dxfId="1408" priority="9" operator="equal">
      <formula>"NO CUMPLE"</formula>
    </cfRule>
    <cfRule type="cellIs" dxfId="1407" priority="10" operator="equal">
      <formula>"CUMPLE"</formula>
    </cfRule>
    <cfRule type="containsBlanks" dxfId="1406" priority="11">
      <formula>LEN(TRIM(D46))=0</formula>
    </cfRule>
    <cfRule type="notContainsErrors" dxfId="1405" priority="12">
      <formula>NOT(ISERROR(D46))</formula>
    </cfRule>
  </conditionalFormatting>
  <conditionalFormatting sqref="D55:J55">
    <cfRule type="cellIs" dxfId="1404" priority="35" operator="equal">
      <formula>"""CUMPLE"""</formula>
    </cfRule>
    <cfRule type="cellIs" dxfId="1403" priority="34" operator="equal">
      <formula>"NO CUMPLE"</formula>
    </cfRule>
    <cfRule type="cellIs" dxfId="1402" priority="33" operator="equal">
      <formula>"CUMPLE"</formula>
    </cfRule>
    <cfRule type="cellIs" dxfId="1401" priority="29" operator="equal">
      <formula>"N/A"</formula>
    </cfRule>
  </conditionalFormatting>
  <conditionalFormatting sqref="D56:J65">
    <cfRule type="cellIs" dxfId="1400" priority="5" operator="equal">
      <formula>"NO CUMPLE"</formula>
    </cfRule>
    <cfRule type="cellIs" dxfId="1399" priority="6" operator="equal">
      <formula>"CUMPLE"</formula>
    </cfRule>
    <cfRule type="containsBlanks" dxfId="1398" priority="7">
      <formula>LEN(TRIM(D56))=0</formula>
    </cfRule>
    <cfRule type="notContainsErrors" dxfId="1397" priority="8">
      <formula>NOT(ISERROR(D56))</formula>
    </cfRule>
  </conditionalFormatting>
  <conditionalFormatting sqref="D66:J66">
    <cfRule type="cellIs" dxfId="1396" priority="26" operator="equal">
      <formula>"CUMPLE"</formula>
    </cfRule>
    <cfRule type="cellIs" dxfId="1395" priority="27" operator="equal">
      <formula>"NO CUMPLE"</formula>
    </cfRule>
    <cfRule type="cellIs" dxfId="1394" priority="28" operator="equal">
      <formula>"""CUMPLE"""</formula>
    </cfRule>
    <cfRule type="cellIs" dxfId="1393" priority="25" operator="equal">
      <formula>"N/A"</formula>
    </cfRule>
  </conditionalFormatting>
  <conditionalFormatting sqref="D67:J67">
    <cfRule type="cellIs" dxfId="1392" priority="1" operator="equal">
      <formula>"NO CUMPLE"</formula>
    </cfRule>
    <cfRule type="cellIs" dxfId="1391" priority="2" operator="equal">
      <formula>"CUMPLE"</formula>
    </cfRule>
  </conditionalFormatting>
  <conditionalFormatting sqref="D24:K24 D34:J34">
    <cfRule type="notContainsErrors" dxfId="1390" priority="20">
      <formula>NOT(ISERROR(D24))</formula>
    </cfRule>
  </conditionalFormatting>
  <conditionalFormatting sqref="D67:K67">
    <cfRule type="notContainsErrors" dxfId="1389" priority="4">
      <formula>NOT(ISERROR(D67))</formula>
    </cfRule>
    <cfRule type="containsBlanks" dxfId="1388" priority="3">
      <formula>LEN(TRIM(D67))=0</formula>
    </cfRule>
  </conditionalFormatting>
  <conditionalFormatting sqref="F20:H20">
    <cfRule type="cellIs" dxfId="1387" priority="39" operator="equal">
      <formula>"CUMPLE"</formula>
    </cfRule>
    <cfRule type="cellIs" dxfId="1386" priority="40" operator="equal">
      <formula>"NO CUMPLE"</formula>
    </cfRule>
    <cfRule type="cellIs" dxfId="1385" priority="41" operator="equal">
      <formula>"""CUMPLE"""</formula>
    </cfRule>
  </conditionalFormatting>
  <conditionalFormatting sqref="I11">
    <cfRule type="containsText" dxfId="1384" priority="42" operator="containsText" text="INHABILITADO">
      <formula>NOT(ISERROR(SEARCH("INHABILITADO",I11)))</formula>
    </cfRule>
    <cfRule type="containsText" dxfId="1383" priority="43" operator="containsText" text="HABILITADO">
      <formula>NOT(ISERROR(SEARCH("HABILITADO",I11)))</formula>
    </cfRule>
    <cfRule type="containsText" dxfId="1382" priority="44" operator="containsText" text="HABILITADO">
      <formula>NOT(ISERROR(SEARCH("HABILITADO",I11)))</formula>
    </cfRule>
    <cfRule type="containsText" dxfId="1381" priority="45" operator="containsText" text="NO CUMPLE">
      <formula>NOT(ISERROR(SEARCH("NO CUMPLE",I11)))</formula>
    </cfRule>
  </conditionalFormatting>
  <conditionalFormatting sqref="K19">
    <cfRule type="cellIs" dxfId="1380" priority="30" operator="equal">
      <formula>"CUMPLE"</formula>
    </cfRule>
    <cfRule type="cellIs" dxfId="1379" priority="31" operator="equal">
      <formula>"NO CUMPLE"</formula>
    </cfRule>
    <cfRule type="cellIs" dxfId="1378" priority="32" operator="equal">
      <formula>"""CUMPLE"""</formula>
    </cfRule>
  </conditionalFormatting>
  <conditionalFormatting sqref="K25:K65">
    <cfRule type="notContainsErrors" dxfId="1377" priority="22">
      <formula>NOT(ISERROR(K25))</formula>
    </cfRule>
    <cfRule type="containsBlanks" dxfId="1376" priority="21">
      <formula>LEN(TRIM(K25))=0</formula>
    </cfRule>
  </conditionalFormatting>
  <conditionalFormatting sqref="L15">
    <cfRule type="cellIs" dxfId="1375" priority="36" operator="equal">
      <formula>"CUMPLE"</formula>
    </cfRule>
    <cfRule type="cellIs" dxfId="1374" priority="37" operator="equal">
      <formula>"NO CUMPLE"</formula>
    </cfRule>
    <cfRule type="cellIs" dxfId="1373" priority="38" operator="equal">
      <formula>"""CUMPLE"""</formula>
    </cfRule>
  </conditionalFormatting>
  <dataValidations count="3">
    <dataValidation type="list" allowBlank="1" showInputMessage="1" showErrorMessage="1" sqref="D67:I67" xr:uid="{FE06340F-FB30-449E-AEB5-34799F5C53CF}">
      <formula1>"CUMPLE,NO CUMPLE"</formula1>
    </dataValidation>
    <dataValidation type="list" allowBlank="1" showInputMessage="1" showErrorMessage="1" sqref="D24:J26" xr:uid="{B61E2F6A-4E5D-42D8-B52B-A4921664049C}">
      <formula1>$C$15:$C$19</formula1>
    </dataValidation>
    <dataValidation type="list" allowBlank="1" showInputMessage="1" showErrorMessage="1" sqref="L58:L66" xr:uid="{F2F457B5-9CC7-4A42-85C2-CD58E7EA8AAF}">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A4DA986-51BA-4BA3-B6C9-D89031032D0D}">
          <x14:formula1>
            <xm:f>'DATOS INICIALES'!$A$13:$A$44</xm:f>
          </x14:formula1>
          <xm:sqref>D31:I31</xm:sqref>
        </x14:dataValidation>
        <x14:dataValidation type="list" allowBlank="1" showInputMessage="1" showErrorMessage="1" xr:uid="{2C4C93DB-848D-4789-9C9A-F33A7C8AFF8B}">
          <x14:formula1>
            <xm:f>'DATOS INICIALES'!$D$22:$D$26</xm:f>
          </x14:formula1>
          <xm:sqref>M47:M55</xm:sqref>
        </x14:dataValidation>
        <x14:dataValidation type="list" allowBlank="1" showInputMessage="1" showErrorMessage="1" xr:uid="{C14ACFDD-FB68-4345-A034-2200D1253428}">
          <x14:formula1>
            <xm:f>'DATOS INICIALES'!$A$57:$A$62</xm:f>
          </x14:formula1>
          <xm:sqref>D23:I23</xm:sqref>
        </x14:dataValidation>
        <x14:dataValidation type="list" allowBlank="1" showInputMessage="1" showErrorMessage="1" xr:uid="{8BAFBE38-9844-47CC-80DB-A0EBAFC721CA}">
          <x14:formula1>
            <xm:f>'DATOS INICIALES'!$A$53:$A$55</xm:f>
          </x14:formula1>
          <xm:sqref>D46:J46 G59:J65 G56:I58 D56:F65 J56:J57</xm:sqref>
        </x14:dataValidation>
        <x14:dataValidation type="list" allowBlank="1" showInputMessage="1" showErrorMessage="1" xr:uid="{AEE83BA1-3AA5-43E7-B71A-40BAEE1CCD07}">
          <x14:formula1>
            <xm:f>'DATOS INICIALES'!$C$48:$C$49</xm:f>
          </x14:formula1>
          <xm:sqref>J47:J52 D47:I54</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9E20B-F24E-4812-B12C-FC46467DD10C}">
  <sheetPr>
    <tabColor rgb="FF92D050"/>
  </sheetPr>
  <dimension ref="B1:N82"/>
  <sheetViews>
    <sheetView view="pageBreakPreview" topLeftCell="D1" zoomScale="55" zoomScaleNormal="55" zoomScaleSheetLayoutView="55" workbookViewId="0">
      <pane ySplit="11" topLeftCell="A12" activePane="bottomLeft" state="frozenSplit"/>
      <selection activeCell="C11" sqref="C11:G11"/>
      <selection pane="bottomLeft" activeCell="I18" sqref="I18"/>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+PROPONENTES!B13</f>
        <v>CONSORCIO MEB VIAL</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EMIRO CARLOS BARGUIL CUBILLOS</v>
      </c>
      <c r="D15" s="101">
        <f>IF(VLOOKUP(C11,PROPONENTES!B10:N44,3,FALSE)=0,"",VLOOKUP(C11,PROPONENTES!B10:N44,3,FALSE))</f>
        <v>0.1</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SI</v>
      </c>
      <c r="I15" s="316">
        <v>2</v>
      </c>
      <c r="J15" s="264">
        <f>IF(AND(I15&gt;=1,I15&lt;=2),L8,IF(AND(I15&gt;=3,I15&lt;=4),L9,IF(AND(I15&gt;=5,I15&lt;=7),L10)))</f>
        <v>11824.948449807693</v>
      </c>
      <c r="K15" s="264">
        <f>+E20</f>
        <v>14305.612000000001</v>
      </c>
      <c r="L15" s="265" t="str">
        <f>IF(K15&gt;=J15,"CUMPLE","NO CUMPLE")</f>
        <v>CUMPLE</v>
      </c>
    </row>
    <row r="16" spans="2:12" ht="33.75" customHeight="1" x14ac:dyDescent="0.2">
      <c r="B16" s="273"/>
      <c r="C16" s="100" t="str">
        <f>IF(VLOOKUP(C11,PROPONENTES!B10:N44,4,FALSE)=0,"",VLOOKUP(C11,PROPONENTES!B10:N44,4,FALSE))</f>
        <v>ARMAR CONSTRUCCIONES S.A.S</v>
      </c>
      <c r="D16" s="101">
        <f>IF(VLOOKUP(C11,PROPONENTES!B10:N44,5,FALSE)=0,"",VLOOKUP(C11,PROPONENTES!B10:N44,5,FALSE))</f>
        <v>0.4</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9985.5520000000015</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xml:space="preserve">MINATORE S.A.S </v>
      </c>
      <c r="D17" s="101">
        <f>IF(VLOOKUP(C11,PROPONENTES!B10:N44,7,FALSE)=0,"",VLOOKUP(C11,PROPONENTES!B10:N44,7,FALSE))</f>
        <v>0.5</v>
      </c>
      <c r="E17" s="102">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4320.0600000000004</v>
      </c>
      <c r="F17" s="103" t="str">
        <f t="shared" si="1"/>
        <v>NO</v>
      </c>
      <c r="G17" s="104" t="str">
        <f t="shared" si="2"/>
        <v>SI</v>
      </c>
      <c r="H17" s="103" t="str">
        <f>IF(C17="","",IF(AND(G17="NO APORTA EXPERIENCIA",D17&lt;=10%),"SI",IF(G17="SI","NO APLICA","NO - PORCENTAJE MAYOR AL 10%")))</f>
        <v>NO APLICA</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14305.612000000001</v>
      </c>
      <c r="J19" s="355">
        <f>IF(I15="","",VLOOKUP(I15,$D$76:$E$82,2,FALSE))</f>
        <v>11824.948449807693</v>
      </c>
      <c r="K19" s="249" t="str">
        <f>IF(I19&gt;=J19,"CUMPLE","NO CUMPLE")</f>
        <v>CUMPLE</v>
      </c>
      <c r="L19" s="250"/>
    </row>
    <row r="20" spans="2:14" ht="84.75" customHeight="1" x14ac:dyDescent="0.2">
      <c r="B20" s="31" t="s">
        <v>61</v>
      </c>
      <c r="C20" s="25">
        <f>+VLOOKUP(C11,PROPONENTES!B10:N44,12,FALSE)</f>
        <v>3</v>
      </c>
      <c r="D20" s="101">
        <f>+VLOOKUP(C11,PROPONENTES!B10:N44,13,FALSE)</f>
        <v>1</v>
      </c>
      <c r="E20" s="36">
        <f>SUM(E15:E19)</f>
        <v>14305.612000000001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239</v>
      </c>
      <c r="E24" s="91" t="s">
        <v>238</v>
      </c>
      <c r="F24" s="91"/>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403</v>
      </c>
      <c r="E27" s="92" t="s">
        <v>404</v>
      </c>
      <c r="F27" s="92"/>
      <c r="G27" s="92"/>
      <c r="H27" s="92"/>
      <c r="I27" s="92"/>
      <c r="J27" s="92"/>
      <c r="K27" s="247"/>
      <c r="L27" s="248"/>
    </row>
    <row r="28" spans="2:14" ht="156.75" customHeight="1" x14ac:dyDescent="0.2">
      <c r="B28" s="277"/>
      <c r="C28" s="26" t="s">
        <v>36</v>
      </c>
      <c r="D28" s="92" t="s">
        <v>401</v>
      </c>
      <c r="E28" s="92" t="s">
        <v>402</v>
      </c>
      <c r="F28" s="92"/>
      <c r="G28" s="92"/>
      <c r="H28" s="92"/>
      <c r="I28" s="92"/>
      <c r="J28" s="92"/>
      <c r="K28" s="247"/>
      <c r="L28" s="248"/>
    </row>
    <row r="29" spans="2:14" ht="52.5" customHeight="1" x14ac:dyDescent="0.2">
      <c r="B29" s="277"/>
      <c r="C29" s="26" t="s">
        <v>172</v>
      </c>
      <c r="D29" s="96">
        <v>44727</v>
      </c>
      <c r="E29" s="96">
        <v>40699</v>
      </c>
      <c r="F29" s="96"/>
      <c r="G29" s="96"/>
      <c r="H29" s="96"/>
      <c r="I29" s="96"/>
      <c r="J29" s="96"/>
      <c r="K29" s="247"/>
      <c r="L29" s="248"/>
    </row>
    <row r="30" spans="2:14" ht="54.75" customHeight="1" x14ac:dyDescent="0.2">
      <c r="B30" s="277"/>
      <c r="C30" s="26" t="s">
        <v>40</v>
      </c>
      <c r="D30" s="96">
        <v>45097</v>
      </c>
      <c r="E30" s="96">
        <v>41247</v>
      </c>
      <c r="F30" s="96"/>
      <c r="G30" s="96"/>
      <c r="H30" s="96"/>
      <c r="I30" s="96"/>
      <c r="J30" s="96"/>
      <c r="K30" s="247"/>
      <c r="L30" s="248"/>
    </row>
    <row r="31" spans="2:14" ht="41.25" customHeight="1" x14ac:dyDescent="0.2">
      <c r="B31" s="277"/>
      <c r="C31" s="26" t="s">
        <v>37</v>
      </c>
      <c r="D31" s="93">
        <v>2023</v>
      </c>
      <c r="E31" s="93">
        <v>2012</v>
      </c>
      <c r="F31" s="93"/>
      <c r="G31" s="93"/>
      <c r="H31" s="93"/>
      <c r="I31" s="93"/>
      <c r="J31" s="93"/>
      <c r="K31" s="247"/>
      <c r="L31" s="248"/>
    </row>
    <row r="32" spans="2:14" ht="63" customHeight="1" x14ac:dyDescent="0.2">
      <c r="B32" s="277"/>
      <c r="C32" s="26" t="s">
        <v>38</v>
      </c>
      <c r="D32" s="92" t="s">
        <v>405</v>
      </c>
      <c r="E32" s="92" t="s">
        <v>406</v>
      </c>
      <c r="F32" s="92"/>
      <c r="G32" s="92"/>
      <c r="H32" s="92"/>
      <c r="I32" s="92"/>
      <c r="J32" s="92"/>
      <c r="K32" s="247"/>
      <c r="L32" s="248"/>
    </row>
    <row r="33" spans="2:12" ht="46.5" customHeight="1" x14ac:dyDescent="0.2">
      <c r="B33" s="277"/>
      <c r="C33" s="26" t="s">
        <v>39</v>
      </c>
      <c r="D33" s="92" t="s">
        <v>407</v>
      </c>
      <c r="E33" s="92" t="s">
        <v>408</v>
      </c>
      <c r="F33" s="92"/>
      <c r="G33" s="92"/>
      <c r="H33" s="92"/>
      <c r="I33" s="92"/>
      <c r="J33" s="92"/>
      <c r="K33" s="247"/>
      <c r="L33" s="248"/>
    </row>
    <row r="34" spans="2:12" ht="27.75" customHeight="1" x14ac:dyDescent="0.2">
      <c r="B34" s="277"/>
      <c r="C34" s="28" t="s">
        <v>33</v>
      </c>
      <c r="D34" s="97">
        <v>6</v>
      </c>
      <c r="E34" s="97">
        <v>13</v>
      </c>
      <c r="F34" s="97"/>
      <c r="G34" s="98"/>
      <c r="H34" s="98"/>
      <c r="I34" s="98"/>
      <c r="J34" s="98"/>
      <c r="K34" s="247"/>
      <c r="L34" s="248"/>
    </row>
    <row r="35" spans="2:12" ht="102.75" customHeight="1" x14ac:dyDescent="0.2">
      <c r="B35" s="277"/>
      <c r="C35" s="26" t="s">
        <v>118</v>
      </c>
      <c r="D35" s="94">
        <v>4320.0600000000004</v>
      </c>
      <c r="E35" s="94">
        <v>24963.88</v>
      </c>
      <c r="F35" s="94"/>
      <c r="G35" s="94"/>
      <c r="H35" s="94"/>
      <c r="I35" s="94"/>
      <c r="J35" s="94"/>
      <c r="K35" s="279"/>
      <c r="L35" s="280"/>
    </row>
    <row r="36" spans="2:12" ht="48" customHeight="1" x14ac:dyDescent="0.2">
      <c r="B36" s="277"/>
      <c r="C36" s="26" t="s">
        <v>74</v>
      </c>
      <c r="D36" s="105">
        <f>IFERROR(D35*VLOOKUP(D31,'DATOS INICIALES'!$A$12:$B$44,2,0),"0")</f>
        <v>5011269600</v>
      </c>
      <c r="E36" s="105">
        <f>IFERROR(E35*VLOOKUP(E31,'DATOS INICIALES'!$A$12:$B$44,2,0),"0")</f>
        <v>14147030796</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1</v>
      </c>
      <c r="E37" s="95">
        <v>0.4</v>
      </c>
      <c r="F37" s="95"/>
      <c r="G37" s="95"/>
      <c r="H37" s="95"/>
      <c r="I37" s="95"/>
      <c r="J37" s="95"/>
      <c r="K37" s="247"/>
      <c r="L37" s="248"/>
    </row>
    <row r="38" spans="2:12" ht="48.75" customHeight="1" x14ac:dyDescent="0.2">
      <c r="B38" s="277"/>
      <c r="C38" s="26" t="s">
        <v>125</v>
      </c>
      <c r="D38" s="105">
        <f t="shared" ref="D38:J38" si="3">IF(D24="","0",D37*D36)</f>
        <v>5011269600</v>
      </c>
      <c r="E38" s="105">
        <f t="shared" si="3"/>
        <v>5658812318.4000006</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4320.0600000000004</v>
      </c>
      <c r="E39" s="106">
        <f t="shared" si="4"/>
        <v>9985.5520000000015</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75</v>
      </c>
      <c r="E50" s="97" t="s">
        <v>77</v>
      </c>
      <c r="F50" s="97"/>
      <c r="G50" s="97"/>
      <c r="H50" s="97"/>
      <c r="I50" s="97"/>
      <c r="J50" s="98"/>
      <c r="K50" s="247"/>
      <c r="L50" s="248"/>
    </row>
    <row r="51" spans="2:12" ht="24.75" customHeight="1" x14ac:dyDescent="0.2">
      <c r="B51" s="285"/>
      <c r="C51" s="29">
        <f>+'DATOS INICIALES'!D26</f>
        <v>721527</v>
      </c>
      <c r="D51" s="97" t="s">
        <v>75</v>
      </c>
      <c r="E51" s="97" t="s">
        <v>75</v>
      </c>
      <c r="F51" s="97"/>
      <c r="G51" s="97"/>
      <c r="H51" s="97"/>
      <c r="I51" s="97"/>
      <c r="J51" s="98"/>
      <c r="K51" s="247"/>
      <c r="L51" s="248"/>
    </row>
    <row r="52" spans="2:12" ht="24.75" customHeight="1" x14ac:dyDescent="0.2">
      <c r="B52" s="285"/>
      <c r="C52" s="29">
        <f>+'DATOS INICIALES'!D27</f>
        <v>721539</v>
      </c>
      <c r="D52" s="97" t="s">
        <v>75</v>
      </c>
      <c r="E52" s="97" t="s">
        <v>77</v>
      </c>
      <c r="F52" s="97"/>
      <c r="G52" s="97"/>
      <c r="H52" s="97"/>
      <c r="I52" s="97"/>
      <c r="J52" s="98"/>
      <c r="K52" s="247"/>
      <c r="L52" s="248"/>
    </row>
    <row r="53" spans="2:12" ht="24.75" customHeight="1" x14ac:dyDescent="0.2">
      <c r="B53" s="285"/>
      <c r="C53" s="29">
        <f>+'DATOS INICIALES'!D28</f>
        <v>951115</v>
      </c>
      <c r="D53" s="97" t="s">
        <v>75</v>
      </c>
      <c r="E53" s="97" t="s">
        <v>77</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N/A</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N/A</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372" priority="17">
      <formula>LEN(TRIM(D25))=0</formula>
    </cfRule>
    <cfRule type="notContainsErrors" dxfId="1371" priority="18">
      <formula>NOT(ISERROR(D25))</formula>
    </cfRule>
  </conditionalFormatting>
  <conditionalFormatting sqref="D34:J34 D24:K24">
    <cfRule type="containsBlanks" dxfId="1370" priority="19">
      <formula>LEN(TRIM(D24))=0</formula>
    </cfRule>
  </conditionalFormatting>
  <conditionalFormatting sqref="D37:J37">
    <cfRule type="containsBlanks" dxfId="1369" priority="15">
      <formula>LEN(TRIM(D37))=0</formula>
    </cfRule>
    <cfRule type="notContainsErrors" dxfId="1368" priority="16">
      <formula>NOT(ISERROR(D37))</formula>
    </cfRule>
  </conditionalFormatting>
  <conditionalFormatting sqref="D40:J40">
    <cfRule type="containsBlanks" dxfId="1367" priority="13">
      <formula>LEN(TRIM(D40))=0</formula>
    </cfRule>
    <cfRule type="notContainsErrors" dxfId="1366" priority="14">
      <formula>NOT(ISERROR(D40))</formula>
    </cfRule>
  </conditionalFormatting>
  <conditionalFormatting sqref="D43:J43 K66:L66">
    <cfRule type="containsBlanks" dxfId="1365" priority="23">
      <formula>LEN(TRIM(D43))=0</formula>
    </cfRule>
    <cfRule type="notContainsErrors" dxfId="1364" priority="24">
      <formula>NOT(ISERROR(D43))</formula>
    </cfRule>
  </conditionalFormatting>
  <conditionalFormatting sqref="D46:J54">
    <cfRule type="cellIs" dxfId="1363" priority="9" operator="equal">
      <formula>"NO CUMPLE"</formula>
    </cfRule>
    <cfRule type="cellIs" dxfId="1362" priority="10" operator="equal">
      <formula>"CUMPLE"</formula>
    </cfRule>
    <cfRule type="containsBlanks" dxfId="1361" priority="11">
      <formula>LEN(TRIM(D46))=0</formula>
    </cfRule>
    <cfRule type="notContainsErrors" dxfId="1360" priority="12">
      <formula>NOT(ISERROR(D46))</formula>
    </cfRule>
  </conditionalFormatting>
  <conditionalFormatting sqref="D55:J55">
    <cfRule type="cellIs" dxfId="1359" priority="35" operator="equal">
      <formula>"""CUMPLE"""</formula>
    </cfRule>
    <cfRule type="cellIs" dxfId="1358" priority="34" operator="equal">
      <formula>"NO CUMPLE"</formula>
    </cfRule>
    <cfRule type="cellIs" dxfId="1357" priority="33" operator="equal">
      <formula>"CUMPLE"</formula>
    </cfRule>
    <cfRule type="cellIs" dxfId="1356" priority="29" operator="equal">
      <formula>"N/A"</formula>
    </cfRule>
  </conditionalFormatting>
  <conditionalFormatting sqref="D56:J65">
    <cfRule type="cellIs" dxfId="1355" priority="5" operator="equal">
      <formula>"NO CUMPLE"</formula>
    </cfRule>
    <cfRule type="cellIs" dxfId="1354" priority="6" operator="equal">
      <formula>"CUMPLE"</formula>
    </cfRule>
    <cfRule type="containsBlanks" dxfId="1353" priority="7">
      <formula>LEN(TRIM(D56))=0</formula>
    </cfRule>
    <cfRule type="notContainsErrors" dxfId="1352" priority="8">
      <formula>NOT(ISERROR(D56))</formula>
    </cfRule>
  </conditionalFormatting>
  <conditionalFormatting sqref="D66:J66">
    <cfRule type="cellIs" dxfId="1351" priority="26" operator="equal">
      <formula>"CUMPLE"</formula>
    </cfRule>
    <cfRule type="cellIs" dxfId="1350" priority="27" operator="equal">
      <formula>"NO CUMPLE"</formula>
    </cfRule>
    <cfRule type="cellIs" dxfId="1349" priority="28" operator="equal">
      <formula>"""CUMPLE"""</formula>
    </cfRule>
    <cfRule type="cellIs" dxfId="1348" priority="25" operator="equal">
      <formula>"N/A"</formula>
    </cfRule>
  </conditionalFormatting>
  <conditionalFormatting sqref="D67:J67">
    <cfRule type="cellIs" dxfId="1347" priority="1" operator="equal">
      <formula>"NO CUMPLE"</formula>
    </cfRule>
    <cfRule type="cellIs" dxfId="1346" priority="2" operator="equal">
      <formula>"CUMPLE"</formula>
    </cfRule>
  </conditionalFormatting>
  <conditionalFormatting sqref="D24:K24 D34:J34">
    <cfRule type="notContainsErrors" dxfId="1345" priority="20">
      <formula>NOT(ISERROR(D24))</formula>
    </cfRule>
  </conditionalFormatting>
  <conditionalFormatting sqref="D67:K67">
    <cfRule type="notContainsErrors" dxfId="1344" priority="4">
      <formula>NOT(ISERROR(D67))</formula>
    </cfRule>
    <cfRule type="containsBlanks" dxfId="1343" priority="3">
      <formula>LEN(TRIM(D67))=0</formula>
    </cfRule>
  </conditionalFormatting>
  <conditionalFormatting sqref="F20:H20">
    <cfRule type="cellIs" dxfId="1342" priority="39" operator="equal">
      <formula>"CUMPLE"</formula>
    </cfRule>
    <cfRule type="cellIs" dxfId="1341" priority="40" operator="equal">
      <formula>"NO CUMPLE"</formula>
    </cfRule>
    <cfRule type="cellIs" dxfId="1340" priority="41" operator="equal">
      <formula>"""CUMPLE"""</formula>
    </cfRule>
  </conditionalFormatting>
  <conditionalFormatting sqref="I11">
    <cfRule type="containsText" dxfId="1339" priority="42" operator="containsText" text="INHABILITADO">
      <formula>NOT(ISERROR(SEARCH("INHABILITADO",I11)))</formula>
    </cfRule>
    <cfRule type="containsText" dxfId="1338" priority="43" operator="containsText" text="HABILITADO">
      <formula>NOT(ISERROR(SEARCH("HABILITADO",I11)))</formula>
    </cfRule>
    <cfRule type="containsText" dxfId="1337" priority="44" operator="containsText" text="HABILITADO">
      <formula>NOT(ISERROR(SEARCH("HABILITADO",I11)))</formula>
    </cfRule>
    <cfRule type="containsText" dxfId="1336" priority="45" operator="containsText" text="NO CUMPLE">
      <formula>NOT(ISERROR(SEARCH("NO CUMPLE",I11)))</formula>
    </cfRule>
  </conditionalFormatting>
  <conditionalFormatting sqref="K19">
    <cfRule type="cellIs" dxfId="1335" priority="30" operator="equal">
      <formula>"CUMPLE"</formula>
    </cfRule>
    <cfRule type="cellIs" dxfId="1334" priority="31" operator="equal">
      <formula>"NO CUMPLE"</formula>
    </cfRule>
    <cfRule type="cellIs" dxfId="1333" priority="32" operator="equal">
      <formula>"""CUMPLE"""</formula>
    </cfRule>
  </conditionalFormatting>
  <conditionalFormatting sqref="K25:K65">
    <cfRule type="notContainsErrors" dxfId="1332" priority="22">
      <formula>NOT(ISERROR(K25))</formula>
    </cfRule>
    <cfRule type="containsBlanks" dxfId="1331" priority="21">
      <formula>LEN(TRIM(K25))=0</formula>
    </cfRule>
  </conditionalFormatting>
  <conditionalFormatting sqref="L15">
    <cfRule type="cellIs" dxfId="1330" priority="36" operator="equal">
      <formula>"CUMPLE"</formula>
    </cfRule>
    <cfRule type="cellIs" dxfId="1329" priority="37" operator="equal">
      <formula>"NO CUMPLE"</formula>
    </cfRule>
    <cfRule type="cellIs" dxfId="1328" priority="38" operator="equal">
      <formula>"""CUMPLE"""</formula>
    </cfRule>
  </conditionalFormatting>
  <dataValidations disablePrompts="1" count="3">
    <dataValidation type="list" allowBlank="1" showInputMessage="1" showErrorMessage="1" sqref="L58:L66" xr:uid="{DD64C7D8-F577-4CC1-882B-ADFDC6FAE918}">
      <formula1>"0,1,2,3,4,5,6"</formula1>
    </dataValidation>
    <dataValidation type="list" allowBlank="1" showInputMessage="1" showErrorMessage="1" sqref="D24:J26" xr:uid="{DD4BA174-47A1-44C6-BA05-F103CC6E2D88}">
      <formula1>$C$15:$C$19</formula1>
    </dataValidation>
    <dataValidation type="list" allowBlank="1" showInputMessage="1" showErrorMessage="1" sqref="D67:I67" xr:uid="{0881516D-77F4-4DF0-AFE4-5A023BB904C1}">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AEAC3F82-BB30-4465-A02B-FBB2558EC0BE}">
          <x14:formula1>
            <xm:f>'DATOS INICIALES'!$C$48:$C$49</xm:f>
          </x14:formula1>
          <xm:sqref>J47:J52 D47:I54</xm:sqref>
        </x14:dataValidation>
        <x14:dataValidation type="list" allowBlank="1" showInputMessage="1" showErrorMessage="1" xr:uid="{85737381-C943-4B61-A4CC-942A582956F4}">
          <x14:formula1>
            <xm:f>'DATOS INICIALES'!$A$53:$A$55</xm:f>
          </x14:formula1>
          <xm:sqref>F59:J65 D56:E65 F56:I58 J56:J57 D46:J46</xm:sqref>
        </x14:dataValidation>
        <x14:dataValidation type="list" allowBlank="1" showInputMessage="1" showErrorMessage="1" xr:uid="{46E09A0C-F3C2-42C1-B2D5-587194CFBC46}">
          <x14:formula1>
            <xm:f>'DATOS INICIALES'!$A$57:$A$62</xm:f>
          </x14:formula1>
          <xm:sqref>D23:I23</xm:sqref>
        </x14:dataValidation>
        <x14:dataValidation type="list" allowBlank="1" showInputMessage="1" showErrorMessage="1" xr:uid="{8C293D08-2A23-4282-90E3-1D0DD60719B5}">
          <x14:formula1>
            <xm:f>'DATOS INICIALES'!$D$22:$D$26</xm:f>
          </x14:formula1>
          <xm:sqref>M47:M55</xm:sqref>
        </x14:dataValidation>
        <x14:dataValidation type="list" allowBlank="1" showInputMessage="1" showErrorMessage="1" xr:uid="{48C335D7-5181-4EC1-BE75-0695653DBF14}">
          <x14:formula1>
            <xm:f>'DATOS INICIALES'!$A$13:$A$44</xm:f>
          </x14:formula1>
          <xm:sqref>D31:I31</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2F612-F338-4E66-9CAD-139BEBACA67A}">
  <sheetPr>
    <tabColor rgb="FF92D050"/>
  </sheetPr>
  <dimension ref="B1:N82"/>
  <sheetViews>
    <sheetView view="pageBreakPreview" topLeftCell="C1" zoomScale="55" zoomScaleNormal="55" zoomScaleSheetLayoutView="55" workbookViewId="0">
      <pane ySplit="11" topLeftCell="A12" activePane="bottomLeft" state="frozenSplit"/>
      <selection activeCell="C11" sqref="C11:G11"/>
      <selection pane="bottomLeft" activeCell="I18" sqref="I18"/>
    </sheetView>
  </sheetViews>
  <sheetFormatPr baseColWidth="10" defaultColWidth="11.5" defaultRowHeight="15" x14ac:dyDescent="0.2"/>
  <cols>
    <col min="1" max="1" width="5.5" customWidth="1"/>
    <col min="2" max="2" width="65" customWidth="1"/>
    <col min="3" max="3" width="96.5" customWidth="1"/>
    <col min="4" max="4" width="37.6640625" customWidth="1"/>
    <col min="5" max="5" width="64.3320312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+PROPONENTES!B14</f>
        <v>CONSORCIO CONSERVACION DK</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KAP CONSTRUCCIONES SAS </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54922.779000000002</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1</v>
      </c>
      <c r="J15" s="264">
        <f>IF(AND(I15&gt;=1,I15&lt;=2),L8,IF(AND(I15&gt;=3,I15&lt;=4),L9,IF(AND(I15&gt;=5,I15&lt;=7),L10)))</f>
        <v>11824.948449807693</v>
      </c>
      <c r="K15" s="264">
        <f>+E20</f>
        <v>54922.779000000002</v>
      </c>
      <c r="L15" s="265" t="str">
        <f>IF(K15&gt;=J15,"CUMPLE","NO CUMPLE")</f>
        <v>CUMPLE</v>
      </c>
    </row>
    <row r="16" spans="2:12" ht="33.75" customHeight="1" x14ac:dyDescent="0.2">
      <c r="B16" s="273"/>
      <c r="C16" s="100" t="str">
        <f>IF(VLOOKUP(C11,PROPONENTES!B10:N44,4,FALSE)=0,"",VLOOKUP(C11,PROPONENTES!B10:N44,4,FALSE))</f>
        <v>DBD INGENIERIA SAS</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0</v>
      </c>
      <c r="F16" s="103" t="str">
        <f t="shared" si="1"/>
        <v>NO</v>
      </c>
      <c r="G16" s="104" t="str">
        <f t="shared" si="2"/>
        <v>NO APORTA EXPERIENCIA</v>
      </c>
      <c r="H16" s="104" t="str">
        <f>IF(C16="","",IF(AND(G16="NO APORTA EXPERIENCIA",D16&lt;=10%),"SI",IF(G16="SI","NO APLICA","NO - PORCENTAJE MAYOR AL 10%")))</f>
        <v>NO - PORCENTAJE MAYOR AL 10%</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0</v>
      </c>
      <c r="J19" s="355">
        <f>IF(I15="","",VLOOKUP(I15,$D$76:$E$82,2,FALSE))</f>
        <v>11824.948449807693</v>
      </c>
      <c r="K19" s="249" t="str">
        <f>IF(I19&gt;=J19,"CUMPLE","NO CUMPLE")</f>
        <v>NO CUMPLE</v>
      </c>
      <c r="L19" s="250"/>
    </row>
    <row r="20" spans="2:14" ht="84.75" customHeight="1" x14ac:dyDescent="0.2">
      <c r="B20" s="31" t="s">
        <v>61</v>
      </c>
      <c r="C20" s="25">
        <f>+VLOOKUP(C11,PROPONENTES!B10:N44,12,FALSE)</f>
        <v>2</v>
      </c>
      <c r="D20" s="101">
        <f>+VLOOKUP(C11,PROPONENTES!B10:N44,13,FALSE)</f>
        <v>1</v>
      </c>
      <c r="E20" s="36">
        <f>SUM(E15:E19)</f>
        <v>54922.779000000002</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NO 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240</v>
      </c>
      <c r="E24" s="91" t="s">
        <v>240</v>
      </c>
      <c r="F24" s="91" t="s">
        <v>241</v>
      </c>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412</v>
      </c>
      <c r="E27" s="92" t="s">
        <v>413</v>
      </c>
      <c r="F27" s="92" t="s">
        <v>414</v>
      </c>
      <c r="G27" s="92"/>
      <c r="H27" s="92"/>
      <c r="I27" s="92"/>
      <c r="J27" s="92"/>
      <c r="K27" s="247"/>
      <c r="L27" s="248"/>
    </row>
    <row r="28" spans="2:14" ht="190.25" customHeight="1" x14ac:dyDescent="0.2">
      <c r="B28" s="277"/>
      <c r="C28" s="26" t="s">
        <v>36</v>
      </c>
      <c r="D28" s="92" t="s">
        <v>409</v>
      </c>
      <c r="E28" s="96" t="s">
        <v>410</v>
      </c>
      <c r="F28" s="92" t="s">
        <v>411</v>
      </c>
      <c r="G28" s="92"/>
      <c r="H28" s="92"/>
      <c r="I28" s="92"/>
      <c r="J28" s="92"/>
      <c r="K28" s="247"/>
      <c r="L28" s="248"/>
    </row>
    <row r="29" spans="2:14" ht="52.5" customHeight="1" x14ac:dyDescent="0.2">
      <c r="B29" s="277"/>
      <c r="C29" s="26" t="s">
        <v>172</v>
      </c>
      <c r="D29" s="96">
        <v>30747</v>
      </c>
      <c r="E29" s="96">
        <v>39351</v>
      </c>
      <c r="F29" s="96">
        <v>43281</v>
      </c>
      <c r="G29" s="96"/>
      <c r="H29" s="96"/>
      <c r="I29" s="96"/>
      <c r="J29" s="96"/>
      <c r="K29" s="247"/>
      <c r="L29" s="248"/>
    </row>
    <row r="30" spans="2:14" ht="54.75" customHeight="1" x14ac:dyDescent="0.2">
      <c r="B30" s="277"/>
      <c r="C30" s="26" t="s">
        <v>40</v>
      </c>
      <c r="D30" s="96">
        <v>34226</v>
      </c>
      <c r="E30" s="96">
        <v>39839</v>
      </c>
      <c r="F30" s="96">
        <v>44469</v>
      </c>
      <c r="G30" s="96"/>
      <c r="H30" s="96"/>
      <c r="I30" s="96"/>
      <c r="J30" s="96"/>
      <c r="K30" s="247"/>
      <c r="L30" s="248"/>
    </row>
    <row r="31" spans="2:14" ht="41.25" customHeight="1" x14ac:dyDescent="0.2">
      <c r="B31" s="277"/>
      <c r="C31" s="26" t="s">
        <v>37</v>
      </c>
      <c r="D31" s="93">
        <v>1993</v>
      </c>
      <c r="E31" s="93">
        <v>2009</v>
      </c>
      <c r="F31" s="93">
        <v>2001</v>
      </c>
      <c r="G31" s="93"/>
      <c r="H31" s="93"/>
      <c r="I31" s="93"/>
      <c r="J31" s="93"/>
      <c r="K31" s="247"/>
      <c r="L31" s="248"/>
    </row>
    <row r="32" spans="2:14" ht="63" customHeight="1" x14ac:dyDescent="0.2">
      <c r="B32" s="277"/>
      <c r="C32" s="26" t="s">
        <v>38</v>
      </c>
      <c r="D32" s="92" t="s">
        <v>338</v>
      </c>
      <c r="E32" s="92" t="s">
        <v>415</v>
      </c>
      <c r="F32" s="92" t="s">
        <v>416</v>
      </c>
      <c r="G32" s="92"/>
      <c r="H32" s="92"/>
      <c r="I32" s="92"/>
      <c r="J32" s="92"/>
      <c r="K32" s="247"/>
      <c r="L32" s="248"/>
    </row>
    <row r="33" spans="2:12" ht="75.5" customHeight="1" x14ac:dyDescent="0.2">
      <c r="B33" s="277"/>
      <c r="C33" s="26" t="s">
        <v>39</v>
      </c>
      <c r="D33" s="92" t="s">
        <v>417</v>
      </c>
      <c r="E33" s="92" t="s">
        <v>418</v>
      </c>
      <c r="F33" s="92" t="s">
        <v>419</v>
      </c>
      <c r="G33" s="92"/>
      <c r="H33" s="92"/>
      <c r="I33" s="92"/>
      <c r="J33" s="92"/>
      <c r="K33" s="247"/>
      <c r="L33" s="248"/>
    </row>
    <row r="34" spans="2:12" ht="27.75" customHeight="1" x14ac:dyDescent="0.2">
      <c r="B34" s="277"/>
      <c r="C34" s="28" t="s">
        <v>33</v>
      </c>
      <c r="D34" s="97">
        <v>4</v>
      </c>
      <c r="E34" s="97">
        <v>17</v>
      </c>
      <c r="F34" s="97">
        <v>68</v>
      </c>
      <c r="G34" s="98"/>
      <c r="H34" s="98"/>
      <c r="I34" s="98"/>
      <c r="J34" s="98"/>
      <c r="K34" s="247"/>
      <c r="L34" s="248"/>
    </row>
    <row r="35" spans="2:12" ht="102.75" customHeight="1" x14ac:dyDescent="0.2">
      <c r="B35" s="277"/>
      <c r="C35" s="26" t="s">
        <v>118</v>
      </c>
      <c r="D35" s="94">
        <v>61025.31</v>
      </c>
      <c r="E35" s="94">
        <v>32259.5</v>
      </c>
      <c r="F35" s="94">
        <v>110468.6</v>
      </c>
      <c r="G35" s="94"/>
      <c r="H35" s="94"/>
      <c r="I35" s="94"/>
      <c r="J35" s="94"/>
      <c r="K35" s="279"/>
      <c r="L35" s="280"/>
    </row>
    <row r="36" spans="2:12" ht="48" customHeight="1" x14ac:dyDescent="0.2">
      <c r="B36" s="277"/>
      <c r="C36" s="26" t="s">
        <v>74</v>
      </c>
      <c r="D36" s="105">
        <f>IFERROR(D35*VLOOKUP(D31,'DATOS INICIALES'!$A$12:$B$44,2,0),"0")</f>
        <v>4974173018.0999994</v>
      </c>
      <c r="E36" s="105">
        <f>IFERROR(E35*VLOOKUP(E31,'DATOS INICIALES'!$A$12:$B$44,2,0),"0")</f>
        <v>16029745550</v>
      </c>
      <c r="F36" s="105">
        <f>IFERROR(F35*VLOOKUP(F31,'DATOS INICIALES'!$A$12:$B$44,2,0),"0")</f>
        <v>31594019600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0.9</v>
      </c>
      <c r="E37" s="95"/>
      <c r="F37" s="95">
        <v>0.3</v>
      </c>
      <c r="G37" s="95"/>
      <c r="H37" s="95"/>
      <c r="I37" s="95"/>
      <c r="J37" s="95"/>
      <c r="K37" s="247"/>
      <c r="L37" s="248"/>
    </row>
    <row r="38" spans="2:12" ht="48.75" customHeight="1" x14ac:dyDescent="0.2">
      <c r="B38" s="277"/>
      <c r="C38" s="26" t="s">
        <v>125</v>
      </c>
      <c r="D38" s="105">
        <f t="shared" ref="D38:J38" si="3">IF(D24="","0",D37*D36)</f>
        <v>4476755716.29</v>
      </c>
      <c r="E38" s="105">
        <f t="shared" si="3"/>
        <v>0</v>
      </c>
      <c r="F38" s="105">
        <f t="shared" si="3"/>
        <v>9478205880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IFERROR(D35*D37,"0")</f>
        <v>54922.779000000002</v>
      </c>
      <c r="E39" s="106">
        <f t="shared" ref="E39:J39" si="4">IFERROR(E35*E37,"0")</f>
        <v>0</v>
      </c>
      <c r="F39" s="106">
        <f t="shared" si="4"/>
        <v>33140.58</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c r="H46" s="91"/>
      <c r="I46" s="91"/>
      <c r="J46" s="91"/>
      <c r="K46" s="247"/>
      <c r="L46" s="248"/>
    </row>
    <row r="47" spans="2:12" ht="24.75" customHeight="1" x14ac:dyDescent="0.2">
      <c r="B47" s="284" t="s">
        <v>34</v>
      </c>
      <c r="C47" s="29">
        <f>+'DATOS INICIALES'!D22</f>
        <v>721033</v>
      </c>
      <c r="D47" s="97" t="s">
        <v>75</v>
      </c>
      <c r="E47" s="97" t="s">
        <v>75</v>
      </c>
      <c r="F47" s="97" t="s">
        <v>77</v>
      </c>
      <c r="G47" s="97"/>
      <c r="H47" s="97"/>
      <c r="I47" s="97"/>
      <c r="J47" s="98"/>
      <c r="K47" s="247"/>
      <c r="L47" s="248"/>
    </row>
    <row r="48" spans="2:12" ht="24.75" customHeight="1" x14ac:dyDescent="0.2">
      <c r="B48" s="285"/>
      <c r="C48" s="29">
        <f>+'DATOS INICIALES'!D23</f>
        <v>721410</v>
      </c>
      <c r="D48" s="97" t="s">
        <v>77</v>
      </c>
      <c r="E48" s="97" t="s">
        <v>77</v>
      </c>
      <c r="F48" s="97" t="s">
        <v>77</v>
      </c>
      <c r="G48" s="97"/>
      <c r="H48" s="97"/>
      <c r="I48" s="97"/>
      <c r="J48" s="98"/>
      <c r="K48" s="247"/>
      <c r="L48" s="248"/>
    </row>
    <row r="49" spans="2:12" ht="24.75" customHeight="1" x14ac:dyDescent="0.2">
      <c r="B49" s="285"/>
      <c r="C49" s="29">
        <f>+'DATOS INICIALES'!D24</f>
        <v>721411</v>
      </c>
      <c r="D49" s="97" t="s">
        <v>77</v>
      </c>
      <c r="E49" s="97" t="s">
        <v>77</v>
      </c>
      <c r="F49" s="97" t="s">
        <v>77</v>
      </c>
      <c r="G49" s="97"/>
      <c r="H49" s="97"/>
      <c r="I49" s="97"/>
      <c r="J49" s="98"/>
      <c r="K49" s="247"/>
      <c r="L49" s="248"/>
    </row>
    <row r="50" spans="2:12" ht="24.75" customHeight="1" x14ac:dyDescent="0.2">
      <c r="B50" s="285"/>
      <c r="C50" s="29">
        <f>+'DATOS INICIALES'!D25</f>
        <v>721416</v>
      </c>
      <c r="D50" s="97" t="s">
        <v>77</v>
      </c>
      <c r="E50" s="97" t="s">
        <v>77</v>
      </c>
      <c r="F50" s="97" t="s">
        <v>77</v>
      </c>
      <c r="G50" s="97"/>
      <c r="H50" s="97"/>
      <c r="I50" s="97"/>
      <c r="J50" s="98"/>
      <c r="K50" s="247"/>
      <c r="L50" s="248"/>
    </row>
    <row r="51" spans="2:12" ht="24.75" customHeight="1" x14ac:dyDescent="0.2">
      <c r="B51" s="285"/>
      <c r="C51" s="29">
        <f>+'DATOS INICIALES'!D26</f>
        <v>721527</v>
      </c>
      <c r="D51" s="97" t="s">
        <v>77</v>
      </c>
      <c r="E51" s="97" t="s">
        <v>77</v>
      </c>
      <c r="F51" s="97" t="s">
        <v>77</v>
      </c>
      <c r="G51" s="97"/>
      <c r="H51" s="97"/>
      <c r="I51" s="97"/>
      <c r="J51" s="98"/>
      <c r="K51" s="247"/>
      <c r="L51" s="248"/>
    </row>
    <row r="52" spans="2:12" ht="24.75" customHeight="1" x14ac:dyDescent="0.2">
      <c r="B52" s="285"/>
      <c r="C52" s="29">
        <f>+'DATOS INICIALES'!D27</f>
        <v>721539</v>
      </c>
      <c r="D52" s="97" t="s">
        <v>75</v>
      </c>
      <c r="E52" s="97" t="s">
        <v>75</v>
      </c>
      <c r="F52" s="97" t="s">
        <v>77</v>
      </c>
      <c r="G52" s="97"/>
      <c r="H52" s="97"/>
      <c r="I52" s="97"/>
      <c r="J52" s="98"/>
      <c r="K52" s="247"/>
      <c r="L52" s="248"/>
    </row>
    <row r="53" spans="2:12" ht="24.75" customHeight="1" x14ac:dyDescent="0.2">
      <c r="B53" s="285"/>
      <c r="C53" s="29">
        <f>+'DATOS INICIALES'!D28</f>
        <v>951115</v>
      </c>
      <c r="D53" s="97" t="s">
        <v>75</v>
      </c>
      <c r="E53" s="97" t="s">
        <v>75</v>
      </c>
      <c r="F53" s="97" t="s">
        <v>75</v>
      </c>
      <c r="G53" s="97"/>
      <c r="H53" s="97"/>
      <c r="I53" s="97"/>
      <c r="J53" s="97"/>
      <c r="K53" s="247"/>
      <c r="L53" s="248"/>
    </row>
    <row r="54" spans="2:12" ht="24.75" customHeight="1" x14ac:dyDescent="0.2">
      <c r="B54" s="285"/>
      <c r="C54" s="29">
        <f>+'DATOS INICIALES'!D29</f>
        <v>721033</v>
      </c>
      <c r="D54" s="97" t="s">
        <v>77</v>
      </c>
      <c r="E54" s="97" t="s">
        <v>77</v>
      </c>
      <c r="F54" s="97" t="s">
        <v>77</v>
      </c>
      <c r="G54" s="97"/>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CUMPLE</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t="s">
        <v>13</v>
      </c>
      <c r="G56" s="91"/>
      <c r="H56" s="91"/>
      <c r="I56" s="91"/>
      <c r="J56" s="91"/>
      <c r="K56" s="257"/>
      <c r="L56" s="258"/>
    </row>
    <row r="57" spans="2:12" ht="103.25" customHeight="1" x14ac:dyDescent="0.2">
      <c r="B57" s="287" t="s">
        <v>190</v>
      </c>
      <c r="C57" s="288"/>
      <c r="D57" s="91" t="s">
        <v>13</v>
      </c>
      <c r="E57" s="91" t="s">
        <v>13</v>
      </c>
      <c r="F57" s="91" t="s">
        <v>13</v>
      </c>
      <c r="G57" s="91"/>
      <c r="H57" s="91"/>
      <c r="I57" s="91"/>
      <c r="J57" s="91"/>
      <c r="K57" s="257"/>
      <c r="L57" s="258"/>
    </row>
    <row r="58" spans="2:12" ht="72" customHeight="1" x14ac:dyDescent="0.2">
      <c r="B58" s="281" t="s">
        <v>191</v>
      </c>
      <c r="C58" s="282"/>
      <c r="D58" s="91" t="s">
        <v>13</v>
      </c>
      <c r="E58" s="91" t="s">
        <v>13</v>
      </c>
      <c r="F58" s="91" t="s">
        <v>13</v>
      </c>
      <c r="G58" s="91"/>
      <c r="H58" s="91"/>
      <c r="I58" s="91"/>
      <c r="J58" s="91"/>
      <c r="K58" s="247"/>
      <c r="L58" s="248"/>
    </row>
    <row r="59" spans="2:12" ht="42.5" customHeight="1" x14ac:dyDescent="0.2">
      <c r="B59" s="281" t="s">
        <v>192</v>
      </c>
      <c r="C59" s="282"/>
      <c r="D59" s="91" t="s">
        <v>13</v>
      </c>
      <c r="E59" s="91" t="s">
        <v>13</v>
      </c>
      <c r="F59" s="91" t="s">
        <v>13</v>
      </c>
      <c r="G59" s="91"/>
      <c r="H59" s="91"/>
      <c r="I59" s="91"/>
      <c r="J59" s="91"/>
      <c r="K59" s="247"/>
      <c r="L59" s="248"/>
    </row>
    <row r="60" spans="2:12" ht="36" customHeight="1" x14ac:dyDescent="0.2">
      <c r="B60" s="281" t="s">
        <v>193</v>
      </c>
      <c r="C60" s="282"/>
      <c r="D60" s="91" t="s">
        <v>13</v>
      </c>
      <c r="E60" s="91" t="s">
        <v>13</v>
      </c>
      <c r="F60" s="91" t="s">
        <v>13</v>
      </c>
      <c r="G60" s="91"/>
      <c r="H60" s="91"/>
      <c r="I60" s="91"/>
      <c r="J60" s="91"/>
      <c r="K60" s="247"/>
      <c r="L60" s="248"/>
    </row>
    <row r="61" spans="2:12" ht="160.75" customHeight="1" x14ac:dyDescent="0.2">
      <c r="B61" s="281" t="s">
        <v>194</v>
      </c>
      <c r="C61" s="282"/>
      <c r="D61" s="91" t="s">
        <v>13</v>
      </c>
      <c r="E61" s="91" t="s">
        <v>13</v>
      </c>
      <c r="F61" s="91" t="s">
        <v>13</v>
      </c>
      <c r="G61" s="91"/>
      <c r="H61" s="91"/>
      <c r="I61" s="91"/>
      <c r="J61" s="91"/>
      <c r="K61" s="247"/>
      <c r="L61" s="248"/>
    </row>
    <row r="62" spans="2:12" ht="409.25" customHeight="1" x14ac:dyDescent="0.2">
      <c r="B62" s="261" t="s">
        <v>195</v>
      </c>
      <c r="C62" s="261"/>
      <c r="D62" s="91" t="s">
        <v>13</v>
      </c>
      <c r="E62" s="91" t="s">
        <v>13</v>
      </c>
      <c r="F62" s="91" t="s">
        <v>13</v>
      </c>
      <c r="G62" s="91"/>
      <c r="H62" s="91"/>
      <c r="I62" s="91"/>
      <c r="J62" s="91"/>
      <c r="K62" s="279"/>
      <c r="L62" s="280"/>
    </row>
    <row r="63" spans="2:12" ht="301.75" customHeight="1" x14ac:dyDescent="0.2">
      <c r="B63" s="262" t="s">
        <v>196</v>
      </c>
      <c r="C63" s="263"/>
      <c r="D63" s="91" t="s">
        <v>13</v>
      </c>
      <c r="E63" s="91" t="s">
        <v>13</v>
      </c>
      <c r="F63" s="91" t="s">
        <v>13</v>
      </c>
      <c r="G63" s="91"/>
      <c r="H63" s="91"/>
      <c r="I63" s="91"/>
      <c r="J63" s="91"/>
      <c r="K63" s="247"/>
      <c r="L63" s="248"/>
    </row>
    <row r="64" spans="2:12" ht="253.75" customHeight="1" x14ac:dyDescent="0.2">
      <c r="B64" s="283" t="s">
        <v>197</v>
      </c>
      <c r="C64" s="283"/>
      <c r="D64" s="91" t="s">
        <v>13</v>
      </c>
      <c r="E64" s="91" t="s">
        <v>13</v>
      </c>
      <c r="F64" s="91" t="s">
        <v>13</v>
      </c>
      <c r="G64" s="91"/>
      <c r="H64" s="91"/>
      <c r="I64" s="91"/>
      <c r="J64" s="91"/>
      <c r="K64" s="247"/>
      <c r="L64" s="248"/>
    </row>
    <row r="65" spans="2:12" ht="243.5" customHeight="1" x14ac:dyDescent="0.2">
      <c r="B65" s="261" t="s">
        <v>198</v>
      </c>
      <c r="C65" s="261"/>
      <c r="D65" s="91" t="s">
        <v>13</v>
      </c>
      <c r="E65" s="91" t="s">
        <v>14</v>
      </c>
      <c r="F65" s="91" t="s">
        <v>14</v>
      </c>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NO CUMPLE</v>
      </c>
      <c r="F66" s="18" t="str">
        <f t="shared" ref="F66:J66" si="10">IF(F24="","N/A",IF(AND(F46="CUMPLE",F55="CUMPLE",F56="CUMPLE",F57="CUMPLE",F58="CUMPLE",F59="CUMPLE",OR(F61="CUMPLE",F61="N/A"),F62="CUMPLE",OR(F63="CUMPLE",F63="N/A"),F65="CUMPLE",OR(F64="CUMPLE",F64="N/A")),"CUMPLE","NO CUMPLE"))</f>
        <v>NO CUMPLE</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14</v>
      </c>
      <c r="E67" s="91" t="s">
        <v>14</v>
      </c>
      <c r="F67" s="91" t="s">
        <v>14</v>
      </c>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327" priority="17">
      <formula>LEN(TRIM(D25))=0</formula>
    </cfRule>
    <cfRule type="notContainsErrors" dxfId="1326" priority="18">
      <formula>NOT(ISERROR(D25))</formula>
    </cfRule>
  </conditionalFormatting>
  <conditionalFormatting sqref="D34:J34 D24:K24">
    <cfRule type="containsBlanks" dxfId="1325" priority="19">
      <formula>LEN(TRIM(D24))=0</formula>
    </cfRule>
  </conditionalFormatting>
  <conditionalFormatting sqref="D37:J37">
    <cfRule type="containsBlanks" dxfId="1324" priority="15">
      <formula>LEN(TRIM(D37))=0</formula>
    </cfRule>
    <cfRule type="notContainsErrors" dxfId="1323" priority="16">
      <formula>NOT(ISERROR(D37))</formula>
    </cfRule>
  </conditionalFormatting>
  <conditionalFormatting sqref="D40:J40">
    <cfRule type="containsBlanks" dxfId="1322" priority="13">
      <formula>LEN(TRIM(D40))=0</formula>
    </cfRule>
    <cfRule type="notContainsErrors" dxfId="1321" priority="14">
      <formula>NOT(ISERROR(D40))</formula>
    </cfRule>
  </conditionalFormatting>
  <conditionalFormatting sqref="D43:J43 K66:L66">
    <cfRule type="containsBlanks" dxfId="1320" priority="23">
      <formula>LEN(TRIM(D43))=0</formula>
    </cfRule>
    <cfRule type="notContainsErrors" dxfId="1319" priority="24">
      <formula>NOT(ISERROR(D43))</formula>
    </cfRule>
  </conditionalFormatting>
  <conditionalFormatting sqref="D46:J54">
    <cfRule type="cellIs" dxfId="1318" priority="9" operator="equal">
      <formula>"NO CUMPLE"</formula>
    </cfRule>
    <cfRule type="cellIs" dxfId="1317" priority="10" operator="equal">
      <formula>"CUMPLE"</formula>
    </cfRule>
    <cfRule type="containsBlanks" dxfId="1316" priority="11">
      <formula>LEN(TRIM(D46))=0</formula>
    </cfRule>
    <cfRule type="notContainsErrors" dxfId="1315" priority="12">
      <formula>NOT(ISERROR(D46))</formula>
    </cfRule>
  </conditionalFormatting>
  <conditionalFormatting sqref="D55:J55">
    <cfRule type="cellIs" dxfId="1314" priority="35" operator="equal">
      <formula>"""CUMPLE"""</formula>
    </cfRule>
    <cfRule type="cellIs" dxfId="1313" priority="34" operator="equal">
      <formula>"NO CUMPLE"</formula>
    </cfRule>
    <cfRule type="cellIs" dxfId="1312" priority="33" operator="equal">
      <formula>"CUMPLE"</formula>
    </cfRule>
    <cfRule type="cellIs" dxfId="1311" priority="29" operator="equal">
      <formula>"N/A"</formula>
    </cfRule>
  </conditionalFormatting>
  <conditionalFormatting sqref="D56:J65">
    <cfRule type="cellIs" dxfId="1310" priority="5" operator="equal">
      <formula>"NO CUMPLE"</formula>
    </cfRule>
    <cfRule type="cellIs" dxfId="1309" priority="6" operator="equal">
      <formula>"CUMPLE"</formula>
    </cfRule>
    <cfRule type="containsBlanks" dxfId="1308" priority="7">
      <formula>LEN(TRIM(D56))=0</formula>
    </cfRule>
    <cfRule type="notContainsErrors" dxfId="1307" priority="8">
      <formula>NOT(ISERROR(D56))</formula>
    </cfRule>
  </conditionalFormatting>
  <conditionalFormatting sqref="D66:J66">
    <cfRule type="cellIs" dxfId="1306" priority="26" operator="equal">
      <formula>"CUMPLE"</formula>
    </cfRule>
    <cfRule type="cellIs" dxfId="1305" priority="27" operator="equal">
      <formula>"NO CUMPLE"</formula>
    </cfRule>
    <cfRule type="cellIs" dxfId="1304" priority="28" operator="equal">
      <formula>"""CUMPLE"""</formula>
    </cfRule>
    <cfRule type="cellIs" dxfId="1303" priority="25" operator="equal">
      <formula>"N/A"</formula>
    </cfRule>
  </conditionalFormatting>
  <conditionalFormatting sqref="D67:J67">
    <cfRule type="cellIs" dxfId="1302" priority="1" operator="equal">
      <formula>"NO CUMPLE"</formula>
    </cfRule>
    <cfRule type="cellIs" dxfId="1301" priority="2" operator="equal">
      <formula>"CUMPLE"</formula>
    </cfRule>
  </conditionalFormatting>
  <conditionalFormatting sqref="D24:K24 D34:J34">
    <cfRule type="notContainsErrors" dxfId="1300" priority="20">
      <formula>NOT(ISERROR(D24))</formula>
    </cfRule>
  </conditionalFormatting>
  <conditionalFormatting sqref="D67:K67">
    <cfRule type="notContainsErrors" dxfId="1299" priority="4">
      <formula>NOT(ISERROR(D67))</formula>
    </cfRule>
    <cfRule type="containsBlanks" dxfId="1298" priority="3">
      <formula>LEN(TRIM(D67))=0</formula>
    </cfRule>
  </conditionalFormatting>
  <conditionalFormatting sqref="F20:H20">
    <cfRule type="cellIs" dxfId="1297" priority="39" operator="equal">
      <formula>"CUMPLE"</formula>
    </cfRule>
    <cfRule type="cellIs" dxfId="1296" priority="40" operator="equal">
      <formula>"NO CUMPLE"</formula>
    </cfRule>
    <cfRule type="cellIs" dxfId="1295" priority="41" operator="equal">
      <formula>"""CUMPLE"""</formula>
    </cfRule>
  </conditionalFormatting>
  <conditionalFormatting sqref="I11">
    <cfRule type="containsText" dxfId="1294" priority="42" operator="containsText" text="INHABILITADO">
      <formula>NOT(ISERROR(SEARCH("INHABILITADO",I11)))</formula>
    </cfRule>
    <cfRule type="containsText" dxfId="1293" priority="43" operator="containsText" text="HABILITADO">
      <formula>NOT(ISERROR(SEARCH("HABILITADO",I11)))</formula>
    </cfRule>
    <cfRule type="containsText" dxfId="1292" priority="44" operator="containsText" text="HABILITADO">
      <formula>NOT(ISERROR(SEARCH("HABILITADO",I11)))</formula>
    </cfRule>
    <cfRule type="containsText" dxfId="1291" priority="45" operator="containsText" text="NO CUMPLE">
      <formula>NOT(ISERROR(SEARCH("NO CUMPLE",I11)))</formula>
    </cfRule>
  </conditionalFormatting>
  <conditionalFormatting sqref="K19">
    <cfRule type="cellIs" dxfId="1290" priority="30" operator="equal">
      <formula>"CUMPLE"</formula>
    </cfRule>
    <cfRule type="cellIs" dxfId="1289" priority="31" operator="equal">
      <formula>"NO CUMPLE"</formula>
    </cfRule>
    <cfRule type="cellIs" dxfId="1288" priority="32" operator="equal">
      <formula>"""CUMPLE"""</formula>
    </cfRule>
  </conditionalFormatting>
  <conditionalFormatting sqref="K25:K65">
    <cfRule type="notContainsErrors" dxfId="1287" priority="22">
      <formula>NOT(ISERROR(K25))</formula>
    </cfRule>
    <cfRule type="containsBlanks" dxfId="1286" priority="21">
      <formula>LEN(TRIM(K25))=0</formula>
    </cfRule>
  </conditionalFormatting>
  <conditionalFormatting sqref="L15">
    <cfRule type="cellIs" dxfId="1285" priority="36" operator="equal">
      <formula>"CUMPLE"</formula>
    </cfRule>
    <cfRule type="cellIs" dxfId="1284" priority="37" operator="equal">
      <formula>"NO CUMPLE"</formula>
    </cfRule>
    <cfRule type="cellIs" dxfId="1283" priority="38" operator="equal">
      <formula>"""CUMPLE"""</formula>
    </cfRule>
  </conditionalFormatting>
  <dataValidations count="3">
    <dataValidation type="list" allowBlank="1" showInputMessage="1" showErrorMessage="1" sqref="D67:I67" xr:uid="{BEAE8B04-BCAC-4BCE-8FEA-211915665E8E}">
      <formula1>"CUMPLE,NO CUMPLE"</formula1>
    </dataValidation>
    <dataValidation type="list" allowBlank="1" showInputMessage="1" showErrorMessage="1" sqref="D24:J26" xr:uid="{39088AB1-8D0C-4E9A-B30C-92B82588A011}">
      <formula1>$C$15:$C$19</formula1>
    </dataValidation>
    <dataValidation type="list" allowBlank="1" showInputMessage="1" showErrorMessage="1" sqref="L58:L66" xr:uid="{E4E9817F-FC02-4498-B663-BFC0798F7797}">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E6D92C95-8A0C-4CBF-BB1F-AA4194157CD5}">
          <x14:formula1>
            <xm:f>'DATOS INICIALES'!$A$13:$A$44</xm:f>
          </x14:formula1>
          <xm:sqref>D31:I31</xm:sqref>
        </x14:dataValidation>
        <x14:dataValidation type="list" allowBlank="1" showInputMessage="1" showErrorMessage="1" xr:uid="{8D31EAA2-2E13-4A1A-A25C-77A9F8FE3204}">
          <x14:formula1>
            <xm:f>'DATOS INICIALES'!$D$22:$D$26</xm:f>
          </x14:formula1>
          <xm:sqref>M47:M55</xm:sqref>
        </x14:dataValidation>
        <x14:dataValidation type="list" allowBlank="1" showInputMessage="1" showErrorMessage="1" xr:uid="{89DC9351-B48C-4744-9966-9D6E642669EA}">
          <x14:formula1>
            <xm:f>'DATOS INICIALES'!$A$57:$A$62</xm:f>
          </x14:formula1>
          <xm:sqref>D23:I23</xm:sqref>
        </x14:dataValidation>
        <x14:dataValidation type="list" allowBlank="1" showInputMessage="1" showErrorMessage="1" xr:uid="{AB6DE49F-0EC1-4658-9E65-34C27726BB51}">
          <x14:formula1>
            <xm:f>'DATOS INICIALES'!$A$53:$A$55</xm:f>
          </x14:formula1>
          <xm:sqref>D46:J46 D56:F65 J56:J57 G56:I58 G59:J65</xm:sqref>
        </x14:dataValidation>
        <x14:dataValidation type="list" allowBlank="1" showInputMessage="1" showErrorMessage="1" xr:uid="{DEBB68D2-76A4-45E3-8CB9-36DFC28DAF56}">
          <x14:formula1>
            <xm:f>'DATOS INICIALES'!$C$48:$C$49</xm:f>
          </x14:formula1>
          <xm:sqref>J47:J52 D47:I54</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CD06B-3272-46A7-A596-D427B3D3FD7E}">
  <sheetPr>
    <tabColor rgb="FF92D050"/>
  </sheetPr>
  <dimension ref="B1:N82"/>
  <sheetViews>
    <sheetView view="pageBreakPreview" zoomScale="40" zoomScaleNormal="55" zoomScaleSheetLayoutView="40" workbookViewId="0">
      <pane ySplit="11" topLeftCell="A12" activePane="bottomLeft" state="frozenSplit"/>
      <selection activeCell="C11" sqref="C11:G11"/>
      <selection pane="bottomLeft" activeCell="F40" sqref="F40"/>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70.332031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+PROPONENTES!B15</f>
        <v>CONSORCIO USAQUEN VIAL 2025</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CONSTRUCCIONES CORPOVIAL S.A.S </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1061.748</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13091.134999999998</v>
      </c>
      <c r="L15" s="265" t="str">
        <f>IF(K15&gt;=J15,"CUMPLE","NO CUMPLE")</f>
        <v>CUMPLE</v>
      </c>
    </row>
    <row r="16" spans="2:12" ht="33.75" customHeight="1" x14ac:dyDescent="0.2">
      <c r="B16" s="273"/>
      <c r="C16" s="100" t="str">
        <f>IF(VLOOKUP(C11,PROPONENTES!B10:N44,4,FALSE)=0,"",VLOOKUP(C11,PROPONENTES!B10:N44,4,FALSE))</f>
        <v>LIBERTY CONSTRUCTORA DEL CARIBE S.A.S.</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12029.386999999999</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13091.134999999998</v>
      </c>
      <c r="J19" s="355">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13091.134999999998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243</v>
      </c>
      <c r="E24" s="91" t="s">
        <v>242</v>
      </c>
      <c r="F24" s="91"/>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424</v>
      </c>
      <c r="E27" s="92" t="s">
        <v>425</v>
      </c>
      <c r="F27" s="92"/>
      <c r="G27" s="92"/>
      <c r="H27" s="92"/>
      <c r="I27" s="92"/>
      <c r="J27" s="92"/>
      <c r="K27" s="247"/>
      <c r="L27" s="248"/>
    </row>
    <row r="28" spans="2:14" ht="156.75" customHeight="1" x14ac:dyDescent="0.2">
      <c r="B28" s="277"/>
      <c r="C28" s="26" t="s">
        <v>36</v>
      </c>
      <c r="D28" s="92" t="s">
        <v>426</v>
      </c>
      <c r="E28" s="92" t="s">
        <v>427</v>
      </c>
      <c r="F28" s="92"/>
      <c r="G28" s="92"/>
      <c r="H28" s="92"/>
      <c r="I28" s="92"/>
      <c r="J28" s="92"/>
      <c r="K28" s="247"/>
      <c r="L28" s="248"/>
    </row>
    <row r="29" spans="2:14" ht="52.5" customHeight="1" x14ac:dyDescent="0.2">
      <c r="B29" s="277"/>
      <c r="C29" s="26" t="s">
        <v>172</v>
      </c>
      <c r="D29" s="96">
        <v>41232</v>
      </c>
      <c r="E29" s="96">
        <v>45226</v>
      </c>
      <c r="F29" s="96"/>
      <c r="G29" s="96"/>
      <c r="H29" s="96"/>
      <c r="I29" s="96"/>
      <c r="J29" s="96"/>
      <c r="K29" s="247"/>
      <c r="L29" s="248"/>
    </row>
    <row r="30" spans="2:14" ht="54.75" customHeight="1" x14ac:dyDescent="0.2">
      <c r="B30" s="277"/>
      <c r="C30" s="26" t="s">
        <v>40</v>
      </c>
      <c r="D30" s="96">
        <v>41852</v>
      </c>
      <c r="E30" s="96">
        <v>45287</v>
      </c>
      <c r="F30" s="96"/>
      <c r="G30" s="96"/>
      <c r="H30" s="96"/>
      <c r="I30" s="96"/>
      <c r="J30" s="96"/>
      <c r="K30" s="247"/>
      <c r="L30" s="248"/>
    </row>
    <row r="31" spans="2:14" ht="41.25" customHeight="1" x14ac:dyDescent="0.2">
      <c r="B31" s="277"/>
      <c r="C31" s="26" t="s">
        <v>37</v>
      </c>
      <c r="D31" s="93">
        <v>2014</v>
      </c>
      <c r="E31" s="93">
        <v>2023</v>
      </c>
      <c r="F31" s="93"/>
      <c r="G31" s="93"/>
      <c r="H31" s="93"/>
      <c r="I31" s="93"/>
      <c r="J31" s="93"/>
      <c r="K31" s="247"/>
      <c r="L31" s="248"/>
    </row>
    <row r="32" spans="2:14" ht="63" customHeight="1" x14ac:dyDescent="0.2">
      <c r="B32" s="277"/>
      <c r="C32" s="26" t="s">
        <v>38</v>
      </c>
      <c r="D32" s="92" t="s">
        <v>428</v>
      </c>
      <c r="E32" s="92" t="s">
        <v>429</v>
      </c>
      <c r="F32" s="92"/>
      <c r="G32" s="92"/>
      <c r="H32" s="92"/>
      <c r="I32" s="92"/>
      <c r="J32" s="92"/>
      <c r="K32" s="247"/>
      <c r="L32" s="248"/>
    </row>
    <row r="33" spans="2:12" ht="46.5" customHeight="1" x14ac:dyDescent="0.2">
      <c r="B33" s="277"/>
      <c r="C33" s="26" t="s">
        <v>39</v>
      </c>
      <c r="D33" s="92" t="s">
        <v>430</v>
      </c>
      <c r="E33" s="92" t="s">
        <v>431</v>
      </c>
      <c r="F33" s="92"/>
      <c r="G33" s="92"/>
      <c r="H33" s="92"/>
      <c r="I33" s="92"/>
      <c r="J33" s="92"/>
      <c r="K33" s="247"/>
      <c r="L33" s="248"/>
    </row>
    <row r="34" spans="2:12" ht="27.75" customHeight="1" x14ac:dyDescent="0.2">
      <c r="B34" s="277"/>
      <c r="C34" s="28" t="s">
        <v>33</v>
      </c>
      <c r="D34" s="97">
        <v>1</v>
      </c>
      <c r="E34" s="97">
        <v>28</v>
      </c>
      <c r="F34" s="97"/>
      <c r="G34" s="98"/>
      <c r="H34" s="98"/>
      <c r="I34" s="98"/>
      <c r="J34" s="98"/>
      <c r="K34" s="247"/>
      <c r="L34" s="248"/>
    </row>
    <row r="35" spans="2:12" ht="102.75" customHeight="1" x14ac:dyDescent="0.2">
      <c r="B35" s="277"/>
      <c r="C35" s="26" t="s">
        <v>118</v>
      </c>
      <c r="D35" s="94">
        <v>14152.22</v>
      </c>
      <c r="E35" s="94">
        <v>1179.72</v>
      </c>
      <c r="F35" s="94"/>
      <c r="G35" s="94"/>
      <c r="H35" s="94"/>
      <c r="I35" s="94"/>
      <c r="J35" s="94"/>
      <c r="K35" s="279"/>
      <c r="L35" s="280"/>
    </row>
    <row r="36" spans="2:12" ht="48" customHeight="1" x14ac:dyDescent="0.2">
      <c r="B36" s="277"/>
      <c r="C36" s="26" t="s">
        <v>74</v>
      </c>
      <c r="D36" s="105">
        <f>IFERROR(D35*VLOOKUP(D31,'DATOS INICIALES'!$A$12:$B$44,2,0),"0")</f>
        <v>8717767520</v>
      </c>
      <c r="E36" s="105">
        <f>IFERROR(E35*VLOOKUP(E31,'DATOS INICIALES'!$A$12:$B$44,2,0),"0")</f>
        <v>1368475200</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0.85</v>
      </c>
      <c r="E37" s="95">
        <v>0.9</v>
      </c>
      <c r="F37" s="95"/>
      <c r="G37" s="95"/>
      <c r="H37" s="95"/>
      <c r="I37" s="95"/>
      <c r="J37" s="95"/>
      <c r="K37" s="247"/>
      <c r="L37" s="248"/>
    </row>
    <row r="38" spans="2:12" ht="48.75" customHeight="1" x14ac:dyDescent="0.2">
      <c r="B38" s="277"/>
      <c r="C38" s="26" t="s">
        <v>125</v>
      </c>
      <c r="D38" s="105">
        <f t="shared" ref="D38:J38" si="3">IF(D24="","0",D37*D36)</f>
        <v>7410102392</v>
      </c>
      <c r="E38" s="105">
        <f t="shared" si="3"/>
        <v>1231627680</v>
      </c>
      <c r="F38" s="105" t="str">
        <f t="shared" si="3"/>
        <v>0</v>
      </c>
      <c r="G38" s="105" t="str">
        <f t="shared" si="3"/>
        <v>0</v>
      </c>
      <c r="H38" s="105" t="str">
        <f t="shared" si="3"/>
        <v>0</v>
      </c>
      <c r="I38" s="105" t="str">
        <f t="shared" si="3"/>
        <v>0</v>
      </c>
      <c r="J38" s="105" t="str">
        <f t="shared" si="3"/>
        <v>0</v>
      </c>
      <c r="K38" s="247"/>
      <c r="L38" s="248"/>
    </row>
    <row r="39" spans="2:12" ht="197.5" customHeight="1" x14ac:dyDescent="0.2">
      <c r="B39" s="277"/>
      <c r="C39" s="26" t="s">
        <v>120</v>
      </c>
      <c r="D39" s="106">
        <f t="shared" ref="D39:J39" si="4">IFERROR(D35*D37,"0")</f>
        <v>12029.386999999999</v>
      </c>
      <c r="E39" s="106">
        <f t="shared" si="4"/>
        <v>1061.748</v>
      </c>
      <c r="F39" s="106">
        <f t="shared" si="4"/>
        <v>0</v>
      </c>
      <c r="G39" s="106">
        <f t="shared" si="4"/>
        <v>0</v>
      </c>
      <c r="H39" s="106">
        <f t="shared" si="4"/>
        <v>0</v>
      </c>
      <c r="I39" s="106">
        <f t="shared" si="4"/>
        <v>0</v>
      </c>
      <c r="J39" s="106">
        <f t="shared" si="4"/>
        <v>0</v>
      </c>
      <c r="K39" s="357" t="s">
        <v>456</v>
      </c>
      <c r="L39" s="35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77</v>
      </c>
      <c r="E50" s="97" t="s">
        <v>75</v>
      </c>
      <c r="F50" s="97"/>
      <c r="G50" s="97"/>
      <c r="H50" s="97"/>
      <c r="I50" s="97"/>
      <c r="J50" s="98"/>
      <c r="K50" s="247"/>
      <c r="L50" s="248"/>
    </row>
    <row r="51" spans="2:12" ht="24.75" customHeight="1" x14ac:dyDescent="0.2">
      <c r="B51" s="285"/>
      <c r="C51" s="29">
        <f>+'DATOS INICIALES'!D26</f>
        <v>721527</v>
      </c>
      <c r="D51" s="97" t="s">
        <v>75</v>
      </c>
      <c r="E51" s="97" t="s">
        <v>75</v>
      </c>
      <c r="F51" s="97"/>
      <c r="G51" s="97"/>
      <c r="H51" s="97"/>
      <c r="I51" s="97"/>
      <c r="J51" s="98"/>
      <c r="K51" s="247"/>
      <c r="L51" s="248"/>
    </row>
    <row r="52" spans="2:12" ht="24.75" customHeight="1" x14ac:dyDescent="0.2">
      <c r="B52" s="285"/>
      <c r="C52" s="29">
        <f>+'DATOS INICIALES'!D27</f>
        <v>721539</v>
      </c>
      <c r="D52" s="97" t="s">
        <v>75</v>
      </c>
      <c r="E52" s="97" t="s">
        <v>77</v>
      </c>
      <c r="F52" s="97"/>
      <c r="G52" s="97"/>
      <c r="H52" s="97"/>
      <c r="I52" s="97"/>
      <c r="J52" s="98"/>
      <c r="K52" s="247"/>
      <c r="L52" s="248"/>
    </row>
    <row r="53" spans="2:12" ht="24.75" customHeight="1" x14ac:dyDescent="0.2">
      <c r="B53" s="285"/>
      <c r="C53" s="29">
        <f>+'DATOS INICIALES'!D28</f>
        <v>951115</v>
      </c>
      <c r="D53" s="97" t="s">
        <v>75</v>
      </c>
      <c r="E53" s="97" t="s">
        <v>77</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IF(D24="","N/A",IF(D47="SI","CUMPLE",IF(D48="SI","CUMPLE",IF(D49="SI","CUMPLE",IF(D50="SI","CUMPLE",IF(D51="SI","CUMPLE",IF(D52="SI","CUMPLE",IF(D54="SI","CUMPLE","NO CUMPLE"))))))))</f>
        <v>CUMPLE</v>
      </c>
      <c r="E55" s="18" t="str">
        <f t="shared" ref="E55:J55" si="9">IF(E24="","N/A",IF(E47="SI","CUMPLE",IF(E48="SI","CUMPLE",IF(E49="SI","CUMPLE",IF(E50="SI","CUMPLE",IF(E51="SI","CUMPLE",IF(E52="SI","CUMPLE",IF(E54="SI","CUMPLE","NO CUMPLE"))))))))</f>
        <v>CUMPLE</v>
      </c>
      <c r="F55" s="18" t="str">
        <f t="shared" si="9"/>
        <v>N/A</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N/A</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282" priority="7">
      <formula>LEN(TRIM(D25))=0</formula>
    </cfRule>
    <cfRule type="notContainsErrors" dxfId="1281" priority="8">
      <formula>NOT(ISERROR(D25))</formula>
    </cfRule>
  </conditionalFormatting>
  <conditionalFormatting sqref="D34:J34">
    <cfRule type="containsBlanks" dxfId="1280" priority="9">
      <formula>LEN(TRIM(D34))=0</formula>
    </cfRule>
    <cfRule type="notContainsErrors" dxfId="1279" priority="10">
      <formula>NOT(ISERROR(D34))</formula>
    </cfRule>
  </conditionalFormatting>
  <conditionalFormatting sqref="D37:J37">
    <cfRule type="containsBlanks" dxfId="1278" priority="5">
      <formula>LEN(TRIM(D37))=0</formula>
    </cfRule>
    <cfRule type="notContainsErrors" dxfId="1277" priority="6">
      <formula>NOT(ISERROR(D37))</formula>
    </cfRule>
  </conditionalFormatting>
  <conditionalFormatting sqref="D40:J40">
    <cfRule type="containsBlanks" dxfId="1276" priority="23">
      <formula>LEN(TRIM(D40))=0</formula>
    </cfRule>
    <cfRule type="notContainsErrors" dxfId="1275" priority="24">
      <formula>NOT(ISERROR(D40))</formula>
    </cfRule>
  </conditionalFormatting>
  <conditionalFormatting sqref="D43:J43 K66:L66">
    <cfRule type="notContainsErrors" dxfId="1274" priority="34">
      <formula>NOT(ISERROR(D43))</formula>
    </cfRule>
    <cfRule type="containsBlanks" dxfId="1273" priority="33">
      <formula>LEN(TRIM(D43))=0</formula>
    </cfRule>
  </conditionalFormatting>
  <conditionalFormatting sqref="D46:J54">
    <cfRule type="cellIs" dxfId="1272" priority="2" operator="equal">
      <formula>"CUMPLE"</formula>
    </cfRule>
    <cfRule type="containsBlanks" dxfId="1271" priority="3">
      <formula>LEN(TRIM(D46))=0</formula>
    </cfRule>
    <cfRule type="notContainsErrors" dxfId="1270" priority="4">
      <formula>NOT(ISERROR(D46))</formula>
    </cfRule>
    <cfRule type="cellIs" dxfId="1269" priority="1" operator="equal">
      <formula>"NO CUMPLE"</formula>
    </cfRule>
  </conditionalFormatting>
  <conditionalFormatting sqref="D55:J55">
    <cfRule type="cellIs" dxfId="1268" priority="43" operator="equal">
      <formula>"CUMPLE"</formula>
    </cfRule>
    <cfRule type="cellIs" dxfId="1267" priority="44" operator="equal">
      <formula>"NO CUMPLE"</formula>
    </cfRule>
    <cfRule type="cellIs" dxfId="1266" priority="39" operator="equal">
      <formula>"N/A"</formula>
    </cfRule>
    <cfRule type="cellIs" dxfId="1265" priority="45" operator="equal">
      <formula>"""CUMPLE"""</formula>
    </cfRule>
  </conditionalFormatting>
  <conditionalFormatting sqref="D56:J65">
    <cfRule type="cellIs" dxfId="1264" priority="16" operator="equal">
      <formula>"CUMPLE"</formula>
    </cfRule>
    <cfRule type="containsBlanks" dxfId="1263" priority="17">
      <formula>LEN(TRIM(D56))=0</formula>
    </cfRule>
    <cfRule type="cellIs" dxfId="1262" priority="15" operator="equal">
      <formula>"NO CUMPLE"</formula>
    </cfRule>
    <cfRule type="notContainsErrors" dxfId="1261" priority="18">
      <formula>NOT(ISERROR(D56))</formula>
    </cfRule>
  </conditionalFormatting>
  <conditionalFormatting sqref="D66:J66">
    <cfRule type="cellIs" dxfId="1260" priority="35" operator="equal">
      <formula>"N/A"</formula>
    </cfRule>
    <cfRule type="cellIs" dxfId="1259" priority="36" operator="equal">
      <formula>"CUMPLE"</formula>
    </cfRule>
    <cfRule type="cellIs" dxfId="1258" priority="37" operator="equal">
      <formula>"NO CUMPLE"</formula>
    </cfRule>
    <cfRule type="cellIs" dxfId="1257" priority="38" operator="equal">
      <formula>"""CUMPLE"""</formula>
    </cfRule>
  </conditionalFormatting>
  <conditionalFormatting sqref="D67:J67">
    <cfRule type="cellIs" dxfId="1256" priority="12" operator="equal">
      <formula>"CUMPLE"</formula>
    </cfRule>
    <cfRule type="cellIs" dxfId="1255" priority="11" operator="equal">
      <formula>"NO CUMPLE"</formula>
    </cfRule>
  </conditionalFormatting>
  <conditionalFormatting sqref="D24:K24">
    <cfRule type="containsBlanks" dxfId="1254" priority="29">
      <formula>LEN(TRIM(D24))=0</formula>
    </cfRule>
    <cfRule type="notContainsErrors" dxfId="1253" priority="30">
      <formula>NOT(ISERROR(D24))</formula>
    </cfRule>
  </conditionalFormatting>
  <conditionalFormatting sqref="D67:K67">
    <cfRule type="notContainsErrors" dxfId="1252" priority="14">
      <formula>NOT(ISERROR(D67))</formula>
    </cfRule>
    <cfRule type="containsBlanks" dxfId="1251" priority="13">
      <formula>LEN(TRIM(D67))=0</formula>
    </cfRule>
  </conditionalFormatting>
  <conditionalFormatting sqref="F20:H20">
    <cfRule type="cellIs" dxfId="1250" priority="51" operator="equal">
      <formula>"""CUMPLE"""</formula>
    </cfRule>
    <cfRule type="cellIs" dxfId="1249" priority="50" operator="equal">
      <formula>"NO CUMPLE"</formula>
    </cfRule>
    <cfRule type="cellIs" dxfId="1248" priority="49" operator="equal">
      <formula>"CUMPLE"</formula>
    </cfRule>
  </conditionalFormatting>
  <conditionalFormatting sqref="I11">
    <cfRule type="containsText" dxfId="1247" priority="55" operator="containsText" text="NO CUMPLE">
      <formula>NOT(ISERROR(SEARCH("NO CUMPLE",I11)))</formula>
    </cfRule>
    <cfRule type="containsText" dxfId="1246" priority="52" operator="containsText" text="INHABILITADO">
      <formula>NOT(ISERROR(SEARCH("INHABILITADO",I11)))</formula>
    </cfRule>
    <cfRule type="containsText" dxfId="1245" priority="53" operator="containsText" text="HABILITADO">
      <formula>NOT(ISERROR(SEARCH("HABILITADO",I11)))</formula>
    </cfRule>
    <cfRule type="containsText" dxfId="1244" priority="54" operator="containsText" text="HABILITADO">
      <formula>NOT(ISERROR(SEARCH("HABILITADO",I11)))</formula>
    </cfRule>
  </conditionalFormatting>
  <conditionalFormatting sqref="K19">
    <cfRule type="cellIs" dxfId="1243" priority="42" operator="equal">
      <formula>"""CUMPLE"""</formula>
    </cfRule>
    <cfRule type="cellIs" dxfId="1242" priority="41" operator="equal">
      <formula>"NO CUMPLE"</formula>
    </cfRule>
    <cfRule type="cellIs" dxfId="1241" priority="40" operator="equal">
      <formula>"CUMPLE"</formula>
    </cfRule>
  </conditionalFormatting>
  <conditionalFormatting sqref="K25:K65">
    <cfRule type="containsBlanks" dxfId="1240" priority="31">
      <formula>LEN(TRIM(K25))=0</formula>
    </cfRule>
    <cfRule type="notContainsErrors" dxfId="1239" priority="32">
      <formula>NOT(ISERROR(K25))</formula>
    </cfRule>
  </conditionalFormatting>
  <conditionalFormatting sqref="L15">
    <cfRule type="cellIs" dxfId="1238" priority="46" operator="equal">
      <formula>"CUMPLE"</formula>
    </cfRule>
    <cfRule type="cellIs" dxfId="1237" priority="47" operator="equal">
      <formula>"NO CUMPLE"</formula>
    </cfRule>
    <cfRule type="cellIs" dxfId="1236" priority="48" operator="equal">
      <formula>"""CUMPLE"""</formula>
    </cfRule>
  </conditionalFormatting>
  <dataValidations count="3">
    <dataValidation type="list" allowBlank="1" showInputMessage="1" showErrorMessage="1" sqref="L58:L66" xr:uid="{5488CB93-D46E-43C8-8025-9148FDABD51E}">
      <formula1>"0,1,2,3,4,5,6"</formula1>
    </dataValidation>
    <dataValidation type="list" allowBlank="1" showInputMessage="1" showErrorMessage="1" sqref="D24:J26" xr:uid="{54DED680-85AF-4F39-85E9-6A459DD0BF4F}">
      <formula1>$C$15:$C$19</formula1>
    </dataValidation>
    <dataValidation type="list" allowBlank="1" showInputMessage="1" showErrorMessage="1" sqref="D67:I67" xr:uid="{56AF2F43-7236-47CC-8698-E83621BAB67C}">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156EFF5A-E7B9-459F-B7CF-776C293F7802}">
          <x14:formula1>
            <xm:f>'DATOS INICIALES'!$C$48:$C$49</xm:f>
          </x14:formula1>
          <xm:sqref>J47:J52 F47:I54</xm:sqref>
        </x14:dataValidation>
        <x14:dataValidation type="list" allowBlank="1" showInputMessage="1" showErrorMessage="1" xr:uid="{A4E2FD93-851A-4B94-9B3C-03CABCCA7093}">
          <x14:formula1>
            <xm:f>'DATOS INICIALES'!$A$53:$A$55</xm:f>
          </x14:formula1>
          <xm:sqref>F59:J65 D46:J46 J56:J57 F56:I58 D56:E65</xm:sqref>
        </x14:dataValidation>
        <x14:dataValidation type="list" allowBlank="1" showInputMessage="1" showErrorMessage="1" xr:uid="{C2CFA436-5CF3-4708-ACE4-8F947B1CD968}">
          <x14:formula1>
            <xm:f>'DATOS INICIALES'!$A$57:$A$62</xm:f>
          </x14:formula1>
          <xm:sqref>D23:I23</xm:sqref>
        </x14:dataValidation>
        <x14:dataValidation type="list" allowBlank="1" showInputMessage="1" showErrorMessage="1" xr:uid="{E623BCE1-9D3A-4E03-BF15-33C84B45ACED}">
          <x14:formula1>
            <xm:f>'DATOS INICIALES'!$D$22:$D$26</xm:f>
          </x14:formula1>
          <xm:sqref>M47:M55</xm:sqref>
        </x14:dataValidation>
        <x14:dataValidation type="list" allowBlank="1" showInputMessage="1" showErrorMessage="1" xr:uid="{E7E728CE-6A2C-4E32-A7FF-27A5C9E44007}">
          <x14:formula1>
            <xm:f>'DATOS INICIALES'!$A$13:$A$44</xm:f>
          </x14:formula1>
          <xm:sqref>F31:I31</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763B3-02F1-4C38-86DC-072970C05F05}">
  <sheetPr>
    <tabColor rgb="FF92D050"/>
  </sheetPr>
  <dimension ref="B1:N82"/>
  <sheetViews>
    <sheetView view="pageBreakPreview" topLeftCell="B1" zoomScale="40" zoomScaleNormal="55" zoomScaleSheetLayoutView="40" workbookViewId="0">
      <pane ySplit="11" topLeftCell="A12" activePane="bottomLeft" state="frozenSplit"/>
      <selection activeCell="C11" sqref="C11:G11"/>
      <selection pane="bottomLeft" activeCell="K24" sqref="K24:L24"/>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+PROPONENTES!B16</f>
        <v>CONSORCIO VIAS URBANAS</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CONSTRUCCIONES, DISEÑOS Y OBRAS CIVILES S.A.S </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10388.82</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10388.82</v>
      </c>
      <c r="L15" s="265" t="str">
        <f>IF(K15&gt;=J15,"CUMPLE","NO CUMPLE")</f>
        <v>NO CUMPLE</v>
      </c>
    </row>
    <row r="16" spans="2:12" ht="33.75" customHeight="1" x14ac:dyDescent="0.2">
      <c r="B16" s="273"/>
      <c r="C16" s="100" t="str">
        <f>IF(VLOOKUP(C11,PROPONENTES!B10:N44,4,FALSE)=0,"",VLOOKUP(C11,PROPONENTES!B10:N44,4,FALSE))</f>
        <v xml:space="preserve">AXECOL SAS </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0</v>
      </c>
      <c r="F16" s="103" t="str">
        <f t="shared" si="1"/>
        <v>NO</v>
      </c>
      <c r="G16" s="104" t="str">
        <f t="shared" si="2"/>
        <v>NO APORTA EXPERIENCIA</v>
      </c>
      <c r="H16" s="104" t="str">
        <f>IF(C16="","",IF(AND(G16="NO APORTA EXPERIENCIA",D16&lt;=10%),"SI",IF(G16="SI","NO APLICA","NO - PORCENTAJE MAYOR AL 10%")))</f>
        <v>NO - PORCENTAJE MAYOR AL 10%</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39673.642500000002</v>
      </c>
      <c r="J19" s="355">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10388.82</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NO 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38.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140.5" customHeight="1" x14ac:dyDescent="0.2">
      <c r="B24" s="259" t="s">
        <v>115</v>
      </c>
      <c r="C24" s="260"/>
      <c r="D24" s="91" t="s">
        <v>244</v>
      </c>
      <c r="E24" s="91" t="s">
        <v>244</v>
      </c>
      <c r="F24" s="91"/>
      <c r="G24" s="91"/>
      <c r="H24" s="91"/>
      <c r="I24" s="91"/>
      <c r="J24" s="91"/>
      <c r="K24" s="357" t="s">
        <v>455</v>
      </c>
      <c r="L24" s="359"/>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432</v>
      </c>
      <c r="E27" s="92" t="s">
        <v>433</v>
      </c>
      <c r="F27" s="92"/>
      <c r="G27" s="92"/>
      <c r="H27" s="92"/>
      <c r="I27" s="92"/>
      <c r="J27" s="92"/>
      <c r="K27" s="247"/>
      <c r="L27" s="248"/>
    </row>
    <row r="28" spans="2:14" ht="156.75" customHeight="1" x14ac:dyDescent="0.2">
      <c r="B28" s="277"/>
      <c r="C28" s="26" t="s">
        <v>36</v>
      </c>
      <c r="D28" s="92" t="s">
        <v>434</v>
      </c>
      <c r="E28" s="92" t="s">
        <v>435</v>
      </c>
      <c r="F28" s="92"/>
      <c r="G28" s="92"/>
      <c r="H28" s="92"/>
      <c r="I28" s="92"/>
      <c r="J28" s="92"/>
      <c r="K28" s="247"/>
      <c r="L28" s="248"/>
    </row>
    <row r="29" spans="2:14" ht="52.5" customHeight="1" x14ac:dyDescent="0.2">
      <c r="B29" s="277"/>
      <c r="C29" s="26" t="s">
        <v>172</v>
      </c>
      <c r="D29" s="96">
        <v>38990</v>
      </c>
      <c r="E29" s="96">
        <v>38691</v>
      </c>
      <c r="F29" s="96"/>
      <c r="G29" s="96"/>
      <c r="H29" s="96"/>
      <c r="I29" s="96"/>
      <c r="J29" s="96"/>
      <c r="K29" s="247"/>
      <c r="L29" s="248"/>
    </row>
    <row r="30" spans="2:14" ht="54.75" customHeight="1" x14ac:dyDescent="0.2">
      <c r="B30" s="277"/>
      <c r="C30" s="26" t="s">
        <v>40</v>
      </c>
      <c r="D30" s="96">
        <v>42277</v>
      </c>
      <c r="E30" s="96">
        <v>40044</v>
      </c>
      <c r="F30" s="96"/>
      <c r="G30" s="96"/>
      <c r="H30" s="96"/>
      <c r="I30" s="96"/>
      <c r="J30" s="96"/>
      <c r="K30" s="247"/>
      <c r="L30" s="248"/>
    </row>
    <row r="31" spans="2:14" ht="41.25" customHeight="1" x14ac:dyDescent="0.2">
      <c r="B31" s="277"/>
      <c r="C31" s="26" t="s">
        <v>37</v>
      </c>
      <c r="D31" s="93">
        <v>2015</v>
      </c>
      <c r="E31" s="93">
        <v>2009</v>
      </c>
      <c r="F31" s="93"/>
      <c r="G31" s="93"/>
      <c r="H31" s="93"/>
      <c r="I31" s="93"/>
      <c r="J31" s="93"/>
      <c r="K31" s="247"/>
      <c r="L31" s="248"/>
    </row>
    <row r="32" spans="2:14" ht="63" customHeight="1" x14ac:dyDescent="0.2">
      <c r="B32" s="277"/>
      <c r="C32" s="26" t="s">
        <v>38</v>
      </c>
      <c r="D32" s="92" t="s">
        <v>436</v>
      </c>
      <c r="E32" s="92" t="s">
        <v>338</v>
      </c>
      <c r="F32" s="92"/>
      <c r="G32" s="92"/>
      <c r="H32" s="92"/>
      <c r="I32" s="92"/>
      <c r="J32" s="92"/>
      <c r="K32" s="247"/>
      <c r="L32" s="248"/>
    </row>
    <row r="33" spans="2:12" ht="46.5" customHeight="1" x14ac:dyDescent="0.2">
      <c r="B33" s="277"/>
      <c r="C33" s="26" t="s">
        <v>39</v>
      </c>
      <c r="D33" s="92" t="s">
        <v>437</v>
      </c>
      <c r="E33" s="92" t="s">
        <v>438</v>
      </c>
      <c r="F33" s="92"/>
      <c r="G33" s="92"/>
      <c r="H33" s="92"/>
      <c r="I33" s="92"/>
      <c r="J33" s="92"/>
      <c r="K33" s="247"/>
      <c r="L33" s="248"/>
    </row>
    <row r="34" spans="2:12" ht="27.75" customHeight="1" x14ac:dyDescent="0.2">
      <c r="B34" s="277"/>
      <c r="C34" s="28" t="s">
        <v>33</v>
      </c>
      <c r="D34" s="97">
        <v>2</v>
      </c>
      <c r="E34" s="97">
        <v>1</v>
      </c>
      <c r="F34" s="97"/>
      <c r="G34" s="98"/>
      <c r="H34" s="98"/>
      <c r="I34" s="98"/>
      <c r="J34" s="98"/>
      <c r="K34" s="247"/>
      <c r="L34" s="248"/>
    </row>
    <row r="35" spans="2:12" ht="102.75" customHeight="1" x14ac:dyDescent="0.2">
      <c r="B35" s="277"/>
      <c r="C35" s="26" t="s">
        <v>118</v>
      </c>
      <c r="D35" s="94">
        <v>117139.29</v>
      </c>
      <c r="E35" s="94">
        <v>34629.4</v>
      </c>
      <c r="F35" s="94"/>
      <c r="G35" s="94"/>
      <c r="H35" s="94"/>
      <c r="I35" s="94"/>
      <c r="J35" s="94"/>
      <c r="K35" s="279"/>
      <c r="L35" s="280"/>
    </row>
    <row r="36" spans="2:12" ht="48" customHeight="1" x14ac:dyDescent="0.2">
      <c r="B36" s="277"/>
      <c r="C36" s="26" t="s">
        <v>74</v>
      </c>
      <c r="D36" s="105">
        <f>IFERROR(D35*VLOOKUP(D31,'DATOS INICIALES'!$A$12:$B$44,2,0),"0")</f>
        <v>75478701511.5</v>
      </c>
      <c r="E36" s="105">
        <f>IFERROR(E35*VLOOKUP(E31,'DATOS INICIALES'!$A$12:$B$44,2,0),"0")</f>
        <v>17207348860</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0.25</v>
      </c>
      <c r="E37" s="95">
        <v>0.3</v>
      </c>
      <c r="F37" s="95"/>
      <c r="G37" s="95"/>
      <c r="H37" s="95"/>
      <c r="I37" s="95"/>
      <c r="J37" s="95"/>
      <c r="K37" s="247"/>
      <c r="L37" s="248"/>
    </row>
    <row r="38" spans="2:12" ht="48.75" customHeight="1" x14ac:dyDescent="0.2">
      <c r="B38" s="277"/>
      <c r="C38" s="26" t="s">
        <v>125</v>
      </c>
      <c r="D38" s="105">
        <f t="shared" ref="D38:J38" si="3">IF(D24="","0",D37*D36)</f>
        <v>18869675377.875</v>
      </c>
      <c r="E38" s="105">
        <f t="shared" si="3"/>
        <v>5162204658</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29284.822499999998</v>
      </c>
      <c r="E39" s="106">
        <f t="shared" si="4"/>
        <v>10388.82</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75</v>
      </c>
      <c r="E47" s="97" t="s">
        <v>75</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75</v>
      </c>
      <c r="E50" s="97" t="s">
        <v>77</v>
      </c>
      <c r="F50" s="97"/>
      <c r="G50" s="97"/>
      <c r="H50" s="97"/>
      <c r="I50" s="97"/>
      <c r="J50" s="98"/>
      <c r="K50" s="247"/>
      <c r="L50" s="248"/>
    </row>
    <row r="51" spans="2:12" ht="24.75" customHeight="1" x14ac:dyDescent="0.2">
      <c r="B51" s="285"/>
      <c r="C51" s="29">
        <f>+'DATOS INICIALES'!D26</f>
        <v>721527</v>
      </c>
      <c r="D51" s="97" t="s">
        <v>77</v>
      </c>
      <c r="E51" s="97" t="s">
        <v>77</v>
      </c>
      <c r="F51" s="97"/>
      <c r="G51" s="97"/>
      <c r="H51" s="97"/>
      <c r="I51" s="97"/>
      <c r="J51" s="98"/>
      <c r="K51" s="247"/>
      <c r="L51" s="248"/>
    </row>
    <row r="52" spans="2:12" ht="24.75" customHeight="1" x14ac:dyDescent="0.2">
      <c r="B52" s="285"/>
      <c r="C52" s="29">
        <f>+'DATOS INICIALES'!D27</f>
        <v>721539</v>
      </c>
      <c r="D52" s="97" t="s">
        <v>77</v>
      </c>
      <c r="E52" s="97" t="s">
        <v>75</v>
      </c>
      <c r="F52" s="97"/>
      <c r="G52" s="97"/>
      <c r="H52" s="97"/>
      <c r="I52" s="97"/>
      <c r="J52" s="98"/>
      <c r="K52" s="247"/>
      <c r="L52" s="248"/>
    </row>
    <row r="53" spans="2:12" ht="24.75" customHeight="1" x14ac:dyDescent="0.2">
      <c r="B53" s="285"/>
      <c r="C53" s="29">
        <f>+'DATOS INICIALES'!D28</f>
        <v>951115</v>
      </c>
      <c r="D53" s="97" t="s">
        <v>77</v>
      </c>
      <c r="E53" s="97" t="s">
        <v>75</v>
      </c>
      <c r="F53" s="97"/>
      <c r="G53" s="97"/>
      <c r="H53" s="97"/>
      <c r="I53" s="97"/>
      <c r="J53" s="97"/>
      <c r="K53" s="247"/>
      <c r="L53" s="248"/>
    </row>
    <row r="54" spans="2:12" ht="24.75" customHeight="1" x14ac:dyDescent="0.2">
      <c r="B54" s="285"/>
      <c r="C54" s="29">
        <f>+'DATOS INICIALES'!D29</f>
        <v>721033</v>
      </c>
      <c r="D54" s="97" t="s">
        <v>75</v>
      </c>
      <c r="E54" s="97" t="s">
        <v>75</v>
      </c>
      <c r="F54" s="97"/>
      <c r="G54" s="97"/>
      <c r="H54" s="97"/>
      <c r="I54" s="97"/>
      <c r="J54" s="97"/>
      <c r="K54" s="247"/>
      <c r="L54" s="248"/>
    </row>
    <row r="55" spans="2:12" ht="60.75" customHeight="1" x14ac:dyDescent="0.2">
      <c r="B55" s="286"/>
      <c r="C55" s="18" t="s">
        <v>57</v>
      </c>
      <c r="D55" s="18" t="str">
        <f>IF(D24="","N/A",IF(D47="SI","CUMPLE",IF(D48="SI","CUMPLE",IF(D49="SI","CUMPLE",IF(D50="SI","CUMPLE",IF(D51="SI","CUMPLE",IF(D52="SI","CUMPLE",IF(D54="SI","CUMPLE","NO CUMPLE"))))))))</f>
        <v>CUMPLE</v>
      </c>
      <c r="E55" s="18" t="str">
        <f t="shared" ref="E55:J55" si="9">IF(E24="","N/A",IF(E47="SI","CUMPLE",IF(E48="SI","CUMPLE",IF(E49="SI","CUMPLE",IF(E50="SI","CUMPLE",IF(E51="SI","CUMPLE",IF(E52="SI","CUMPLE",IF(E54="SI","CUMPLE","NO CUMPLE"))))))))</f>
        <v>CUMPLE</v>
      </c>
      <c r="F55" s="18" t="str">
        <f t="shared" si="9"/>
        <v>N/A</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14</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NO 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N/A</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235" priority="7">
      <formula>LEN(TRIM(D25))=0</formula>
    </cfRule>
    <cfRule type="notContainsErrors" dxfId="1234" priority="8">
      <formula>NOT(ISERROR(D25))</formula>
    </cfRule>
  </conditionalFormatting>
  <conditionalFormatting sqref="D34:J34">
    <cfRule type="containsBlanks" dxfId="1233" priority="9">
      <formula>LEN(TRIM(D34))=0</formula>
    </cfRule>
    <cfRule type="notContainsErrors" dxfId="1232" priority="10">
      <formula>NOT(ISERROR(D34))</formula>
    </cfRule>
  </conditionalFormatting>
  <conditionalFormatting sqref="D37:J37">
    <cfRule type="containsBlanks" dxfId="1231" priority="5">
      <formula>LEN(TRIM(D37))=0</formula>
    </cfRule>
    <cfRule type="notContainsErrors" dxfId="1230" priority="6">
      <formula>NOT(ISERROR(D37))</formula>
    </cfRule>
  </conditionalFormatting>
  <conditionalFormatting sqref="D40:J40">
    <cfRule type="containsBlanks" dxfId="1229" priority="23">
      <formula>LEN(TRIM(D40))=0</formula>
    </cfRule>
    <cfRule type="notContainsErrors" dxfId="1228" priority="24">
      <formula>NOT(ISERROR(D40))</formula>
    </cfRule>
  </conditionalFormatting>
  <conditionalFormatting sqref="D43:J43 K66:L66">
    <cfRule type="notContainsErrors" dxfId="1227" priority="34">
      <formula>NOT(ISERROR(D43))</formula>
    </cfRule>
    <cfRule type="containsBlanks" dxfId="1226" priority="33">
      <formula>LEN(TRIM(D43))=0</formula>
    </cfRule>
  </conditionalFormatting>
  <conditionalFormatting sqref="D46:J54">
    <cfRule type="cellIs" dxfId="1225" priority="2" operator="equal">
      <formula>"CUMPLE"</formula>
    </cfRule>
    <cfRule type="containsBlanks" dxfId="1224" priority="3">
      <formula>LEN(TRIM(D46))=0</formula>
    </cfRule>
    <cfRule type="notContainsErrors" dxfId="1223" priority="4">
      <formula>NOT(ISERROR(D46))</formula>
    </cfRule>
    <cfRule type="cellIs" dxfId="1222" priority="1" operator="equal">
      <formula>"NO CUMPLE"</formula>
    </cfRule>
  </conditionalFormatting>
  <conditionalFormatting sqref="D55:J55">
    <cfRule type="cellIs" dxfId="1221" priority="43" operator="equal">
      <formula>"CUMPLE"</formula>
    </cfRule>
    <cfRule type="cellIs" dxfId="1220" priority="44" operator="equal">
      <formula>"NO CUMPLE"</formula>
    </cfRule>
    <cfRule type="cellIs" dxfId="1219" priority="39" operator="equal">
      <formula>"N/A"</formula>
    </cfRule>
    <cfRule type="cellIs" dxfId="1218" priority="45" operator="equal">
      <formula>"""CUMPLE"""</formula>
    </cfRule>
  </conditionalFormatting>
  <conditionalFormatting sqref="D56:J65">
    <cfRule type="cellIs" dxfId="1217" priority="16" operator="equal">
      <formula>"CUMPLE"</formula>
    </cfRule>
    <cfRule type="containsBlanks" dxfId="1216" priority="17">
      <formula>LEN(TRIM(D56))=0</formula>
    </cfRule>
    <cfRule type="cellIs" dxfId="1215" priority="15" operator="equal">
      <formula>"NO CUMPLE"</formula>
    </cfRule>
    <cfRule type="notContainsErrors" dxfId="1214" priority="18">
      <formula>NOT(ISERROR(D56))</formula>
    </cfRule>
  </conditionalFormatting>
  <conditionalFormatting sqref="D66:J66">
    <cfRule type="cellIs" dxfId="1213" priority="35" operator="equal">
      <formula>"N/A"</formula>
    </cfRule>
    <cfRule type="cellIs" dxfId="1212" priority="36" operator="equal">
      <formula>"CUMPLE"</formula>
    </cfRule>
    <cfRule type="cellIs" dxfId="1211" priority="37" operator="equal">
      <formula>"NO CUMPLE"</formula>
    </cfRule>
    <cfRule type="cellIs" dxfId="1210" priority="38" operator="equal">
      <formula>"""CUMPLE"""</formula>
    </cfRule>
  </conditionalFormatting>
  <conditionalFormatting sqref="D67:J67">
    <cfRule type="cellIs" dxfId="1209" priority="12" operator="equal">
      <formula>"CUMPLE"</formula>
    </cfRule>
    <cfRule type="cellIs" dxfId="1208" priority="11" operator="equal">
      <formula>"NO CUMPLE"</formula>
    </cfRule>
  </conditionalFormatting>
  <conditionalFormatting sqref="D24:K24">
    <cfRule type="containsBlanks" dxfId="1207" priority="29">
      <formula>LEN(TRIM(D24))=0</formula>
    </cfRule>
    <cfRule type="notContainsErrors" dxfId="1206" priority="30">
      <formula>NOT(ISERROR(D24))</formula>
    </cfRule>
  </conditionalFormatting>
  <conditionalFormatting sqref="D67:K67">
    <cfRule type="notContainsErrors" dxfId="1205" priority="14">
      <formula>NOT(ISERROR(D67))</formula>
    </cfRule>
    <cfRule type="containsBlanks" dxfId="1204" priority="13">
      <formula>LEN(TRIM(D67))=0</formula>
    </cfRule>
  </conditionalFormatting>
  <conditionalFormatting sqref="F20:H20">
    <cfRule type="cellIs" dxfId="1203" priority="51" operator="equal">
      <formula>"""CUMPLE"""</formula>
    </cfRule>
    <cfRule type="cellIs" dxfId="1202" priority="50" operator="equal">
      <formula>"NO CUMPLE"</formula>
    </cfRule>
    <cfRule type="cellIs" dxfId="1201" priority="49" operator="equal">
      <formula>"CUMPLE"</formula>
    </cfRule>
  </conditionalFormatting>
  <conditionalFormatting sqref="I11">
    <cfRule type="containsText" dxfId="1200" priority="55" operator="containsText" text="NO CUMPLE">
      <formula>NOT(ISERROR(SEARCH("NO CUMPLE",I11)))</formula>
    </cfRule>
    <cfRule type="containsText" dxfId="1199" priority="52" operator="containsText" text="INHABILITADO">
      <formula>NOT(ISERROR(SEARCH("INHABILITADO",I11)))</formula>
    </cfRule>
    <cfRule type="containsText" dxfId="1198" priority="53" operator="containsText" text="HABILITADO">
      <formula>NOT(ISERROR(SEARCH("HABILITADO",I11)))</formula>
    </cfRule>
    <cfRule type="containsText" dxfId="1197" priority="54" operator="containsText" text="HABILITADO">
      <formula>NOT(ISERROR(SEARCH("HABILITADO",I11)))</formula>
    </cfRule>
  </conditionalFormatting>
  <conditionalFormatting sqref="K19">
    <cfRule type="cellIs" dxfId="1196" priority="42" operator="equal">
      <formula>"""CUMPLE"""</formula>
    </cfRule>
    <cfRule type="cellIs" dxfId="1195" priority="41" operator="equal">
      <formula>"NO CUMPLE"</formula>
    </cfRule>
    <cfRule type="cellIs" dxfId="1194" priority="40" operator="equal">
      <formula>"CUMPLE"</formula>
    </cfRule>
  </conditionalFormatting>
  <conditionalFormatting sqref="K25:K65">
    <cfRule type="containsBlanks" dxfId="1193" priority="31">
      <formula>LEN(TRIM(K25))=0</formula>
    </cfRule>
    <cfRule type="notContainsErrors" dxfId="1192" priority="32">
      <formula>NOT(ISERROR(K25))</formula>
    </cfRule>
  </conditionalFormatting>
  <conditionalFormatting sqref="L15">
    <cfRule type="cellIs" dxfId="1191" priority="46" operator="equal">
      <formula>"CUMPLE"</formula>
    </cfRule>
    <cfRule type="cellIs" dxfId="1190" priority="47" operator="equal">
      <formula>"NO CUMPLE"</formula>
    </cfRule>
    <cfRule type="cellIs" dxfId="1189" priority="48" operator="equal">
      <formula>"""CUMPLE"""</formula>
    </cfRule>
  </conditionalFormatting>
  <dataValidations count="3">
    <dataValidation type="list" allowBlank="1" showInputMessage="1" showErrorMessage="1" sqref="L58:L66" xr:uid="{585191CF-586F-4A6E-BCCF-0AE69FF21326}">
      <formula1>"0,1,2,3,4,5,6"</formula1>
    </dataValidation>
    <dataValidation type="list" allowBlank="1" showInputMessage="1" showErrorMessage="1" sqref="D24:J26" xr:uid="{81325683-3386-4200-90EB-8D103B7A7F85}">
      <formula1>$C$15:$C$19</formula1>
    </dataValidation>
    <dataValidation type="list" allowBlank="1" showInputMessage="1" showErrorMessage="1" sqref="D67:I67" xr:uid="{B24483C8-C3A1-461E-A347-89378EDACD77}">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2322E43E-6EF8-4B27-945F-3F2847BD8EA6}">
          <x14:formula1>
            <xm:f>'DATOS INICIALES'!$C$48:$C$49</xm:f>
          </x14:formula1>
          <xm:sqref>J47:J52 F47:I54</xm:sqref>
        </x14:dataValidation>
        <x14:dataValidation type="list" allowBlank="1" showInputMessage="1" showErrorMessage="1" xr:uid="{75BB5DE6-2FF9-4245-A874-448D56B15E99}">
          <x14:formula1>
            <xm:f>'DATOS INICIALES'!$A$53:$A$55</xm:f>
          </x14:formula1>
          <xm:sqref>D46:J46 D56:E65 J56:J57 F56:I58 F59:J65</xm:sqref>
        </x14:dataValidation>
        <x14:dataValidation type="list" allowBlank="1" showInputMessage="1" showErrorMessage="1" xr:uid="{E175952B-2568-41C7-81DE-0C6C23F1EE74}">
          <x14:formula1>
            <xm:f>'DATOS INICIALES'!$A$57:$A$62</xm:f>
          </x14:formula1>
          <xm:sqref>D23:I23</xm:sqref>
        </x14:dataValidation>
        <x14:dataValidation type="list" allowBlank="1" showInputMessage="1" showErrorMessage="1" xr:uid="{02054416-6372-4565-AF21-2E2AF21BC816}">
          <x14:formula1>
            <xm:f>'DATOS INICIALES'!$D$22:$D$26</xm:f>
          </x14:formula1>
          <xm:sqref>M47:M55</xm:sqref>
        </x14:dataValidation>
        <x14:dataValidation type="list" allowBlank="1" showInputMessage="1" showErrorMessage="1" xr:uid="{C51F5871-60B8-459B-A023-237CF3D7BFAF}">
          <x14:formula1>
            <xm:f>'DATOS INICIALES'!$A$13:$A$44</xm:f>
          </x14:formula1>
          <xm:sqref>F31:I31</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77CBB-482F-4946-A807-43C8D2617955}">
  <sheetPr>
    <tabColor rgb="FF92D050"/>
  </sheetPr>
  <dimension ref="B1:N82"/>
  <sheetViews>
    <sheetView view="pageBreakPreview" topLeftCell="D1" zoomScale="55" zoomScaleNormal="55" zoomScaleSheetLayoutView="55" workbookViewId="0">
      <pane ySplit="11" topLeftCell="A18" activePane="bottomLeft" state="frozenSplit"/>
      <selection activeCell="C11" sqref="C11:G11"/>
      <selection pane="bottomLeft" activeCell="K28" sqref="K28:L28"/>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+PROPONENTES!B17</f>
        <v>CONSORCIO VIAL LA ROCA USAQUEN 2024</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CONSTRUCCIONES Y PAVIMENTOS VIALES DE COLOMBIA “COPAVICOL” SAS </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59843.744500000001</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3</v>
      </c>
      <c r="J15" s="264">
        <f>IF(AND(I15&gt;=1,I15&lt;=2),L8,IF(AND(I15&gt;=3,I15&lt;=4),L9,IF(AND(I15&gt;=5,I15&lt;=7),L10)))</f>
        <v>18919.917519692306</v>
      </c>
      <c r="K15" s="264">
        <f>+E20</f>
        <v>84726.69</v>
      </c>
      <c r="L15" s="265" t="str">
        <f>IF(K15&gt;=J15,"CUMPLE","NO CUMPLE")</f>
        <v>CUMPLE</v>
      </c>
    </row>
    <row r="16" spans="2:12" ht="33.75" customHeight="1" x14ac:dyDescent="0.2">
      <c r="B16" s="273"/>
      <c r="C16" s="100" t="str">
        <f>IF(VLOOKUP(C11,PROPONENTES!B10:N44,4,FALSE)=0,"",VLOOKUP(C11,PROPONENTES!B10:N44,4,FALSE))</f>
        <v xml:space="preserve">TRITURADORA  LA ROCA Y
CONSTRUCCIONES SAS </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24882.945499999998</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84726.69</v>
      </c>
      <c r="J19" s="355">
        <f>IF(I15="","",VLOOKUP(I15,$D$76:$E$82,2,FALSE))</f>
        <v>18919.917519692306</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84726.69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247</v>
      </c>
      <c r="E24" s="91" t="s">
        <v>246</v>
      </c>
      <c r="F24" s="91" t="s">
        <v>247</v>
      </c>
      <c r="G24" s="91"/>
      <c r="H24" s="91"/>
      <c r="I24" s="91"/>
      <c r="J24" s="91"/>
      <c r="K24" s="357" t="s">
        <v>453</v>
      </c>
      <c r="L24" s="359"/>
    </row>
    <row r="25" spans="2:14" ht="39.75" customHeight="1" x14ac:dyDescent="0.2">
      <c r="B25" s="259" t="s">
        <v>116</v>
      </c>
      <c r="C25" s="260"/>
      <c r="D25" s="91" t="s">
        <v>246</v>
      </c>
      <c r="E25" s="91"/>
      <c r="F25" s="91" t="s">
        <v>246</v>
      </c>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439</v>
      </c>
      <c r="E27" s="92" t="s">
        <v>440</v>
      </c>
      <c r="F27" s="92" t="s">
        <v>441</v>
      </c>
      <c r="G27" s="92"/>
      <c r="H27" s="92"/>
      <c r="I27" s="92"/>
      <c r="J27" s="92"/>
      <c r="K27" s="247"/>
      <c r="L27" s="248"/>
    </row>
    <row r="28" spans="2:14" ht="156.75" customHeight="1" x14ac:dyDescent="0.2">
      <c r="B28" s="277"/>
      <c r="C28" s="26" t="s">
        <v>36</v>
      </c>
      <c r="D28" s="92" t="s">
        <v>442</v>
      </c>
      <c r="E28" s="92" t="s">
        <v>443</v>
      </c>
      <c r="F28" s="92" t="s">
        <v>444</v>
      </c>
      <c r="G28" s="92"/>
      <c r="H28" s="92"/>
      <c r="I28" s="92"/>
      <c r="J28" s="92"/>
      <c r="K28" s="247"/>
      <c r="L28" s="248"/>
    </row>
    <row r="29" spans="2:14" ht="52.5" customHeight="1" x14ac:dyDescent="0.2">
      <c r="B29" s="277"/>
      <c r="C29" s="26" t="s">
        <v>172</v>
      </c>
      <c r="D29" s="96">
        <v>43529</v>
      </c>
      <c r="E29" s="96">
        <v>43837</v>
      </c>
      <c r="F29" s="96">
        <v>41715</v>
      </c>
      <c r="G29" s="96"/>
      <c r="H29" s="96"/>
      <c r="I29" s="96"/>
      <c r="J29" s="96"/>
      <c r="K29" s="247"/>
      <c r="L29" s="248"/>
    </row>
    <row r="30" spans="2:14" ht="54.75" customHeight="1" x14ac:dyDescent="0.2">
      <c r="B30" s="277"/>
      <c r="C30" s="26" t="s">
        <v>40</v>
      </c>
      <c r="D30" s="96">
        <v>43905</v>
      </c>
      <c r="E30" s="96">
        <v>44386</v>
      </c>
      <c r="F30" s="96">
        <v>41999</v>
      </c>
      <c r="G30" s="96"/>
      <c r="H30" s="96"/>
      <c r="I30" s="96"/>
      <c r="J30" s="96"/>
      <c r="K30" s="247"/>
      <c r="L30" s="248"/>
    </row>
    <row r="31" spans="2:14" ht="41.25" customHeight="1" x14ac:dyDescent="0.2">
      <c r="B31" s="277"/>
      <c r="C31" s="26" t="s">
        <v>37</v>
      </c>
      <c r="D31" s="93">
        <v>2020</v>
      </c>
      <c r="E31" s="93">
        <v>2021</v>
      </c>
      <c r="F31" s="93">
        <v>2014</v>
      </c>
      <c r="G31" s="93"/>
      <c r="H31" s="93"/>
      <c r="I31" s="93"/>
      <c r="J31" s="93"/>
      <c r="K31" s="247"/>
      <c r="L31" s="248"/>
    </row>
    <row r="32" spans="2:14" ht="63" customHeight="1" x14ac:dyDescent="0.2">
      <c r="B32" s="277"/>
      <c r="C32" s="26" t="s">
        <v>38</v>
      </c>
      <c r="D32" s="92" t="s">
        <v>445</v>
      </c>
      <c r="E32" s="92" t="s">
        <v>446</v>
      </c>
      <c r="F32" s="92" t="s">
        <v>447</v>
      </c>
      <c r="G32" s="92"/>
      <c r="H32" s="92"/>
      <c r="I32" s="92"/>
      <c r="J32" s="92"/>
      <c r="K32" s="247"/>
      <c r="L32" s="248"/>
    </row>
    <row r="33" spans="2:12" ht="46.5" customHeight="1" x14ac:dyDescent="0.2">
      <c r="B33" s="277"/>
      <c r="C33" s="26" t="s">
        <v>39</v>
      </c>
      <c r="D33" s="92" t="s">
        <v>448</v>
      </c>
      <c r="E33" s="92" t="s">
        <v>449</v>
      </c>
      <c r="F33" s="92" t="s">
        <v>450</v>
      </c>
      <c r="G33" s="92"/>
      <c r="H33" s="92"/>
      <c r="I33" s="92"/>
      <c r="J33" s="92"/>
      <c r="K33" s="247"/>
      <c r="L33" s="248"/>
    </row>
    <row r="34" spans="2:12" ht="27.75" customHeight="1" x14ac:dyDescent="0.2">
      <c r="B34" s="277"/>
      <c r="C34" s="28" t="s">
        <v>33</v>
      </c>
      <c r="D34" s="97" t="s">
        <v>451</v>
      </c>
      <c r="E34" s="97">
        <v>41</v>
      </c>
      <c r="F34" s="203" t="s">
        <v>452</v>
      </c>
      <c r="G34" s="98"/>
      <c r="H34" s="98"/>
      <c r="I34" s="98"/>
      <c r="J34" s="98"/>
      <c r="K34" s="247"/>
      <c r="L34" s="248"/>
    </row>
    <row r="35" spans="2:12" ht="102.75" customHeight="1" x14ac:dyDescent="0.2">
      <c r="B35" s="277"/>
      <c r="C35" s="26" t="s">
        <v>118</v>
      </c>
      <c r="D35" s="94">
        <v>36732.129999999997</v>
      </c>
      <c r="E35" s="94">
        <v>37968.589999999997</v>
      </c>
      <c r="F35" s="94">
        <v>10025.969999999999</v>
      </c>
      <c r="G35" s="94"/>
      <c r="H35" s="94"/>
      <c r="I35" s="94"/>
      <c r="J35" s="94"/>
      <c r="K35" s="279"/>
      <c r="L35" s="280"/>
    </row>
    <row r="36" spans="2:12" ht="48" customHeight="1" x14ac:dyDescent="0.2">
      <c r="B36" s="277"/>
      <c r="C36" s="26" t="s">
        <v>74</v>
      </c>
      <c r="D36" s="105">
        <f>IFERROR(D35*VLOOKUP(D31,'DATOS INICIALES'!$A$12:$B$44,2,0),"0")</f>
        <v>32243573910.389999</v>
      </c>
      <c r="E36" s="105">
        <f>IFERROR(E35*VLOOKUP(E31,'DATOS INICIALES'!$A$12:$B$44,2,0),"0")</f>
        <v>34495451198.339996</v>
      </c>
      <c r="F36" s="105">
        <f>IFERROR(F35*VLOOKUP(F31,'DATOS INICIALES'!$A$12:$B$44,2,0),"0")</f>
        <v>6175997520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0.5</v>
      </c>
      <c r="E37" s="95">
        <v>1</v>
      </c>
      <c r="F37" s="95">
        <v>0.65</v>
      </c>
      <c r="G37" s="95"/>
      <c r="H37" s="95"/>
      <c r="I37" s="95"/>
      <c r="J37" s="95"/>
      <c r="K37" s="247"/>
      <c r="L37" s="248"/>
    </row>
    <row r="38" spans="2:12" ht="48.75" customHeight="1" x14ac:dyDescent="0.2">
      <c r="B38" s="277"/>
      <c r="C38" s="26" t="s">
        <v>125</v>
      </c>
      <c r="D38" s="105">
        <f t="shared" ref="D38:J38" si="3">IF(D24="","0",D37*D36)</f>
        <v>16121786955.195</v>
      </c>
      <c r="E38" s="105">
        <f t="shared" si="3"/>
        <v>34495451198.339996</v>
      </c>
      <c r="F38" s="105">
        <f t="shared" si="3"/>
        <v>4014398388</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18366.064999999999</v>
      </c>
      <c r="E39" s="106">
        <f t="shared" si="4"/>
        <v>37968.589999999997</v>
      </c>
      <c r="F39" s="106">
        <f t="shared" si="4"/>
        <v>6516.8805000000002</v>
      </c>
      <c r="G39" s="106">
        <f t="shared" si="4"/>
        <v>0</v>
      </c>
      <c r="H39" s="106">
        <f t="shared" si="4"/>
        <v>0</v>
      </c>
      <c r="I39" s="106">
        <f t="shared" si="4"/>
        <v>0</v>
      </c>
      <c r="J39" s="106">
        <f t="shared" si="4"/>
        <v>0</v>
      </c>
      <c r="K39" s="247"/>
      <c r="L39" s="248"/>
    </row>
    <row r="40" spans="2:12" ht="65.25" customHeight="1" x14ac:dyDescent="0.2">
      <c r="B40" s="277"/>
      <c r="C40" s="26" t="s">
        <v>121</v>
      </c>
      <c r="D40" s="95">
        <v>0.5</v>
      </c>
      <c r="E40" s="95"/>
      <c r="F40" s="95">
        <v>0.35</v>
      </c>
      <c r="G40" s="95"/>
      <c r="H40" s="95"/>
      <c r="I40" s="95"/>
      <c r="J40" s="95"/>
      <c r="K40" s="247"/>
      <c r="L40" s="248"/>
    </row>
    <row r="41" spans="2:12" ht="65.25" customHeight="1" x14ac:dyDescent="0.2">
      <c r="B41" s="277"/>
      <c r="C41" s="26" t="s">
        <v>126</v>
      </c>
      <c r="D41" s="107">
        <f t="shared" ref="D41:J41" si="5">IF(D25="","0",D40*D36)</f>
        <v>16121786955.195</v>
      </c>
      <c r="E41" s="107" t="str">
        <f t="shared" si="5"/>
        <v>0</v>
      </c>
      <c r="F41" s="107">
        <f t="shared" si="5"/>
        <v>2161599132</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18366.064999999999</v>
      </c>
      <c r="E42" s="106">
        <f t="shared" ref="E42:J42" si="6">IF(E25="",0,E35*E40)</f>
        <v>0</v>
      </c>
      <c r="F42" s="106">
        <f t="shared" si="6"/>
        <v>3509.0894999999996</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c r="H46" s="91"/>
      <c r="I46" s="91"/>
      <c r="J46" s="91"/>
      <c r="K46" s="247"/>
      <c r="L46" s="248"/>
    </row>
    <row r="47" spans="2:12" ht="24.75" customHeight="1" x14ac:dyDescent="0.2">
      <c r="B47" s="284" t="s">
        <v>34</v>
      </c>
      <c r="C47" s="29">
        <f>+'DATOS INICIALES'!D22</f>
        <v>721033</v>
      </c>
      <c r="D47" s="97" t="s">
        <v>75</v>
      </c>
      <c r="E47" s="97" t="s">
        <v>75</v>
      </c>
      <c r="F47" s="97" t="s">
        <v>77</v>
      </c>
      <c r="G47" s="97"/>
      <c r="H47" s="97"/>
      <c r="I47" s="97"/>
      <c r="J47" s="98"/>
      <c r="K47" s="247"/>
      <c r="L47" s="248"/>
    </row>
    <row r="48" spans="2:12" ht="24.75" customHeight="1" x14ac:dyDescent="0.2">
      <c r="B48" s="285"/>
      <c r="C48" s="29">
        <f>+'DATOS INICIALES'!D23</f>
        <v>721410</v>
      </c>
      <c r="D48" s="97" t="s">
        <v>77</v>
      </c>
      <c r="E48" s="97" t="s">
        <v>77</v>
      </c>
      <c r="F48" s="97" t="s">
        <v>77</v>
      </c>
      <c r="G48" s="97"/>
      <c r="H48" s="97"/>
      <c r="I48" s="97"/>
      <c r="J48" s="98"/>
      <c r="K48" s="247"/>
      <c r="L48" s="248"/>
    </row>
    <row r="49" spans="2:12" ht="24.75" customHeight="1" x14ac:dyDescent="0.2">
      <c r="B49" s="285"/>
      <c r="C49" s="29">
        <f>+'DATOS INICIALES'!D24</f>
        <v>721411</v>
      </c>
      <c r="D49" s="97" t="s">
        <v>77</v>
      </c>
      <c r="E49" s="97" t="s">
        <v>77</v>
      </c>
      <c r="F49" s="97" t="s">
        <v>77</v>
      </c>
      <c r="G49" s="97"/>
      <c r="H49" s="97"/>
      <c r="I49" s="97"/>
      <c r="J49" s="98"/>
      <c r="K49" s="247"/>
      <c r="L49" s="248"/>
    </row>
    <row r="50" spans="2:12" ht="24.75" customHeight="1" x14ac:dyDescent="0.2">
      <c r="B50" s="285"/>
      <c r="C50" s="29">
        <f>+'DATOS INICIALES'!D25</f>
        <v>721416</v>
      </c>
      <c r="D50" s="97" t="s">
        <v>77</v>
      </c>
      <c r="E50" s="97" t="s">
        <v>77</v>
      </c>
      <c r="F50" s="97" t="s">
        <v>77</v>
      </c>
      <c r="G50" s="97"/>
      <c r="H50" s="97"/>
      <c r="I50" s="97"/>
      <c r="J50" s="98"/>
      <c r="K50" s="247"/>
      <c r="L50" s="248"/>
    </row>
    <row r="51" spans="2:12" ht="24.75" customHeight="1" x14ac:dyDescent="0.2">
      <c r="B51" s="285"/>
      <c r="C51" s="29">
        <f>+'DATOS INICIALES'!D26</f>
        <v>721527</v>
      </c>
      <c r="D51" s="97" t="s">
        <v>77</v>
      </c>
      <c r="E51" s="97" t="s">
        <v>77</v>
      </c>
      <c r="F51" s="97" t="s">
        <v>77</v>
      </c>
      <c r="G51" s="97"/>
      <c r="H51" s="97"/>
      <c r="I51" s="97"/>
      <c r="J51" s="98"/>
      <c r="K51" s="247"/>
      <c r="L51" s="248"/>
    </row>
    <row r="52" spans="2:12" ht="24.75" customHeight="1" x14ac:dyDescent="0.2">
      <c r="B52" s="285"/>
      <c r="C52" s="29">
        <f>+'DATOS INICIALES'!D27</f>
        <v>721539</v>
      </c>
      <c r="D52" s="97" t="s">
        <v>75</v>
      </c>
      <c r="E52" s="97" t="s">
        <v>75</v>
      </c>
      <c r="F52" s="97" t="s">
        <v>75</v>
      </c>
      <c r="G52" s="97"/>
      <c r="H52" s="97"/>
      <c r="I52" s="97"/>
      <c r="J52" s="98"/>
      <c r="K52" s="247"/>
      <c r="L52" s="248"/>
    </row>
    <row r="53" spans="2:12" ht="24.75" customHeight="1" x14ac:dyDescent="0.2">
      <c r="B53" s="285"/>
      <c r="C53" s="29">
        <f>+'DATOS INICIALES'!D28</f>
        <v>951115</v>
      </c>
      <c r="D53" s="97" t="s">
        <v>75</v>
      </c>
      <c r="E53" s="97" t="s">
        <v>75</v>
      </c>
      <c r="F53" s="97" t="s">
        <v>77</v>
      </c>
      <c r="G53" s="97"/>
      <c r="H53" s="97"/>
      <c r="I53" s="97"/>
      <c r="J53" s="97"/>
      <c r="K53" s="247"/>
      <c r="L53" s="248"/>
    </row>
    <row r="54" spans="2:12" ht="24.75" customHeight="1" x14ac:dyDescent="0.2">
      <c r="B54" s="285"/>
      <c r="C54" s="29">
        <f>+'DATOS INICIALES'!D29</f>
        <v>721033</v>
      </c>
      <c r="D54" s="97" t="s">
        <v>75</v>
      </c>
      <c r="E54" s="97" t="s">
        <v>75</v>
      </c>
      <c r="F54" s="97" t="s">
        <v>77</v>
      </c>
      <c r="G54" s="97"/>
      <c r="H54" s="97"/>
      <c r="I54" s="97"/>
      <c r="J54" s="97"/>
      <c r="K54" s="247"/>
      <c r="L54" s="248"/>
    </row>
    <row r="55" spans="2:12" ht="60.75" customHeight="1" x14ac:dyDescent="0.2">
      <c r="B55" s="286"/>
      <c r="C55" s="18" t="s">
        <v>57</v>
      </c>
      <c r="D55" s="18" t="str">
        <f t="shared" ref="D55:F55" si="9">IF(D24="","N/A",IF(D47="SI","CUMPLE",IF(D48="SI","CUMPLE",IF(D49="SI","CUMPLE",IF(D50="SI","CUMPLE",IF(D51="SI","CUMPLE",IF(D52="SI","CUMPLE",IF(D54="SI","CUMPLE","NO CUMPLE"))))))))</f>
        <v>CUMPLE</v>
      </c>
      <c r="E55" s="18" t="str">
        <f t="shared" si="9"/>
        <v>CUMPLE</v>
      </c>
      <c r="F55" s="18" t="str">
        <f t="shared" si="9"/>
        <v>CUMPLE</v>
      </c>
      <c r="G55" s="18" t="str">
        <f t="shared" ref="G55:J55" si="10">IF(G24="","N/A",IF(G47="SI","CUMPLE",IF(G48="SI","CUMPLE",IF(G49="SI","CUMPLE",IF(G50="SI","CUMPLE",IF(G51="SI","CUMPLE",IF(G52="SI","CUMPLE",IF(G54="SI","CUMPLE","NO CUMPLE"))))))))</f>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t="s">
        <v>13</v>
      </c>
      <c r="G56" s="91"/>
      <c r="H56" s="91"/>
      <c r="I56" s="91"/>
      <c r="J56" s="91"/>
      <c r="K56" s="257"/>
      <c r="L56" s="258"/>
    </row>
    <row r="57" spans="2:12" ht="103.25" customHeight="1" x14ac:dyDescent="0.2">
      <c r="B57" s="287" t="s">
        <v>190</v>
      </c>
      <c r="C57" s="288"/>
      <c r="D57" s="91" t="s">
        <v>13</v>
      </c>
      <c r="E57" s="91" t="s">
        <v>13</v>
      </c>
      <c r="F57" s="91" t="s">
        <v>13</v>
      </c>
      <c r="G57" s="91"/>
      <c r="H57" s="91"/>
      <c r="I57" s="91"/>
      <c r="J57" s="91"/>
      <c r="K57" s="257"/>
      <c r="L57" s="258"/>
    </row>
    <row r="58" spans="2:12" ht="72" customHeight="1" x14ac:dyDescent="0.2">
      <c r="B58" s="281" t="s">
        <v>191</v>
      </c>
      <c r="C58" s="282"/>
      <c r="D58" s="91" t="s">
        <v>13</v>
      </c>
      <c r="E58" s="91" t="s">
        <v>13</v>
      </c>
      <c r="F58" s="91" t="s">
        <v>13</v>
      </c>
      <c r="G58" s="91"/>
      <c r="H58" s="91"/>
      <c r="I58" s="91"/>
      <c r="J58" s="91"/>
      <c r="K58" s="247"/>
      <c r="L58" s="248"/>
    </row>
    <row r="59" spans="2:12" ht="42.5" customHeight="1" x14ac:dyDescent="0.2">
      <c r="B59" s="281" t="s">
        <v>192</v>
      </c>
      <c r="C59" s="282"/>
      <c r="D59" s="91" t="s">
        <v>13</v>
      </c>
      <c r="E59" s="91" t="s">
        <v>13</v>
      </c>
      <c r="F59" s="91" t="s">
        <v>13</v>
      </c>
      <c r="G59" s="91"/>
      <c r="H59" s="91"/>
      <c r="I59" s="91"/>
      <c r="J59" s="91"/>
      <c r="K59" s="247"/>
      <c r="L59" s="248"/>
    </row>
    <row r="60" spans="2:12" ht="36" customHeight="1" x14ac:dyDescent="0.2">
      <c r="B60" s="281" t="s">
        <v>193</v>
      </c>
      <c r="C60" s="282"/>
      <c r="D60" s="91" t="s">
        <v>13</v>
      </c>
      <c r="E60" s="91" t="s">
        <v>13</v>
      </c>
      <c r="F60" s="91" t="s">
        <v>13</v>
      </c>
      <c r="G60" s="91"/>
      <c r="H60" s="91"/>
      <c r="I60" s="91"/>
      <c r="J60" s="91"/>
      <c r="K60" s="247"/>
      <c r="L60" s="248"/>
    </row>
    <row r="61" spans="2:12" ht="160.75" customHeight="1" x14ac:dyDescent="0.2">
      <c r="B61" s="281" t="s">
        <v>194</v>
      </c>
      <c r="C61" s="282"/>
      <c r="D61" s="91" t="s">
        <v>13</v>
      </c>
      <c r="E61" s="91" t="s">
        <v>13</v>
      </c>
      <c r="F61" s="91" t="s">
        <v>13</v>
      </c>
      <c r="G61" s="91"/>
      <c r="H61" s="91"/>
      <c r="I61" s="91"/>
      <c r="J61" s="91"/>
      <c r="K61" s="247"/>
      <c r="L61" s="248"/>
    </row>
    <row r="62" spans="2:12" ht="409.25" customHeight="1" x14ac:dyDescent="0.2">
      <c r="B62" s="261" t="s">
        <v>195</v>
      </c>
      <c r="C62" s="261"/>
      <c r="D62" s="91" t="s">
        <v>13</v>
      </c>
      <c r="E62" s="91" t="s">
        <v>13</v>
      </c>
      <c r="F62" s="91" t="s">
        <v>13</v>
      </c>
      <c r="G62" s="91"/>
      <c r="H62" s="91"/>
      <c r="I62" s="91"/>
      <c r="J62" s="91"/>
      <c r="K62" s="279"/>
      <c r="L62" s="280"/>
    </row>
    <row r="63" spans="2:12" ht="301.75" customHeight="1" x14ac:dyDescent="0.2">
      <c r="B63" s="262" t="s">
        <v>196</v>
      </c>
      <c r="C63" s="263"/>
      <c r="D63" s="91" t="s">
        <v>13</v>
      </c>
      <c r="E63" s="91" t="s">
        <v>13</v>
      </c>
      <c r="F63" s="91" t="s">
        <v>13</v>
      </c>
      <c r="G63" s="91"/>
      <c r="H63" s="91"/>
      <c r="I63" s="91"/>
      <c r="J63" s="91"/>
      <c r="K63" s="247"/>
      <c r="L63" s="248"/>
    </row>
    <row r="64" spans="2:12" ht="253.75" customHeight="1" x14ac:dyDescent="0.2">
      <c r="B64" s="283" t="s">
        <v>197</v>
      </c>
      <c r="C64" s="283"/>
      <c r="D64" s="91" t="s">
        <v>13</v>
      </c>
      <c r="E64" s="91" t="s">
        <v>13</v>
      </c>
      <c r="F64" s="91" t="s">
        <v>13</v>
      </c>
      <c r="G64" s="91"/>
      <c r="H64" s="91"/>
      <c r="I64" s="91"/>
      <c r="J64" s="91"/>
      <c r="K64" s="247"/>
      <c r="L64" s="248"/>
    </row>
    <row r="65" spans="2:12" ht="243.5" customHeight="1" x14ac:dyDescent="0.2">
      <c r="B65" s="261" t="s">
        <v>198</v>
      </c>
      <c r="C65" s="261"/>
      <c r="D65" s="91" t="s">
        <v>13</v>
      </c>
      <c r="E65" s="91" t="s">
        <v>13</v>
      </c>
      <c r="F65" s="91" t="s">
        <v>13</v>
      </c>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 si="11">IF(F24="","N/A",IF(AND(F46="CUMPLE",F55="CUMPLE",F56="CUMPLE",F57="CUMPLE",F58="CUMPLE",F59="CUMPLE",OR(F61="CUMPLE",F61="N/A"),F62="CUMPLE",OR(F63="CUMPLE",F63="N/A"),F65="CUMPLE",OR(F64="CUMPLE",F64="N/A")),"CUMPLE","NO CUMPLE"))</f>
        <v>CUMPLE</v>
      </c>
      <c r="G66" s="18" t="str">
        <f t="shared" ref="G66:J66" si="12">IF(G24="","N/A",IF(AND(G46="CUMPLE",G55="CUMPLE",G56="CUMPLE",G57="CUMPLE",G58="CUMPLE",G59="CUMPLE",OR(G61="CUMPLE",G61="N/A"),G62="CUMPLE",OR(G63="CUMPLE",G63="N/A"),G65="CUMPLE",OR(G64="CUMPLE",G64="N/A")),"CUMPLE","NO CUMPLE"))</f>
        <v>N/A</v>
      </c>
      <c r="H66" s="18" t="str">
        <f t="shared" si="12"/>
        <v>N/A</v>
      </c>
      <c r="I66" s="18" t="str">
        <f t="shared" si="12"/>
        <v>N/A</v>
      </c>
      <c r="J66" s="18" t="str">
        <f t="shared" si="12"/>
        <v>N/A</v>
      </c>
      <c r="K66" s="147"/>
      <c r="L66" s="148"/>
    </row>
    <row r="67" spans="2:12" ht="54.5" customHeight="1" x14ac:dyDescent="0.2">
      <c r="B67" s="261" t="s">
        <v>188</v>
      </c>
      <c r="C67" s="261"/>
      <c r="D67" s="91" t="s">
        <v>13</v>
      </c>
      <c r="E67" s="91" t="s">
        <v>13</v>
      </c>
      <c r="F67" s="91" t="s">
        <v>13</v>
      </c>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1188" priority="26">
      <formula>NOT(ISERROR(D25))</formula>
    </cfRule>
    <cfRule type="containsBlanks" dxfId="1187" priority="25">
      <formula>LEN(TRIM(D25))=0</formula>
    </cfRule>
  </conditionalFormatting>
  <conditionalFormatting sqref="D34:J34">
    <cfRule type="containsBlanks" dxfId="1186" priority="27">
      <formula>LEN(TRIM(D34))=0</formula>
    </cfRule>
    <cfRule type="notContainsErrors" dxfId="1185" priority="28">
      <formula>NOT(ISERROR(D34))</formula>
    </cfRule>
  </conditionalFormatting>
  <conditionalFormatting sqref="D37:J37">
    <cfRule type="containsBlanks" dxfId="1184" priority="23">
      <formula>LEN(TRIM(D37))=0</formula>
    </cfRule>
    <cfRule type="notContainsErrors" dxfId="1183" priority="24">
      <formula>NOT(ISERROR(D37))</formula>
    </cfRule>
  </conditionalFormatting>
  <conditionalFormatting sqref="D40:J40">
    <cfRule type="containsBlanks" dxfId="1182" priority="21">
      <formula>LEN(TRIM(D40))=0</formula>
    </cfRule>
    <cfRule type="notContainsErrors" dxfId="1181" priority="22">
      <formula>NOT(ISERROR(D40))</formula>
    </cfRule>
  </conditionalFormatting>
  <conditionalFormatting sqref="D43:J43 K66:L66">
    <cfRule type="containsBlanks" dxfId="1180" priority="55">
      <formula>LEN(TRIM(D43))=0</formula>
    </cfRule>
    <cfRule type="notContainsErrors" dxfId="1179" priority="56">
      <formula>NOT(ISERROR(D43))</formula>
    </cfRule>
  </conditionalFormatting>
  <conditionalFormatting sqref="D46:J54">
    <cfRule type="cellIs" dxfId="1178" priority="9" operator="equal">
      <formula>"NO CUMPLE"</formula>
    </cfRule>
    <cfRule type="cellIs" dxfId="1177" priority="10" operator="equal">
      <formula>"CUMPLE"</formula>
    </cfRule>
    <cfRule type="containsBlanks" dxfId="1176" priority="11">
      <formula>LEN(TRIM(D46))=0</formula>
    </cfRule>
    <cfRule type="notContainsErrors" dxfId="1175" priority="12">
      <formula>NOT(ISERROR(D46))</formula>
    </cfRule>
  </conditionalFormatting>
  <conditionalFormatting sqref="D55:J55">
    <cfRule type="cellIs" dxfId="1174" priority="17" operator="equal">
      <formula>"N/A"</formula>
    </cfRule>
    <cfRule type="cellIs" dxfId="1173" priority="18" operator="equal">
      <formula>"CUMPLE"</formula>
    </cfRule>
    <cfRule type="cellIs" dxfId="1172" priority="19" operator="equal">
      <formula>"NO CUMPLE"</formula>
    </cfRule>
    <cfRule type="cellIs" dxfId="1171" priority="20" operator="equal">
      <formula>"""CUMPLE"""</formula>
    </cfRule>
  </conditionalFormatting>
  <conditionalFormatting sqref="D56:J65">
    <cfRule type="cellIs" dxfId="1170" priority="5" operator="equal">
      <formula>"NO CUMPLE"</formula>
    </cfRule>
    <cfRule type="cellIs" dxfId="1169" priority="6" operator="equal">
      <formula>"CUMPLE"</formula>
    </cfRule>
    <cfRule type="containsBlanks" dxfId="1168" priority="7">
      <formula>LEN(TRIM(D56))=0</formula>
    </cfRule>
    <cfRule type="notContainsErrors" dxfId="1167" priority="8">
      <formula>NOT(ISERROR(D56))</formula>
    </cfRule>
  </conditionalFormatting>
  <conditionalFormatting sqref="D66:J66">
    <cfRule type="cellIs" dxfId="1166" priority="13" operator="equal">
      <formula>"N/A"</formula>
    </cfRule>
    <cfRule type="cellIs" dxfId="1165" priority="15" operator="equal">
      <formula>"NO CUMPLE"</formula>
    </cfRule>
    <cfRule type="cellIs" dxfId="1164" priority="16" operator="equal">
      <formula>"""CUMPLE"""</formula>
    </cfRule>
    <cfRule type="cellIs" dxfId="1163" priority="14" operator="equal">
      <formula>"CUMPLE"</formula>
    </cfRule>
  </conditionalFormatting>
  <conditionalFormatting sqref="D67:J67">
    <cfRule type="cellIs" dxfId="1162" priority="1" operator="equal">
      <formula>"NO CUMPLE"</formula>
    </cfRule>
    <cfRule type="cellIs" dxfId="1161" priority="2" operator="equal">
      <formula>"CUMPLE"</formula>
    </cfRule>
  </conditionalFormatting>
  <conditionalFormatting sqref="D24:K24">
    <cfRule type="containsBlanks" dxfId="1160" priority="31">
      <formula>LEN(TRIM(D24))=0</formula>
    </cfRule>
    <cfRule type="notContainsErrors" dxfId="1159" priority="32">
      <formula>NOT(ISERROR(D24))</formula>
    </cfRule>
  </conditionalFormatting>
  <conditionalFormatting sqref="D67:K67">
    <cfRule type="notContainsErrors" dxfId="1158" priority="4">
      <formula>NOT(ISERROR(D67))</formula>
    </cfRule>
    <cfRule type="containsBlanks" dxfId="1157" priority="3">
      <formula>LEN(TRIM(D67))=0</formula>
    </cfRule>
  </conditionalFormatting>
  <conditionalFormatting sqref="F20:H20">
    <cfRule type="cellIs" dxfId="1156" priority="71" operator="equal">
      <formula>"CUMPLE"</formula>
    </cfRule>
    <cfRule type="cellIs" dxfId="1155" priority="72" operator="equal">
      <formula>"NO CUMPLE"</formula>
    </cfRule>
    <cfRule type="cellIs" dxfId="1154" priority="73" operator="equal">
      <formula>"""CUMPLE"""</formula>
    </cfRule>
  </conditionalFormatting>
  <conditionalFormatting sqref="I11">
    <cfRule type="containsText" dxfId="1153" priority="74" operator="containsText" text="INHABILITADO">
      <formula>NOT(ISERROR(SEARCH("INHABILITADO",I11)))</formula>
    </cfRule>
    <cfRule type="containsText" dxfId="1152" priority="75" operator="containsText" text="HABILITADO">
      <formula>NOT(ISERROR(SEARCH("HABILITADO",I11)))</formula>
    </cfRule>
    <cfRule type="containsText" dxfId="1151" priority="76" operator="containsText" text="HABILITADO">
      <formula>NOT(ISERROR(SEARCH("HABILITADO",I11)))</formula>
    </cfRule>
    <cfRule type="containsText" dxfId="1150" priority="77" operator="containsText" text="NO CUMPLE">
      <formula>NOT(ISERROR(SEARCH("NO CUMPLE",I11)))</formula>
    </cfRule>
  </conditionalFormatting>
  <conditionalFormatting sqref="K19">
    <cfRule type="cellIs" dxfId="1149" priority="62" operator="equal">
      <formula>"CUMPLE"</formula>
    </cfRule>
    <cfRule type="cellIs" dxfId="1148" priority="63" operator="equal">
      <formula>"NO CUMPLE"</formula>
    </cfRule>
    <cfRule type="cellIs" dxfId="1147" priority="64" operator="equal">
      <formula>"""CUMPLE"""</formula>
    </cfRule>
  </conditionalFormatting>
  <conditionalFormatting sqref="K25:K65">
    <cfRule type="containsBlanks" dxfId="1146" priority="53">
      <formula>LEN(TRIM(K25))=0</formula>
    </cfRule>
    <cfRule type="notContainsErrors" dxfId="1145" priority="54">
      <formula>NOT(ISERROR(K25))</formula>
    </cfRule>
  </conditionalFormatting>
  <conditionalFormatting sqref="L15">
    <cfRule type="cellIs" dxfId="1144" priority="68" operator="equal">
      <formula>"CUMPLE"</formula>
    </cfRule>
    <cfRule type="cellIs" dxfId="1143" priority="69" operator="equal">
      <formula>"NO CUMPLE"</formula>
    </cfRule>
    <cfRule type="cellIs" dxfId="1142" priority="70" operator="equal">
      <formula>"""CUMPLE"""</formula>
    </cfRule>
  </conditionalFormatting>
  <dataValidations count="3">
    <dataValidation type="list" allowBlank="1" showInputMessage="1" showErrorMessage="1" sqref="D67:I67" xr:uid="{66ED6275-5D03-4478-97C5-49D061B6C692}">
      <formula1>"CUMPLE,NO CUMPLE"</formula1>
    </dataValidation>
    <dataValidation type="list" allowBlank="1" showInputMessage="1" showErrorMessage="1" sqref="D24:J26" xr:uid="{E817E7F3-EEC5-4767-A09C-1491DFF97236}">
      <formula1>$C$15:$C$19</formula1>
    </dataValidation>
    <dataValidation type="list" allowBlank="1" showInputMessage="1" showErrorMessage="1" sqref="L58:L66" xr:uid="{4DA2D632-4C9D-40EF-955C-C2D2D5557FA7}">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C9B7689E-626F-47AB-BDA0-E34B32B4E820}">
          <x14:formula1>
            <xm:f>'DATOS INICIALES'!$A$13:$A$44</xm:f>
          </x14:formula1>
          <xm:sqref>G31:I31</xm:sqref>
        </x14:dataValidation>
        <x14:dataValidation type="list" allowBlank="1" showInputMessage="1" showErrorMessage="1" xr:uid="{32BA4857-BE10-4DCF-98E4-20C2DBCAC519}">
          <x14:formula1>
            <xm:f>'DATOS INICIALES'!$D$22:$D$26</xm:f>
          </x14:formula1>
          <xm:sqref>M47:M55</xm:sqref>
        </x14:dataValidation>
        <x14:dataValidation type="list" allowBlank="1" showInputMessage="1" showErrorMessage="1" xr:uid="{D0F3AB8D-1174-4ECC-B407-0DD604AA361E}">
          <x14:formula1>
            <xm:f>'DATOS INICIALES'!$A$57:$A$62</xm:f>
          </x14:formula1>
          <xm:sqref>D23:I23</xm:sqref>
        </x14:dataValidation>
        <x14:dataValidation type="list" allowBlank="1" showInputMessage="1" showErrorMessage="1" xr:uid="{51F7EBF9-3904-490F-8EC8-ADB9B883CFFD}">
          <x14:formula1>
            <xm:f>'DATOS INICIALES'!$A$53:$A$55</xm:f>
          </x14:formula1>
          <xm:sqref>G59:J65 G46:J46 J56:J57 G56:I58</xm:sqref>
        </x14:dataValidation>
        <x14:dataValidation type="list" allowBlank="1" showInputMessage="1" showErrorMessage="1" xr:uid="{5C03E59F-F496-4462-B477-3BF0F524D67E}">
          <x14:formula1>
            <xm:f>'DATOS INICIALES'!$C$48:$C$49</xm:f>
          </x14:formula1>
          <xm:sqref>J47:J52 G47:I54</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1B82B-7F8D-4331-9F87-803624F6C814}">
  <sheetPr>
    <tabColor rgb="FF92D050"/>
  </sheetPr>
  <dimension ref="B1:N82"/>
  <sheetViews>
    <sheetView view="pageBreakPreview" zoomScale="40" zoomScaleNormal="55" zoomScaleSheetLayoutView="40" workbookViewId="0">
      <pane ySplit="11" topLeftCell="A12" activePane="bottomLeft" state="frozenSplit"/>
      <selection activeCell="C11" sqref="C11:G11"/>
      <selection pane="bottomLeft" activeCell="H20" sqref="H20"/>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+PROPONENTES!B18</f>
        <v>Consorcio LG</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AURELIO GUTIERREZ CASTILLO</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24714.030300000002</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7</v>
      </c>
      <c r="J15" s="264">
        <f>IF(AND(I15&gt;=1,I15&lt;=2),L8,IF(AND(I15&gt;=3,I15&lt;=4),L9,IF(AND(I15&gt;=5,I15&lt;=7),L10)))</f>
        <v>23649.896899615385</v>
      </c>
      <c r="K15" s="264">
        <f>+E20</f>
        <v>25700.755300000001</v>
      </c>
      <c r="L15" s="265" t="str">
        <f>IF(K15&gt;=J15,"CUMPLE","NO CUMPLE")</f>
        <v>CUMPLE</v>
      </c>
    </row>
    <row r="16" spans="2:12" ht="33.75" customHeight="1" x14ac:dyDescent="0.2">
      <c r="B16" s="273"/>
      <c r="C16" s="100" t="str">
        <f>IF(VLOOKUP(C11,PROPONENTES!B10:N44,4,FALSE)=0,"",VLOOKUP(C11,PROPONENTES!B10:N44,4,FALSE))</f>
        <v xml:space="preserve">AG3 INGENIERIA SAS </v>
      </c>
      <c r="D16" s="101">
        <f>IF(VLOOKUP(C11,PROPONENTES!B10:N44,5,FALSE)=0,"",VLOOKUP(C11,PROPONENTES!B10:N44,5,FALSE))</f>
        <v>0.4</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986.72500000000002</v>
      </c>
      <c r="F16" s="103" t="str">
        <f t="shared" si="1"/>
        <v>NO</v>
      </c>
      <c r="G16" s="104">
        <f>IF(C16="","",IF(E16&gt;=$J$15*0.05,"SI",IF(E16=0,"NO APORTA EXPERIENCIA",)))</f>
        <v>0</v>
      </c>
      <c r="H16" s="104" t="str">
        <f>IF(C16="","",IF(AND(G16="NO APORTA EXPERIENCIA",D16&lt;=10%),"SI",IF(G16="SI","NO APLICA","NO - PORCENTAJE MAYOR AL 10%")))</f>
        <v>NO - PORCENTAJE MAYOR AL 10%</v>
      </c>
      <c r="I16" s="316"/>
      <c r="J16" s="264"/>
      <c r="K16" s="264"/>
      <c r="L16" s="265"/>
    </row>
    <row r="17" spans="2:14" ht="33.75" customHeight="1" x14ac:dyDescent="0.2">
      <c r="B17" s="273"/>
      <c r="C17" s="100" t="str">
        <f>IF(VLOOKUP(C11,PROPONENTES!B10:N44,6,FALSE)=0,"",VLOOKUP(C11,PROPONENTES!B10:N44,6,FALSE))</f>
        <v>INTERLOMAS SAS</v>
      </c>
      <c r="D17" s="101">
        <f>IF(VLOOKUP(C11,PROPONENTES!B10:N44,7,FALSE)=0,"",VLOOKUP(C11,PROPONENTES!B10:N44,7,FALSE))</f>
        <v>0.1</v>
      </c>
      <c r="E17" s="102">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0</v>
      </c>
      <c r="F17" s="103" t="str">
        <f t="shared" si="1"/>
        <v>NO</v>
      </c>
      <c r="G17" s="104" t="str">
        <f t="shared" si="2"/>
        <v>NO APORTA EXPERIENCIA</v>
      </c>
      <c r="H17" s="103" t="str">
        <f>IF(C17="","",IF(AND(G17="NO APORTA EXPERIENCIA",D17&lt;=10%),"SI",IF(G17="SI","NO APLICA","NO - PORCENTAJE MAYOR AL 10%")))</f>
        <v>SI</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25700.755300000001</v>
      </c>
      <c r="J19" s="355">
        <f>IF(I15="","",VLOOKUP(I15,$D$76:$E$82,2,FALSE))</f>
        <v>23649.896899615385</v>
      </c>
      <c r="K19" s="249" t="str">
        <f>IF(I19&gt;=J19,"CUMPLE","NO CUMPLE")</f>
        <v>CUMPLE</v>
      </c>
      <c r="L19" s="250"/>
    </row>
    <row r="20" spans="2:14" ht="84.75" customHeight="1" x14ac:dyDescent="0.2">
      <c r="B20" s="31" t="s">
        <v>61</v>
      </c>
      <c r="C20" s="25">
        <f>+VLOOKUP(C11,PROPONENTES!B10:N44,12,FALSE)</f>
        <v>3</v>
      </c>
      <c r="D20" s="101">
        <f>+VLOOKUP(C11,PROPONENTES!B10:N44,13,FALSE)</f>
        <v>1</v>
      </c>
      <c r="E20" s="36">
        <f>SUM(E15:E19)</f>
        <v>25700.755300000001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v>
      </c>
      <c r="H20" s="18" t="str">
        <f>IF(COUNTIF(E15:E19,0)&gt;1,"NO CUMPLE, HAY MAS DE UN (1) INTEGRANTE QUE NO APORTA EXPERIENCIA",IF(AND(OR(H15="NO APLICA",H15="SI",H15=""),OR(H16="NO APLICA",H16="SI",H16=""),OR(H17="NO APLICA",H17="SI",H17=""),OR(H18="NO APLICA",H18="SI",H18=""),OR(H19="NO APLICA",H19="SI",H19="")),"CUMPLE","NO CUMPLE"))</f>
        <v>NO 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248</v>
      </c>
      <c r="E24" s="91" t="s">
        <v>248</v>
      </c>
      <c r="F24" s="91" t="s">
        <v>248</v>
      </c>
      <c r="G24" s="91" t="s">
        <v>248</v>
      </c>
      <c r="H24" s="91" t="s">
        <v>248</v>
      </c>
      <c r="I24" s="91" t="s">
        <v>248</v>
      </c>
      <c r="J24" s="91" t="s">
        <v>249</v>
      </c>
      <c r="K24" s="247"/>
      <c r="L24" s="248"/>
    </row>
    <row r="25" spans="2:14" ht="39.75" customHeight="1" x14ac:dyDescent="0.2">
      <c r="B25" s="259" t="s">
        <v>116</v>
      </c>
      <c r="C25" s="260"/>
      <c r="D25" s="91"/>
      <c r="E25" s="91"/>
      <c r="F25" s="91"/>
      <c r="G25" s="91"/>
      <c r="H25" s="91"/>
      <c r="I25" s="91"/>
      <c r="J25" s="91" t="s">
        <v>248</v>
      </c>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457</v>
      </c>
      <c r="E27" s="92" t="s">
        <v>458</v>
      </c>
      <c r="F27" s="92" t="s">
        <v>459</v>
      </c>
      <c r="G27" s="92" t="s">
        <v>460</v>
      </c>
      <c r="H27" s="92" t="s">
        <v>461</v>
      </c>
      <c r="I27" s="92" t="s">
        <v>462</v>
      </c>
      <c r="J27" s="92" t="s">
        <v>463</v>
      </c>
      <c r="K27" s="247"/>
      <c r="L27" s="248"/>
    </row>
    <row r="28" spans="2:14" ht="156.75" customHeight="1" x14ac:dyDescent="0.2">
      <c r="B28" s="277"/>
      <c r="C28" s="26" t="s">
        <v>36</v>
      </c>
      <c r="D28" s="92" t="s">
        <v>464</v>
      </c>
      <c r="E28" s="204" t="s">
        <v>465</v>
      </c>
      <c r="F28" s="204" t="s">
        <v>466</v>
      </c>
      <c r="G28" s="204" t="s">
        <v>467</v>
      </c>
      <c r="H28" s="204" t="s">
        <v>468</v>
      </c>
      <c r="I28" s="204" t="s">
        <v>469</v>
      </c>
      <c r="J28" s="204" t="s">
        <v>470</v>
      </c>
      <c r="K28" s="247"/>
      <c r="L28" s="248"/>
    </row>
    <row r="29" spans="2:14" ht="52.5" customHeight="1" x14ac:dyDescent="0.2">
      <c r="B29" s="277"/>
      <c r="C29" s="26" t="s">
        <v>172</v>
      </c>
      <c r="D29" s="96">
        <v>39146</v>
      </c>
      <c r="E29" s="205">
        <v>39496</v>
      </c>
      <c r="F29" s="205">
        <v>37194</v>
      </c>
      <c r="G29" s="205">
        <v>36577</v>
      </c>
      <c r="H29" s="205">
        <v>36640</v>
      </c>
      <c r="I29" s="205">
        <v>36724</v>
      </c>
      <c r="J29" s="205">
        <v>44103</v>
      </c>
      <c r="K29" s="247"/>
      <c r="L29" s="248"/>
    </row>
    <row r="30" spans="2:14" ht="54.75" customHeight="1" x14ac:dyDescent="0.2">
      <c r="B30" s="277"/>
      <c r="C30" s="26" t="s">
        <v>40</v>
      </c>
      <c r="D30" s="96">
        <v>39758</v>
      </c>
      <c r="E30" s="205">
        <v>40050</v>
      </c>
      <c r="F30" s="205">
        <v>37354</v>
      </c>
      <c r="G30" s="205">
        <v>36757</v>
      </c>
      <c r="H30" s="205">
        <v>36807</v>
      </c>
      <c r="I30" s="205">
        <v>36939</v>
      </c>
      <c r="J30" s="205">
        <v>44380</v>
      </c>
      <c r="K30" s="247"/>
      <c r="L30" s="248"/>
    </row>
    <row r="31" spans="2:14" ht="41.25" customHeight="1" x14ac:dyDescent="0.2">
      <c r="B31" s="277"/>
      <c r="C31" s="26" t="s">
        <v>37</v>
      </c>
      <c r="D31" s="93">
        <v>2008</v>
      </c>
      <c r="E31" s="93">
        <v>2009</v>
      </c>
      <c r="F31" s="93">
        <v>2002</v>
      </c>
      <c r="G31" s="93">
        <v>2000</v>
      </c>
      <c r="H31" s="93">
        <v>2000</v>
      </c>
      <c r="I31" s="93">
        <v>2001</v>
      </c>
      <c r="J31" s="93">
        <v>2021</v>
      </c>
      <c r="K31" s="247"/>
      <c r="L31" s="248"/>
    </row>
    <row r="32" spans="2:14" ht="63" customHeight="1" x14ac:dyDescent="0.2">
      <c r="B32" s="277"/>
      <c r="C32" s="26" t="s">
        <v>38</v>
      </c>
      <c r="D32" s="92" t="s">
        <v>471</v>
      </c>
      <c r="E32" s="92" t="s">
        <v>472</v>
      </c>
      <c r="F32" s="92" t="s">
        <v>471</v>
      </c>
      <c r="G32" s="92" t="s">
        <v>471</v>
      </c>
      <c r="H32" s="92" t="s">
        <v>471</v>
      </c>
      <c r="I32" s="92" t="s">
        <v>338</v>
      </c>
      <c r="J32" s="92" t="s">
        <v>338</v>
      </c>
      <c r="K32" s="247"/>
      <c r="L32" s="248"/>
    </row>
    <row r="33" spans="2:12" ht="46.5" customHeight="1" x14ac:dyDescent="0.2">
      <c r="B33" s="277"/>
      <c r="C33" s="26" t="s">
        <v>39</v>
      </c>
      <c r="D33" s="92" t="s">
        <v>473</v>
      </c>
      <c r="E33" s="92" t="s">
        <v>474</v>
      </c>
      <c r="F33" s="92" t="s">
        <v>475</v>
      </c>
      <c r="G33" s="92" t="s">
        <v>476</v>
      </c>
      <c r="H33" s="92" t="s">
        <v>475</v>
      </c>
      <c r="I33" s="92" t="s">
        <v>477</v>
      </c>
      <c r="J33" s="92" t="s">
        <v>478</v>
      </c>
      <c r="K33" s="247"/>
      <c r="L33" s="248"/>
    </row>
    <row r="34" spans="2:12" ht="27.75" customHeight="1" x14ac:dyDescent="0.2">
      <c r="B34" s="277"/>
      <c r="C34" s="28" t="s">
        <v>33</v>
      </c>
      <c r="D34" s="97">
        <v>1</v>
      </c>
      <c r="E34" s="97">
        <v>4</v>
      </c>
      <c r="F34" s="97">
        <v>28</v>
      </c>
      <c r="G34" s="98">
        <v>29</v>
      </c>
      <c r="H34" s="98">
        <v>30</v>
      </c>
      <c r="I34" s="98">
        <v>50</v>
      </c>
      <c r="J34" s="98" t="s">
        <v>479</v>
      </c>
      <c r="K34" s="247"/>
      <c r="L34" s="248"/>
    </row>
    <row r="35" spans="2:12" ht="102.75" customHeight="1" x14ac:dyDescent="0.2">
      <c r="B35" s="277"/>
      <c r="C35" s="26" t="s">
        <v>118</v>
      </c>
      <c r="D35" s="94">
        <v>12770.71</v>
      </c>
      <c r="E35" s="94">
        <v>23578.400000000001</v>
      </c>
      <c r="F35" s="94">
        <v>6521.56</v>
      </c>
      <c r="G35" s="94">
        <v>3138.45</v>
      </c>
      <c r="H35" s="94">
        <v>4229.12</v>
      </c>
      <c r="I35" s="94">
        <v>11121.96</v>
      </c>
      <c r="J35" s="94">
        <v>1973.45</v>
      </c>
      <c r="K35" s="279"/>
      <c r="L35" s="280"/>
    </row>
    <row r="36" spans="2:12" ht="48" customHeight="1" x14ac:dyDescent="0.2">
      <c r="B36" s="277"/>
      <c r="C36" s="26" t="s">
        <v>74</v>
      </c>
      <c r="D36" s="105">
        <f>IFERROR(D35*VLOOKUP(D31,'DATOS INICIALES'!$A$12:$B$44,2,0),"0")</f>
        <v>5893682665</v>
      </c>
      <c r="E36" s="105">
        <f>IFERROR(E35*VLOOKUP(E31,'DATOS INICIALES'!$A$12:$B$44,2,0),"0")</f>
        <v>11716106960</v>
      </c>
      <c r="F36" s="105">
        <f>IFERROR(F35*VLOOKUP(F31,'DATOS INICIALES'!$A$12:$B$44,2,0),"0")</f>
        <v>2015162040.0000002</v>
      </c>
      <c r="G36" s="105">
        <f>IFERROR(G35*VLOOKUP(G31,'DATOS INICIALES'!$A$12:$B$44,2,0),"0")</f>
        <v>816310845</v>
      </c>
      <c r="H36" s="105">
        <f>IFERROR(H35*VLOOKUP(H31,'DATOS INICIALES'!$A$12:$B$44,2,0),"0")</f>
        <v>1099994112</v>
      </c>
      <c r="I36" s="105">
        <f>IFERROR(I35*VLOOKUP(I31,'DATOS INICIALES'!$A$12:$B$44,2,0),"0")</f>
        <v>3180880559.9999995</v>
      </c>
      <c r="J36" s="105">
        <f>IFERROR(J35*VLOOKUP(J31,'DATOS INICIALES'!$A$12:$B$44,2,0),"0")</f>
        <v>1792930634.7</v>
      </c>
      <c r="K36" s="247"/>
      <c r="L36" s="248"/>
    </row>
    <row r="37" spans="2:12" ht="33.75" customHeight="1" x14ac:dyDescent="0.2">
      <c r="B37" s="277"/>
      <c r="C37" s="26" t="s">
        <v>119</v>
      </c>
      <c r="D37" s="95">
        <v>0.35</v>
      </c>
      <c r="E37" s="95">
        <v>0.3</v>
      </c>
      <c r="F37" s="95">
        <v>0.5</v>
      </c>
      <c r="G37" s="95">
        <v>1</v>
      </c>
      <c r="H37" s="95">
        <v>0.5</v>
      </c>
      <c r="I37" s="95">
        <v>0.33</v>
      </c>
      <c r="J37" s="95">
        <v>0.5</v>
      </c>
      <c r="K37" s="247"/>
      <c r="L37" s="248"/>
    </row>
    <row r="38" spans="2:12" ht="48.75" customHeight="1" x14ac:dyDescent="0.2">
      <c r="B38" s="277"/>
      <c r="C38" s="26" t="s">
        <v>125</v>
      </c>
      <c r="D38" s="105">
        <f t="shared" ref="D38:J38" si="3">IF(D24="","0",D37*D36)</f>
        <v>2062788932.7499998</v>
      </c>
      <c r="E38" s="105">
        <f t="shared" si="3"/>
        <v>3514832088</v>
      </c>
      <c r="F38" s="105">
        <f t="shared" si="3"/>
        <v>1007581020.0000001</v>
      </c>
      <c r="G38" s="105">
        <f t="shared" si="3"/>
        <v>816310845</v>
      </c>
      <c r="H38" s="105">
        <f t="shared" si="3"/>
        <v>549997056</v>
      </c>
      <c r="I38" s="105">
        <f t="shared" si="3"/>
        <v>1049690584.7999998</v>
      </c>
      <c r="J38" s="105">
        <f t="shared" si="3"/>
        <v>896465317.35000002</v>
      </c>
      <c r="K38" s="247"/>
      <c r="L38" s="248"/>
    </row>
    <row r="39" spans="2:12" ht="65.25" customHeight="1" x14ac:dyDescent="0.2">
      <c r="B39" s="277"/>
      <c r="C39" s="26" t="s">
        <v>120</v>
      </c>
      <c r="D39" s="106">
        <f t="shared" ref="D39:J39" si="4">IFERROR(D35*D37,"0")</f>
        <v>4469.7484999999997</v>
      </c>
      <c r="E39" s="106">
        <f t="shared" si="4"/>
        <v>7073.52</v>
      </c>
      <c r="F39" s="106">
        <f t="shared" si="4"/>
        <v>3260.78</v>
      </c>
      <c r="G39" s="106">
        <f t="shared" si="4"/>
        <v>3138.45</v>
      </c>
      <c r="H39" s="106">
        <f t="shared" si="4"/>
        <v>2114.56</v>
      </c>
      <c r="I39" s="106">
        <f t="shared" si="4"/>
        <v>3670.2467999999999</v>
      </c>
      <c r="J39" s="106">
        <f t="shared" si="4"/>
        <v>986.72500000000002</v>
      </c>
      <c r="K39" s="247"/>
      <c r="L39" s="248"/>
    </row>
    <row r="40" spans="2:12" ht="65.25" customHeight="1" x14ac:dyDescent="0.2">
      <c r="B40" s="277"/>
      <c r="C40" s="26" t="s">
        <v>121</v>
      </c>
      <c r="D40" s="95"/>
      <c r="E40" s="95"/>
      <c r="F40" s="95"/>
      <c r="G40" s="95"/>
      <c r="H40" s="95"/>
      <c r="I40" s="95"/>
      <c r="J40" s="95">
        <v>0.5</v>
      </c>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f t="shared" si="5"/>
        <v>896465317.35000002</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986.72500000000002</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t="s">
        <v>13</v>
      </c>
      <c r="I46" s="91" t="s">
        <v>13</v>
      </c>
      <c r="J46" s="91" t="s">
        <v>13</v>
      </c>
      <c r="K46" s="247"/>
      <c r="L46" s="248"/>
    </row>
    <row r="47" spans="2:12" ht="24.75" customHeight="1" x14ac:dyDescent="0.2">
      <c r="B47" s="284" t="s">
        <v>34</v>
      </c>
      <c r="C47" s="29">
        <f>+'DATOS INICIALES'!D22</f>
        <v>721033</v>
      </c>
      <c r="D47" s="97" t="s">
        <v>77</v>
      </c>
      <c r="E47" s="97" t="s">
        <v>77</v>
      </c>
      <c r="F47" s="97" t="s">
        <v>77</v>
      </c>
      <c r="G47" s="97" t="s">
        <v>77</v>
      </c>
      <c r="H47" s="97" t="s">
        <v>77</v>
      </c>
      <c r="I47" s="97" t="s">
        <v>77</v>
      </c>
      <c r="J47" s="98" t="s">
        <v>77</v>
      </c>
      <c r="K47" s="247"/>
      <c r="L47" s="248"/>
    </row>
    <row r="48" spans="2:12" ht="24.75" customHeight="1" x14ac:dyDescent="0.2">
      <c r="B48" s="285"/>
      <c r="C48" s="29">
        <f>+'DATOS INICIALES'!D23</f>
        <v>721410</v>
      </c>
      <c r="D48" s="97" t="s">
        <v>77</v>
      </c>
      <c r="E48" s="97" t="s">
        <v>77</v>
      </c>
      <c r="F48" s="97" t="s">
        <v>77</v>
      </c>
      <c r="G48" s="97" t="s">
        <v>77</v>
      </c>
      <c r="H48" s="97" t="s">
        <v>77</v>
      </c>
      <c r="I48" s="97" t="s">
        <v>77</v>
      </c>
      <c r="J48" s="98" t="s">
        <v>77</v>
      </c>
      <c r="K48" s="247"/>
      <c r="L48" s="248"/>
    </row>
    <row r="49" spans="2:12" ht="24.75" customHeight="1" x14ac:dyDescent="0.2">
      <c r="B49" s="285"/>
      <c r="C49" s="29">
        <f>+'DATOS INICIALES'!D24</f>
        <v>721411</v>
      </c>
      <c r="D49" s="97" t="s">
        <v>77</v>
      </c>
      <c r="E49" s="97" t="s">
        <v>77</v>
      </c>
      <c r="F49" s="97" t="s">
        <v>77</v>
      </c>
      <c r="G49" s="97" t="s">
        <v>77</v>
      </c>
      <c r="H49" s="97" t="s">
        <v>77</v>
      </c>
      <c r="I49" s="97" t="s">
        <v>77</v>
      </c>
      <c r="J49" s="98" t="s">
        <v>77</v>
      </c>
      <c r="K49" s="247"/>
      <c r="L49" s="248"/>
    </row>
    <row r="50" spans="2:12" ht="24.75" customHeight="1" x14ac:dyDescent="0.2">
      <c r="B50" s="285"/>
      <c r="C50" s="29">
        <f>+'DATOS INICIALES'!D25</f>
        <v>721416</v>
      </c>
      <c r="D50" s="97" t="s">
        <v>77</v>
      </c>
      <c r="E50" s="97" t="s">
        <v>77</v>
      </c>
      <c r="F50" s="97" t="s">
        <v>75</v>
      </c>
      <c r="G50" s="97" t="s">
        <v>75</v>
      </c>
      <c r="H50" s="97" t="s">
        <v>75</v>
      </c>
      <c r="I50" s="97" t="s">
        <v>77</v>
      </c>
      <c r="J50" s="98" t="s">
        <v>75</v>
      </c>
      <c r="K50" s="247"/>
      <c r="L50" s="248"/>
    </row>
    <row r="51" spans="2:12" ht="24.75" customHeight="1" x14ac:dyDescent="0.2">
      <c r="B51" s="285"/>
      <c r="C51" s="29">
        <f>+'DATOS INICIALES'!D26</f>
        <v>721527</v>
      </c>
      <c r="D51" s="97" t="s">
        <v>77</v>
      </c>
      <c r="E51" s="97" t="s">
        <v>77</v>
      </c>
      <c r="F51" s="97" t="s">
        <v>77</v>
      </c>
      <c r="G51" s="97" t="s">
        <v>77</v>
      </c>
      <c r="H51" s="97" t="s">
        <v>77</v>
      </c>
      <c r="I51" s="97" t="s">
        <v>77</v>
      </c>
      <c r="J51" s="98" t="s">
        <v>77</v>
      </c>
      <c r="K51" s="247"/>
      <c r="L51" s="248"/>
    </row>
    <row r="52" spans="2:12" ht="24.75" customHeight="1" x14ac:dyDescent="0.2">
      <c r="B52" s="285"/>
      <c r="C52" s="29">
        <f>+'DATOS INICIALES'!D27</f>
        <v>721539</v>
      </c>
      <c r="D52" s="97" t="s">
        <v>77</v>
      </c>
      <c r="E52" s="97" t="s">
        <v>77</v>
      </c>
      <c r="F52" s="97" t="s">
        <v>77</v>
      </c>
      <c r="G52" s="97" t="s">
        <v>77</v>
      </c>
      <c r="H52" s="97" t="s">
        <v>77</v>
      </c>
      <c r="I52" s="97" t="s">
        <v>77</v>
      </c>
      <c r="J52" s="98" t="s">
        <v>75</v>
      </c>
      <c r="K52" s="247"/>
      <c r="L52" s="248"/>
    </row>
    <row r="53" spans="2:12" ht="24.75" customHeight="1" x14ac:dyDescent="0.2">
      <c r="B53" s="285"/>
      <c r="C53" s="29">
        <f>+'DATOS INICIALES'!D28</f>
        <v>951115</v>
      </c>
      <c r="D53" s="97" t="s">
        <v>77</v>
      </c>
      <c r="E53" s="97" t="s">
        <v>77</v>
      </c>
      <c r="F53" s="97" t="s">
        <v>77</v>
      </c>
      <c r="G53" s="97" t="s">
        <v>77</v>
      </c>
      <c r="H53" s="97" t="s">
        <v>77</v>
      </c>
      <c r="I53" s="97" t="s">
        <v>77</v>
      </c>
      <c r="J53" s="97" t="s">
        <v>75</v>
      </c>
      <c r="K53" s="247"/>
      <c r="L53" s="248"/>
    </row>
    <row r="54" spans="2:12" ht="24.75" customHeight="1" x14ac:dyDescent="0.2">
      <c r="B54" s="285"/>
      <c r="C54" s="29">
        <f>+'DATOS INICIALES'!D29</f>
        <v>721033</v>
      </c>
      <c r="D54" s="97" t="s">
        <v>77</v>
      </c>
      <c r="E54" s="97" t="s">
        <v>77</v>
      </c>
      <c r="F54" s="97" t="s">
        <v>77</v>
      </c>
      <c r="G54" s="97" t="s">
        <v>77</v>
      </c>
      <c r="H54" s="97" t="s">
        <v>77</v>
      </c>
      <c r="I54" s="97" t="s">
        <v>77</v>
      </c>
      <c r="J54" s="97" t="s">
        <v>77</v>
      </c>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CUMPLE</v>
      </c>
      <c r="G55" s="18" t="str">
        <f t="shared" si="9"/>
        <v>CUMPLE</v>
      </c>
      <c r="H55" s="18" t="str">
        <f t="shared" si="9"/>
        <v>CUMPLE</v>
      </c>
      <c r="I55" s="18" t="str">
        <f t="shared" si="9"/>
        <v>CUMPLE</v>
      </c>
      <c r="J55" s="18" t="str">
        <f t="shared" si="9"/>
        <v>CUMPLE</v>
      </c>
      <c r="K55" s="247"/>
      <c r="L55" s="248"/>
    </row>
    <row r="56" spans="2:12" ht="147.5" customHeight="1" x14ac:dyDescent="0.2">
      <c r="B56" s="287" t="s">
        <v>189</v>
      </c>
      <c r="C56" s="288"/>
      <c r="D56" s="91" t="s">
        <v>13</v>
      </c>
      <c r="E56" s="91" t="s">
        <v>13</v>
      </c>
      <c r="F56" s="91" t="s">
        <v>13</v>
      </c>
      <c r="G56" s="91" t="s">
        <v>13</v>
      </c>
      <c r="H56" s="91" t="s">
        <v>13</v>
      </c>
      <c r="I56" s="91" t="s">
        <v>13</v>
      </c>
      <c r="J56" s="91" t="s">
        <v>13</v>
      </c>
      <c r="K56" s="257"/>
      <c r="L56" s="258"/>
    </row>
    <row r="57" spans="2:12" ht="103.25" customHeight="1" x14ac:dyDescent="0.2">
      <c r="B57" s="287" t="s">
        <v>190</v>
      </c>
      <c r="C57" s="288"/>
      <c r="D57" s="91" t="s">
        <v>13</v>
      </c>
      <c r="E57" s="91" t="s">
        <v>13</v>
      </c>
      <c r="F57" s="91" t="s">
        <v>13</v>
      </c>
      <c r="G57" s="91" t="s">
        <v>13</v>
      </c>
      <c r="H57" s="91" t="s">
        <v>13</v>
      </c>
      <c r="I57" s="91" t="s">
        <v>13</v>
      </c>
      <c r="J57" s="91" t="s">
        <v>13</v>
      </c>
      <c r="K57" s="257"/>
      <c r="L57" s="258"/>
    </row>
    <row r="58" spans="2:12" ht="72" customHeight="1" x14ac:dyDescent="0.2">
      <c r="B58" s="281" t="s">
        <v>191</v>
      </c>
      <c r="C58" s="282"/>
      <c r="D58" s="91" t="s">
        <v>13</v>
      </c>
      <c r="E58" s="91" t="s">
        <v>13</v>
      </c>
      <c r="F58" s="91" t="s">
        <v>13</v>
      </c>
      <c r="G58" s="91" t="s">
        <v>13</v>
      </c>
      <c r="H58" s="91" t="s">
        <v>13</v>
      </c>
      <c r="I58" s="91" t="s">
        <v>13</v>
      </c>
      <c r="J58" s="91" t="s">
        <v>13</v>
      </c>
      <c r="K58" s="247"/>
      <c r="L58" s="248"/>
    </row>
    <row r="59" spans="2:12" ht="42.5" customHeight="1" x14ac:dyDescent="0.2">
      <c r="B59" s="281" t="s">
        <v>192</v>
      </c>
      <c r="C59" s="282"/>
      <c r="D59" s="91" t="s">
        <v>13</v>
      </c>
      <c r="E59" s="91" t="s">
        <v>13</v>
      </c>
      <c r="F59" s="91" t="s">
        <v>13</v>
      </c>
      <c r="G59" s="91" t="s">
        <v>13</v>
      </c>
      <c r="H59" s="91" t="s">
        <v>13</v>
      </c>
      <c r="I59" s="91" t="s">
        <v>13</v>
      </c>
      <c r="J59" s="91" t="s">
        <v>13</v>
      </c>
      <c r="K59" s="247"/>
      <c r="L59" s="248"/>
    </row>
    <row r="60" spans="2:12" ht="36" customHeight="1" x14ac:dyDescent="0.2">
      <c r="B60" s="281" t="s">
        <v>193</v>
      </c>
      <c r="C60" s="282"/>
      <c r="D60" s="91" t="s">
        <v>13</v>
      </c>
      <c r="E60" s="91" t="s">
        <v>13</v>
      </c>
      <c r="F60" s="91" t="s">
        <v>13</v>
      </c>
      <c r="G60" s="91" t="s">
        <v>13</v>
      </c>
      <c r="H60" s="91" t="s">
        <v>13</v>
      </c>
      <c r="I60" s="91" t="s">
        <v>13</v>
      </c>
      <c r="J60" s="91" t="s">
        <v>13</v>
      </c>
      <c r="K60" s="247"/>
      <c r="L60" s="248"/>
    </row>
    <row r="61" spans="2:12" ht="160.75" customHeight="1" x14ac:dyDescent="0.2">
      <c r="B61" s="281" t="s">
        <v>194</v>
      </c>
      <c r="C61" s="282"/>
      <c r="D61" s="91" t="s">
        <v>13</v>
      </c>
      <c r="E61" s="91" t="s">
        <v>13</v>
      </c>
      <c r="F61" s="91" t="s">
        <v>13</v>
      </c>
      <c r="G61" s="91" t="s">
        <v>13</v>
      </c>
      <c r="H61" s="91" t="s">
        <v>13</v>
      </c>
      <c r="I61" s="91" t="s">
        <v>13</v>
      </c>
      <c r="J61" s="91" t="s">
        <v>13</v>
      </c>
      <c r="K61" s="247"/>
      <c r="L61" s="248"/>
    </row>
    <row r="62" spans="2:12" ht="409.25" customHeight="1" x14ac:dyDescent="0.2">
      <c r="B62" s="261" t="s">
        <v>195</v>
      </c>
      <c r="C62" s="261"/>
      <c r="D62" s="91" t="s">
        <v>13</v>
      </c>
      <c r="E62" s="91" t="s">
        <v>13</v>
      </c>
      <c r="F62" s="91" t="s">
        <v>13</v>
      </c>
      <c r="G62" s="91" t="s">
        <v>13</v>
      </c>
      <c r="H62" s="91" t="s">
        <v>13</v>
      </c>
      <c r="I62" s="91" t="s">
        <v>13</v>
      </c>
      <c r="J62" s="91" t="s">
        <v>13</v>
      </c>
      <c r="K62" s="279"/>
      <c r="L62" s="280"/>
    </row>
    <row r="63" spans="2:12" ht="301.75" customHeight="1" x14ac:dyDescent="0.2">
      <c r="B63" s="262" t="s">
        <v>196</v>
      </c>
      <c r="C63" s="263"/>
      <c r="D63" s="91" t="s">
        <v>13</v>
      </c>
      <c r="E63" s="91" t="s">
        <v>13</v>
      </c>
      <c r="F63" s="91" t="s">
        <v>13</v>
      </c>
      <c r="G63" s="91" t="s">
        <v>13</v>
      </c>
      <c r="H63" s="91" t="s">
        <v>13</v>
      </c>
      <c r="I63" s="91" t="s">
        <v>13</v>
      </c>
      <c r="J63" s="91" t="s">
        <v>13</v>
      </c>
      <c r="K63" s="247"/>
      <c r="L63" s="248"/>
    </row>
    <row r="64" spans="2:12" ht="253.75" customHeight="1" x14ac:dyDescent="0.2">
      <c r="B64" s="283" t="s">
        <v>197</v>
      </c>
      <c r="C64" s="283"/>
      <c r="D64" s="91" t="s">
        <v>13</v>
      </c>
      <c r="E64" s="91" t="s">
        <v>13</v>
      </c>
      <c r="F64" s="91" t="s">
        <v>13</v>
      </c>
      <c r="G64" s="91" t="s">
        <v>13</v>
      </c>
      <c r="H64" s="91" t="s">
        <v>13</v>
      </c>
      <c r="I64" s="91" t="s">
        <v>13</v>
      </c>
      <c r="J64" s="91" t="s">
        <v>13</v>
      </c>
      <c r="K64" s="247"/>
      <c r="L64" s="248"/>
    </row>
    <row r="65" spans="2:12" ht="243.5" customHeight="1" x14ac:dyDescent="0.2">
      <c r="B65" s="261" t="s">
        <v>198</v>
      </c>
      <c r="C65" s="261"/>
      <c r="D65" s="91" t="s">
        <v>13</v>
      </c>
      <c r="E65" s="91" t="s">
        <v>13</v>
      </c>
      <c r="F65" s="91" t="s">
        <v>13</v>
      </c>
      <c r="G65" s="91" t="s">
        <v>13</v>
      </c>
      <c r="H65" s="91" t="s">
        <v>13</v>
      </c>
      <c r="I65" s="91" t="s">
        <v>13</v>
      </c>
      <c r="J65" s="91" t="s">
        <v>13</v>
      </c>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CUMPLE</v>
      </c>
      <c r="G66" s="18" t="str">
        <f t="shared" si="10"/>
        <v>CUMPLE</v>
      </c>
      <c r="H66" s="18" t="str">
        <f t="shared" si="10"/>
        <v>CUMPLE</v>
      </c>
      <c r="I66" s="18" t="str">
        <f t="shared" si="10"/>
        <v>CUMPLE</v>
      </c>
      <c r="J66" s="18" t="str">
        <f t="shared" si="10"/>
        <v>CUMPLE</v>
      </c>
      <c r="K66" s="147"/>
      <c r="L66" s="148"/>
    </row>
    <row r="67" spans="2:12" ht="54.5" customHeight="1" x14ac:dyDescent="0.2">
      <c r="B67" s="261" t="s">
        <v>188</v>
      </c>
      <c r="C67" s="261"/>
      <c r="D67" s="91" t="s">
        <v>13</v>
      </c>
      <c r="E67" s="91" t="s">
        <v>13</v>
      </c>
      <c r="F67" s="91" t="s">
        <v>13</v>
      </c>
      <c r="G67" s="91" t="s">
        <v>13</v>
      </c>
      <c r="H67" s="91" t="s">
        <v>13</v>
      </c>
      <c r="I67" s="91" t="s">
        <v>13</v>
      </c>
      <c r="J67" s="91" t="s">
        <v>13</v>
      </c>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4:J35">
    <cfRule type="notContainsErrors" dxfId="1141" priority="26">
      <formula>NOT(ISERROR(D24))</formula>
    </cfRule>
    <cfRule type="containsBlanks" dxfId="1140" priority="25">
      <formula>LEN(TRIM(D24))=0</formula>
    </cfRule>
  </conditionalFormatting>
  <conditionalFormatting sqref="D34:J34">
    <cfRule type="containsBlanks" dxfId="1139" priority="27">
      <formula>LEN(TRIM(D34))=0</formula>
    </cfRule>
    <cfRule type="notContainsErrors" dxfId="1138" priority="28">
      <formula>NOT(ISERROR(D34))</formula>
    </cfRule>
  </conditionalFormatting>
  <conditionalFormatting sqref="D37:J37">
    <cfRule type="containsBlanks" dxfId="1137" priority="23">
      <formula>LEN(TRIM(D37))=0</formula>
    </cfRule>
    <cfRule type="notContainsErrors" dxfId="1136" priority="24">
      <formula>NOT(ISERROR(D37))</formula>
    </cfRule>
  </conditionalFormatting>
  <conditionalFormatting sqref="D40:J40">
    <cfRule type="containsBlanks" dxfId="1135" priority="21">
      <formula>LEN(TRIM(D40))=0</formula>
    </cfRule>
    <cfRule type="notContainsErrors" dxfId="1134" priority="22">
      <formula>NOT(ISERROR(D40))</formula>
    </cfRule>
  </conditionalFormatting>
  <conditionalFormatting sqref="D43:J43 K66:L66">
    <cfRule type="containsBlanks" dxfId="1133" priority="51">
      <formula>LEN(TRIM(D43))=0</formula>
    </cfRule>
    <cfRule type="notContainsErrors" dxfId="1132" priority="52">
      <formula>NOT(ISERROR(D43))</formula>
    </cfRule>
  </conditionalFormatting>
  <conditionalFormatting sqref="D46:J54">
    <cfRule type="cellIs" dxfId="1131" priority="9" operator="equal">
      <formula>"NO CUMPLE"</formula>
    </cfRule>
    <cfRule type="cellIs" dxfId="1130" priority="10" operator="equal">
      <formula>"CUMPLE"</formula>
    </cfRule>
    <cfRule type="containsBlanks" dxfId="1129" priority="11">
      <formula>LEN(TRIM(D46))=0</formula>
    </cfRule>
    <cfRule type="notContainsErrors" dxfId="1128" priority="12">
      <formula>NOT(ISERROR(D46))</formula>
    </cfRule>
  </conditionalFormatting>
  <conditionalFormatting sqref="D55:J55">
    <cfRule type="cellIs" dxfId="1127" priority="17" operator="equal">
      <formula>"N/A"</formula>
    </cfRule>
    <cfRule type="cellIs" dxfId="1126" priority="18" operator="equal">
      <formula>"CUMPLE"</formula>
    </cfRule>
    <cfRule type="cellIs" dxfId="1125" priority="19" operator="equal">
      <formula>"NO CUMPLE"</formula>
    </cfRule>
    <cfRule type="cellIs" dxfId="1124" priority="20" operator="equal">
      <formula>"""CUMPLE"""</formula>
    </cfRule>
  </conditionalFormatting>
  <conditionalFormatting sqref="D56:J65">
    <cfRule type="cellIs" dxfId="1123" priority="5" operator="equal">
      <formula>"NO CUMPLE"</formula>
    </cfRule>
    <cfRule type="cellIs" dxfId="1122" priority="6" operator="equal">
      <formula>"CUMPLE"</formula>
    </cfRule>
    <cfRule type="containsBlanks" dxfId="1121" priority="7">
      <formula>LEN(TRIM(D56))=0</formula>
    </cfRule>
    <cfRule type="notContainsErrors" dxfId="1120" priority="8">
      <formula>NOT(ISERROR(D56))</formula>
    </cfRule>
  </conditionalFormatting>
  <conditionalFormatting sqref="D66:J66">
    <cfRule type="cellIs" dxfId="1119" priority="13" operator="equal">
      <formula>"N/A"</formula>
    </cfRule>
    <cfRule type="cellIs" dxfId="1118" priority="15" operator="equal">
      <formula>"NO CUMPLE"</formula>
    </cfRule>
    <cfRule type="cellIs" dxfId="1117" priority="16" operator="equal">
      <formula>"""CUMPLE"""</formula>
    </cfRule>
    <cfRule type="cellIs" dxfId="1116" priority="14" operator="equal">
      <formula>"CUMPLE"</formula>
    </cfRule>
  </conditionalFormatting>
  <conditionalFormatting sqref="D67:J67">
    <cfRule type="cellIs" dxfId="1115" priority="1" operator="equal">
      <formula>"NO CUMPLE"</formula>
    </cfRule>
    <cfRule type="cellIs" dxfId="1114" priority="2" operator="equal">
      <formula>"CUMPLE"</formula>
    </cfRule>
  </conditionalFormatting>
  <conditionalFormatting sqref="D67:K67">
    <cfRule type="notContainsErrors" dxfId="1113" priority="4">
      <formula>NOT(ISERROR(D67))</formula>
    </cfRule>
    <cfRule type="containsBlanks" dxfId="1112" priority="3">
      <formula>LEN(TRIM(D67))=0</formula>
    </cfRule>
  </conditionalFormatting>
  <conditionalFormatting sqref="F20:H20">
    <cfRule type="cellIs" dxfId="1111" priority="67" operator="equal">
      <formula>"CUMPLE"</formula>
    </cfRule>
    <cfRule type="cellIs" dxfId="1110" priority="68" operator="equal">
      <formula>"NO CUMPLE"</formula>
    </cfRule>
    <cfRule type="cellIs" dxfId="1109" priority="69" operator="equal">
      <formula>"""CUMPLE"""</formula>
    </cfRule>
  </conditionalFormatting>
  <conditionalFormatting sqref="I11">
    <cfRule type="containsText" dxfId="1108" priority="70" operator="containsText" text="INHABILITADO">
      <formula>NOT(ISERROR(SEARCH("INHABILITADO",I11)))</formula>
    </cfRule>
    <cfRule type="containsText" dxfId="1107" priority="71" operator="containsText" text="HABILITADO">
      <formula>NOT(ISERROR(SEARCH("HABILITADO",I11)))</formula>
    </cfRule>
    <cfRule type="containsText" dxfId="1106" priority="72" operator="containsText" text="HABILITADO">
      <formula>NOT(ISERROR(SEARCH("HABILITADO",I11)))</formula>
    </cfRule>
    <cfRule type="containsText" dxfId="1105" priority="73" operator="containsText" text="NO CUMPLE">
      <formula>NOT(ISERROR(SEARCH("NO CUMPLE",I11)))</formula>
    </cfRule>
  </conditionalFormatting>
  <conditionalFormatting sqref="K19">
    <cfRule type="cellIs" dxfId="1104" priority="58" operator="equal">
      <formula>"CUMPLE"</formula>
    </cfRule>
    <cfRule type="cellIs" dxfId="1103" priority="59" operator="equal">
      <formula>"NO CUMPLE"</formula>
    </cfRule>
    <cfRule type="cellIs" dxfId="1102" priority="60" operator="equal">
      <formula>"""CUMPLE"""</formula>
    </cfRule>
  </conditionalFormatting>
  <conditionalFormatting sqref="K24:K65">
    <cfRule type="containsBlanks" dxfId="1101" priority="47">
      <formula>LEN(TRIM(K24))=0</formula>
    </cfRule>
    <cfRule type="notContainsErrors" dxfId="1100" priority="48">
      <formula>NOT(ISERROR(K24))</formula>
    </cfRule>
  </conditionalFormatting>
  <conditionalFormatting sqref="L15">
    <cfRule type="cellIs" dxfId="1099" priority="64" operator="equal">
      <formula>"CUMPLE"</formula>
    </cfRule>
    <cfRule type="cellIs" dxfId="1098" priority="65" operator="equal">
      <formula>"NO CUMPLE"</formula>
    </cfRule>
    <cfRule type="cellIs" dxfId="1097" priority="66" operator="equal">
      <formula>"""CUMPLE"""</formula>
    </cfRule>
  </conditionalFormatting>
  <dataValidations count="3">
    <dataValidation type="list" allowBlank="1" showInputMessage="1" showErrorMessage="1" sqref="L58:L66" xr:uid="{5D409E34-C0CE-46C0-9BC0-71350FDBBE70}">
      <formula1>"0,1,2,3,4,5,6"</formula1>
    </dataValidation>
    <dataValidation type="list" allowBlank="1" showInputMessage="1" showErrorMessage="1" sqref="D24:J26" xr:uid="{DACB81C3-48B4-43EC-86F1-BF2A2F587E93}">
      <formula1>$C$15:$C$19</formula1>
    </dataValidation>
    <dataValidation type="list" allowBlank="1" showInputMessage="1" showErrorMessage="1" sqref="D67:I67" xr:uid="{C9316E56-394E-441E-A377-BF095C6F0D81}">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60C0D3B-535C-4E70-A4BC-31821797B351}">
          <x14:formula1>
            <xm:f>'DATOS INICIALES'!$A$57:$A$62</xm:f>
          </x14:formula1>
          <xm:sqref>D23:I23</xm:sqref>
        </x14:dataValidation>
        <x14:dataValidation type="list" allowBlank="1" showInputMessage="1" showErrorMessage="1" xr:uid="{74C4C3E9-822D-4F35-8506-B8935D331380}">
          <x14:formula1>
            <xm:f>'DATOS INICIALES'!$D$22:$D$26</xm:f>
          </x14:formula1>
          <xm:sqref>M47:M55</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EB21C-67AB-46F6-9822-B1C0B0C4E148}">
  <sheetPr>
    <tabColor rgb="FF92D050"/>
  </sheetPr>
  <dimension ref="B1:N82"/>
  <sheetViews>
    <sheetView view="pageBreakPreview" zoomScale="55" zoomScaleNormal="55" zoomScaleSheetLayoutView="55" workbookViewId="0">
      <pane ySplit="11" topLeftCell="A21" activePane="bottomLeft" state="frozenSplit"/>
      <selection activeCell="C11" sqref="C11:G11"/>
      <selection pane="bottomLeft" activeCell="C28" sqref="C28"/>
    </sheetView>
  </sheetViews>
  <sheetFormatPr baseColWidth="10" defaultColWidth="11.5" defaultRowHeight="15" x14ac:dyDescent="0.2"/>
  <cols>
    <col min="1" max="1" width="5.5" customWidth="1"/>
    <col min="2" max="2" width="65" customWidth="1"/>
    <col min="3" max="3" width="96.5" customWidth="1"/>
    <col min="4" max="4" width="37.6640625" customWidth="1"/>
    <col min="5" max="5" width="40"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+PROPONENTES!B19</f>
        <v>CONSORCIO VIAL URBANO DC</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BIO MAQUINARIA Y EQUIPOS SAS</v>
      </c>
      <c r="D15" s="101">
        <f>IF(VLOOKUP(C11,PROPONENTES!B10:N44,3,FALSE)=0,"",VLOOKUP(C11,PROPONENTES!B10:N44,3,FALSE))</f>
        <v>0.9</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96394.48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96394.48</v>
      </c>
      <c r="L15" s="265" t="str">
        <f>IF(K15&gt;=J15,"CUMPLE","NO CUMPLE")</f>
        <v>CUMPLE</v>
      </c>
    </row>
    <row r="16" spans="2:12" ht="33.75" customHeight="1" x14ac:dyDescent="0.2">
      <c r="B16" s="273"/>
      <c r="C16" s="100" t="str">
        <f>IF(VLOOKUP(C11,PROPONENTES!B10:N44,4,FALSE)=0,"",VLOOKUP(C11,PROPONENTES!B10:N44,4,FALSE))</f>
        <v>GRUPO J8 SAS</v>
      </c>
      <c r="D16" s="101">
        <f>IF(VLOOKUP(C11,PROPONENTES!B10:N44,5,FALSE)=0,"",VLOOKUP(C11,PROPONENTES!B10:N44,5,FALSE))</f>
        <v>0.1</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0</v>
      </c>
      <c r="F16" s="103" t="str">
        <f t="shared" si="1"/>
        <v>NO</v>
      </c>
      <c r="G16" s="104" t="str">
        <f t="shared" si="2"/>
        <v>NO APORTA EXPERIENCIA</v>
      </c>
      <c r="H16" s="104" t="str">
        <f>IF(C16="","",IF(AND(G16="NO APORTA EXPERIENCIA",D16&lt;=10%),"SI",IF(G16="SI","NO APLICA","NO - PORCENTAJE MAYOR AL 10%")))</f>
        <v>SI</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0</v>
      </c>
      <c r="J19" s="355">
        <f>IF(I15="","",VLOOKUP(I15,$D$76:$E$82,2,FALSE))</f>
        <v>11824.948449807693</v>
      </c>
      <c r="K19" s="249" t="str">
        <f>IF(I19&gt;=J19,"CUMPLE","NO CUMPLE")</f>
        <v>NO CUMPLE</v>
      </c>
      <c r="L19" s="250"/>
    </row>
    <row r="20" spans="2:14" ht="84.75" customHeight="1" x14ac:dyDescent="0.2">
      <c r="B20" s="31" t="s">
        <v>61</v>
      </c>
      <c r="C20" s="25">
        <f>+VLOOKUP(C11,PROPONENTES!B10:N44,12,FALSE)</f>
        <v>2</v>
      </c>
      <c r="D20" s="101">
        <f>+VLOOKUP(C11,PROPONENTES!B10:N44,13,FALSE)</f>
        <v>1</v>
      </c>
      <c r="E20" s="36">
        <f>SUM(E15:E19)</f>
        <v>96394.48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251</v>
      </c>
      <c r="E24" s="91" t="s">
        <v>251</v>
      </c>
      <c r="F24" s="91"/>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352</v>
      </c>
      <c r="E27" s="92" t="s">
        <v>353</v>
      </c>
      <c r="F27" s="92"/>
      <c r="G27" s="92"/>
      <c r="H27" s="92"/>
      <c r="I27" s="92"/>
      <c r="J27" s="92"/>
      <c r="K27" s="247"/>
      <c r="L27" s="248"/>
    </row>
    <row r="28" spans="2:14" ht="156.75" customHeight="1" x14ac:dyDescent="0.2">
      <c r="B28" s="277"/>
      <c r="C28" s="26" t="s">
        <v>36</v>
      </c>
      <c r="D28" s="92" t="s">
        <v>397</v>
      </c>
      <c r="E28" s="92" t="s">
        <v>398</v>
      </c>
      <c r="F28" s="92"/>
      <c r="G28" s="92"/>
      <c r="H28" s="92"/>
      <c r="I28" s="92"/>
      <c r="J28" s="92"/>
      <c r="K28" s="247"/>
      <c r="L28" s="248"/>
    </row>
    <row r="29" spans="2:14" ht="52.5" customHeight="1" x14ac:dyDescent="0.2">
      <c r="B29" s="277"/>
      <c r="C29" s="26" t="s">
        <v>172</v>
      </c>
      <c r="D29" s="92" t="s">
        <v>354</v>
      </c>
      <c r="E29" s="96">
        <v>40561</v>
      </c>
      <c r="F29" s="96"/>
      <c r="G29" s="96"/>
      <c r="H29" s="96"/>
      <c r="I29" s="96"/>
      <c r="J29" s="96"/>
      <c r="K29" s="247"/>
      <c r="L29" s="248"/>
    </row>
    <row r="30" spans="2:14" ht="54.75" customHeight="1" x14ac:dyDescent="0.2">
      <c r="B30" s="277"/>
      <c r="C30" s="26" t="s">
        <v>40</v>
      </c>
      <c r="D30" s="96">
        <v>44938</v>
      </c>
      <c r="E30" s="96">
        <v>41718</v>
      </c>
      <c r="F30" s="96"/>
      <c r="G30" s="96"/>
      <c r="H30" s="96"/>
      <c r="I30" s="96"/>
      <c r="J30" s="96"/>
      <c r="K30" s="247"/>
      <c r="L30" s="248"/>
    </row>
    <row r="31" spans="2:14" ht="41.25" customHeight="1" x14ac:dyDescent="0.2">
      <c r="B31" s="277"/>
      <c r="C31" s="26" t="s">
        <v>37</v>
      </c>
      <c r="D31" s="93">
        <v>2023</v>
      </c>
      <c r="E31" s="93">
        <v>2014</v>
      </c>
      <c r="F31" s="93"/>
      <c r="G31" s="93"/>
      <c r="H31" s="93"/>
      <c r="I31" s="93"/>
      <c r="J31" s="93"/>
      <c r="K31" s="247"/>
      <c r="L31" s="248"/>
    </row>
    <row r="32" spans="2:14" ht="63" customHeight="1" x14ac:dyDescent="0.2">
      <c r="B32" s="277"/>
      <c r="C32" s="26" t="s">
        <v>38</v>
      </c>
      <c r="D32" s="92" t="s">
        <v>355</v>
      </c>
      <c r="E32" s="92" t="s">
        <v>356</v>
      </c>
      <c r="F32" s="92"/>
      <c r="G32" s="92"/>
      <c r="H32" s="92"/>
      <c r="I32" s="92"/>
      <c r="J32" s="92"/>
      <c r="K32" s="247"/>
      <c r="L32" s="248"/>
    </row>
    <row r="33" spans="2:12" ht="46.5" customHeight="1" x14ac:dyDescent="0.2">
      <c r="B33" s="277"/>
      <c r="C33" s="26" t="s">
        <v>39</v>
      </c>
      <c r="D33" s="92" t="s">
        <v>357</v>
      </c>
      <c r="E33" s="92" t="s">
        <v>358</v>
      </c>
      <c r="F33" s="92"/>
      <c r="G33" s="92"/>
      <c r="H33" s="92"/>
      <c r="I33" s="92"/>
      <c r="J33" s="92"/>
      <c r="K33" s="247"/>
      <c r="L33" s="248"/>
    </row>
    <row r="34" spans="2:12" ht="27.75" customHeight="1" x14ac:dyDescent="0.2">
      <c r="B34" s="277"/>
      <c r="C34" s="28" t="s">
        <v>33</v>
      </c>
      <c r="D34" s="97">
        <v>36</v>
      </c>
      <c r="E34" s="97">
        <v>39</v>
      </c>
      <c r="F34" s="97"/>
      <c r="G34" s="98"/>
      <c r="H34" s="98"/>
      <c r="I34" s="98"/>
      <c r="J34" s="98"/>
      <c r="K34" s="247"/>
      <c r="L34" s="248"/>
    </row>
    <row r="35" spans="2:12" ht="102.75" customHeight="1" x14ac:dyDescent="0.2">
      <c r="B35" s="277"/>
      <c r="C35" s="26" t="s">
        <v>118</v>
      </c>
      <c r="D35" s="94">
        <v>4646.76</v>
      </c>
      <c r="E35" s="94">
        <v>91747.72</v>
      </c>
      <c r="F35" s="94"/>
      <c r="G35" s="94"/>
      <c r="H35" s="94"/>
      <c r="I35" s="94"/>
      <c r="J35" s="94"/>
      <c r="K35" s="279"/>
      <c r="L35" s="280"/>
    </row>
    <row r="36" spans="2:12" ht="48" customHeight="1" x14ac:dyDescent="0.2">
      <c r="B36" s="277"/>
      <c r="C36" s="26" t="s">
        <v>74</v>
      </c>
      <c r="D36" s="105">
        <f>IFERROR(D35*VLOOKUP(D31,'DATOS INICIALES'!$A$12:$B$44,2,0),"0")</f>
        <v>5390241600</v>
      </c>
      <c r="E36" s="105">
        <f>IFERROR(E35*VLOOKUP(E31,'DATOS INICIALES'!$A$12:$B$44,2,0),"0")</f>
        <v>56516595520</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1</v>
      </c>
      <c r="E37" s="95">
        <v>1</v>
      </c>
      <c r="F37" s="95"/>
      <c r="G37" s="95"/>
      <c r="H37" s="95"/>
      <c r="I37" s="95"/>
      <c r="J37" s="95"/>
      <c r="K37" s="247"/>
      <c r="L37" s="248"/>
    </row>
    <row r="38" spans="2:12" ht="48.75" customHeight="1" x14ac:dyDescent="0.2">
      <c r="B38" s="277"/>
      <c r="C38" s="26" t="s">
        <v>125</v>
      </c>
      <c r="D38" s="105">
        <f t="shared" ref="D38:J38" si="3">IF(D24="","0",D37*D36)</f>
        <v>5390241600</v>
      </c>
      <c r="E38" s="105">
        <f t="shared" si="3"/>
        <v>56516595520</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4646.76</v>
      </c>
      <c r="E39" s="106">
        <f t="shared" si="4"/>
        <v>91747.72</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77</v>
      </c>
      <c r="E50" s="97" t="s">
        <v>77</v>
      </c>
      <c r="F50" s="97"/>
      <c r="G50" s="97"/>
      <c r="H50" s="97"/>
      <c r="I50" s="97"/>
      <c r="J50" s="98"/>
      <c r="K50" s="247"/>
      <c r="L50" s="248"/>
    </row>
    <row r="51" spans="2:12" ht="24.75" customHeight="1" x14ac:dyDescent="0.2">
      <c r="B51" s="285"/>
      <c r="C51" s="29">
        <f>+'DATOS INICIALES'!D26</f>
        <v>721527</v>
      </c>
      <c r="D51" s="97" t="s">
        <v>77</v>
      </c>
      <c r="E51" s="97" t="s">
        <v>77</v>
      </c>
      <c r="F51" s="97"/>
      <c r="G51" s="97"/>
      <c r="H51" s="97"/>
      <c r="I51" s="97"/>
      <c r="J51" s="98"/>
      <c r="K51" s="247"/>
      <c r="L51" s="248"/>
    </row>
    <row r="52" spans="2:12" ht="24.75" customHeight="1" x14ac:dyDescent="0.2">
      <c r="B52" s="285"/>
      <c r="C52" s="29">
        <f>+'DATOS INICIALES'!D27</f>
        <v>721539</v>
      </c>
      <c r="D52" s="97" t="s">
        <v>75</v>
      </c>
      <c r="E52" s="97" t="s">
        <v>75</v>
      </c>
      <c r="F52" s="97"/>
      <c r="G52" s="97"/>
      <c r="H52" s="97"/>
      <c r="I52" s="97"/>
      <c r="J52" s="98"/>
      <c r="K52" s="247"/>
      <c r="L52" s="248"/>
    </row>
    <row r="53" spans="2:12" ht="24.75" customHeight="1" x14ac:dyDescent="0.2">
      <c r="B53" s="285"/>
      <c r="C53" s="29">
        <f>+'DATOS INICIALES'!D28</f>
        <v>951115</v>
      </c>
      <c r="D53" s="97" t="s">
        <v>77</v>
      </c>
      <c r="E53" s="97" t="s">
        <v>77</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N/A</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N/A</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14</v>
      </c>
      <c r="E67" s="91" t="s">
        <v>14</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1096" priority="2">
      <formula>NOT(ISERROR(D25))</formula>
    </cfRule>
    <cfRule type="containsBlanks" dxfId="1095" priority="1">
      <formula>LEN(TRIM(D25))=0</formula>
    </cfRule>
  </conditionalFormatting>
  <conditionalFormatting sqref="D34:J34">
    <cfRule type="containsBlanks" dxfId="1094" priority="3">
      <formula>LEN(TRIM(D34))=0</formula>
    </cfRule>
    <cfRule type="notContainsErrors" dxfId="1093" priority="4">
      <formula>NOT(ISERROR(D34))</formula>
    </cfRule>
  </conditionalFormatting>
  <conditionalFormatting sqref="D37:J37">
    <cfRule type="notContainsErrors" dxfId="1092" priority="20">
      <formula>NOT(ISERROR(D37))</formula>
    </cfRule>
    <cfRule type="containsBlanks" dxfId="1091" priority="19">
      <formula>LEN(TRIM(D37))=0</formula>
    </cfRule>
  </conditionalFormatting>
  <conditionalFormatting sqref="D40:J40">
    <cfRule type="notContainsErrors" dxfId="1090" priority="18">
      <formula>NOT(ISERROR(D40))</formula>
    </cfRule>
    <cfRule type="containsBlanks" dxfId="1089" priority="17">
      <formula>LEN(TRIM(D40))=0</formula>
    </cfRule>
  </conditionalFormatting>
  <conditionalFormatting sqref="D43:J43 K66:L66">
    <cfRule type="notContainsErrors" dxfId="1088" priority="28">
      <formula>NOT(ISERROR(D43))</formula>
    </cfRule>
    <cfRule type="containsBlanks" dxfId="1087" priority="27">
      <formula>LEN(TRIM(D43))=0</formula>
    </cfRule>
  </conditionalFormatting>
  <conditionalFormatting sqref="D46:J54">
    <cfRule type="containsBlanks" dxfId="1086" priority="15">
      <formula>LEN(TRIM(D46))=0</formula>
    </cfRule>
    <cfRule type="notContainsErrors" dxfId="1085" priority="16">
      <formula>NOT(ISERROR(D46))</formula>
    </cfRule>
    <cfRule type="cellIs" dxfId="1084" priority="13" operator="equal">
      <formula>"NO CUMPLE"</formula>
    </cfRule>
    <cfRule type="cellIs" dxfId="1083" priority="14" operator="equal">
      <formula>"CUMPLE"</formula>
    </cfRule>
  </conditionalFormatting>
  <conditionalFormatting sqref="D55:J55">
    <cfRule type="cellIs" dxfId="1082" priority="38" operator="equal">
      <formula>"NO CUMPLE"</formula>
    </cfRule>
    <cfRule type="cellIs" dxfId="1081" priority="33" operator="equal">
      <formula>"N/A"</formula>
    </cfRule>
    <cfRule type="cellIs" dxfId="1080" priority="39" operator="equal">
      <formula>"""CUMPLE"""</formula>
    </cfRule>
    <cfRule type="cellIs" dxfId="1079" priority="37" operator="equal">
      <formula>"CUMPLE"</formula>
    </cfRule>
  </conditionalFormatting>
  <conditionalFormatting sqref="D56:J65">
    <cfRule type="notContainsErrors" dxfId="1078" priority="12">
      <formula>NOT(ISERROR(D56))</formula>
    </cfRule>
    <cfRule type="containsBlanks" dxfId="1077" priority="11">
      <formula>LEN(TRIM(D56))=0</formula>
    </cfRule>
    <cfRule type="cellIs" dxfId="1076" priority="10" operator="equal">
      <formula>"CUMPLE"</formula>
    </cfRule>
    <cfRule type="cellIs" dxfId="1075" priority="9" operator="equal">
      <formula>"NO CUMPLE"</formula>
    </cfRule>
  </conditionalFormatting>
  <conditionalFormatting sqref="D66:J66">
    <cfRule type="cellIs" dxfId="1074" priority="29" operator="equal">
      <formula>"N/A"</formula>
    </cfRule>
    <cfRule type="cellIs" dxfId="1073" priority="30" operator="equal">
      <formula>"CUMPLE"</formula>
    </cfRule>
    <cfRule type="cellIs" dxfId="1072" priority="31" operator="equal">
      <formula>"NO CUMPLE"</formula>
    </cfRule>
    <cfRule type="cellIs" dxfId="1071" priority="32" operator="equal">
      <formula>"""CUMPLE"""</formula>
    </cfRule>
  </conditionalFormatting>
  <conditionalFormatting sqref="D67:J67">
    <cfRule type="cellIs" dxfId="1070" priority="6" operator="equal">
      <formula>"CUMPLE"</formula>
    </cfRule>
    <cfRule type="cellIs" dxfId="1069" priority="5" operator="equal">
      <formula>"NO CUMPLE"</formula>
    </cfRule>
  </conditionalFormatting>
  <conditionalFormatting sqref="D24:K24">
    <cfRule type="containsBlanks" dxfId="1068" priority="23">
      <formula>LEN(TRIM(D24))=0</formula>
    </cfRule>
    <cfRule type="notContainsErrors" dxfId="1067" priority="24">
      <formula>NOT(ISERROR(D24))</formula>
    </cfRule>
  </conditionalFormatting>
  <conditionalFormatting sqref="D67:K67">
    <cfRule type="notContainsErrors" dxfId="1066" priority="8">
      <formula>NOT(ISERROR(D67))</formula>
    </cfRule>
    <cfRule type="containsBlanks" dxfId="1065" priority="7">
      <formula>LEN(TRIM(D67))=0</formula>
    </cfRule>
  </conditionalFormatting>
  <conditionalFormatting sqref="F20:H20">
    <cfRule type="cellIs" dxfId="1064" priority="45" operator="equal">
      <formula>"""CUMPLE"""</formula>
    </cfRule>
    <cfRule type="cellIs" dxfId="1063" priority="44" operator="equal">
      <formula>"NO CUMPLE"</formula>
    </cfRule>
    <cfRule type="cellIs" dxfId="1062" priority="43" operator="equal">
      <formula>"CUMPLE"</formula>
    </cfRule>
  </conditionalFormatting>
  <conditionalFormatting sqref="I11">
    <cfRule type="containsText" dxfId="1061" priority="49" operator="containsText" text="NO CUMPLE">
      <formula>NOT(ISERROR(SEARCH("NO CUMPLE",I11)))</formula>
    </cfRule>
    <cfRule type="containsText" dxfId="1060" priority="46" operator="containsText" text="INHABILITADO">
      <formula>NOT(ISERROR(SEARCH("INHABILITADO",I11)))</formula>
    </cfRule>
    <cfRule type="containsText" dxfId="1059" priority="47" operator="containsText" text="HABILITADO">
      <formula>NOT(ISERROR(SEARCH("HABILITADO",I11)))</formula>
    </cfRule>
    <cfRule type="containsText" dxfId="1058" priority="48" operator="containsText" text="HABILITADO">
      <formula>NOT(ISERROR(SEARCH("HABILITADO",I11)))</formula>
    </cfRule>
  </conditionalFormatting>
  <conditionalFormatting sqref="K19">
    <cfRule type="cellIs" dxfId="1057" priority="36" operator="equal">
      <formula>"""CUMPLE"""</formula>
    </cfRule>
    <cfRule type="cellIs" dxfId="1056" priority="35" operator="equal">
      <formula>"NO CUMPLE"</formula>
    </cfRule>
    <cfRule type="cellIs" dxfId="1055" priority="34" operator="equal">
      <formula>"CUMPLE"</formula>
    </cfRule>
  </conditionalFormatting>
  <conditionalFormatting sqref="K25:K65">
    <cfRule type="containsBlanks" dxfId="1054" priority="25">
      <formula>LEN(TRIM(K25))=0</formula>
    </cfRule>
    <cfRule type="notContainsErrors" dxfId="1053" priority="26">
      <formula>NOT(ISERROR(K25))</formula>
    </cfRule>
  </conditionalFormatting>
  <conditionalFormatting sqref="L15">
    <cfRule type="cellIs" dxfId="1052" priority="40" operator="equal">
      <formula>"CUMPLE"</formula>
    </cfRule>
    <cfRule type="cellIs" dxfId="1051" priority="41" operator="equal">
      <formula>"NO CUMPLE"</formula>
    </cfRule>
    <cfRule type="cellIs" dxfId="1050" priority="42" operator="equal">
      <formula>"""CUMPLE"""</formula>
    </cfRule>
  </conditionalFormatting>
  <dataValidations count="3">
    <dataValidation type="list" allowBlank="1" showInputMessage="1" showErrorMessage="1" sqref="D67:I67" xr:uid="{B4B845E1-9164-49DB-8DA6-0B97BE4373CA}">
      <formula1>"CUMPLE,NO CUMPLE"</formula1>
    </dataValidation>
    <dataValidation type="list" allowBlank="1" showInputMessage="1" showErrorMessage="1" sqref="D24:J26" xr:uid="{DE302215-96FF-42F9-B6D1-4741B7DAE9BE}">
      <formula1>$C$15:$C$19</formula1>
    </dataValidation>
    <dataValidation type="list" allowBlank="1" showInputMessage="1" showErrorMessage="1" sqref="L58:L66" xr:uid="{A251AE39-749B-4B8D-87CD-CD8AA1BBEEDB}">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FA3B1DD6-E190-4E2D-9D74-59ED62821538}">
          <x14:formula1>
            <xm:f>'DATOS INICIALES'!$A$13:$A$44</xm:f>
          </x14:formula1>
          <xm:sqref>F31:I31</xm:sqref>
        </x14:dataValidation>
        <x14:dataValidation type="list" allowBlank="1" showInputMessage="1" showErrorMessage="1" xr:uid="{771F2C01-4E69-4804-9AAD-FD65C1E9C63D}">
          <x14:formula1>
            <xm:f>'DATOS INICIALES'!$D$22:$D$26</xm:f>
          </x14:formula1>
          <xm:sqref>M47:M55</xm:sqref>
        </x14:dataValidation>
        <x14:dataValidation type="list" allowBlank="1" showInputMessage="1" showErrorMessage="1" xr:uid="{68C2055F-C7AA-4BEB-A21D-1BF4AFA263C2}">
          <x14:formula1>
            <xm:f>'DATOS INICIALES'!$A$57:$A$62</xm:f>
          </x14:formula1>
          <xm:sqref>D23:I23</xm:sqref>
        </x14:dataValidation>
        <x14:dataValidation type="list" allowBlank="1" showInputMessage="1" showErrorMessage="1" xr:uid="{7BCE024F-C86C-4FE0-9683-5E906B15A139}">
          <x14:formula1>
            <xm:f>'DATOS INICIALES'!$A$53:$A$55</xm:f>
          </x14:formula1>
          <xm:sqref>F56:I58 F59:J65 D56:E65 J56:J57 D46:J46</xm:sqref>
        </x14:dataValidation>
        <x14:dataValidation type="list" allowBlank="1" showInputMessage="1" showErrorMessage="1" xr:uid="{470F22F3-18C9-4605-B3E1-0E1526C0DFDA}">
          <x14:formula1>
            <xm:f>'DATOS INICIALES'!$C$48:$C$49</xm:f>
          </x14:formula1>
          <xm:sqref>J47:J52 D47:I54</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6C36B5-D763-4282-8746-E3D29CD27920}">
  <sheetPr>
    <tabColor rgb="FF92D050"/>
  </sheetPr>
  <dimension ref="B1:N82"/>
  <sheetViews>
    <sheetView view="pageBreakPreview" topLeftCell="C1" zoomScale="55" zoomScaleNormal="55" zoomScaleSheetLayoutView="55" workbookViewId="0">
      <pane ySplit="11" topLeftCell="A12" activePane="bottomLeft" state="frozenSplit"/>
      <selection activeCell="C11" sqref="C11:G11"/>
      <selection pane="bottomLeft" activeCell="F18" sqref="F18"/>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6" width="26.1640625" customWidth="1"/>
    <col min="7" max="7" width="33.5" customWidth="1"/>
    <col min="8"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+PROPONENTES!B20</f>
        <v>CONSTRUCTORA CAMACON S.A.S</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CONSTRUCTORA CAMACON SAS</v>
      </c>
      <c r="D15" s="101">
        <f>IF(VLOOKUP(C11,PROPONENTES!B10:N44,3,FALSE)=0,"",VLOOKUP(C11,PROPONENTES!B10:N44,3,FALSE))</f>
        <v>1</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28681.921000000002</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4</v>
      </c>
      <c r="J15" s="264">
        <f>IF(AND(I15&gt;=1,I15&lt;=2),L8,IF(AND(I15&gt;=3,I15&lt;=4),L9,IF(AND(I15&gt;=5,I15&lt;=7),L10)))</f>
        <v>18919.917519692306</v>
      </c>
      <c r="K15" s="264">
        <f>+E20</f>
        <v>28681.921000000002</v>
      </c>
      <c r="L15" s="265" t="str">
        <f>IF(K15&gt;=J15,"CUMPLE","NO CUMPLE")</f>
        <v>CUMPLE</v>
      </c>
    </row>
    <row r="16" spans="2:12" ht="33.75" customHeight="1" x14ac:dyDescent="0.2">
      <c r="B16" s="273"/>
      <c r="C16" s="100" t="str">
        <f>IF(VLOOKUP(C11,PROPONENTES!B10:N44,4,FALSE)=0,"",VLOOKUP(C11,PROPONENTES!B10:N44,4,FALSE))</f>
        <v/>
      </c>
      <c r="D16" s="101" t="str">
        <f>IF(VLOOKUP(C11,PROPONENTES!B10:N44,5,FALSE)=0,"",VLOOKUP(C11,PROPONENTES!B10:N44,5,FALSE))</f>
        <v/>
      </c>
      <c r="E16" s="102" t="str">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
      </c>
      <c r="F16" s="103" t="str">
        <f t="shared" si="1"/>
        <v/>
      </c>
      <c r="G16" s="104" t="str">
        <f t="shared" si="2"/>
        <v/>
      </c>
      <c r="H16" s="104" t="str">
        <f>IF(C16="","",IF(AND(G16="NO APORTA EXPERIENCIA",D16&lt;=10%),"SI",IF(G16="SI","NO APLICA","NO - PORCENTAJE MAYOR AL 10%")))</f>
        <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28681.921000000002</v>
      </c>
      <c r="J19" s="355">
        <f>IF(I15="","",VLOOKUP(I15,$D$76:$E$82,2,FALSE))</f>
        <v>18919.917519692306</v>
      </c>
      <c r="K19" s="249" t="str">
        <f>IF(I19&gt;=J19,"CUMPLE","NO CUMPLE")</f>
        <v>CUMPLE</v>
      </c>
      <c r="L19" s="250"/>
    </row>
    <row r="20" spans="2:14" ht="84.75" customHeight="1" x14ac:dyDescent="0.2">
      <c r="B20" s="31" t="s">
        <v>61</v>
      </c>
      <c r="C20" s="25">
        <f>+VLOOKUP(C11,PROPONENTES!B10:N44,12,FALSE)</f>
        <v>1</v>
      </c>
      <c r="D20" s="101">
        <f>+VLOOKUP(C11,PROPONENTES!B10:N44,13,FALSE)</f>
        <v>1</v>
      </c>
      <c r="E20" s="36">
        <f>SUM(E15:E19)</f>
        <v>28681.921000000002</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253</v>
      </c>
      <c r="E24" s="91" t="s">
        <v>253</v>
      </c>
      <c r="F24" s="91" t="s">
        <v>253</v>
      </c>
      <c r="G24" s="91" t="s">
        <v>253</v>
      </c>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359</v>
      </c>
      <c r="E27" s="92" t="s">
        <v>360</v>
      </c>
      <c r="F27" s="92" t="s">
        <v>361</v>
      </c>
      <c r="G27" s="92" t="s">
        <v>362</v>
      </c>
      <c r="H27" s="92"/>
      <c r="I27" s="92"/>
      <c r="J27" s="92"/>
      <c r="K27" s="247"/>
      <c r="L27" s="248"/>
    </row>
    <row r="28" spans="2:14" ht="156.75" customHeight="1" x14ac:dyDescent="0.2">
      <c r="B28" s="277"/>
      <c r="C28" s="26" t="s">
        <v>36</v>
      </c>
      <c r="D28" s="92" t="s">
        <v>363</v>
      </c>
      <c r="E28" s="92" t="s">
        <v>364</v>
      </c>
      <c r="F28" s="92" t="s">
        <v>365</v>
      </c>
      <c r="G28" s="92" t="s">
        <v>366</v>
      </c>
      <c r="H28" s="92"/>
      <c r="I28" s="92"/>
      <c r="J28" s="92"/>
      <c r="K28" s="247"/>
      <c r="L28" s="248"/>
    </row>
    <row r="29" spans="2:14" ht="52.5" customHeight="1" x14ac:dyDescent="0.2">
      <c r="B29" s="277"/>
      <c r="C29" s="26" t="s">
        <v>172</v>
      </c>
      <c r="D29" s="96">
        <v>43480</v>
      </c>
      <c r="E29" s="96">
        <v>44790</v>
      </c>
      <c r="F29" s="96">
        <v>44389</v>
      </c>
      <c r="G29" s="96">
        <v>43110</v>
      </c>
      <c r="H29" s="96"/>
      <c r="I29" s="96"/>
      <c r="J29" s="96"/>
      <c r="K29" s="247"/>
      <c r="L29" s="248"/>
    </row>
    <row r="30" spans="2:14" ht="54.75" customHeight="1" x14ac:dyDescent="0.2">
      <c r="B30" s="277"/>
      <c r="C30" s="26" t="s">
        <v>40</v>
      </c>
      <c r="D30" s="96">
        <v>44067</v>
      </c>
      <c r="E30" s="96">
        <v>45322</v>
      </c>
      <c r="F30" s="96">
        <v>44834</v>
      </c>
      <c r="G30" s="96">
        <v>43439</v>
      </c>
      <c r="H30" s="96"/>
      <c r="I30" s="96"/>
      <c r="J30" s="96"/>
      <c r="K30" s="247"/>
      <c r="L30" s="248"/>
    </row>
    <row r="31" spans="2:14" ht="41.25" customHeight="1" x14ac:dyDescent="0.2">
      <c r="B31" s="277"/>
      <c r="C31" s="26" t="s">
        <v>37</v>
      </c>
      <c r="D31" s="93">
        <v>2020</v>
      </c>
      <c r="E31" s="93">
        <v>2024</v>
      </c>
      <c r="F31" s="93">
        <v>2022</v>
      </c>
      <c r="G31" s="93">
        <v>2018</v>
      </c>
      <c r="H31" s="93"/>
      <c r="I31" s="93"/>
      <c r="J31" s="93"/>
      <c r="K31" s="247"/>
      <c r="L31" s="248"/>
    </row>
    <row r="32" spans="2:14" ht="63" customHeight="1" x14ac:dyDescent="0.2">
      <c r="B32" s="277"/>
      <c r="C32" s="26" t="s">
        <v>38</v>
      </c>
      <c r="D32" s="92" t="s">
        <v>367</v>
      </c>
      <c r="E32" s="92" t="s">
        <v>367</v>
      </c>
      <c r="F32" s="92" t="s">
        <v>368</v>
      </c>
      <c r="G32" s="92" t="s">
        <v>368</v>
      </c>
      <c r="H32" s="92"/>
      <c r="I32" s="92"/>
      <c r="J32" s="92"/>
      <c r="K32" s="247"/>
      <c r="L32" s="248"/>
    </row>
    <row r="33" spans="2:12" ht="46.5" customHeight="1" x14ac:dyDescent="0.2">
      <c r="B33" s="277"/>
      <c r="C33" s="26" t="s">
        <v>39</v>
      </c>
      <c r="D33" s="92" t="s">
        <v>369</v>
      </c>
      <c r="E33" s="92" t="s">
        <v>370</v>
      </c>
      <c r="F33" s="92" t="s">
        <v>371</v>
      </c>
      <c r="G33" s="92" t="s">
        <v>372</v>
      </c>
      <c r="H33" s="92"/>
      <c r="I33" s="92"/>
      <c r="J33" s="92"/>
      <c r="K33" s="247"/>
      <c r="L33" s="248"/>
    </row>
    <row r="34" spans="2:12" ht="27.75" customHeight="1" x14ac:dyDescent="0.2">
      <c r="B34" s="277"/>
      <c r="C34" s="28" t="s">
        <v>33</v>
      </c>
      <c r="D34" s="97">
        <v>54</v>
      </c>
      <c r="E34" s="97">
        <v>79</v>
      </c>
      <c r="F34" s="97">
        <v>71</v>
      </c>
      <c r="G34" s="98">
        <v>41</v>
      </c>
      <c r="H34" s="98"/>
      <c r="I34" s="98"/>
      <c r="J34" s="98"/>
      <c r="K34" s="247"/>
      <c r="L34" s="248"/>
    </row>
    <row r="35" spans="2:12" ht="102.75" customHeight="1" x14ac:dyDescent="0.2">
      <c r="B35" s="277"/>
      <c r="C35" s="26" t="s">
        <v>118</v>
      </c>
      <c r="D35" s="94">
        <v>29122.35</v>
      </c>
      <c r="E35" s="94">
        <v>7970.82</v>
      </c>
      <c r="F35" s="94">
        <v>9842.9599999999991</v>
      </c>
      <c r="G35" s="94">
        <v>6312.77</v>
      </c>
      <c r="H35" s="94"/>
      <c r="I35" s="94"/>
      <c r="J35" s="94"/>
      <c r="K35" s="279"/>
      <c r="L35" s="280"/>
    </row>
    <row r="36" spans="2:12" ht="48" customHeight="1" x14ac:dyDescent="0.2">
      <c r="B36" s="277"/>
      <c r="C36" s="26" t="s">
        <v>74</v>
      </c>
      <c r="D36" s="105">
        <f>IFERROR(D35*VLOOKUP(D31,'DATOS INICIALES'!$A$12:$B$44,2,0),"0")</f>
        <v>25563686197.049999</v>
      </c>
      <c r="E36" s="105">
        <f>IFERROR(E35*VLOOKUP(E31,'DATOS INICIALES'!$A$12:$B$44,2,0),"0")</f>
        <v>10362066000</v>
      </c>
      <c r="F36" s="105">
        <f>IFERROR(F35*VLOOKUP(F31,'DATOS INICIALES'!$A$12:$B$44,2,0),"0")</f>
        <v>9842960000</v>
      </c>
      <c r="G36" s="105">
        <f>IFERROR(G35*VLOOKUP(G31,'DATOS INICIALES'!$A$12:$B$44,2,0),"0")</f>
        <v>4931801060.3400002</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0.4</v>
      </c>
      <c r="E37" s="95">
        <v>1</v>
      </c>
      <c r="F37" s="95">
        <v>0.6</v>
      </c>
      <c r="G37" s="95">
        <v>0.5</v>
      </c>
      <c r="H37" s="95"/>
      <c r="I37" s="95"/>
      <c r="J37" s="95"/>
      <c r="K37" s="247"/>
      <c r="L37" s="248"/>
    </row>
    <row r="38" spans="2:12" ht="48.75" customHeight="1" x14ac:dyDescent="0.2">
      <c r="B38" s="277"/>
      <c r="C38" s="26" t="s">
        <v>125</v>
      </c>
      <c r="D38" s="105">
        <f t="shared" ref="D38:J38" si="3">IF(D24="","0",D37*D36)</f>
        <v>10225474478.82</v>
      </c>
      <c r="E38" s="105">
        <f t="shared" si="3"/>
        <v>10362066000</v>
      </c>
      <c r="F38" s="105">
        <f t="shared" si="3"/>
        <v>5905776000</v>
      </c>
      <c r="G38" s="105">
        <f t="shared" si="3"/>
        <v>2465900530.1700001</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11648.94</v>
      </c>
      <c r="E39" s="106">
        <f t="shared" si="4"/>
        <v>7970.82</v>
      </c>
      <c r="F39" s="106">
        <f t="shared" si="4"/>
        <v>5905.7759999999989</v>
      </c>
      <c r="G39" s="106">
        <f t="shared" si="4"/>
        <v>3156.3850000000002</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c r="I46" s="91"/>
      <c r="J46" s="91"/>
      <c r="K46" s="247"/>
      <c r="L46" s="248"/>
    </row>
    <row r="47" spans="2:12" ht="24.75" customHeight="1" x14ac:dyDescent="0.2">
      <c r="B47" s="284" t="s">
        <v>34</v>
      </c>
      <c r="C47" s="29">
        <f>+'DATOS INICIALES'!D22</f>
        <v>721033</v>
      </c>
      <c r="D47" s="97" t="s">
        <v>77</v>
      </c>
      <c r="E47" s="97" t="s">
        <v>77</v>
      </c>
      <c r="F47" s="97" t="s">
        <v>77</v>
      </c>
      <c r="G47" s="97" t="s">
        <v>77</v>
      </c>
      <c r="H47" s="97"/>
      <c r="I47" s="97"/>
      <c r="J47" s="98"/>
      <c r="K47" s="247"/>
      <c r="L47" s="248"/>
    </row>
    <row r="48" spans="2:12" ht="24.75" customHeight="1" x14ac:dyDescent="0.2">
      <c r="B48" s="285"/>
      <c r="C48" s="29">
        <f>+'DATOS INICIALES'!D23</f>
        <v>721410</v>
      </c>
      <c r="D48" s="97" t="s">
        <v>77</v>
      </c>
      <c r="E48" s="97" t="s">
        <v>77</v>
      </c>
      <c r="F48" s="97" t="s">
        <v>77</v>
      </c>
      <c r="G48" s="97" t="s">
        <v>77</v>
      </c>
      <c r="H48" s="97"/>
      <c r="I48" s="97"/>
      <c r="J48" s="98"/>
      <c r="K48" s="247"/>
      <c r="L48" s="248"/>
    </row>
    <row r="49" spans="2:12" ht="24.75" customHeight="1" x14ac:dyDescent="0.2">
      <c r="B49" s="285"/>
      <c r="C49" s="29">
        <f>+'DATOS INICIALES'!D24</f>
        <v>721411</v>
      </c>
      <c r="D49" s="97" t="s">
        <v>77</v>
      </c>
      <c r="E49" s="97" t="s">
        <v>77</v>
      </c>
      <c r="F49" s="97" t="s">
        <v>77</v>
      </c>
      <c r="G49" s="97" t="s">
        <v>77</v>
      </c>
      <c r="H49" s="97"/>
      <c r="I49" s="97"/>
      <c r="J49" s="98"/>
      <c r="K49" s="247"/>
      <c r="L49" s="248"/>
    </row>
    <row r="50" spans="2:12" ht="24.75" customHeight="1" x14ac:dyDescent="0.2">
      <c r="B50" s="285"/>
      <c r="C50" s="29">
        <f>+'DATOS INICIALES'!D25</f>
        <v>721416</v>
      </c>
      <c r="D50" s="97" t="s">
        <v>77</v>
      </c>
      <c r="E50" s="97" t="s">
        <v>77</v>
      </c>
      <c r="F50" s="97" t="s">
        <v>77</v>
      </c>
      <c r="G50" s="97" t="s">
        <v>77</v>
      </c>
      <c r="H50" s="97"/>
      <c r="I50" s="97"/>
      <c r="J50" s="98"/>
      <c r="K50" s="247"/>
      <c r="L50" s="248"/>
    </row>
    <row r="51" spans="2:12" ht="24.75" customHeight="1" x14ac:dyDescent="0.2">
      <c r="B51" s="285"/>
      <c r="C51" s="29">
        <f>+'DATOS INICIALES'!D26</f>
        <v>721527</v>
      </c>
      <c r="D51" s="97" t="s">
        <v>77</v>
      </c>
      <c r="E51" s="97" t="s">
        <v>77</v>
      </c>
      <c r="F51" s="97" t="s">
        <v>77</v>
      </c>
      <c r="G51" s="97" t="s">
        <v>77</v>
      </c>
      <c r="H51" s="97"/>
      <c r="I51" s="97"/>
      <c r="J51" s="98"/>
      <c r="K51" s="247"/>
      <c r="L51" s="248"/>
    </row>
    <row r="52" spans="2:12" ht="24.75" customHeight="1" x14ac:dyDescent="0.2">
      <c r="B52" s="285"/>
      <c r="C52" s="29">
        <f>+'DATOS INICIALES'!D27</f>
        <v>721539</v>
      </c>
      <c r="D52" s="97" t="s">
        <v>77</v>
      </c>
      <c r="E52" s="97" t="s">
        <v>77</v>
      </c>
      <c r="F52" s="97" t="s">
        <v>77</v>
      </c>
      <c r="G52" s="97" t="s">
        <v>77</v>
      </c>
      <c r="H52" s="97"/>
      <c r="I52" s="97"/>
      <c r="J52" s="98"/>
      <c r="K52" s="247"/>
      <c r="L52" s="248"/>
    </row>
    <row r="53" spans="2:12" ht="24.75" customHeight="1" x14ac:dyDescent="0.2">
      <c r="B53" s="285"/>
      <c r="C53" s="29">
        <f>+'DATOS INICIALES'!D28</f>
        <v>951115</v>
      </c>
      <c r="D53" s="97" t="s">
        <v>75</v>
      </c>
      <c r="E53" s="97" t="s">
        <v>77</v>
      </c>
      <c r="F53" s="97" t="s">
        <v>77</v>
      </c>
      <c r="G53" s="97" t="s">
        <v>77</v>
      </c>
      <c r="H53" s="97"/>
      <c r="I53" s="97"/>
      <c r="J53" s="97"/>
      <c r="K53" s="247"/>
      <c r="L53" s="248"/>
    </row>
    <row r="54" spans="2:12" ht="24.75" customHeight="1" x14ac:dyDescent="0.2">
      <c r="B54" s="285"/>
      <c r="C54" s="29">
        <f>+'DATOS INICIALES'!D29</f>
        <v>721033</v>
      </c>
      <c r="D54" s="97" t="s">
        <v>77</v>
      </c>
      <c r="E54" s="97" t="s">
        <v>77</v>
      </c>
      <c r="F54" s="97" t="s">
        <v>77</v>
      </c>
      <c r="G54" s="97" t="s">
        <v>77</v>
      </c>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CUMPLE</v>
      </c>
      <c r="G55" s="18" t="str">
        <f t="shared" si="9"/>
        <v>CUMPLE</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t="s">
        <v>13</v>
      </c>
      <c r="G56" s="91" t="s">
        <v>13</v>
      </c>
      <c r="H56" s="91"/>
      <c r="I56" s="91"/>
      <c r="J56" s="91"/>
      <c r="K56" s="257"/>
      <c r="L56" s="258"/>
    </row>
    <row r="57" spans="2:12" ht="103.25" customHeight="1" x14ac:dyDescent="0.2">
      <c r="B57" s="287" t="s">
        <v>190</v>
      </c>
      <c r="C57" s="288"/>
      <c r="D57" s="91" t="s">
        <v>13</v>
      </c>
      <c r="E57" s="91" t="s">
        <v>13</v>
      </c>
      <c r="F57" s="91" t="s">
        <v>13</v>
      </c>
      <c r="G57" s="91" t="s">
        <v>13</v>
      </c>
      <c r="H57" s="91"/>
      <c r="I57" s="91"/>
      <c r="J57" s="91"/>
      <c r="K57" s="257"/>
      <c r="L57" s="258"/>
    </row>
    <row r="58" spans="2:12" ht="72" customHeight="1" x14ac:dyDescent="0.2">
      <c r="B58" s="281" t="s">
        <v>191</v>
      </c>
      <c r="C58" s="282"/>
      <c r="D58" s="91" t="s">
        <v>13</v>
      </c>
      <c r="E58" s="91" t="s">
        <v>13</v>
      </c>
      <c r="F58" s="91" t="s">
        <v>13</v>
      </c>
      <c r="G58" s="91" t="s">
        <v>13</v>
      </c>
      <c r="H58" s="91"/>
      <c r="I58" s="91"/>
      <c r="J58" s="91"/>
      <c r="K58" s="247"/>
      <c r="L58" s="248"/>
    </row>
    <row r="59" spans="2:12" ht="42.5" customHeight="1" x14ac:dyDescent="0.2">
      <c r="B59" s="281" t="s">
        <v>192</v>
      </c>
      <c r="C59" s="282"/>
      <c r="D59" s="91" t="s">
        <v>13</v>
      </c>
      <c r="E59" s="91" t="s">
        <v>13</v>
      </c>
      <c r="F59" s="91" t="s">
        <v>13</v>
      </c>
      <c r="G59" s="91" t="s">
        <v>13</v>
      </c>
      <c r="H59" s="91"/>
      <c r="I59" s="91"/>
      <c r="J59" s="91"/>
      <c r="K59" s="247"/>
      <c r="L59" s="248"/>
    </row>
    <row r="60" spans="2:12" ht="36" customHeight="1" x14ac:dyDescent="0.2">
      <c r="B60" s="281" t="s">
        <v>193</v>
      </c>
      <c r="C60" s="282"/>
      <c r="D60" s="91" t="s">
        <v>13</v>
      </c>
      <c r="E60" s="91" t="s">
        <v>13</v>
      </c>
      <c r="F60" s="91" t="s">
        <v>13</v>
      </c>
      <c r="G60" s="91" t="s">
        <v>13</v>
      </c>
      <c r="H60" s="91"/>
      <c r="I60" s="91"/>
      <c r="J60" s="91"/>
      <c r="K60" s="247"/>
      <c r="L60" s="248"/>
    </row>
    <row r="61" spans="2:12" ht="160.75" customHeight="1" x14ac:dyDescent="0.2">
      <c r="B61" s="281" t="s">
        <v>194</v>
      </c>
      <c r="C61" s="282"/>
      <c r="D61" s="91" t="s">
        <v>13</v>
      </c>
      <c r="E61" s="91" t="s">
        <v>13</v>
      </c>
      <c r="F61" s="91" t="s">
        <v>13</v>
      </c>
      <c r="G61" s="91" t="s">
        <v>13</v>
      </c>
      <c r="H61" s="91"/>
      <c r="I61" s="91"/>
      <c r="J61" s="91"/>
      <c r="K61" s="247"/>
      <c r="L61" s="248"/>
    </row>
    <row r="62" spans="2:12" ht="409.25" customHeight="1" x14ac:dyDescent="0.2">
      <c r="B62" s="261" t="s">
        <v>195</v>
      </c>
      <c r="C62" s="261"/>
      <c r="D62" s="91" t="s">
        <v>13</v>
      </c>
      <c r="E62" s="91" t="s">
        <v>13</v>
      </c>
      <c r="F62" s="91" t="s">
        <v>13</v>
      </c>
      <c r="G62" s="91" t="s">
        <v>13</v>
      </c>
      <c r="H62" s="91"/>
      <c r="I62" s="91"/>
      <c r="J62" s="91"/>
      <c r="K62" s="279"/>
      <c r="L62" s="280"/>
    </row>
    <row r="63" spans="2:12" ht="301.75" customHeight="1" x14ac:dyDescent="0.2">
      <c r="B63" s="262" t="s">
        <v>196</v>
      </c>
      <c r="C63" s="263"/>
      <c r="D63" s="91" t="s">
        <v>13</v>
      </c>
      <c r="E63" s="91" t="s">
        <v>13</v>
      </c>
      <c r="F63" s="91" t="s">
        <v>13</v>
      </c>
      <c r="G63" s="91" t="s">
        <v>13</v>
      </c>
      <c r="H63" s="91"/>
      <c r="I63" s="91"/>
      <c r="J63" s="91"/>
      <c r="K63" s="247"/>
      <c r="L63" s="248"/>
    </row>
    <row r="64" spans="2:12" ht="253.75" customHeight="1" x14ac:dyDescent="0.2">
      <c r="B64" s="283" t="s">
        <v>197</v>
      </c>
      <c r="C64" s="283"/>
      <c r="D64" s="91" t="s">
        <v>13</v>
      </c>
      <c r="E64" s="91" t="s">
        <v>13</v>
      </c>
      <c r="F64" s="91" t="s">
        <v>13</v>
      </c>
      <c r="G64" s="91" t="s">
        <v>13</v>
      </c>
      <c r="H64" s="91"/>
      <c r="I64" s="91"/>
      <c r="J64" s="91"/>
      <c r="K64" s="247"/>
      <c r="L64" s="248"/>
    </row>
    <row r="65" spans="2:12" ht="243.5" customHeight="1" x14ac:dyDescent="0.2">
      <c r="B65" s="261" t="s">
        <v>198</v>
      </c>
      <c r="C65" s="261"/>
      <c r="D65" s="91" t="s">
        <v>13</v>
      </c>
      <c r="E65" s="91" t="s">
        <v>13</v>
      </c>
      <c r="F65" s="91" t="s">
        <v>13</v>
      </c>
      <c r="G65" s="91" t="s">
        <v>13</v>
      </c>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CUMPLE</v>
      </c>
      <c r="G66" s="18" t="str">
        <f t="shared" si="10"/>
        <v>CUMPLE</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t="s">
        <v>13</v>
      </c>
      <c r="G67" s="91" t="s">
        <v>13</v>
      </c>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1049" priority="3">
      <formula>LEN(TRIM(D25))=0</formula>
    </cfRule>
    <cfRule type="notContainsErrors" dxfId="1048" priority="4">
      <formula>NOT(ISERROR(D25))</formula>
    </cfRule>
  </conditionalFormatting>
  <conditionalFormatting sqref="D34:J34">
    <cfRule type="containsBlanks" dxfId="1047" priority="5">
      <formula>LEN(TRIM(D34))=0</formula>
    </cfRule>
    <cfRule type="notContainsErrors" dxfId="1046" priority="6">
      <formula>NOT(ISERROR(D34))</formula>
    </cfRule>
  </conditionalFormatting>
  <conditionalFormatting sqref="D37:J37">
    <cfRule type="notContainsErrors" dxfId="1045" priority="2">
      <formula>NOT(ISERROR(D37))</formula>
    </cfRule>
    <cfRule type="containsBlanks" dxfId="1044" priority="1">
      <formula>LEN(TRIM(D37))=0</formula>
    </cfRule>
  </conditionalFormatting>
  <conditionalFormatting sqref="D40:J40">
    <cfRule type="notContainsErrors" dxfId="1043" priority="20">
      <formula>NOT(ISERROR(D40))</formula>
    </cfRule>
    <cfRule type="containsBlanks" dxfId="1042" priority="19">
      <formula>LEN(TRIM(D40))=0</formula>
    </cfRule>
  </conditionalFormatting>
  <conditionalFormatting sqref="D43:J43 K66:L66">
    <cfRule type="notContainsErrors" dxfId="1041" priority="30">
      <formula>NOT(ISERROR(D43))</formula>
    </cfRule>
    <cfRule type="containsBlanks" dxfId="1040" priority="29">
      <formula>LEN(TRIM(D43))=0</formula>
    </cfRule>
  </conditionalFormatting>
  <conditionalFormatting sqref="D46:J54">
    <cfRule type="cellIs" dxfId="1039" priority="15" operator="equal">
      <formula>"NO CUMPLE"</formula>
    </cfRule>
    <cfRule type="notContainsErrors" dxfId="1038" priority="18">
      <formula>NOT(ISERROR(D46))</formula>
    </cfRule>
    <cfRule type="containsBlanks" dxfId="1037" priority="17">
      <formula>LEN(TRIM(D46))=0</formula>
    </cfRule>
    <cfRule type="cellIs" dxfId="1036" priority="16" operator="equal">
      <formula>"CUMPLE"</formula>
    </cfRule>
  </conditionalFormatting>
  <conditionalFormatting sqref="D55:J55">
    <cfRule type="cellIs" dxfId="1035" priority="40" operator="equal">
      <formula>"NO CUMPLE"</formula>
    </cfRule>
    <cfRule type="cellIs" dxfId="1034" priority="35" operator="equal">
      <formula>"N/A"</formula>
    </cfRule>
    <cfRule type="cellIs" dxfId="1033" priority="41" operator="equal">
      <formula>"""CUMPLE"""</formula>
    </cfRule>
    <cfRule type="cellIs" dxfId="1032" priority="39" operator="equal">
      <formula>"CUMPLE"</formula>
    </cfRule>
  </conditionalFormatting>
  <conditionalFormatting sqref="D56:J65">
    <cfRule type="notContainsErrors" dxfId="1031" priority="14">
      <formula>NOT(ISERROR(D56))</formula>
    </cfRule>
    <cfRule type="containsBlanks" dxfId="1030" priority="13">
      <formula>LEN(TRIM(D56))=0</formula>
    </cfRule>
    <cfRule type="cellIs" dxfId="1029" priority="12" operator="equal">
      <formula>"CUMPLE"</formula>
    </cfRule>
    <cfRule type="cellIs" dxfId="1028" priority="11" operator="equal">
      <formula>"NO CUMPLE"</formula>
    </cfRule>
  </conditionalFormatting>
  <conditionalFormatting sqref="D66:J66">
    <cfRule type="cellIs" dxfId="1027" priority="31" operator="equal">
      <formula>"N/A"</formula>
    </cfRule>
    <cfRule type="cellIs" dxfId="1026" priority="32" operator="equal">
      <formula>"CUMPLE"</formula>
    </cfRule>
    <cfRule type="cellIs" dxfId="1025" priority="33" operator="equal">
      <formula>"NO CUMPLE"</formula>
    </cfRule>
    <cfRule type="cellIs" dxfId="1024" priority="34" operator="equal">
      <formula>"""CUMPLE"""</formula>
    </cfRule>
  </conditionalFormatting>
  <conditionalFormatting sqref="D67:J67">
    <cfRule type="cellIs" dxfId="1023" priority="8" operator="equal">
      <formula>"CUMPLE"</formula>
    </cfRule>
    <cfRule type="cellIs" dxfId="1022" priority="7" operator="equal">
      <formula>"NO CUMPLE"</formula>
    </cfRule>
  </conditionalFormatting>
  <conditionalFormatting sqref="D24:K24">
    <cfRule type="containsBlanks" dxfId="1021" priority="25">
      <formula>LEN(TRIM(D24))=0</formula>
    </cfRule>
    <cfRule type="notContainsErrors" dxfId="1020" priority="26">
      <formula>NOT(ISERROR(D24))</formula>
    </cfRule>
  </conditionalFormatting>
  <conditionalFormatting sqref="D67:K67">
    <cfRule type="notContainsErrors" dxfId="1019" priority="10">
      <formula>NOT(ISERROR(D67))</formula>
    </cfRule>
    <cfRule type="containsBlanks" dxfId="1018" priority="9">
      <formula>LEN(TRIM(D67))=0</formula>
    </cfRule>
  </conditionalFormatting>
  <conditionalFormatting sqref="F20:H20">
    <cfRule type="cellIs" dxfId="1017" priority="47" operator="equal">
      <formula>"""CUMPLE"""</formula>
    </cfRule>
    <cfRule type="cellIs" dxfId="1016" priority="46" operator="equal">
      <formula>"NO CUMPLE"</formula>
    </cfRule>
    <cfRule type="cellIs" dxfId="1015" priority="45" operator="equal">
      <formula>"CUMPLE"</formula>
    </cfRule>
  </conditionalFormatting>
  <conditionalFormatting sqref="I11">
    <cfRule type="containsText" dxfId="1014" priority="51" operator="containsText" text="NO CUMPLE">
      <formula>NOT(ISERROR(SEARCH("NO CUMPLE",I11)))</formula>
    </cfRule>
    <cfRule type="containsText" dxfId="1013" priority="48" operator="containsText" text="INHABILITADO">
      <formula>NOT(ISERROR(SEARCH("INHABILITADO",I11)))</formula>
    </cfRule>
    <cfRule type="containsText" dxfId="1012" priority="49" operator="containsText" text="HABILITADO">
      <formula>NOT(ISERROR(SEARCH("HABILITADO",I11)))</formula>
    </cfRule>
    <cfRule type="containsText" dxfId="1011" priority="50" operator="containsText" text="HABILITADO">
      <formula>NOT(ISERROR(SEARCH("HABILITADO",I11)))</formula>
    </cfRule>
  </conditionalFormatting>
  <conditionalFormatting sqref="K19">
    <cfRule type="cellIs" dxfId="1010" priority="38" operator="equal">
      <formula>"""CUMPLE"""</formula>
    </cfRule>
    <cfRule type="cellIs" dxfId="1009" priority="37" operator="equal">
      <formula>"NO CUMPLE"</formula>
    </cfRule>
    <cfRule type="cellIs" dxfId="1008" priority="36" operator="equal">
      <formula>"CUMPLE"</formula>
    </cfRule>
  </conditionalFormatting>
  <conditionalFormatting sqref="K25:K65">
    <cfRule type="containsBlanks" dxfId="1007" priority="27">
      <formula>LEN(TRIM(K25))=0</formula>
    </cfRule>
    <cfRule type="notContainsErrors" dxfId="1006" priority="28">
      <formula>NOT(ISERROR(K25))</formula>
    </cfRule>
  </conditionalFormatting>
  <conditionalFormatting sqref="L15">
    <cfRule type="cellIs" dxfId="1005" priority="42" operator="equal">
      <formula>"CUMPLE"</formula>
    </cfRule>
    <cfRule type="cellIs" dxfId="1004" priority="43" operator="equal">
      <formula>"NO CUMPLE"</formula>
    </cfRule>
    <cfRule type="cellIs" dxfId="1003" priority="44" operator="equal">
      <formula>"""CUMPLE"""</formula>
    </cfRule>
  </conditionalFormatting>
  <dataValidations count="3">
    <dataValidation type="list" allowBlank="1" showInputMessage="1" showErrorMessage="1" sqref="L58:L66" xr:uid="{C40B0F00-B13E-4358-89C6-728D9CD4A075}">
      <formula1>"0,1,2,3,4,5,6"</formula1>
    </dataValidation>
    <dataValidation type="list" allowBlank="1" showInputMessage="1" showErrorMessage="1" sqref="D24:J26" xr:uid="{6D0EFF88-6ABD-43A4-BCB7-3D88EE28B61C}">
      <formula1>$C$15:$C$19</formula1>
    </dataValidation>
    <dataValidation type="list" allowBlank="1" showInputMessage="1" showErrorMessage="1" sqref="D67:I67" xr:uid="{5ED910B8-C547-44E0-8C97-DB45403475F2}">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EDE9987A-24E1-40F9-97CB-847FE47D833E}">
          <x14:formula1>
            <xm:f>'DATOS INICIALES'!$C$48:$C$49</xm:f>
          </x14:formula1>
          <xm:sqref>J47:J52 D47:I54</xm:sqref>
        </x14:dataValidation>
        <x14:dataValidation type="list" allowBlank="1" showInputMessage="1" showErrorMessage="1" xr:uid="{CE53008F-8AC3-49D0-972E-39F969537CBD}">
          <x14:formula1>
            <xm:f>'DATOS INICIALES'!$A$53:$A$55</xm:f>
          </x14:formula1>
          <xm:sqref>D56:G65 H59:J65 H56:I58 J56:J57 D46:J46</xm:sqref>
        </x14:dataValidation>
        <x14:dataValidation type="list" allowBlank="1" showInputMessage="1" showErrorMessage="1" xr:uid="{7BF52B5A-70F4-46A6-89F8-764FB0481EF8}">
          <x14:formula1>
            <xm:f>'DATOS INICIALES'!$A$57:$A$62</xm:f>
          </x14:formula1>
          <xm:sqref>D23:I23</xm:sqref>
        </x14:dataValidation>
        <x14:dataValidation type="list" allowBlank="1" showInputMessage="1" showErrorMessage="1" xr:uid="{5E9AC971-8938-4AA5-8D20-6003018F9346}">
          <x14:formula1>
            <xm:f>'DATOS INICIALES'!$D$22:$D$26</xm:f>
          </x14:formula1>
          <xm:sqref>M47:M55</xm:sqref>
        </x14:dataValidation>
        <x14:dataValidation type="list" allowBlank="1" showInputMessage="1" showErrorMessage="1" xr:uid="{0FB8B626-CFD7-459D-8363-0FF3CB888EC5}">
          <x14:formula1>
            <xm:f>'DATOS INICIALES'!$A$13:$A$44</xm:f>
          </x14:formula1>
          <xm:sqref>H31:I31</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F4FC3A-6000-423A-820C-A375F02BC60C}">
  <sheetPr>
    <tabColor rgb="FF92D050"/>
  </sheetPr>
  <dimension ref="B1:N82"/>
  <sheetViews>
    <sheetView view="pageBreakPreview" zoomScale="55" zoomScaleNormal="55" zoomScaleSheetLayoutView="55" workbookViewId="0">
      <pane ySplit="11" topLeftCell="A48" activePane="bottomLeft" state="frozenSplit"/>
      <selection activeCell="C11" sqref="C11:G11"/>
      <selection pane="bottomLeft" activeCell="F28" sqref="F28"/>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6" width="44.5" customWidth="1"/>
    <col min="7"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+PROPONENTES!B21</f>
        <v>CONSORCIO LA VICTORIA 2024</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RETIN INGENIERÍA S.A.S.</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13564.795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3</v>
      </c>
      <c r="J15" s="264">
        <f>IF(AND(I15&gt;=1,I15&lt;=2),L8,IF(AND(I15&gt;=3,I15&lt;=4),L9,IF(AND(I15&gt;=5,I15&lt;=7),L10)))</f>
        <v>18919.917519692306</v>
      </c>
      <c r="K15" s="264">
        <f>+E20</f>
        <v>41078.035000000003</v>
      </c>
      <c r="L15" s="265" t="str">
        <f>IF(K15&gt;=J15,"CUMPLE","NO CUMPLE")</f>
        <v>CUMPLE</v>
      </c>
    </row>
    <row r="16" spans="2:12" ht="33.75" customHeight="1" x14ac:dyDescent="0.2">
      <c r="B16" s="273"/>
      <c r="C16" s="100" t="str">
        <f>IF(VLOOKUP(C11,PROPONENTES!B10:N44,4,FALSE)=0,"",VLOOKUP(C11,PROPONENTES!B10:N44,4,FALSE))</f>
        <v>CONSTRUCTORA FG S.A.S.</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27513.24</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41078.035000000003</v>
      </c>
      <c r="J19" s="355">
        <f>IF(I15="","",VLOOKUP(I15,$D$76:$E$82,2,FALSE))</f>
        <v>18919.917519692306</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41078.035000000003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254</v>
      </c>
      <c r="E24" s="91" t="s">
        <v>255</v>
      </c>
      <c r="F24" s="91" t="s">
        <v>254</v>
      </c>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373</v>
      </c>
      <c r="E27" s="92" t="s">
        <v>374</v>
      </c>
      <c r="F27" s="92" t="s">
        <v>375</v>
      </c>
      <c r="G27" s="92"/>
      <c r="H27" s="92"/>
      <c r="I27" s="92"/>
      <c r="J27" s="92"/>
      <c r="K27" s="247"/>
      <c r="L27" s="248"/>
    </row>
    <row r="28" spans="2:14" ht="156.75" customHeight="1" x14ac:dyDescent="0.2">
      <c r="B28" s="277"/>
      <c r="C28" s="26" t="s">
        <v>36</v>
      </c>
      <c r="D28" s="92" t="s">
        <v>376</v>
      </c>
      <c r="E28" s="92" t="s">
        <v>377</v>
      </c>
      <c r="F28" s="92" t="s">
        <v>378</v>
      </c>
      <c r="G28" s="92"/>
      <c r="H28" s="92"/>
      <c r="I28" s="92"/>
      <c r="J28" s="92"/>
      <c r="K28" s="247"/>
      <c r="L28" s="248"/>
    </row>
    <row r="29" spans="2:14" ht="52.5" customHeight="1" x14ac:dyDescent="0.2">
      <c r="B29" s="277"/>
      <c r="C29" s="26" t="s">
        <v>172</v>
      </c>
      <c r="D29" s="96">
        <v>42020</v>
      </c>
      <c r="E29" s="96">
        <v>43249</v>
      </c>
      <c r="F29" s="96">
        <v>44939</v>
      </c>
      <c r="G29" s="96"/>
      <c r="H29" s="96"/>
      <c r="I29" s="96"/>
      <c r="J29" s="96"/>
      <c r="K29" s="247"/>
      <c r="L29" s="248"/>
    </row>
    <row r="30" spans="2:14" ht="54.75" customHeight="1" x14ac:dyDescent="0.2">
      <c r="B30" s="277"/>
      <c r="C30" s="26" t="s">
        <v>40</v>
      </c>
      <c r="D30" s="96">
        <v>42606</v>
      </c>
      <c r="E30" s="96">
        <v>43819</v>
      </c>
      <c r="F30" s="96">
        <v>45211</v>
      </c>
      <c r="G30" s="96"/>
      <c r="H30" s="96"/>
      <c r="I30" s="96"/>
      <c r="J30" s="96"/>
      <c r="K30" s="247"/>
      <c r="L30" s="248"/>
    </row>
    <row r="31" spans="2:14" ht="41.25" customHeight="1" x14ac:dyDescent="0.2">
      <c r="B31" s="277"/>
      <c r="C31" s="26" t="s">
        <v>37</v>
      </c>
      <c r="D31" s="93">
        <v>2016</v>
      </c>
      <c r="E31" s="93">
        <v>2019</v>
      </c>
      <c r="F31" s="93">
        <v>2023</v>
      </c>
      <c r="G31" s="93"/>
      <c r="H31" s="93"/>
      <c r="I31" s="93"/>
      <c r="J31" s="93"/>
      <c r="K31" s="247"/>
      <c r="L31" s="248"/>
    </row>
    <row r="32" spans="2:14" ht="63" customHeight="1" x14ac:dyDescent="0.2">
      <c r="B32" s="277"/>
      <c r="C32" s="26" t="s">
        <v>38</v>
      </c>
      <c r="D32" s="92" t="s">
        <v>379</v>
      </c>
      <c r="E32" s="92" t="s">
        <v>380</v>
      </c>
      <c r="F32" s="92" t="s">
        <v>381</v>
      </c>
      <c r="G32" s="92"/>
      <c r="H32" s="92"/>
      <c r="I32" s="92"/>
      <c r="J32" s="92"/>
      <c r="K32" s="247"/>
      <c r="L32" s="248"/>
    </row>
    <row r="33" spans="2:12" ht="46.5" customHeight="1" x14ac:dyDescent="0.2">
      <c r="B33" s="277"/>
      <c r="C33" s="26" t="s">
        <v>39</v>
      </c>
      <c r="D33" s="92" t="s">
        <v>382</v>
      </c>
      <c r="E33" s="92" t="s">
        <v>383</v>
      </c>
      <c r="F33" s="92" t="s">
        <v>384</v>
      </c>
      <c r="G33" s="92"/>
      <c r="H33" s="92"/>
      <c r="I33" s="92"/>
      <c r="J33" s="92"/>
      <c r="K33" s="247"/>
      <c r="L33" s="248"/>
    </row>
    <row r="34" spans="2:12" ht="27.75" customHeight="1" x14ac:dyDescent="0.2">
      <c r="B34" s="277"/>
      <c r="C34" s="28" t="s">
        <v>33</v>
      </c>
      <c r="D34" s="92" t="s">
        <v>385</v>
      </c>
      <c r="E34" s="92" t="s">
        <v>386</v>
      </c>
      <c r="F34" s="92" t="s">
        <v>387</v>
      </c>
      <c r="G34" s="98"/>
      <c r="H34" s="98"/>
      <c r="I34" s="98"/>
      <c r="J34" s="98"/>
      <c r="K34" s="247"/>
      <c r="L34" s="248"/>
    </row>
    <row r="35" spans="2:12" ht="102.75" customHeight="1" x14ac:dyDescent="0.2">
      <c r="B35" s="277"/>
      <c r="C35" s="26" t="s">
        <v>118</v>
      </c>
      <c r="D35" s="94">
        <v>33965.35</v>
      </c>
      <c r="E35" s="94">
        <v>27513.24</v>
      </c>
      <c r="F35" s="94">
        <v>6750.38</v>
      </c>
      <c r="G35" s="94"/>
      <c r="H35" s="94"/>
      <c r="I35" s="94"/>
      <c r="J35" s="94"/>
      <c r="K35" s="279"/>
      <c r="L35" s="280"/>
    </row>
    <row r="36" spans="2:12" ht="48" customHeight="1" x14ac:dyDescent="0.2">
      <c r="B36" s="277"/>
      <c r="C36" s="26" t="s">
        <v>74</v>
      </c>
      <c r="D36" s="105">
        <f>IFERROR(D35*VLOOKUP(D31,'DATOS INICIALES'!$A$12:$B$44,2,0),"0")</f>
        <v>23417580384.25</v>
      </c>
      <c r="E36" s="105">
        <f>IFERROR(E35*VLOOKUP(E31,'DATOS INICIALES'!$A$12:$B$44,2,0),"0")</f>
        <v>22784154255.84</v>
      </c>
      <c r="F36" s="105">
        <f>IFERROR(F35*VLOOKUP(F31,'DATOS INICIALES'!$A$12:$B$44,2,0),"0")</f>
        <v>7830440800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0.3</v>
      </c>
      <c r="E37" s="95">
        <v>1</v>
      </c>
      <c r="F37" s="95">
        <v>0.5</v>
      </c>
      <c r="G37" s="95"/>
      <c r="H37" s="95"/>
      <c r="I37" s="95"/>
      <c r="J37" s="95"/>
      <c r="K37" s="247"/>
      <c r="L37" s="248"/>
    </row>
    <row r="38" spans="2:12" ht="48.75" customHeight="1" x14ac:dyDescent="0.2">
      <c r="B38" s="277"/>
      <c r="C38" s="26" t="s">
        <v>125</v>
      </c>
      <c r="D38" s="105">
        <f t="shared" ref="D38:J38" si="3">IF(D24="","0",D37*D36)</f>
        <v>7025274115.2749996</v>
      </c>
      <c r="E38" s="105">
        <f t="shared" si="3"/>
        <v>22784154255.84</v>
      </c>
      <c r="F38" s="105">
        <f t="shared" si="3"/>
        <v>3915220400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10189.605</v>
      </c>
      <c r="E39" s="106">
        <f t="shared" si="4"/>
        <v>27513.24</v>
      </c>
      <c r="F39" s="106">
        <f t="shared" si="4"/>
        <v>3375.19</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c r="H46" s="91"/>
      <c r="I46" s="91"/>
      <c r="J46" s="91"/>
      <c r="K46" s="247"/>
      <c r="L46" s="248"/>
    </row>
    <row r="47" spans="2:12" ht="24.75" customHeight="1" x14ac:dyDescent="0.2">
      <c r="B47" s="284" t="s">
        <v>34</v>
      </c>
      <c r="C47" s="29">
        <f>+'DATOS INICIALES'!D22</f>
        <v>721033</v>
      </c>
      <c r="D47" s="97" t="s">
        <v>75</v>
      </c>
      <c r="E47" s="97" t="s">
        <v>77</v>
      </c>
      <c r="F47" s="97" t="s">
        <v>77</v>
      </c>
      <c r="G47" s="97"/>
      <c r="H47" s="97"/>
      <c r="I47" s="97"/>
      <c r="J47" s="98"/>
      <c r="K47" s="247"/>
      <c r="L47" s="248"/>
    </row>
    <row r="48" spans="2:12" ht="24.75" customHeight="1" x14ac:dyDescent="0.2">
      <c r="B48" s="285"/>
      <c r="C48" s="29">
        <f>+'DATOS INICIALES'!D23</f>
        <v>721410</v>
      </c>
      <c r="D48" s="97" t="s">
        <v>75</v>
      </c>
      <c r="E48" s="97" t="s">
        <v>77</v>
      </c>
      <c r="F48" s="97" t="s">
        <v>77</v>
      </c>
      <c r="G48" s="97"/>
      <c r="H48" s="97"/>
      <c r="I48" s="97"/>
      <c r="J48" s="98"/>
      <c r="K48" s="247"/>
      <c r="L48" s="248"/>
    </row>
    <row r="49" spans="2:12" ht="24.75" customHeight="1" x14ac:dyDescent="0.2">
      <c r="B49" s="285"/>
      <c r="C49" s="29">
        <f>+'DATOS INICIALES'!D24</f>
        <v>721411</v>
      </c>
      <c r="D49" s="97" t="s">
        <v>77</v>
      </c>
      <c r="E49" s="97" t="s">
        <v>77</v>
      </c>
      <c r="F49" s="97" t="s">
        <v>77</v>
      </c>
      <c r="G49" s="97"/>
      <c r="H49" s="97"/>
      <c r="I49" s="97"/>
      <c r="J49" s="98"/>
      <c r="K49" s="247"/>
      <c r="L49" s="248"/>
    </row>
    <row r="50" spans="2:12" ht="24.75" customHeight="1" x14ac:dyDescent="0.2">
      <c r="B50" s="285"/>
      <c r="C50" s="29">
        <f>+'DATOS INICIALES'!D25</f>
        <v>721416</v>
      </c>
      <c r="D50" s="97" t="s">
        <v>75</v>
      </c>
      <c r="E50" s="97" t="s">
        <v>77</v>
      </c>
      <c r="F50" s="97" t="s">
        <v>77</v>
      </c>
      <c r="G50" s="97"/>
      <c r="H50" s="97"/>
      <c r="I50" s="97"/>
      <c r="J50" s="98"/>
      <c r="K50" s="247"/>
      <c r="L50" s="248"/>
    </row>
    <row r="51" spans="2:12" ht="24.75" customHeight="1" x14ac:dyDescent="0.2">
      <c r="B51" s="285"/>
      <c r="C51" s="29">
        <f>+'DATOS INICIALES'!D26</f>
        <v>721527</v>
      </c>
      <c r="D51" s="97" t="s">
        <v>75</v>
      </c>
      <c r="E51" s="97" t="s">
        <v>77</v>
      </c>
      <c r="F51" s="97" t="s">
        <v>77</v>
      </c>
      <c r="G51" s="97"/>
      <c r="H51" s="97"/>
      <c r="I51" s="97"/>
      <c r="J51" s="98"/>
      <c r="K51" s="247"/>
      <c r="L51" s="248"/>
    </row>
    <row r="52" spans="2:12" ht="24.75" customHeight="1" x14ac:dyDescent="0.2">
      <c r="B52" s="285"/>
      <c r="C52" s="29">
        <f>+'DATOS INICIALES'!D27</f>
        <v>721539</v>
      </c>
      <c r="D52" s="97" t="s">
        <v>75</v>
      </c>
      <c r="E52" s="97" t="s">
        <v>77</v>
      </c>
      <c r="F52" s="97" t="s">
        <v>77</v>
      </c>
      <c r="G52" s="97"/>
      <c r="H52" s="97"/>
      <c r="I52" s="97"/>
      <c r="J52" s="98"/>
      <c r="K52" s="247"/>
      <c r="L52" s="248"/>
    </row>
    <row r="53" spans="2:12" ht="24.75" customHeight="1" x14ac:dyDescent="0.2">
      <c r="B53" s="285"/>
      <c r="C53" s="29">
        <f>+'DATOS INICIALES'!D28</f>
        <v>951115</v>
      </c>
      <c r="D53" s="97" t="s">
        <v>75</v>
      </c>
      <c r="E53" s="97" t="s">
        <v>77</v>
      </c>
      <c r="F53" s="97" t="s">
        <v>77</v>
      </c>
      <c r="G53" s="97"/>
      <c r="H53" s="97"/>
      <c r="I53" s="97"/>
      <c r="J53" s="97"/>
      <c r="K53" s="247"/>
      <c r="L53" s="248"/>
    </row>
    <row r="54" spans="2:12" ht="24.75" customHeight="1" x14ac:dyDescent="0.2">
      <c r="B54" s="285"/>
      <c r="C54" s="29">
        <f>+'DATOS INICIALES'!D29</f>
        <v>721033</v>
      </c>
      <c r="D54" s="97" t="s">
        <v>75</v>
      </c>
      <c r="E54" s="97" t="s">
        <v>77</v>
      </c>
      <c r="F54" s="97" t="s">
        <v>77</v>
      </c>
      <c r="G54" s="97"/>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CUMPLE</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t="s">
        <v>13</v>
      </c>
      <c r="G56" s="91"/>
      <c r="H56" s="91"/>
      <c r="I56" s="91"/>
      <c r="J56" s="91"/>
      <c r="K56" s="257"/>
      <c r="L56" s="258"/>
    </row>
    <row r="57" spans="2:12" ht="103.25" customHeight="1" x14ac:dyDescent="0.2">
      <c r="B57" s="287" t="s">
        <v>190</v>
      </c>
      <c r="C57" s="288"/>
      <c r="D57" s="91" t="s">
        <v>13</v>
      </c>
      <c r="E57" s="91" t="s">
        <v>13</v>
      </c>
      <c r="F57" s="91" t="s">
        <v>13</v>
      </c>
      <c r="G57" s="91"/>
      <c r="H57" s="91"/>
      <c r="I57" s="91"/>
      <c r="J57" s="91"/>
      <c r="K57" s="257"/>
      <c r="L57" s="258"/>
    </row>
    <row r="58" spans="2:12" ht="72" customHeight="1" x14ac:dyDescent="0.2">
      <c r="B58" s="281" t="s">
        <v>191</v>
      </c>
      <c r="C58" s="282"/>
      <c r="D58" s="91" t="s">
        <v>13</v>
      </c>
      <c r="E58" s="91" t="s">
        <v>13</v>
      </c>
      <c r="F58" s="91" t="s">
        <v>13</v>
      </c>
      <c r="G58" s="91"/>
      <c r="H58" s="91"/>
      <c r="I58" s="91"/>
      <c r="J58" s="91"/>
      <c r="K58" s="247"/>
      <c r="L58" s="248"/>
    </row>
    <row r="59" spans="2:12" ht="42.5" customHeight="1" x14ac:dyDescent="0.2">
      <c r="B59" s="281" t="s">
        <v>192</v>
      </c>
      <c r="C59" s="282"/>
      <c r="D59" s="91" t="s">
        <v>13</v>
      </c>
      <c r="E59" s="91" t="s">
        <v>13</v>
      </c>
      <c r="F59" s="91" t="s">
        <v>13</v>
      </c>
      <c r="G59" s="91"/>
      <c r="H59" s="91"/>
      <c r="I59" s="91"/>
      <c r="J59" s="91"/>
      <c r="K59" s="247"/>
      <c r="L59" s="248"/>
    </row>
    <row r="60" spans="2:12" ht="36" customHeight="1" x14ac:dyDescent="0.2">
      <c r="B60" s="281" t="s">
        <v>193</v>
      </c>
      <c r="C60" s="282"/>
      <c r="D60" s="91" t="s">
        <v>13</v>
      </c>
      <c r="E60" s="91" t="s">
        <v>13</v>
      </c>
      <c r="F60" s="91" t="s">
        <v>13</v>
      </c>
      <c r="G60" s="91"/>
      <c r="H60" s="91"/>
      <c r="I60" s="91"/>
      <c r="J60" s="91"/>
      <c r="K60" s="247"/>
      <c r="L60" s="248"/>
    </row>
    <row r="61" spans="2:12" ht="160.75" customHeight="1" x14ac:dyDescent="0.2">
      <c r="B61" s="281" t="s">
        <v>194</v>
      </c>
      <c r="C61" s="282"/>
      <c r="D61" s="91" t="s">
        <v>13</v>
      </c>
      <c r="E61" s="91" t="s">
        <v>13</v>
      </c>
      <c r="F61" s="91" t="s">
        <v>13</v>
      </c>
      <c r="G61" s="91"/>
      <c r="H61" s="91"/>
      <c r="I61" s="91"/>
      <c r="J61" s="91"/>
      <c r="K61" s="247"/>
      <c r="L61" s="248"/>
    </row>
    <row r="62" spans="2:12" ht="409.25" customHeight="1" x14ac:dyDescent="0.2">
      <c r="B62" s="261" t="s">
        <v>195</v>
      </c>
      <c r="C62" s="261"/>
      <c r="D62" s="91" t="s">
        <v>13</v>
      </c>
      <c r="E62" s="91" t="s">
        <v>13</v>
      </c>
      <c r="F62" s="91" t="s">
        <v>13</v>
      </c>
      <c r="G62" s="91"/>
      <c r="H62" s="91"/>
      <c r="I62" s="91"/>
      <c r="J62" s="91"/>
      <c r="K62" s="279"/>
      <c r="L62" s="280"/>
    </row>
    <row r="63" spans="2:12" ht="301.75" customHeight="1" x14ac:dyDescent="0.2">
      <c r="B63" s="262" t="s">
        <v>196</v>
      </c>
      <c r="C63" s="263"/>
      <c r="D63" s="91" t="s">
        <v>13</v>
      </c>
      <c r="E63" s="91" t="s">
        <v>13</v>
      </c>
      <c r="F63" s="91" t="s">
        <v>13</v>
      </c>
      <c r="G63" s="91"/>
      <c r="H63" s="91"/>
      <c r="I63" s="91"/>
      <c r="J63" s="91"/>
      <c r="K63" s="247"/>
      <c r="L63" s="248"/>
    </row>
    <row r="64" spans="2:12" ht="253.75" customHeight="1" x14ac:dyDescent="0.2">
      <c r="B64" s="283" t="s">
        <v>197</v>
      </c>
      <c r="C64" s="283"/>
      <c r="D64" s="91" t="s">
        <v>13</v>
      </c>
      <c r="E64" s="91" t="s">
        <v>13</v>
      </c>
      <c r="F64" s="91" t="s">
        <v>13</v>
      </c>
      <c r="G64" s="91"/>
      <c r="H64" s="91"/>
      <c r="I64" s="91"/>
      <c r="J64" s="91"/>
      <c r="K64" s="247"/>
      <c r="L64" s="248"/>
    </row>
    <row r="65" spans="2:12" ht="243.5" customHeight="1" x14ac:dyDescent="0.2">
      <c r="B65" s="261" t="s">
        <v>198</v>
      </c>
      <c r="C65" s="261"/>
      <c r="D65" s="91" t="s">
        <v>13</v>
      </c>
      <c r="E65" s="91" t="s">
        <v>13</v>
      </c>
      <c r="F65" s="91" t="s">
        <v>13</v>
      </c>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CUMPLE</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t="s">
        <v>13</v>
      </c>
      <c r="G67" s="91"/>
      <c r="H67" s="91"/>
      <c r="I67" s="91"/>
      <c r="J67" s="91"/>
      <c r="K67" s="247"/>
      <c r="L67" s="248"/>
    </row>
    <row r="74" spans="2:12" ht="16" thickBot="1" x14ac:dyDescent="0.25"/>
    <row r="75" spans="2:12" ht="46"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1002" priority="2">
      <formula>NOT(ISERROR(D25))</formula>
    </cfRule>
    <cfRule type="containsBlanks" dxfId="1001" priority="1">
      <formula>LEN(TRIM(D25))=0</formula>
    </cfRule>
  </conditionalFormatting>
  <conditionalFormatting sqref="D34:J34">
    <cfRule type="containsBlanks" dxfId="1000" priority="3">
      <formula>LEN(TRIM(D34))=0</formula>
    </cfRule>
    <cfRule type="notContainsErrors" dxfId="999" priority="4">
      <formula>NOT(ISERROR(D34))</formula>
    </cfRule>
  </conditionalFormatting>
  <conditionalFormatting sqref="D37:J37">
    <cfRule type="notContainsErrors" dxfId="998" priority="20">
      <formula>NOT(ISERROR(D37))</formula>
    </cfRule>
    <cfRule type="containsBlanks" dxfId="997" priority="19">
      <formula>LEN(TRIM(D37))=0</formula>
    </cfRule>
  </conditionalFormatting>
  <conditionalFormatting sqref="D40:J40">
    <cfRule type="notContainsErrors" dxfId="996" priority="18">
      <formula>NOT(ISERROR(D40))</formula>
    </cfRule>
    <cfRule type="containsBlanks" dxfId="995" priority="17">
      <formula>LEN(TRIM(D40))=0</formula>
    </cfRule>
  </conditionalFormatting>
  <conditionalFormatting sqref="D43:J43 K66:L66">
    <cfRule type="notContainsErrors" dxfId="994" priority="28">
      <formula>NOT(ISERROR(D43))</formula>
    </cfRule>
    <cfRule type="containsBlanks" dxfId="993" priority="27">
      <formula>LEN(TRIM(D43))=0</formula>
    </cfRule>
  </conditionalFormatting>
  <conditionalFormatting sqref="D46:J54">
    <cfRule type="containsBlanks" dxfId="992" priority="15">
      <formula>LEN(TRIM(D46))=0</formula>
    </cfRule>
    <cfRule type="notContainsErrors" dxfId="991" priority="16">
      <formula>NOT(ISERROR(D46))</formula>
    </cfRule>
    <cfRule type="cellIs" dxfId="990" priority="13" operator="equal">
      <formula>"NO CUMPLE"</formula>
    </cfRule>
    <cfRule type="cellIs" dxfId="989" priority="14" operator="equal">
      <formula>"CUMPLE"</formula>
    </cfRule>
  </conditionalFormatting>
  <conditionalFormatting sqref="D55:J55">
    <cfRule type="cellIs" dxfId="988" priority="38" operator="equal">
      <formula>"NO CUMPLE"</formula>
    </cfRule>
    <cfRule type="cellIs" dxfId="987" priority="33" operator="equal">
      <formula>"N/A"</formula>
    </cfRule>
    <cfRule type="cellIs" dxfId="986" priority="39" operator="equal">
      <formula>"""CUMPLE"""</formula>
    </cfRule>
    <cfRule type="cellIs" dxfId="985" priority="37" operator="equal">
      <formula>"CUMPLE"</formula>
    </cfRule>
  </conditionalFormatting>
  <conditionalFormatting sqref="D56:J65">
    <cfRule type="notContainsErrors" dxfId="984" priority="12">
      <formula>NOT(ISERROR(D56))</formula>
    </cfRule>
    <cfRule type="containsBlanks" dxfId="983" priority="11">
      <formula>LEN(TRIM(D56))=0</formula>
    </cfRule>
    <cfRule type="cellIs" dxfId="982" priority="10" operator="equal">
      <formula>"CUMPLE"</formula>
    </cfRule>
    <cfRule type="cellIs" dxfId="981" priority="9" operator="equal">
      <formula>"NO CUMPLE"</formula>
    </cfRule>
  </conditionalFormatting>
  <conditionalFormatting sqref="D66:J66">
    <cfRule type="cellIs" dxfId="980" priority="29" operator="equal">
      <formula>"N/A"</formula>
    </cfRule>
    <cfRule type="cellIs" dxfId="979" priority="30" operator="equal">
      <formula>"CUMPLE"</formula>
    </cfRule>
    <cfRule type="cellIs" dxfId="978" priority="31" operator="equal">
      <formula>"NO CUMPLE"</formula>
    </cfRule>
    <cfRule type="cellIs" dxfId="977" priority="32" operator="equal">
      <formula>"""CUMPLE"""</formula>
    </cfRule>
  </conditionalFormatting>
  <conditionalFormatting sqref="D67:J67">
    <cfRule type="cellIs" dxfId="976" priority="6" operator="equal">
      <formula>"CUMPLE"</formula>
    </cfRule>
    <cfRule type="cellIs" dxfId="975" priority="5" operator="equal">
      <formula>"NO CUMPLE"</formula>
    </cfRule>
  </conditionalFormatting>
  <conditionalFormatting sqref="D24:K24">
    <cfRule type="containsBlanks" dxfId="974" priority="23">
      <formula>LEN(TRIM(D24))=0</formula>
    </cfRule>
    <cfRule type="notContainsErrors" dxfId="973" priority="24">
      <formula>NOT(ISERROR(D24))</formula>
    </cfRule>
  </conditionalFormatting>
  <conditionalFormatting sqref="D67:K67">
    <cfRule type="notContainsErrors" dxfId="972" priority="8">
      <formula>NOT(ISERROR(D67))</formula>
    </cfRule>
    <cfRule type="containsBlanks" dxfId="971" priority="7">
      <formula>LEN(TRIM(D67))=0</formula>
    </cfRule>
  </conditionalFormatting>
  <conditionalFormatting sqref="F20:H20">
    <cfRule type="cellIs" dxfId="970" priority="45" operator="equal">
      <formula>"""CUMPLE"""</formula>
    </cfRule>
    <cfRule type="cellIs" dxfId="969" priority="44" operator="equal">
      <formula>"NO CUMPLE"</formula>
    </cfRule>
    <cfRule type="cellIs" dxfId="968" priority="43" operator="equal">
      <formula>"CUMPLE"</formula>
    </cfRule>
  </conditionalFormatting>
  <conditionalFormatting sqref="I11">
    <cfRule type="containsText" dxfId="967" priority="49" operator="containsText" text="NO CUMPLE">
      <formula>NOT(ISERROR(SEARCH("NO CUMPLE",I11)))</formula>
    </cfRule>
    <cfRule type="containsText" dxfId="966" priority="46" operator="containsText" text="INHABILITADO">
      <formula>NOT(ISERROR(SEARCH("INHABILITADO",I11)))</formula>
    </cfRule>
    <cfRule type="containsText" dxfId="965" priority="47" operator="containsText" text="HABILITADO">
      <formula>NOT(ISERROR(SEARCH("HABILITADO",I11)))</formula>
    </cfRule>
    <cfRule type="containsText" dxfId="964" priority="48" operator="containsText" text="HABILITADO">
      <formula>NOT(ISERROR(SEARCH("HABILITADO",I11)))</formula>
    </cfRule>
  </conditionalFormatting>
  <conditionalFormatting sqref="K19">
    <cfRule type="cellIs" dxfId="963" priority="36" operator="equal">
      <formula>"""CUMPLE"""</formula>
    </cfRule>
    <cfRule type="cellIs" dxfId="962" priority="35" operator="equal">
      <formula>"NO CUMPLE"</formula>
    </cfRule>
    <cfRule type="cellIs" dxfId="961" priority="34" operator="equal">
      <formula>"CUMPLE"</formula>
    </cfRule>
  </conditionalFormatting>
  <conditionalFormatting sqref="K25:K65">
    <cfRule type="containsBlanks" dxfId="960" priority="25">
      <formula>LEN(TRIM(K25))=0</formula>
    </cfRule>
    <cfRule type="notContainsErrors" dxfId="959" priority="26">
      <formula>NOT(ISERROR(K25))</formula>
    </cfRule>
  </conditionalFormatting>
  <conditionalFormatting sqref="L15">
    <cfRule type="cellIs" dxfId="958" priority="40" operator="equal">
      <formula>"CUMPLE"</formula>
    </cfRule>
    <cfRule type="cellIs" dxfId="957" priority="41" operator="equal">
      <formula>"NO CUMPLE"</formula>
    </cfRule>
    <cfRule type="cellIs" dxfId="956" priority="42" operator="equal">
      <formula>"""CUMPLE"""</formula>
    </cfRule>
  </conditionalFormatting>
  <dataValidations count="3">
    <dataValidation type="list" allowBlank="1" showInputMessage="1" showErrorMessage="1" sqref="D67:I67" xr:uid="{59F86A6F-5DA7-444F-BBA8-D8DA4905B116}">
      <formula1>"CUMPLE,NO CUMPLE"</formula1>
    </dataValidation>
    <dataValidation type="list" allowBlank="1" showInputMessage="1" showErrorMessage="1" sqref="D24:J26" xr:uid="{A4EA4627-014C-47B9-89FF-8C84B446392C}">
      <formula1>$C$15:$C$19</formula1>
    </dataValidation>
    <dataValidation type="list" allowBlank="1" showInputMessage="1" showErrorMessage="1" sqref="L58:L66" xr:uid="{6C446353-5326-4647-A8EF-28EEDCA13DE1}">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4E23BFB2-1E61-4648-A908-CADE92321843}">
          <x14:formula1>
            <xm:f>'DATOS INICIALES'!$A$13:$A$44</xm:f>
          </x14:formula1>
          <xm:sqref>G31:I31</xm:sqref>
        </x14:dataValidation>
        <x14:dataValidation type="list" allowBlank="1" showInputMessage="1" showErrorMessage="1" xr:uid="{7B1043AE-31B3-4BEA-8115-A677BE11D138}">
          <x14:formula1>
            <xm:f>'DATOS INICIALES'!$D$22:$D$26</xm:f>
          </x14:formula1>
          <xm:sqref>M47:M55</xm:sqref>
        </x14:dataValidation>
        <x14:dataValidation type="list" allowBlank="1" showInputMessage="1" showErrorMessage="1" xr:uid="{224D25F0-7E6B-4CDA-B851-4AE283B92883}">
          <x14:formula1>
            <xm:f>'DATOS INICIALES'!$A$57:$A$62</xm:f>
          </x14:formula1>
          <xm:sqref>D23:I23</xm:sqref>
        </x14:dataValidation>
        <x14:dataValidation type="list" allowBlank="1" showInputMessage="1" showErrorMessage="1" xr:uid="{963063B5-82F4-49DE-A4E8-929E0067D9C3}">
          <x14:formula1>
            <xm:f>'DATOS INICIALES'!$A$53:$A$55</xm:f>
          </x14:formula1>
          <xm:sqref>D46:J46 G59:J65 G56:I58 J56:J57 D56:F65</xm:sqref>
        </x14:dataValidation>
        <x14:dataValidation type="list" allowBlank="1" showInputMessage="1" showErrorMessage="1" xr:uid="{F5AB4D59-0202-4109-8902-7AAEA3C92C23}">
          <x14:formula1>
            <xm:f>'DATOS INICIALES'!$C$48:$C$49</xm:f>
          </x14:formula1>
          <xm:sqref>J47:J52 D47:I54</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899AE-0010-4C94-814B-74A705F0F5F6}">
  <sheetPr>
    <tabColor rgb="FF92D050"/>
  </sheetPr>
  <dimension ref="B1:N82"/>
  <sheetViews>
    <sheetView view="pageBreakPreview" topLeftCell="B1" zoomScale="55" zoomScaleNormal="55" zoomScaleSheetLayoutView="55" workbookViewId="0">
      <pane ySplit="11" topLeftCell="A12" activePane="bottomLeft" state="frozenSplit"/>
      <selection activeCell="C11" sqref="C11:G11"/>
      <selection pane="bottomLeft" activeCell="E17" sqref="E17"/>
    </sheetView>
  </sheetViews>
  <sheetFormatPr baseColWidth="10" defaultColWidth="11.5" defaultRowHeight="15" x14ac:dyDescent="0.2"/>
  <cols>
    <col min="1" max="1" width="5.5" customWidth="1"/>
    <col min="2" max="2" width="65" customWidth="1"/>
    <col min="3" max="3" width="96.5" customWidth="1"/>
    <col min="4" max="4" width="42.5" customWidth="1"/>
    <col min="5" max="5" width="45.664062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+PROPONENTES!B22</f>
        <v>VIALUSA 2024</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EDC INGENIERIA SAS </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13261.456799999998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28120.4568</v>
      </c>
      <c r="L15" s="265" t="str">
        <f>IF(K15&gt;=J15,"CUMPLE","NO CUMPLE")</f>
        <v>CUMPLE</v>
      </c>
    </row>
    <row r="16" spans="2:12" ht="33.75" customHeight="1" x14ac:dyDescent="0.2">
      <c r="B16" s="273"/>
      <c r="C16" s="100" t="str">
        <f>IF(VLOOKUP(C11,PROPONENTES!B10:N44,4,FALSE)=0,"",VLOOKUP(C11,PROPONENTES!B10:N44,4,FALSE))</f>
        <v>ESTUDIOS E INGENIERIA SAS</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14859</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28120.4568</v>
      </c>
      <c r="J19" s="355">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28120.4568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256</v>
      </c>
      <c r="E24" s="91" t="s">
        <v>257</v>
      </c>
      <c r="F24" s="91"/>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388</v>
      </c>
      <c r="E27" s="92" t="s">
        <v>389</v>
      </c>
      <c r="F27" s="92"/>
      <c r="G27" s="92"/>
      <c r="H27" s="92"/>
      <c r="I27" s="92"/>
      <c r="J27" s="92"/>
      <c r="K27" s="247"/>
      <c r="L27" s="248"/>
    </row>
    <row r="28" spans="2:14" ht="156.75" customHeight="1" x14ac:dyDescent="0.2">
      <c r="B28" s="277"/>
      <c r="C28" s="26" t="s">
        <v>36</v>
      </c>
      <c r="D28" s="92" t="s">
        <v>390</v>
      </c>
      <c r="E28" s="92" t="s">
        <v>391</v>
      </c>
      <c r="F28" s="92"/>
      <c r="G28" s="92"/>
      <c r="H28" s="92"/>
      <c r="I28" s="92"/>
      <c r="J28" s="92"/>
      <c r="K28" s="247"/>
      <c r="L28" s="248"/>
    </row>
    <row r="29" spans="2:14" ht="52.5" customHeight="1" x14ac:dyDescent="0.2">
      <c r="B29" s="277"/>
      <c r="C29" s="26" t="s">
        <v>172</v>
      </c>
      <c r="D29" s="96">
        <v>42725</v>
      </c>
      <c r="E29" s="96">
        <v>43846</v>
      </c>
      <c r="F29" s="96"/>
      <c r="G29" s="96"/>
      <c r="H29" s="96"/>
      <c r="I29" s="96"/>
      <c r="J29" s="96"/>
      <c r="K29" s="247"/>
      <c r="L29" s="248"/>
    </row>
    <row r="30" spans="2:14" ht="54.75" customHeight="1" x14ac:dyDescent="0.2">
      <c r="B30" s="277"/>
      <c r="C30" s="26" t="s">
        <v>40</v>
      </c>
      <c r="D30" s="96">
        <v>43233</v>
      </c>
      <c r="E30" s="96">
        <v>44526</v>
      </c>
      <c r="F30" s="96"/>
      <c r="G30" s="96"/>
      <c r="H30" s="96"/>
      <c r="I30" s="96"/>
      <c r="J30" s="96"/>
      <c r="K30" s="247"/>
      <c r="L30" s="248"/>
    </row>
    <row r="31" spans="2:14" ht="41.25" customHeight="1" x14ac:dyDescent="0.2">
      <c r="B31" s="277"/>
      <c r="C31" s="26" t="s">
        <v>37</v>
      </c>
      <c r="D31" s="93">
        <v>2018</v>
      </c>
      <c r="E31" s="93">
        <v>2021</v>
      </c>
      <c r="F31" s="93"/>
      <c r="G31" s="93"/>
      <c r="H31" s="93"/>
      <c r="I31" s="93"/>
      <c r="J31" s="93"/>
      <c r="K31" s="247"/>
      <c r="L31" s="248"/>
    </row>
    <row r="32" spans="2:14" ht="63" customHeight="1" x14ac:dyDescent="0.2">
      <c r="B32" s="277"/>
      <c r="C32" s="26" t="s">
        <v>38</v>
      </c>
      <c r="D32" s="92" t="s">
        <v>392</v>
      </c>
      <c r="E32" s="92" t="s">
        <v>393</v>
      </c>
      <c r="F32" s="92"/>
      <c r="G32" s="92"/>
      <c r="H32" s="92"/>
      <c r="I32" s="92"/>
      <c r="J32" s="92"/>
      <c r="K32" s="247"/>
      <c r="L32" s="248"/>
    </row>
    <row r="33" spans="2:12" ht="46.5" customHeight="1" x14ac:dyDescent="0.2">
      <c r="B33" s="277"/>
      <c r="C33" s="26" t="s">
        <v>39</v>
      </c>
      <c r="D33" s="92" t="s">
        <v>394</v>
      </c>
      <c r="E33" s="92" t="s">
        <v>395</v>
      </c>
      <c r="F33" s="92"/>
      <c r="G33" s="92"/>
      <c r="H33" s="92"/>
      <c r="I33" s="92"/>
      <c r="J33" s="92"/>
      <c r="K33" s="247"/>
      <c r="L33" s="248"/>
    </row>
    <row r="34" spans="2:12" ht="27.75" customHeight="1" x14ac:dyDescent="0.2">
      <c r="B34" s="277"/>
      <c r="C34" s="28" t="s">
        <v>33</v>
      </c>
      <c r="D34" s="97">
        <v>61</v>
      </c>
      <c r="E34" s="97">
        <v>94</v>
      </c>
      <c r="F34" s="97"/>
      <c r="G34" s="98"/>
      <c r="H34" s="98"/>
      <c r="I34" s="98"/>
      <c r="J34" s="98"/>
      <c r="K34" s="247"/>
      <c r="L34" s="248"/>
    </row>
    <row r="35" spans="2:12" ht="102.75" customHeight="1" x14ac:dyDescent="0.2">
      <c r="B35" s="277"/>
      <c r="C35" s="26" t="s">
        <v>118</v>
      </c>
      <c r="D35" s="94">
        <v>18418.689999999999</v>
      </c>
      <c r="E35" s="94">
        <v>29718</v>
      </c>
      <c r="F35" s="94"/>
      <c r="G35" s="94"/>
      <c r="H35" s="94"/>
      <c r="I35" s="94"/>
      <c r="J35" s="94"/>
      <c r="K35" s="279"/>
      <c r="L35" s="280"/>
    </row>
    <row r="36" spans="2:12" ht="48" customHeight="1" x14ac:dyDescent="0.2">
      <c r="B36" s="277"/>
      <c r="C36" s="26" t="s">
        <v>74</v>
      </c>
      <c r="D36" s="105">
        <f>IFERROR(D35*VLOOKUP(D31,'DATOS INICIALES'!$A$12:$B$44,2,0),"0")</f>
        <v>14389454212.98</v>
      </c>
      <c r="E36" s="105">
        <f>IFERROR(E35*VLOOKUP(E31,'DATOS INICIALES'!$A$12:$B$44,2,0),"0")</f>
        <v>26999575668</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0.72</v>
      </c>
      <c r="E37" s="95">
        <v>0.5</v>
      </c>
      <c r="F37" s="95"/>
      <c r="G37" s="95"/>
      <c r="H37" s="95"/>
      <c r="I37" s="95"/>
      <c r="J37" s="95"/>
      <c r="K37" s="247"/>
      <c r="L37" s="248"/>
    </row>
    <row r="38" spans="2:12" ht="48.75" customHeight="1" x14ac:dyDescent="0.2">
      <c r="B38" s="277"/>
      <c r="C38" s="26" t="s">
        <v>125</v>
      </c>
      <c r="D38" s="105">
        <f t="shared" ref="D38:J38" si="3">IF(D24="","0",D37*D36)</f>
        <v>10360407033.3456</v>
      </c>
      <c r="E38" s="105">
        <f t="shared" si="3"/>
        <v>13499787834</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13261.456799999998</v>
      </c>
      <c r="E39" s="106">
        <f t="shared" si="4"/>
        <v>14859</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77</v>
      </c>
      <c r="E50" s="97" t="s">
        <v>77</v>
      </c>
      <c r="F50" s="97"/>
      <c r="G50" s="97"/>
      <c r="H50" s="97"/>
      <c r="I50" s="97"/>
      <c r="J50" s="98"/>
      <c r="K50" s="247"/>
      <c r="L50" s="248"/>
    </row>
    <row r="51" spans="2:12" ht="24.75" customHeight="1" x14ac:dyDescent="0.2">
      <c r="B51" s="285"/>
      <c r="C51" s="29">
        <f>+'DATOS INICIALES'!D26</f>
        <v>721527</v>
      </c>
      <c r="D51" s="97" t="s">
        <v>77</v>
      </c>
      <c r="E51" s="97" t="s">
        <v>77</v>
      </c>
      <c r="F51" s="97"/>
      <c r="G51" s="97"/>
      <c r="H51" s="97"/>
      <c r="I51" s="97"/>
      <c r="J51" s="98"/>
      <c r="K51" s="247"/>
      <c r="L51" s="248"/>
    </row>
    <row r="52" spans="2:12" ht="24.75" customHeight="1" x14ac:dyDescent="0.2">
      <c r="B52" s="285"/>
      <c r="C52" s="29">
        <f>+'DATOS INICIALES'!D27</f>
        <v>721539</v>
      </c>
      <c r="D52" s="97" t="s">
        <v>77</v>
      </c>
      <c r="E52" s="97" t="s">
        <v>77</v>
      </c>
      <c r="F52" s="97"/>
      <c r="G52" s="97"/>
      <c r="H52" s="97"/>
      <c r="I52" s="97"/>
      <c r="J52" s="98"/>
      <c r="K52" s="247"/>
      <c r="L52" s="248"/>
    </row>
    <row r="53" spans="2:12" ht="24.75" customHeight="1" x14ac:dyDescent="0.2">
      <c r="B53" s="285"/>
      <c r="C53" s="29">
        <f>+'DATOS INICIALES'!D28</f>
        <v>951115</v>
      </c>
      <c r="D53" s="97" t="s">
        <v>77</v>
      </c>
      <c r="E53" s="97" t="s">
        <v>77</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 t="shared" ref="D55:J55" si="9">IF(D24="","N/A",IF(D47="SI","CUMPLE",IF(D48="SI","CUMPLE",IF(D49="SI","CUMPLE",IF(D50="SI","CUMPLE",IF(D51="SI","CUMPLE",IF(D52="SI","CUMPLE",IF(D54="SI","CUMPLE","NO CUMPLE"))))))))</f>
        <v>CUMPLE</v>
      </c>
      <c r="E55" s="18" t="str">
        <f t="shared" si="9"/>
        <v>CUMPLE</v>
      </c>
      <c r="F55" s="18" t="str">
        <f t="shared" si="9"/>
        <v>N/A</v>
      </c>
      <c r="G55" s="18" t="str">
        <f t="shared" si="9"/>
        <v>N/A</v>
      </c>
      <c r="H55" s="18" t="str">
        <f t="shared" si="9"/>
        <v>N/A</v>
      </c>
      <c r="I55" s="18" t="str">
        <f t="shared" si="9"/>
        <v>N/A</v>
      </c>
      <c r="J55" s="18" t="str">
        <f t="shared" si="9"/>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0">IF(F24="","N/A",IF(AND(F46="CUMPLE",F55="CUMPLE",F56="CUMPLE",F57="CUMPLE",F58="CUMPLE",F59="CUMPLE",OR(F61="CUMPLE",F61="N/A"),F62="CUMPLE",OR(F63="CUMPLE",F63="N/A"),F65="CUMPLE",OR(F64="CUMPLE",F64="N/A")),"CUMPLE","NO CUMPLE"))</f>
        <v>N/A</v>
      </c>
      <c r="G66" s="18" t="str">
        <f t="shared" si="10"/>
        <v>N/A</v>
      </c>
      <c r="H66" s="18" t="str">
        <f t="shared" si="10"/>
        <v>N/A</v>
      </c>
      <c r="I66" s="18" t="str">
        <f t="shared" si="10"/>
        <v>N/A</v>
      </c>
      <c r="J66" s="18" t="str">
        <f t="shared" si="10"/>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955" priority="20">
      <formula>NOT(ISERROR(D25))</formula>
    </cfRule>
    <cfRule type="containsBlanks" dxfId="954" priority="19">
      <formula>LEN(TRIM(D25))=0</formula>
    </cfRule>
  </conditionalFormatting>
  <conditionalFormatting sqref="D34:J34 D24:K24">
    <cfRule type="containsBlanks" dxfId="953" priority="21">
      <formula>LEN(TRIM(D24))=0</formula>
    </cfRule>
  </conditionalFormatting>
  <conditionalFormatting sqref="D37:J37">
    <cfRule type="notContainsErrors" dxfId="952" priority="2">
      <formula>NOT(ISERROR(D37))</formula>
    </cfRule>
    <cfRule type="containsBlanks" dxfId="951" priority="1">
      <formula>LEN(TRIM(D37))=0</formula>
    </cfRule>
  </conditionalFormatting>
  <conditionalFormatting sqref="D40:J40">
    <cfRule type="containsBlanks" dxfId="950" priority="15">
      <formula>LEN(TRIM(D40))=0</formula>
    </cfRule>
    <cfRule type="notContainsErrors" dxfId="949" priority="16">
      <formula>NOT(ISERROR(D40))</formula>
    </cfRule>
  </conditionalFormatting>
  <conditionalFormatting sqref="D43:J43 K66:L66">
    <cfRule type="containsBlanks" dxfId="948" priority="25">
      <formula>LEN(TRIM(D43))=0</formula>
    </cfRule>
    <cfRule type="notContainsErrors" dxfId="947" priority="26">
      <formula>NOT(ISERROR(D43))</formula>
    </cfRule>
  </conditionalFormatting>
  <conditionalFormatting sqref="D46:J54">
    <cfRule type="cellIs" dxfId="946" priority="11" operator="equal">
      <formula>"NO CUMPLE"</formula>
    </cfRule>
    <cfRule type="cellIs" dxfId="945" priority="12" operator="equal">
      <formula>"CUMPLE"</formula>
    </cfRule>
    <cfRule type="containsBlanks" dxfId="944" priority="13">
      <formula>LEN(TRIM(D46))=0</formula>
    </cfRule>
    <cfRule type="notContainsErrors" dxfId="943" priority="14">
      <formula>NOT(ISERROR(D46))</formula>
    </cfRule>
  </conditionalFormatting>
  <conditionalFormatting sqref="D55:J55">
    <cfRule type="cellIs" dxfId="942" priority="37" operator="equal">
      <formula>"""CUMPLE"""</formula>
    </cfRule>
    <cfRule type="cellIs" dxfId="941" priority="36" operator="equal">
      <formula>"NO CUMPLE"</formula>
    </cfRule>
    <cfRule type="cellIs" dxfId="940" priority="35" operator="equal">
      <formula>"CUMPLE"</formula>
    </cfRule>
    <cfRule type="cellIs" dxfId="939" priority="31" operator="equal">
      <formula>"N/A"</formula>
    </cfRule>
  </conditionalFormatting>
  <conditionalFormatting sqref="D56:J65">
    <cfRule type="notContainsErrors" dxfId="938" priority="10">
      <formula>NOT(ISERROR(D56))</formula>
    </cfRule>
    <cfRule type="cellIs" dxfId="937" priority="8" operator="equal">
      <formula>"CUMPLE"</formula>
    </cfRule>
    <cfRule type="cellIs" dxfId="936" priority="7" operator="equal">
      <formula>"NO CUMPLE"</formula>
    </cfRule>
    <cfRule type="containsBlanks" dxfId="935" priority="9">
      <formula>LEN(TRIM(D56))=0</formula>
    </cfRule>
  </conditionalFormatting>
  <conditionalFormatting sqref="D66:J66">
    <cfRule type="cellIs" dxfId="934" priority="29" operator="equal">
      <formula>"NO CUMPLE"</formula>
    </cfRule>
    <cfRule type="cellIs" dxfId="933" priority="27" operator="equal">
      <formula>"N/A"</formula>
    </cfRule>
    <cfRule type="cellIs" dxfId="932" priority="28" operator="equal">
      <formula>"CUMPLE"</formula>
    </cfRule>
    <cfRule type="cellIs" dxfId="931" priority="30" operator="equal">
      <formula>"""CUMPLE"""</formula>
    </cfRule>
  </conditionalFormatting>
  <conditionalFormatting sqref="D67:J67">
    <cfRule type="cellIs" dxfId="930" priority="3" operator="equal">
      <formula>"NO CUMPLE"</formula>
    </cfRule>
    <cfRule type="cellIs" dxfId="929" priority="4" operator="equal">
      <formula>"CUMPLE"</formula>
    </cfRule>
  </conditionalFormatting>
  <conditionalFormatting sqref="D24:K24 D34:J34">
    <cfRule type="notContainsErrors" dxfId="928" priority="22">
      <formula>NOT(ISERROR(D24))</formula>
    </cfRule>
  </conditionalFormatting>
  <conditionalFormatting sqref="D67:K67">
    <cfRule type="containsBlanks" dxfId="927" priority="5">
      <formula>LEN(TRIM(D67))=0</formula>
    </cfRule>
    <cfRule type="notContainsErrors" dxfId="926" priority="6">
      <formula>NOT(ISERROR(D67))</formula>
    </cfRule>
  </conditionalFormatting>
  <conditionalFormatting sqref="F20:H20">
    <cfRule type="cellIs" dxfId="925" priority="41" operator="equal">
      <formula>"CUMPLE"</formula>
    </cfRule>
    <cfRule type="cellIs" dxfId="924" priority="42" operator="equal">
      <formula>"NO CUMPLE"</formula>
    </cfRule>
    <cfRule type="cellIs" dxfId="923" priority="43" operator="equal">
      <formula>"""CUMPLE"""</formula>
    </cfRule>
  </conditionalFormatting>
  <conditionalFormatting sqref="I11">
    <cfRule type="containsText" dxfId="922" priority="44" operator="containsText" text="INHABILITADO">
      <formula>NOT(ISERROR(SEARCH("INHABILITADO",I11)))</formula>
    </cfRule>
    <cfRule type="containsText" dxfId="921" priority="45" operator="containsText" text="HABILITADO">
      <formula>NOT(ISERROR(SEARCH("HABILITADO",I11)))</formula>
    </cfRule>
    <cfRule type="containsText" dxfId="920" priority="46" operator="containsText" text="HABILITADO">
      <formula>NOT(ISERROR(SEARCH("HABILITADO",I11)))</formula>
    </cfRule>
    <cfRule type="containsText" dxfId="919" priority="47" operator="containsText" text="NO CUMPLE">
      <formula>NOT(ISERROR(SEARCH("NO CUMPLE",I11)))</formula>
    </cfRule>
  </conditionalFormatting>
  <conditionalFormatting sqref="K19">
    <cfRule type="cellIs" dxfId="918" priority="32" operator="equal">
      <formula>"CUMPLE"</formula>
    </cfRule>
    <cfRule type="cellIs" dxfId="917" priority="33" operator="equal">
      <formula>"NO CUMPLE"</formula>
    </cfRule>
    <cfRule type="cellIs" dxfId="916" priority="34" operator="equal">
      <formula>"""CUMPLE"""</formula>
    </cfRule>
  </conditionalFormatting>
  <conditionalFormatting sqref="K25:K65">
    <cfRule type="notContainsErrors" dxfId="915" priority="24">
      <formula>NOT(ISERROR(K25))</formula>
    </cfRule>
    <cfRule type="containsBlanks" dxfId="914" priority="23">
      <formula>LEN(TRIM(K25))=0</formula>
    </cfRule>
  </conditionalFormatting>
  <conditionalFormatting sqref="L15">
    <cfRule type="cellIs" dxfId="913" priority="38" operator="equal">
      <formula>"CUMPLE"</formula>
    </cfRule>
    <cfRule type="cellIs" dxfId="912" priority="39" operator="equal">
      <formula>"NO CUMPLE"</formula>
    </cfRule>
    <cfRule type="cellIs" dxfId="911" priority="40" operator="equal">
      <formula>"""CUMPLE"""</formula>
    </cfRule>
  </conditionalFormatting>
  <dataValidations count="3">
    <dataValidation type="list" allowBlank="1" showInputMessage="1" showErrorMessage="1" sqref="L58:L66" xr:uid="{851698FE-3E55-46F7-9863-5E6F322F6D72}">
      <formula1>"0,1,2,3,4,5,6"</formula1>
    </dataValidation>
    <dataValidation type="list" allowBlank="1" showInputMessage="1" showErrorMessage="1" sqref="D24:J26" xr:uid="{C0EA78CA-0F2D-4B5B-86CB-B81852ABC93E}">
      <formula1>$C$15:$C$19</formula1>
    </dataValidation>
    <dataValidation type="list" allowBlank="1" showInputMessage="1" showErrorMessage="1" sqref="D67:I67" xr:uid="{ADA74126-6774-4FCB-BDF4-7F46B837C547}">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6A9594CC-EA77-4EB5-91E3-8E9C5C55D477}">
          <x14:formula1>
            <xm:f>'DATOS INICIALES'!$C$48:$C$49</xm:f>
          </x14:formula1>
          <xm:sqref>J47:J52 D47:I54</xm:sqref>
        </x14:dataValidation>
        <x14:dataValidation type="list" allowBlank="1" showInputMessage="1" showErrorMessage="1" xr:uid="{8105F14C-3167-4330-9DF5-223B819187A4}">
          <x14:formula1>
            <xm:f>'DATOS INICIALES'!$A$53:$A$55</xm:f>
          </x14:formula1>
          <xm:sqref>D56:E65 F59:J65 F56:I58 J56:J57 D46:J46</xm:sqref>
        </x14:dataValidation>
        <x14:dataValidation type="list" allowBlank="1" showInputMessage="1" showErrorMessage="1" xr:uid="{099F4EA6-ACAB-4A5B-838F-F957238C6F23}">
          <x14:formula1>
            <xm:f>'DATOS INICIALES'!$A$57:$A$62</xm:f>
          </x14:formula1>
          <xm:sqref>D23:I23</xm:sqref>
        </x14:dataValidation>
        <x14:dataValidation type="list" allowBlank="1" showInputMessage="1" showErrorMessage="1" xr:uid="{89ED7667-61C3-4012-8F6C-873465732197}">
          <x14:formula1>
            <xm:f>'DATOS INICIALES'!$D$22:$D$26</xm:f>
          </x14:formula1>
          <xm:sqref>M47:M55</xm:sqref>
        </x14:dataValidation>
        <x14:dataValidation type="list" allowBlank="1" showInputMessage="1" showErrorMessage="1" xr:uid="{8043D929-E952-4EE1-9E20-BF1EA6AB3AA4}">
          <x14:formula1>
            <xm:f>'DATOS INICIALES'!$A$13:$A$44</xm:f>
          </x14:formula1>
          <xm:sqref>D31:I31</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12EDB-0252-4D1A-8B67-7479C648B195}">
  <sheetPr>
    <tabColor rgb="FF92D050"/>
  </sheetPr>
  <dimension ref="B1:N82"/>
  <sheetViews>
    <sheetView view="pageBreakPreview" zoomScale="40" zoomScaleNormal="55" zoomScaleSheetLayoutView="40" workbookViewId="0">
      <pane ySplit="11" topLeftCell="A12" activePane="bottomLeft" state="frozenSplit"/>
      <selection activeCell="C11" sqref="C11:G11"/>
      <selection pane="bottomLeft" activeCell="E26" sqref="E26"/>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+PROPONENTES!B23</f>
        <v>14 CONSORCIO VIAL USAQUEN</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INGENIERIA VERTICAL ING S.A.S.</v>
      </c>
      <c r="D15" s="101">
        <f>IF(VLOOKUP(C11,PROPONENTES!B10:N44,3,FALSE)=0,"",VLOOKUP(C11,PROPONENTES!B10:N44,3,FALSE))</f>
        <v>0.9</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52946.724999999999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52946.724999999999</v>
      </c>
      <c r="L15" s="265" t="str">
        <f>IF(K15&gt;=J15,"CUMPLE","NO CUMPLE")</f>
        <v>CUMPLE</v>
      </c>
    </row>
    <row r="16" spans="2:12" ht="33.75" customHeight="1" x14ac:dyDescent="0.2">
      <c r="B16" s="273"/>
      <c r="C16" s="100" t="str">
        <f>IF(VLOOKUP(C11,PROPONENTES!B10:N44,4,FALSE)=0,"",VLOOKUP(C11,PROPONENTES!B10:N44,4,FALSE))</f>
        <v>REDES VIALES Y CONSTRUCCIONES S.A.S.</v>
      </c>
      <c r="D16" s="101">
        <f>IF(VLOOKUP(C11,PROPONENTES!B10:N44,5,FALSE)=0,"",VLOOKUP(C11,PROPONENTES!B10:N44,5,FALSE))</f>
        <v>0.1</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0</v>
      </c>
      <c r="F16" s="103" t="str">
        <f t="shared" si="1"/>
        <v>NO</v>
      </c>
      <c r="G16" s="104" t="str">
        <f t="shared" si="2"/>
        <v>NO APORTA EXPERIENCIA</v>
      </c>
      <c r="H16" s="104" t="str">
        <f>IF(C16="","",IF(AND(G16="NO APORTA EXPERIENCIA",D16&lt;=10%),"SI",IF(G16="SI","NO APLICA","NO - PORCENTAJE MAYOR AL 10%")))</f>
        <v>SI</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52946.724999999999</v>
      </c>
      <c r="J19" s="355">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52946.724999999999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258</v>
      </c>
      <c r="E24" s="91" t="s">
        <v>258</v>
      </c>
      <c r="F24" s="91"/>
      <c r="G24" s="91"/>
      <c r="H24" s="91"/>
      <c r="I24" s="91"/>
      <c r="J24" s="91"/>
      <c r="K24" s="247"/>
      <c r="L24" s="248"/>
    </row>
    <row r="25" spans="2:14" ht="39.75" customHeight="1" x14ac:dyDescent="0.2">
      <c r="B25" s="259" t="s">
        <v>116</v>
      </c>
      <c r="C25" s="260"/>
      <c r="D25" s="91" t="s">
        <v>481</v>
      </c>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482</v>
      </c>
      <c r="E27" s="92" t="s">
        <v>483</v>
      </c>
      <c r="F27" s="92"/>
      <c r="G27" s="92"/>
      <c r="H27" s="92"/>
      <c r="I27" s="92"/>
      <c r="J27" s="92"/>
      <c r="K27" s="247"/>
      <c r="L27" s="248"/>
    </row>
    <row r="28" spans="2:14" ht="156.75" customHeight="1" x14ac:dyDescent="0.2">
      <c r="B28" s="277"/>
      <c r="C28" s="26" t="s">
        <v>36</v>
      </c>
      <c r="D28" s="92" t="s">
        <v>484</v>
      </c>
      <c r="E28" s="92" t="s">
        <v>485</v>
      </c>
      <c r="F28" s="92"/>
      <c r="G28" s="92"/>
      <c r="H28" s="92"/>
      <c r="I28" s="92"/>
      <c r="J28" s="92"/>
      <c r="K28" s="247"/>
      <c r="L28" s="248"/>
    </row>
    <row r="29" spans="2:14" ht="52.5" customHeight="1" x14ac:dyDescent="0.2">
      <c r="B29" s="277"/>
      <c r="C29" s="26" t="s">
        <v>172</v>
      </c>
      <c r="D29" s="96">
        <v>43720</v>
      </c>
      <c r="E29" s="96">
        <v>41912</v>
      </c>
      <c r="F29" s="96"/>
      <c r="G29" s="96"/>
      <c r="H29" s="96"/>
      <c r="I29" s="96"/>
      <c r="J29" s="96"/>
      <c r="K29" s="247"/>
      <c r="L29" s="248"/>
    </row>
    <row r="30" spans="2:14" ht="54.75" customHeight="1" x14ac:dyDescent="0.2">
      <c r="B30" s="277"/>
      <c r="C30" s="26" t="s">
        <v>40</v>
      </c>
      <c r="D30" s="96">
        <v>43902</v>
      </c>
      <c r="E30" s="96">
        <v>42627</v>
      </c>
      <c r="F30" s="96"/>
      <c r="G30" s="96"/>
      <c r="H30" s="96"/>
      <c r="I30" s="96"/>
      <c r="J30" s="96"/>
      <c r="K30" s="247"/>
      <c r="L30" s="248"/>
    </row>
    <row r="31" spans="2:14" ht="41.25" customHeight="1" x14ac:dyDescent="0.2">
      <c r="B31" s="277"/>
      <c r="C31" s="26" t="s">
        <v>37</v>
      </c>
      <c r="D31" s="93">
        <v>2020</v>
      </c>
      <c r="E31" s="93">
        <v>2016</v>
      </c>
      <c r="F31" s="93"/>
      <c r="G31" s="93"/>
      <c r="H31" s="93"/>
      <c r="I31" s="93"/>
      <c r="J31" s="93"/>
      <c r="K31" s="247"/>
      <c r="L31" s="248"/>
    </row>
    <row r="32" spans="2:14" ht="63" customHeight="1" x14ac:dyDescent="0.2">
      <c r="B32" s="277"/>
      <c r="C32" s="26" t="s">
        <v>38</v>
      </c>
      <c r="D32" s="92" t="s">
        <v>486</v>
      </c>
      <c r="E32" s="92" t="s">
        <v>487</v>
      </c>
      <c r="F32" s="92"/>
      <c r="G32" s="92"/>
      <c r="H32" s="92"/>
      <c r="I32" s="92"/>
      <c r="J32" s="92"/>
      <c r="K32" s="247"/>
      <c r="L32" s="248"/>
    </row>
    <row r="33" spans="2:12" ht="46.5" customHeight="1" x14ac:dyDescent="0.2">
      <c r="B33" s="277"/>
      <c r="C33" s="26" t="s">
        <v>39</v>
      </c>
      <c r="D33" s="92" t="s">
        <v>488</v>
      </c>
      <c r="E33" s="92" t="s">
        <v>489</v>
      </c>
      <c r="F33" s="92"/>
      <c r="G33" s="92"/>
      <c r="H33" s="92"/>
      <c r="I33" s="92"/>
      <c r="J33" s="92"/>
      <c r="K33" s="247"/>
      <c r="L33" s="248"/>
    </row>
    <row r="34" spans="2:12" ht="27.75" customHeight="1" x14ac:dyDescent="0.2">
      <c r="B34" s="277"/>
      <c r="C34" s="28" t="s">
        <v>33</v>
      </c>
      <c r="D34" s="97">
        <v>24</v>
      </c>
      <c r="E34" s="97">
        <v>35</v>
      </c>
      <c r="F34" s="97"/>
      <c r="G34" s="98"/>
      <c r="H34" s="98"/>
      <c r="I34" s="98"/>
      <c r="J34" s="98"/>
      <c r="K34" s="247"/>
      <c r="L34" s="248"/>
    </row>
    <row r="35" spans="2:12" ht="102.75" customHeight="1" x14ac:dyDescent="0.2">
      <c r="B35" s="277"/>
      <c r="C35" s="26" t="s">
        <v>118</v>
      </c>
      <c r="D35" s="94">
        <v>12719.15</v>
      </c>
      <c r="E35" s="94">
        <v>77645.25</v>
      </c>
      <c r="F35" s="94"/>
      <c r="G35" s="94"/>
      <c r="H35" s="94"/>
      <c r="I35" s="94"/>
      <c r="J35" s="94"/>
      <c r="K35" s="279"/>
      <c r="L35" s="280"/>
    </row>
    <row r="36" spans="2:12" ht="48" customHeight="1" x14ac:dyDescent="0.2">
      <c r="B36" s="277"/>
      <c r="C36" s="26" t="s">
        <v>74</v>
      </c>
      <c r="D36" s="105">
        <f>IFERROR(D35*VLOOKUP(D31,'DATOS INICIALES'!$A$12:$B$44,2,0),"0")</f>
        <v>11164908027.449999</v>
      </c>
      <c r="E36" s="105">
        <f>IFERROR(E35*VLOOKUP(E31,'DATOS INICIALES'!$A$12:$B$44,2,0),"0")</f>
        <v>53532905838.75</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0.5</v>
      </c>
      <c r="E37" s="95">
        <v>0.6</v>
      </c>
      <c r="F37" s="95"/>
      <c r="G37" s="95"/>
      <c r="H37" s="95"/>
      <c r="I37" s="95"/>
      <c r="J37" s="95"/>
      <c r="K37" s="247"/>
      <c r="L37" s="248"/>
    </row>
    <row r="38" spans="2:12" ht="48.75" customHeight="1" x14ac:dyDescent="0.2">
      <c r="B38" s="277"/>
      <c r="C38" s="26" t="s">
        <v>125</v>
      </c>
      <c r="D38" s="105">
        <f t="shared" ref="D38:J38" si="3">IF(D24="","0",D37*D36)</f>
        <v>5582454013.7249994</v>
      </c>
      <c r="E38" s="105">
        <f t="shared" si="3"/>
        <v>32119743503.25</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6359.5749999999998</v>
      </c>
      <c r="E39" s="106">
        <f t="shared" si="4"/>
        <v>46587.15</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77</v>
      </c>
      <c r="E50" s="97" t="s">
        <v>77</v>
      </c>
      <c r="F50" s="97"/>
      <c r="G50" s="97"/>
      <c r="H50" s="97"/>
      <c r="I50" s="97"/>
      <c r="J50" s="98"/>
      <c r="K50" s="247"/>
      <c r="L50" s="248"/>
    </row>
    <row r="51" spans="2:12" ht="24.75" customHeight="1" x14ac:dyDescent="0.2">
      <c r="B51" s="285"/>
      <c r="C51" s="29">
        <f>+'DATOS INICIALES'!D26</f>
        <v>721527</v>
      </c>
      <c r="D51" s="97" t="s">
        <v>77</v>
      </c>
      <c r="E51" s="97" t="s">
        <v>77</v>
      </c>
      <c r="F51" s="97"/>
      <c r="G51" s="97"/>
      <c r="H51" s="97"/>
      <c r="I51" s="97"/>
      <c r="J51" s="98"/>
      <c r="K51" s="247"/>
      <c r="L51" s="248"/>
    </row>
    <row r="52" spans="2:12" ht="24.75" customHeight="1" x14ac:dyDescent="0.2">
      <c r="B52" s="285"/>
      <c r="C52" s="29">
        <f>+'DATOS INICIALES'!D27</f>
        <v>721539</v>
      </c>
      <c r="D52" s="97" t="s">
        <v>77</v>
      </c>
      <c r="E52" s="97" t="s">
        <v>77</v>
      </c>
      <c r="F52" s="97"/>
      <c r="G52" s="97"/>
      <c r="H52" s="97"/>
      <c r="I52" s="97"/>
      <c r="J52" s="98"/>
      <c r="K52" s="247"/>
      <c r="L52" s="248"/>
    </row>
    <row r="53" spans="2:12" ht="24.75" customHeight="1" x14ac:dyDescent="0.2">
      <c r="B53" s="285"/>
      <c r="C53" s="29">
        <f>+'DATOS INICIALES'!D28</f>
        <v>951115</v>
      </c>
      <c r="D53" s="97" t="s">
        <v>77</v>
      </c>
      <c r="E53" s="97" t="s">
        <v>77</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 t="shared" ref="D55:E55" si="9">IF(D24="","N/A",IF(D47="SI","CUMPLE",IF(D48="SI","CUMPLE",IF(D49="SI","CUMPLE",IF(D50="SI","CUMPLE",IF(D51="SI","CUMPLE",IF(D52="SI","CUMPLE",IF(D54="SI","CUMPLE","NO CUMPLE"))))))))</f>
        <v>CUMPLE</v>
      </c>
      <c r="E55" s="18" t="str">
        <f t="shared" si="9"/>
        <v>CUMPLE</v>
      </c>
      <c r="F55" s="18" t="str">
        <f t="shared" ref="F55:J55" si="10">IF(F24="","N/A",IF(F47="SI","CUMPLE",IF(F48="SI","CUMPLE",IF(F49="SI","CUMPLE",IF(F50="SI","CUMPLE",IF(F51="SI","CUMPLE",IF(F52="SI","CUMPLE",IF(F54="SI","CUMPLE","NO CUMPLE"))))))))</f>
        <v>N/A</v>
      </c>
      <c r="G55" s="18" t="str">
        <f t="shared" si="10"/>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1">IF(F24="","N/A",IF(AND(F46="CUMPLE",F55="CUMPLE",F56="CUMPLE",F57="CUMPLE",F58="CUMPLE",F59="CUMPLE",OR(F61="CUMPLE",F61="N/A"),F62="CUMPLE",OR(F63="CUMPLE",F63="N/A"),F65="CUMPLE",OR(F64="CUMPLE",F64="N/A")),"CUMPLE","NO CUMPLE"))</f>
        <v>N/A</v>
      </c>
      <c r="G66" s="18" t="str">
        <f t="shared" si="11"/>
        <v>N/A</v>
      </c>
      <c r="H66" s="18" t="str">
        <f t="shared" si="11"/>
        <v>N/A</v>
      </c>
      <c r="I66" s="18" t="str">
        <f t="shared" si="11"/>
        <v>N/A</v>
      </c>
      <c r="J66" s="18" t="str">
        <f t="shared" si="11"/>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910" priority="24">
      <formula>NOT(ISERROR(D25))</formula>
    </cfRule>
    <cfRule type="containsBlanks" dxfId="909" priority="23">
      <formula>LEN(TRIM(D25))=0</formula>
    </cfRule>
  </conditionalFormatting>
  <conditionalFormatting sqref="D34:J34 D24:K24">
    <cfRule type="containsBlanks" dxfId="908" priority="25">
      <formula>LEN(TRIM(D24))=0</formula>
    </cfRule>
  </conditionalFormatting>
  <conditionalFormatting sqref="D37:J37">
    <cfRule type="notContainsErrors" dxfId="907" priority="22">
      <formula>NOT(ISERROR(D37))</formula>
    </cfRule>
    <cfRule type="containsBlanks" dxfId="906" priority="21">
      <formula>LEN(TRIM(D37))=0</formula>
    </cfRule>
  </conditionalFormatting>
  <conditionalFormatting sqref="D40:J40">
    <cfRule type="containsBlanks" dxfId="905" priority="39">
      <formula>LEN(TRIM(D40))=0</formula>
    </cfRule>
    <cfRule type="notContainsErrors" dxfId="904" priority="40">
      <formula>NOT(ISERROR(D40))</formula>
    </cfRule>
  </conditionalFormatting>
  <conditionalFormatting sqref="D43:J43 K66:L66">
    <cfRule type="containsBlanks" dxfId="903" priority="49">
      <formula>LEN(TRIM(D43))=0</formula>
    </cfRule>
    <cfRule type="notContainsErrors" dxfId="902" priority="50">
      <formula>NOT(ISERROR(D43))</formula>
    </cfRule>
  </conditionalFormatting>
  <conditionalFormatting sqref="D46:J54">
    <cfRule type="cellIs" dxfId="901" priority="9" operator="equal">
      <formula>"NO CUMPLE"</formula>
    </cfRule>
    <cfRule type="cellIs" dxfId="900" priority="10" operator="equal">
      <formula>"CUMPLE"</formula>
    </cfRule>
    <cfRule type="containsBlanks" dxfId="899" priority="11">
      <formula>LEN(TRIM(D46))=0</formula>
    </cfRule>
    <cfRule type="notContainsErrors" dxfId="898" priority="12">
      <formula>NOT(ISERROR(D46))</formula>
    </cfRule>
  </conditionalFormatting>
  <conditionalFormatting sqref="D55:J55">
    <cfRule type="cellIs" dxfId="897" priority="17" operator="equal">
      <formula>"N/A"</formula>
    </cfRule>
    <cfRule type="cellIs" dxfId="896" priority="18" operator="equal">
      <formula>"CUMPLE"</formula>
    </cfRule>
    <cfRule type="cellIs" dxfId="895" priority="19" operator="equal">
      <formula>"NO CUMPLE"</formula>
    </cfRule>
    <cfRule type="cellIs" dxfId="894" priority="20" operator="equal">
      <formula>"""CUMPLE"""</formula>
    </cfRule>
  </conditionalFormatting>
  <conditionalFormatting sqref="D56:J65">
    <cfRule type="containsBlanks" dxfId="893" priority="7">
      <formula>LEN(TRIM(D56))=0</formula>
    </cfRule>
    <cfRule type="notContainsErrors" dxfId="892" priority="8">
      <formula>NOT(ISERROR(D56))</formula>
    </cfRule>
    <cfRule type="cellIs" dxfId="891" priority="6" operator="equal">
      <formula>"CUMPLE"</formula>
    </cfRule>
    <cfRule type="cellIs" dxfId="890" priority="5" operator="equal">
      <formula>"NO CUMPLE"</formula>
    </cfRule>
  </conditionalFormatting>
  <conditionalFormatting sqref="D66:J66">
    <cfRule type="cellIs" dxfId="889" priority="14" operator="equal">
      <formula>"CUMPLE"</formula>
    </cfRule>
    <cfRule type="cellIs" dxfId="888" priority="15" operator="equal">
      <formula>"NO CUMPLE"</formula>
    </cfRule>
    <cfRule type="cellIs" dxfId="887" priority="16" operator="equal">
      <formula>"""CUMPLE"""</formula>
    </cfRule>
    <cfRule type="cellIs" dxfId="886" priority="13" operator="equal">
      <formula>"N/A"</formula>
    </cfRule>
  </conditionalFormatting>
  <conditionalFormatting sqref="D67:J67">
    <cfRule type="cellIs" dxfId="885" priority="1" operator="equal">
      <formula>"NO CUMPLE"</formula>
    </cfRule>
    <cfRule type="cellIs" dxfId="884" priority="2" operator="equal">
      <formula>"CUMPLE"</formula>
    </cfRule>
  </conditionalFormatting>
  <conditionalFormatting sqref="D24:K24 D34:J34">
    <cfRule type="notContainsErrors" dxfId="883" priority="26">
      <formula>NOT(ISERROR(D24))</formula>
    </cfRule>
  </conditionalFormatting>
  <conditionalFormatting sqref="D67:K67">
    <cfRule type="notContainsErrors" dxfId="882" priority="4">
      <formula>NOT(ISERROR(D67))</formula>
    </cfRule>
    <cfRule type="containsBlanks" dxfId="881" priority="3">
      <formula>LEN(TRIM(D67))=0</formula>
    </cfRule>
  </conditionalFormatting>
  <conditionalFormatting sqref="F20:H20">
    <cfRule type="cellIs" dxfId="880" priority="65" operator="equal">
      <formula>"CUMPLE"</formula>
    </cfRule>
    <cfRule type="cellIs" dxfId="879" priority="66" operator="equal">
      <formula>"NO CUMPLE"</formula>
    </cfRule>
    <cfRule type="cellIs" dxfId="878" priority="67" operator="equal">
      <formula>"""CUMPLE"""</formula>
    </cfRule>
  </conditionalFormatting>
  <conditionalFormatting sqref="I11">
    <cfRule type="containsText" dxfId="877" priority="68" operator="containsText" text="INHABILITADO">
      <formula>NOT(ISERROR(SEARCH("INHABILITADO",I11)))</formula>
    </cfRule>
    <cfRule type="containsText" dxfId="876" priority="69" operator="containsText" text="HABILITADO">
      <formula>NOT(ISERROR(SEARCH("HABILITADO",I11)))</formula>
    </cfRule>
    <cfRule type="containsText" dxfId="875" priority="70" operator="containsText" text="HABILITADO">
      <formula>NOT(ISERROR(SEARCH("HABILITADO",I11)))</formula>
    </cfRule>
    <cfRule type="containsText" dxfId="874" priority="71" operator="containsText" text="NO CUMPLE">
      <formula>NOT(ISERROR(SEARCH("NO CUMPLE",I11)))</formula>
    </cfRule>
  </conditionalFormatting>
  <conditionalFormatting sqref="K19">
    <cfRule type="cellIs" dxfId="873" priority="56" operator="equal">
      <formula>"CUMPLE"</formula>
    </cfRule>
    <cfRule type="cellIs" dxfId="872" priority="57" operator="equal">
      <formula>"NO CUMPLE"</formula>
    </cfRule>
    <cfRule type="cellIs" dxfId="871" priority="58" operator="equal">
      <formula>"""CUMPLE"""</formula>
    </cfRule>
  </conditionalFormatting>
  <conditionalFormatting sqref="K25:K65">
    <cfRule type="containsBlanks" dxfId="870" priority="47">
      <formula>LEN(TRIM(K25))=0</formula>
    </cfRule>
    <cfRule type="notContainsErrors" dxfId="869" priority="48">
      <formula>NOT(ISERROR(K25))</formula>
    </cfRule>
  </conditionalFormatting>
  <conditionalFormatting sqref="L15">
    <cfRule type="cellIs" dxfId="868" priority="62" operator="equal">
      <formula>"CUMPLE"</formula>
    </cfRule>
    <cfRule type="cellIs" dxfId="867" priority="63" operator="equal">
      <formula>"NO CUMPLE"</formula>
    </cfRule>
    <cfRule type="cellIs" dxfId="866" priority="64" operator="equal">
      <formula>"""CUMPLE"""</formula>
    </cfRule>
  </conditionalFormatting>
  <dataValidations count="3">
    <dataValidation type="list" allowBlank="1" showInputMessage="1" showErrorMessage="1" sqref="F67:I67" xr:uid="{5BC86B63-1310-46EA-BE61-5EF757E2F5F0}">
      <formula1>"CUMPLE,NO CUMPLE"</formula1>
    </dataValidation>
    <dataValidation type="list" allowBlank="1" showInputMessage="1" showErrorMessage="1" sqref="D24:J26" xr:uid="{65946993-56E2-4501-A231-C956A4302961}">
      <formula1>$C$15:$C$19</formula1>
    </dataValidation>
    <dataValidation type="list" allowBlank="1" showInputMessage="1" showErrorMessage="1" sqref="L58:L66" xr:uid="{9FA9DEFE-97CD-495F-99E8-12915F4901C7}">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CF725A58-D113-40B3-8512-FB83BE880F20}">
          <x14:formula1>
            <xm:f>'DATOS INICIALES'!$A$13:$A$44</xm:f>
          </x14:formula1>
          <xm:sqref>F31:I31</xm:sqref>
        </x14:dataValidation>
        <x14:dataValidation type="list" allowBlank="1" showInputMessage="1" showErrorMessage="1" xr:uid="{D1D1C3E5-1E4A-4CF1-89F8-30946C8A98C6}">
          <x14:formula1>
            <xm:f>'DATOS INICIALES'!$D$22:$D$26</xm:f>
          </x14:formula1>
          <xm:sqref>M47:M55</xm:sqref>
        </x14:dataValidation>
        <x14:dataValidation type="list" allowBlank="1" showInputMessage="1" showErrorMessage="1" xr:uid="{ECE4C735-4793-4390-BC66-4A45794456E2}">
          <x14:formula1>
            <xm:f>'DATOS INICIALES'!$A$57:$A$62</xm:f>
          </x14:formula1>
          <xm:sqref>D23:I23</xm:sqref>
        </x14:dataValidation>
        <x14:dataValidation type="list" allowBlank="1" showInputMessage="1" showErrorMessage="1" xr:uid="{8108913A-FA76-46AE-B206-C4827F3F6095}">
          <x14:formula1>
            <xm:f>'DATOS INICIALES'!$A$53:$A$55</xm:f>
          </x14:formula1>
          <xm:sqref>F59:J65 F46:J46 J56:J57 F56:I58</xm:sqref>
        </x14:dataValidation>
        <x14:dataValidation type="list" allowBlank="1" showInputMessage="1" showErrorMessage="1" xr:uid="{0912B6A1-8F34-426C-A877-CDFFDE51123C}">
          <x14:formula1>
            <xm:f>'DATOS INICIALES'!$C$48:$C$49</xm:f>
          </x14:formula1>
          <xm:sqref>J47:J52 F47:I54</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280FB-9854-4822-BC59-AEBC75F5A116}">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E18" sqref="E18"/>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+PROPONENTES!B24</f>
        <v>CONSORCIO ZINFRA</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AZ CIVIL </v>
      </c>
      <c r="D15" s="101">
        <f>IF(VLOOKUP(C11,PROPONENTES!B10:N44,3,FALSE)=0,"",VLOOKUP(C11,PROPONENTES!B10:N44,3,FALSE))</f>
        <v>0.9</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3962.4050000000002</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32262.972999999998</v>
      </c>
      <c r="L15" s="265" t="str">
        <f>IF(K15&gt;=J15,"CUMPLE","NO CUMPLE")</f>
        <v>CUMPLE</v>
      </c>
    </row>
    <row r="16" spans="2:12" ht="33.75" customHeight="1" x14ac:dyDescent="0.2">
      <c r="B16" s="273"/>
      <c r="C16" s="100" t="str">
        <f>IF(VLOOKUP(C11,PROPONENTES!B10:N44,4,FALSE)=0,"",VLOOKUP(C11,PROPONENTES!B10:N44,4,FALSE))</f>
        <v>INFRAESTRUCTURAS DE COLOMBIA S.A.S.</v>
      </c>
      <c r="D16" s="101">
        <f>IF(VLOOKUP(C11,PROPONENTES!B10:N44,5,FALSE)=0,"",VLOOKUP(C11,PROPONENTES!B10:N44,5,FALSE))</f>
        <v>0.1</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28300.567999999999</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32262.972999999998</v>
      </c>
      <c r="J19" s="355">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32262.972999999998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261</v>
      </c>
      <c r="E24" s="91" t="s">
        <v>260</v>
      </c>
      <c r="F24" s="91"/>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490</v>
      </c>
      <c r="E27" s="92" t="s">
        <v>491</v>
      </c>
      <c r="F27" s="92"/>
      <c r="G27" s="92"/>
      <c r="H27" s="92"/>
      <c r="I27" s="92"/>
      <c r="J27" s="92"/>
      <c r="K27" s="247"/>
      <c r="L27" s="248"/>
    </row>
    <row r="28" spans="2:14" ht="156.75" customHeight="1" x14ac:dyDescent="0.2">
      <c r="B28" s="277"/>
      <c r="C28" s="26" t="s">
        <v>36</v>
      </c>
      <c r="D28" s="92" t="s">
        <v>492</v>
      </c>
      <c r="E28" s="92" t="s">
        <v>493</v>
      </c>
      <c r="F28" s="92"/>
      <c r="G28" s="92"/>
      <c r="H28" s="92"/>
      <c r="I28" s="92"/>
      <c r="J28" s="92"/>
      <c r="K28" s="247"/>
      <c r="L28" s="248"/>
    </row>
    <row r="29" spans="2:14" ht="52.5" customHeight="1" x14ac:dyDescent="0.2">
      <c r="B29" s="277"/>
      <c r="C29" s="26" t="s">
        <v>172</v>
      </c>
      <c r="D29" s="96">
        <v>41533</v>
      </c>
      <c r="E29" s="96">
        <v>45051</v>
      </c>
      <c r="F29" s="96"/>
      <c r="G29" s="96"/>
      <c r="H29" s="96"/>
      <c r="I29" s="96"/>
      <c r="J29" s="96"/>
      <c r="K29" s="247"/>
      <c r="L29" s="248"/>
    </row>
    <row r="30" spans="2:14" ht="54.75" customHeight="1" x14ac:dyDescent="0.2">
      <c r="B30" s="277"/>
      <c r="C30" s="26" t="s">
        <v>40</v>
      </c>
      <c r="D30" s="96">
        <v>42369</v>
      </c>
      <c r="E30" s="96">
        <v>45291</v>
      </c>
      <c r="F30" s="96"/>
      <c r="G30" s="96"/>
      <c r="H30" s="96"/>
      <c r="I30" s="96"/>
      <c r="J30" s="96"/>
      <c r="K30" s="247"/>
      <c r="L30" s="248"/>
    </row>
    <row r="31" spans="2:14" ht="41.25" customHeight="1" x14ac:dyDescent="0.2">
      <c r="B31" s="277"/>
      <c r="C31" s="26" t="s">
        <v>37</v>
      </c>
      <c r="D31" s="93">
        <v>2015</v>
      </c>
      <c r="E31" s="93">
        <v>2023</v>
      </c>
      <c r="F31" s="93"/>
      <c r="G31" s="93"/>
      <c r="H31" s="93"/>
      <c r="I31" s="93"/>
      <c r="J31" s="93"/>
      <c r="K31" s="247"/>
      <c r="L31" s="248"/>
    </row>
    <row r="32" spans="2:14" ht="63" customHeight="1" x14ac:dyDescent="0.2">
      <c r="B32" s="277"/>
      <c r="C32" s="26" t="s">
        <v>38</v>
      </c>
      <c r="D32" s="92" t="s">
        <v>494</v>
      </c>
      <c r="E32" s="92" t="s">
        <v>495</v>
      </c>
      <c r="F32" s="92"/>
      <c r="G32" s="92"/>
      <c r="H32" s="92"/>
      <c r="I32" s="92"/>
      <c r="J32" s="92"/>
      <c r="K32" s="247"/>
      <c r="L32" s="248"/>
    </row>
    <row r="33" spans="2:12" ht="46.5" customHeight="1" x14ac:dyDescent="0.2">
      <c r="B33" s="277"/>
      <c r="C33" s="26" t="s">
        <v>39</v>
      </c>
      <c r="D33" s="92" t="s">
        <v>496</v>
      </c>
      <c r="E33" s="92" t="s">
        <v>497</v>
      </c>
      <c r="F33" s="92"/>
      <c r="G33" s="92"/>
      <c r="H33" s="92"/>
      <c r="I33" s="92"/>
      <c r="J33" s="92"/>
      <c r="K33" s="247"/>
      <c r="L33" s="248"/>
    </row>
    <row r="34" spans="2:12" ht="27.75" customHeight="1" x14ac:dyDescent="0.2">
      <c r="B34" s="277"/>
      <c r="C34" s="28" t="s">
        <v>33</v>
      </c>
      <c r="D34" s="97">
        <v>3</v>
      </c>
      <c r="E34" s="97">
        <v>19</v>
      </c>
      <c r="F34" s="97"/>
      <c r="G34" s="98"/>
      <c r="H34" s="98"/>
      <c r="I34" s="98"/>
      <c r="J34" s="98"/>
      <c r="K34" s="247"/>
      <c r="L34" s="248"/>
    </row>
    <row r="35" spans="2:12" ht="102.75" customHeight="1" x14ac:dyDescent="0.2">
      <c r="B35" s="277"/>
      <c r="C35" s="26" t="s">
        <v>118</v>
      </c>
      <c r="D35" s="94">
        <v>70751.42</v>
      </c>
      <c r="E35" s="94">
        <v>7924.81</v>
      </c>
      <c r="F35" s="94"/>
      <c r="G35" s="94"/>
      <c r="H35" s="94"/>
      <c r="I35" s="94"/>
      <c r="J35" s="94"/>
      <c r="K35" s="279"/>
      <c r="L35" s="280"/>
    </row>
    <row r="36" spans="2:12" ht="48" customHeight="1" x14ac:dyDescent="0.2">
      <c r="B36" s="277"/>
      <c r="C36" s="26" t="s">
        <v>74</v>
      </c>
      <c r="D36" s="105">
        <f>IFERROR(D35*VLOOKUP(D31,'DATOS INICIALES'!$A$12:$B$44,2,0),"0")</f>
        <v>45588677477</v>
      </c>
      <c r="E36" s="105">
        <f>IFERROR(E35*VLOOKUP(E31,'DATOS INICIALES'!$A$12:$B$44,2,0),"0")</f>
        <v>9192779600</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0.4</v>
      </c>
      <c r="E37" s="95">
        <v>0.5</v>
      </c>
      <c r="F37" s="95"/>
      <c r="G37" s="95"/>
      <c r="H37" s="95"/>
      <c r="I37" s="95"/>
      <c r="J37" s="95"/>
      <c r="K37" s="247"/>
      <c r="L37" s="248"/>
    </row>
    <row r="38" spans="2:12" ht="48.75" customHeight="1" x14ac:dyDescent="0.2">
      <c r="B38" s="277"/>
      <c r="C38" s="26" t="s">
        <v>125</v>
      </c>
      <c r="D38" s="105">
        <f t="shared" ref="D38:J38" si="3">IF(D24="","0",D37*D36)</f>
        <v>18235470990.799999</v>
      </c>
      <c r="E38" s="105">
        <f t="shared" si="3"/>
        <v>4596389800</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28300.567999999999</v>
      </c>
      <c r="E39" s="106">
        <f t="shared" si="4"/>
        <v>3962.4050000000002</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75</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75</v>
      </c>
      <c r="E49" s="97" t="s">
        <v>75</v>
      </c>
      <c r="F49" s="97"/>
      <c r="G49" s="97"/>
      <c r="H49" s="97"/>
      <c r="I49" s="97"/>
      <c r="J49" s="98"/>
      <c r="K49" s="247"/>
      <c r="L49" s="248"/>
    </row>
    <row r="50" spans="2:12" ht="24.75" customHeight="1" x14ac:dyDescent="0.2">
      <c r="B50" s="285"/>
      <c r="C50" s="29">
        <f>+'DATOS INICIALES'!D25</f>
        <v>721416</v>
      </c>
      <c r="D50" s="97" t="s">
        <v>75</v>
      </c>
      <c r="E50" s="97" t="s">
        <v>77</v>
      </c>
      <c r="F50" s="97"/>
      <c r="G50" s="97"/>
      <c r="H50" s="97"/>
      <c r="I50" s="97"/>
      <c r="J50" s="98"/>
      <c r="K50" s="247"/>
      <c r="L50" s="248"/>
    </row>
    <row r="51" spans="2:12" ht="24.75" customHeight="1" x14ac:dyDescent="0.2">
      <c r="B51" s="285"/>
      <c r="C51" s="29">
        <f>+'DATOS INICIALES'!D26</f>
        <v>721527</v>
      </c>
      <c r="D51" s="97" t="s">
        <v>77</v>
      </c>
      <c r="E51" s="97" t="s">
        <v>75</v>
      </c>
      <c r="F51" s="97"/>
      <c r="G51" s="97"/>
      <c r="H51" s="97"/>
      <c r="I51" s="97"/>
      <c r="J51" s="98"/>
      <c r="K51" s="247"/>
      <c r="L51" s="248"/>
    </row>
    <row r="52" spans="2:12" ht="24.75" customHeight="1" x14ac:dyDescent="0.2">
      <c r="B52" s="285"/>
      <c r="C52" s="29">
        <f>+'DATOS INICIALES'!D27</f>
        <v>721539</v>
      </c>
      <c r="D52" s="97" t="s">
        <v>75</v>
      </c>
      <c r="E52" s="97" t="s">
        <v>77</v>
      </c>
      <c r="F52" s="97"/>
      <c r="G52" s="97"/>
      <c r="H52" s="97"/>
      <c r="I52" s="97"/>
      <c r="J52" s="98"/>
      <c r="K52" s="247"/>
      <c r="L52" s="248"/>
    </row>
    <row r="53" spans="2:12" ht="24.75" customHeight="1" x14ac:dyDescent="0.2">
      <c r="B53" s="285"/>
      <c r="C53" s="29">
        <f>+'DATOS INICIALES'!D28</f>
        <v>951115</v>
      </c>
      <c r="D53" s="97" t="s">
        <v>77</v>
      </c>
      <c r="E53" s="97" t="s">
        <v>77</v>
      </c>
      <c r="F53" s="97"/>
      <c r="G53" s="97"/>
      <c r="H53" s="97"/>
      <c r="I53" s="97"/>
      <c r="J53" s="97"/>
      <c r="K53" s="247"/>
      <c r="L53" s="248"/>
    </row>
    <row r="54" spans="2:12" ht="24.75" customHeight="1" x14ac:dyDescent="0.2">
      <c r="B54" s="285"/>
      <c r="C54" s="29">
        <f>+'DATOS INICIALES'!D29</f>
        <v>721033</v>
      </c>
      <c r="D54" s="97" t="s">
        <v>75</v>
      </c>
      <c r="E54" s="97" t="s">
        <v>77</v>
      </c>
      <c r="F54" s="97"/>
      <c r="G54" s="97"/>
      <c r="H54" s="97"/>
      <c r="I54" s="97"/>
      <c r="J54" s="97"/>
      <c r="K54" s="247"/>
      <c r="L54" s="248"/>
    </row>
    <row r="55" spans="2:12" ht="60.75" customHeight="1" x14ac:dyDescent="0.2">
      <c r="B55" s="286"/>
      <c r="C55" s="18" t="s">
        <v>57</v>
      </c>
      <c r="D55" s="18" t="str">
        <f t="shared" ref="D55:E55" si="9">IF(D24="","N/A",IF(D47="SI","CUMPLE",IF(D48="SI","CUMPLE",IF(D49="SI","CUMPLE",IF(D50="SI","CUMPLE",IF(D51="SI","CUMPLE",IF(D52="SI","CUMPLE",IF(D54="SI","CUMPLE","NO CUMPLE"))))))))</f>
        <v>CUMPLE</v>
      </c>
      <c r="E55" s="18" t="str">
        <f t="shared" si="9"/>
        <v>CUMPLE</v>
      </c>
      <c r="F55" s="18" t="str">
        <f t="shared" ref="F55:J55" si="10">IF(F24="","N/A",IF(F47="SI","CUMPLE",IF(F48="SI","CUMPLE",IF(F49="SI","CUMPLE",IF(F50="SI","CUMPLE",IF(F51="SI","CUMPLE",IF(F52="SI","CUMPLE",IF(F54="SI","CUMPLE","NO CUMPLE"))))))))</f>
        <v>N/A</v>
      </c>
      <c r="G55" s="18" t="str">
        <f t="shared" si="10"/>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1">IF(F24="","N/A",IF(AND(F46="CUMPLE",F55="CUMPLE",F56="CUMPLE",F57="CUMPLE",F58="CUMPLE",F59="CUMPLE",OR(F61="CUMPLE",F61="N/A"),F62="CUMPLE",OR(F63="CUMPLE",F63="N/A"),F65="CUMPLE",OR(F64="CUMPLE",F64="N/A")),"CUMPLE","NO CUMPLE"))</f>
        <v>N/A</v>
      </c>
      <c r="G66" s="18" t="str">
        <f t="shared" si="11"/>
        <v>N/A</v>
      </c>
      <c r="H66" s="18" t="str">
        <f t="shared" si="11"/>
        <v>N/A</v>
      </c>
      <c r="I66" s="18" t="str">
        <f t="shared" si="11"/>
        <v>N/A</v>
      </c>
      <c r="J66" s="18" t="str">
        <f t="shared" si="11"/>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865" priority="24">
      <formula>NOT(ISERROR(D25))</formula>
    </cfRule>
    <cfRule type="containsBlanks" dxfId="864" priority="23">
      <formula>LEN(TRIM(D25))=0</formula>
    </cfRule>
  </conditionalFormatting>
  <conditionalFormatting sqref="D34:J34 D24:K24">
    <cfRule type="containsBlanks" dxfId="863" priority="25">
      <formula>LEN(TRIM(D24))=0</formula>
    </cfRule>
  </conditionalFormatting>
  <conditionalFormatting sqref="D37:J37">
    <cfRule type="notContainsErrors" dxfId="862" priority="22">
      <formula>NOT(ISERROR(D37))</formula>
    </cfRule>
    <cfRule type="containsBlanks" dxfId="861" priority="21">
      <formula>LEN(TRIM(D37))=0</formula>
    </cfRule>
  </conditionalFormatting>
  <conditionalFormatting sqref="D40:J40">
    <cfRule type="containsBlanks" dxfId="860" priority="39">
      <formula>LEN(TRIM(D40))=0</formula>
    </cfRule>
    <cfRule type="notContainsErrors" dxfId="859" priority="40">
      <formula>NOT(ISERROR(D40))</formula>
    </cfRule>
  </conditionalFormatting>
  <conditionalFormatting sqref="D43:J43 K66:L66">
    <cfRule type="containsBlanks" dxfId="858" priority="49">
      <formula>LEN(TRIM(D43))=0</formula>
    </cfRule>
    <cfRule type="notContainsErrors" dxfId="857" priority="50">
      <formula>NOT(ISERROR(D43))</formula>
    </cfRule>
  </conditionalFormatting>
  <conditionalFormatting sqref="D46:J54">
    <cfRule type="cellIs" dxfId="856" priority="9" operator="equal">
      <formula>"NO CUMPLE"</formula>
    </cfRule>
    <cfRule type="cellIs" dxfId="855" priority="10" operator="equal">
      <formula>"CUMPLE"</formula>
    </cfRule>
    <cfRule type="containsBlanks" dxfId="854" priority="11">
      <formula>LEN(TRIM(D46))=0</formula>
    </cfRule>
    <cfRule type="notContainsErrors" dxfId="853" priority="12">
      <formula>NOT(ISERROR(D46))</formula>
    </cfRule>
  </conditionalFormatting>
  <conditionalFormatting sqref="D55:J55">
    <cfRule type="cellIs" dxfId="852" priority="17" operator="equal">
      <formula>"N/A"</formula>
    </cfRule>
    <cfRule type="cellIs" dxfId="851" priority="18" operator="equal">
      <formula>"CUMPLE"</formula>
    </cfRule>
    <cfRule type="cellIs" dxfId="850" priority="19" operator="equal">
      <formula>"NO CUMPLE"</formula>
    </cfRule>
    <cfRule type="cellIs" dxfId="849" priority="20" operator="equal">
      <formula>"""CUMPLE"""</formula>
    </cfRule>
  </conditionalFormatting>
  <conditionalFormatting sqref="D56:J65">
    <cfRule type="containsBlanks" dxfId="848" priority="7">
      <formula>LEN(TRIM(D56))=0</formula>
    </cfRule>
    <cfRule type="notContainsErrors" dxfId="847" priority="8">
      <formula>NOT(ISERROR(D56))</formula>
    </cfRule>
    <cfRule type="cellIs" dxfId="846" priority="6" operator="equal">
      <formula>"CUMPLE"</formula>
    </cfRule>
    <cfRule type="cellIs" dxfId="845" priority="5" operator="equal">
      <formula>"NO CUMPLE"</formula>
    </cfRule>
  </conditionalFormatting>
  <conditionalFormatting sqref="D66:J66">
    <cfRule type="cellIs" dxfId="844" priority="14" operator="equal">
      <formula>"CUMPLE"</formula>
    </cfRule>
    <cfRule type="cellIs" dxfId="843" priority="15" operator="equal">
      <formula>"NO CUMPLE"</formula>
    </cfRule>
    <cfRule type="cellIs" dxfId="842" priority="16" operator="equal">
      <formula>"""CUMPLE"""</formula>
    </cfRule>
    <cfRule type="cellIs" dxfId="841" priority="13" operator="equal">
      <formula>"N/A"</formula>
    </cfRule>
  </conditionalFormatting>
  <conditionalFormatting sqref="D67:J67">
    <cfRule type="cellIs" dxfId="840" priority="1" operator="equal">
      <formula>"NO CUMPLE"</formula>
    </cfRule>
    <cfRule type="cellIs" dxfId="839" priority="2" operator="equal">
      <formula>"CUMPLE"</formula>
    </cfRule>
  </conditionalFormatting>
  <conditionalFormatting sqref="D24:K24 D34:J34">
    <cfRule type="notContainsErrors" dxfId="838" priority="26">
      <formula>NOT(ISERROR(D24))</formula>
    </cfRule>
  </conditionalFormatting>
  <conditionalFormatting sqref="D67:K67">
    <cfRule type="notContainsErrors" dxfId="837" priority="4">
      <formula>NOT(ISERROR(D67))</formula>
    </cfRule>
    <cfRule type="containsBlanks" dxfId="836" priority="3">
      <formula>LEN(TRIM(D67))=0</formula>
    </cfRule>
  </conditionalFormatting>
  <conditionalFormatting sqref="F20:H20">
    <cfRule type="cellIs" dxfId="835" priority="65" operator="equal">
      <formula>"CUMPLE"</formula>
    </cfRule>
    <cfRule type="cellIs" dxfId="834" priority="66" operator="equal">
      <formula>"NO CUMPLE"</formula>
    </cfRule>
    <cfRule type="cellIs" dxfId="833" priority="67" operator="equal">
      <formula>"""CUMPLE"""</formula>
    </cfRule>
  </conditionalFormatting>
  <conditionalFormatting sqref="I11">
    <cfRule type="containsText" dxfId="832" priority="68" operator="containsText" text="INHABILITADO">
      <formula>NOT(ISERROR(SEARCH("INHABILITADO",I11)))</formula>
    </cfRule>
    <cfRule type="containsText" dxfId="831" priority="69" operator="containsText" text="HABILITADO">
      <formula>NOT(ISERROR(SEARCH("HABILITADO",I11)))</formula>
    </cfRule>
    <cfRule type="containsText" dxfId="830" priority="70" operator="containsText" text="HABILITADO">
      <formula>NOT(ISERROR(SEARCH("HABILITADO",I11)))</formula>
    </cfRule>
    <cfRule type="containsText" dxfId="829" priority="71" operator="containsText" text="NO CUMPLE">
      <formula>NOT(ISERROR(SEARCH("NO CUMPLE",I11)))</formula>
    </cfRule>
  </conditionalFormatting>
  <conditionalFormatting sqref="K19">
    <cfRule type="cellIs" dxfId="828" priority="56" operator="equal">
      <formula>"CUMPLE"</formula>
    </cfRule>
    <cfRule type="cellIs" dxfId="827" priority="57" operator="equal">
      <formula>"NO CUMPLE"</formula>
    </cfRule>
    <cfRule type="cellIs" dxfId="826" priority="58" operator="equal">
      <formula>"""CUMPLE"""</formula>
    </cfRule>
  </conditionalFormatting>
  <conditionalFormatting sqref="K25:K65">
    <cfRule type="containsBlanks" dxfId="825" priority="47">
      <formula>LEN(TRIM(K25))=0</formula>
    </cfRule>
    <cfRule type="notContainsErrors" dxfId="824" priority="48">
      <formula>NOT(ISERROR(K25))</formula>
    </cfRule>
  </conditionalFormatting>
  <conditionalFormatting sqref="L15">
    <cfRule type="cellIs" dxfId="823" priority="62" operator="equal">
      <formula>"CUMPLE"</formula>
    </cfRule>
    <cfRule type="cellIs" dxfId="822" priority="63" operator="equal">
      <formula>"NO CUMPLE"</formula>
    </cfRule>
    <cfRule type="cellIs" dxfId="821" priority="64" operator="equal">
      <formula>"""CUMPLE"""</formula>
    </cfRule>
  </conditionalFormatting>
  <dataValidations count="3">
    <dataValidation type="list" allowBlank="1" showInputMessage="1" showErrorMessage="1" sqref="L58:L66" xr:uid="{7D3AA49F-35D2-4A82-A54D-6755AADD5D1B}">
      <formula1>"0,1,2,3,4,5,6"</formula1>
    </dataValidation>
    <dataValidation type="list" allowBlank="1" showInputMessage="1" showErrorMessage="1" sqref="D24:J26" xr:uid="{73A37461-42FF-43EF-A229-46F864C173D3}">
      <formula1>$C$15:$C$19</formula1>
    </dataValidation>
    <dataValidation type="list" allowBlank="1" showInputMessage="1" showErrorMessage="1" sqref="F67:I67 D67" xr:uid="{122EFCD7-6823-4480-A9DC-8FA4463400A7}">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B22E5D0-8E07-400E-808B-D56F96AF4725}">
          <x14:formula1>
            <xm:f>'DATOS INICIALES'!$C$48:$C$49</xm:f>
          </x14:formula1>
          <xm:sqref>J47:J52 F47:I54</xm:sqref>
        </x14:dataValidation>
        <x14:dataValidation type="list" allowBlank="1" showInputMessage="1" showErrorMessage="1" xr:uid="{BB54EF00-1AE8-4B3D-BD0F-CA81E1A40CFA}">
          <x14:formula1>
            <xm:f>'DATOS INICIALES'!$A$53:$A$55</xm:f>
          </x14:formula1>
          <xm:sqref>F59:J65 F46:J46 J56:J57 F56:I58</xm:sqref>
        </x14:dataValidation>
        <x14:dataValidation type="list" allowBlank="1" showInputMessage="1" showErrorMessage="1" xr:uid="{D341CC03-84DB-4222-9E60-4DD92B7A539A}">
          <x14:formula1>
            <xm:f>'DATOS INICIALES'!$A$57:$A$62</xm:f>
          </x14:formula1>
          <xm:sqref>D23:I23</xm:sqref>
        </x14:dataValidation>
        <x14:dataValidation type="list" allowBlank="1" showInputMessage="1" showErrorMessage="1" xr:uid="{18632A2A-8E97-4100-BBFA-D2357084E63D}">
          <x14:formula1>
            <xm:f>'DATOS INICIALES'!$D$22:$D$26</xm:f>
          </x14:formula1>
          <xm:sqref>M47:M55</xm:sqref>
        </x14:dataValidation>
        <x14:dataValidation type="list" allowBlank="1" showInputMessage="1" showErrorMessage="1" xr:uid="{B1840107-A29A-4094-8D1B-EBA5BC203123}">
          <x14:formula1>
            <xm:f>'DATOS INICIALES'!$A$13:$A$44</xm:f>
          </x14:formula1>
          <xm:sqref>F31:I31</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3B627-ED5E-43F2-9E21-F00738226607}">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J15" sqref="J15:J17"/>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+PROPONENTES!B25</f>
        <v>CONSORCIO MANTENIMIENTO VIAL USAQUEN II</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MAQUINAS AMARILLAS SAS</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1267.55</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316">
        <v>4</v>
      </c>
      <c r="J15" s="264">
        <f>IF(AND(I15&gt;=1,I15&lt;=2),L8,IF(AND(I15&gt;=3,I15&lt;=4),L9,IF(AND(I15&gt;=5,I15&lt;=7),L10)))</f>
        <v>18919.917519692306</v>
      </c>
      <c r="K15" s="264">
        <f>+E20</f>
        <v>22234.424500000001</v>
      </c>
      <c r="L15" s="265" t="str">
        <f>IF(K15&gt;=J15,"CUMPLE","NO CUMPLE")</f>
        <v>CUMPLE</v>
      </c>
    </row>
    <row r="16" spans="2:12" ht="33.75" customHeight="1" x14ac:dyDescent="0.2">
      <c r="B16" s="273"/>
      <c r="C16" s="100" t="str">
        <f>IF(VLOOKUP(C11,PROPONENTES!B10:N44,4,FALSE)=0,"",VLOOKUP(C11,PROPONENTES!B10:N44,4,FALSE))</f>
        <v xml:space="preserve">PEZ VELA INGENIERIA SAS </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20966.874500000002</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22234.424500000001</v>
      </c>
      <c r="J19" s="355">
        <f>IF(I15="","",VLOOKUP(I15,$D$76:$E$82,2,FALSE))</f>
        <v>18919.917519692306</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22234.424500000001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263</v>
      </c>
      <c r="E24" s="91" t="s">
        <v>262</v>
      </c>
      <c r="F24" s="91" t="s">
        <v>263</v>
      </c>
      <c r="G24" s="91" t="s">
        <v>263</v>
      </c>
      <c r="H24" s="91"/>
      <c r="I24" s="91"/>
      <c r="J24" s="91"/>
      <c r="K24" s="360" t="s">
        <v>513</v>
      </c>
      <c r="L24" s="361"/>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498</v>
      </c>
      <c r="E27" s="92" t="s">
        <v>499</v>
      </c>
      <c r="F27" s="92" t="s">
        <v>500</v>
      </c>
      <c r="G27" s="92" t="s">
        <v>501</v>
      </c>
      <c r="H27" s="92"/>
      <c r="I27" s="92"/>
      <c r="J27" s="92"/>
      <c r="K27" s="247"/>
      <c r="L27" s="248"/>
    </row>
    <row r="28" spans="2:14" ht="156.75" customHeight="1" x14ac:dyDescent="0.2">
      <c r="B28" s="277"/>
      <c r="C28" s="26" t="s">
        <v>36</v>
      </c>
      <c r="D28" s="206" t="s">
        <v>502</v>
      </c>
      <c r="E28" s="206" t="s">
        <v>503</v>
      </c>
      <c r="F28" s="206" t="s">
        <v>504</v>
      </c>
      <c r="G28" s="207" t="s">
        <v>505</v>
      </c>
      <c r="H28" s="92"/>
      <c r="I28" s="92"/>
      <c r="J28" s="92"/>
      <c r="K28" s="247"/>
      <c r="L28" s="248"/>
    </row>
    <row r="29" spans="2:14" ht="52.5" customHeight="1" x14ac:dyDescent="0.2">
      <c r="B29" s="277"/>
      <c r="C29" s="26" t="s">
        <v>172</v>
      </c>
      <c r="D29" s="208">
        <v>42933</v>
      </c>
      <c r="E29" s="209">
        <v>43129</v>
      </c>
      <c r="F29" s="209">
        <v>43321</v>
      </c>
      <c r="G29" s="209">
        <v>43405</v>
      </c>
      <c r="H29" s="96"/>
      <c r="I29" s="96"/>
      <c r="J29" s="96"/>
      <c r="K29" s="247"/>
      <c r="L29" s="248"/>
    </row>
    <row r="30" spans="2:14" ht="54.75" customHeight="1" x14ac:dyDescent="0.2">
      <c r="B30" s="277"/>
      <c r="C30" s="26" t="s">
        <v>40</v>
      </c>
      <c r="D30" s="209">
        <v>43236</v>
      </c>
      <c r="E30" s="209">
        <v>43251</v>
      </c>
      <c r="F30" s="209">
        <v>43716</v>
      </c>
      <c r="G30" s="209">
        <v>43677</v>
      </c>
      <c r="H30" s="96"/>
      <c r="I30" s="96"/>
      <c r="J30" s="96"/>
      <c r="K30" s="247"/>
      <c r="L30" s="248"/>
    </row>
    <row r="31" spans="2:14" ht="41.25" customHeight="1" x14ac:dyDescent="0.2">
      <c r="B31" s="277"/>
      <c r="C31" s="26" t="s">
        <v>37</v>
      </c>
      <c r="D31" s="93">
        <v>2018</v>
      </c>
      <c r="E31" s="93">
        <v>2018</v>
      </c>
      <c r="F31" s="93">
        <v>2019</v>
      </c>
      <c r="G31" s="93">
        <v>2019</v>
      </c>
      <c r="H31" s="93"/>
      <c r="I31" s="93"/>
      <c r="J31" s="93"/>
      <c r="K31" s="247"/>
      <c r="L31" s="248"/>
    </row>
    <row r="32" spans="2:14" ht="63" customHeight="1" x14ac:dyDescent="0.2">
      <c r="B32" s="277"/>
      <c r="C32" s="26" t="s">
        <v>38</v>
      </c>
      <c r="D32" s="210" t="s">
        <v>506</v>
      </c>
      <c r="E32" s="206" t="s">
        <v>507</v>
      </c>
      <c r="F32" s="211" t="s">
        <v>508</v>
      </c>
      <c r="G32" s="210" t="s">
        <v>338</v>
      </c>
      <c r="H32" s="92"/>
      <c r="I32" s="92"/>
      <c r="J32" s="92"/>
      <c r="K32" s="247"/>
      <c r="L32" s="248"/>
    </row>
    <row r="33" spans="2:12" ht="46.5" customHeight="1" x14ac:dyDescent="0.2">
      <c r="B33" s="277"/>
      <c r="C33" s="26" t="s">
        <v>39</v>
      </c>
      <c r="D33" s="92" t="s">
        <v>509</v>
      </c>
      <c r="E33" s="92" t="s">
        <v>510</v>
      </c>
      <c r="F33" s="92" t="s">
        <v>511</v>
      </c>
      <c r="G33" s="92" t="s">
        <v>512</v>
      </c>
      <c r="H33" s="92"/>
      <c r="I33" s="92"/>
      <c r="J33" s="92"/>
      <c r="K33" s="247"/>
      <c r="L33" s="248"/>
    </row>
    <row r="34" spans="2:12" ht="27.75" customHeight="1" x14ac:dyDescent="0.2">
      <c r="B34" s="277"/>
      <c r="C34" s="28" t="s">
        <v>33</v>
      </c>
      <c r="D34" s="212">
        <v>9</v>
      </c>
      <c r="E34" s="212">
        <v>23</v>
      </c>
      <c r="F34" s="212">
        <v>5</v>
      </c>
      <c r="G34" s="212">
        <v>82</v>
      </c>
      <c r="H34" s="98"/>
      <c r="I34" s="98"/>
      <c r="J34" s="98"/>
      <c r="K34" s="247"/>
      <c r="L34" s="248"/>
    </row>
    <row r="35" spans="2:12" ht="102.75" customHeight="1" x14ac:dyDescent="0.2">
      <c r="B35" s="277"/>
      <c r="C35" s="26" t="s">
        <v>118</v>
      </c>
      <c r="D35" s="94">
        <v>11124.86</v>
      </c>
      <c r="E35" s="94">
        <v>1267.55</v>
      </c>
      <c r="F35" s="94">
        <v>10783.59</v>
      </c>
      <c r="G35" s="94">
        <v>7822.08</v>
      </c>
      <c r="H35" s="94"/>
      <c r="I35" s="94"/>
      <c r="J35" s="94"/>
      <c r="K35" s="279" t="s">
        <v>766</v>
      </c>
      <c r="L35" s="280"/>
    </row>
    <row r="36" spans="2:12" ht="48" customHeight="1" x14ac:dyDescent="0.2">
      <c r="B36" s="277"/>
      <c r="C36" s="26" t="s">
        <v>74</v>
      </c>
      <c r="D36" s="105">
        <f>IFERROR(D35*VLOOKUP(D31,'DATOS INICIALES'!$A$12:$B$44,2,0),"0")</f>
        <v>8691207876.1200008</v>
      </c>
      <c r="E36" s="105">
        <f>IFERROR(E35*VLOOKUP(E31,'DATOS INICIALES'!$A$12:$B$44,2,0),"0")</f>
        <v>990263297.10000002</v>
      </c>
      <c r="F36" s="105">
        <f>IFERROR(F35*VLOOKUP(F31,'DATOS INICIALES'!$A$12:$B$44,2,0),"0")</f>
        <v>8930063416.4400005</v>
      </c>
      <c r="G36" s="105">
        <f>IFERROR(G35*VLOOKUP(G31,'DATOS INICIALES'!$A$12:$B$44,2,0),"0")</f>
        <v>6477589601.2799997</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1</v>
      </c>
      <c r="E37" s="95">
        <v>1</v>
      </c>
      <c r="F37" s="95">
        <v>0.55000000000000004</v>
      </c>
      <c r="G37" s="95">
        <v>0.5</v>
      </c>
      <c r="H37" s="95"/>
      <c r="I37" s="95"/>
      <c r="J37" s="95"/>
      <c r="K37" s="247"/>
      <c r="L37" s="248"/>
    </row>
    <row r="38" spans="2:12" ht="48.75" customHeight="1" x14ac:dyDescent="0.2">
      <c r="B38" s="277"/>
      <c r="C38" s="26" t="s">
        <v>125</v>
      </c>
      <c r="D38" s="105">
        <f t="shared" ref="D38:J38" si="3">IF(D24="","0",D37*D36)</f>
        <v>8691207876.1200008</v>
      </c>
      <c r="E38" s="105">
        <f t="shared" si="3"/>
        <v>990263297.10000002</v>
      </c>
      <c r="F38" s="105">
        <f t="shared" si="3"/>
        <v>4911534879.0420008</v>
      </c>
      <c r="G38" s="105">
        <f t="shared" si="3"/>
        <v>3238794800.6399999</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11124.86</v>
      </c>
      <c r="E39" s="106">
        <f t="shared" si="4"/>
        <v>1267.55</v>
      </c>
      <c r="F39" s="106">
        <f t="shared" si="4"/>
        <v>5930.9745000000003</v>
      </c>
      <c r="G39" s="106">
        <f t="shared" si="4"/>
        <v>3911.04</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c r="I46" s="91"/>
      <c r="J46" s="91"/>
      <c r="K46" s="247"/>
      <c r="L46" s="248"/>
    </row>
    <row r="47" spans="2:12" ht="24.75" customHeight="1" x14ac:dyDescent="0.2">
      <c r="B47" s="284" t="s">
        <v>34</v>
      </c>
      <c r="C47" s="29">
        <f>+'DATOS INICIALES'!D22</f>
        <v>721033</v>
      </c>
      <c r="D47" s="97" t="s">
        <v>77</v>
      </c>
      <c r="E47" s="97" t="s">
        <v>77</v>
      </c>
      <c r="F47" s="97" t="s">
        <v>77</v>
      </c>
      <c r="G47" s="97" t="s">
        <v>77</v>
      </c>
      <c r="H47" s="97"/>
      <c r="I47" s="97"/>
      <c r="J47" s="98"/>
      <c r="K47" s="247"/>
      <c r="L47" s="248"/>
    </row>
    <row r="48" spans="2:12" ht="24.75" customHeight="1" x14ac:dyDescent="0.2">
      <c r="B48" s="285"/>
      <c r="C48" s="29">
        <f>+'DATOS INICIALES'!D23</f>
        <v>721410</v>
      </c>
      <c r="D48" s="97" t="s">
        <v>77</v>
      </c>
      <c r="E48" s="97" t="s">
        <v>77</v>
      </c>
      <c r="F48" s="97" t="s">
        <v>77</v>
      </c>
      <c r="G48" s="97" t="s">
        <v>77</v>
      </c>
      <c r="H48" s="97"/>
      <c r="I48" s="97"/>
      <c r="J48" s="98"/>
      <c r="K48" s="247"/>
      <c r="L48" s="248"/>
    </row>
    <row r="49" spans="2:12" ht="24.75" customHeight="1" x14ac:dyDescent="0.2">
      <c r="B49" s="285"/>
      <c r="C49" s="29">
        <f>+'DATOS INICIALES'!D24</f>
        <v>721411</v>
      </c>
      <c r="D49" s="97" t="s">
        <v>77</v>
      </c>
      <c r="E49" s="97" t="s">
        <v>77</v>
      </c>
      <c r="F49" s="97" t="s">
        <v>75</v>
      </c>
      <c r="G49" s="97" t="s">
        <v>77</v>
      </c>
      <c r="H49" s="97"/>
      <c r="I49" s="97"/>
      <c r="J49" s="98"/>
      <c r="K49" s="247"/>
      <c r="L49" s="248"/>
    </row>
    <row r="50" spans="2:12" ht="24.75" customHeight="1" x14ac:dyDescent="0.2">
      <c r="B50" s="285"/>
      <c r="C50" s="29">
        <f>+'DATOS INICIALES'!D25</f>
        <v>721416</v>
      </c>
      <c r="D50" s="97" t="s">
        <v>77</v>
      </c>
      <c r="E50" s="97" t="s">
        <v>77</v>
      </c>
      <c r="F50" s="97" t="s">
        <v>77</v>
      </c>
      <c r="G50" s="97" t="s">
        <v>77</v>
      </c>
      <c r="H50" s="97"/>
      <c r="I50" s="97"/>
      <c r="J50" s="98"/>
      <c r="K50" s="247"/>
      <c r="L50" s="248"/>
    </row>
    <row r="51" spans="2:12" ht="24.75" customHeight="1" x14ac:dyDescent="0.2">
      <c r="B51" s="285"/>
      <c r="C51" s="29">
        <f>+'DATOS INICIALES'!D26</f>
        <v>721527</v>
      </c>
      <c r="D51" s="97" t="s">
        <v>77</v>
      </c>
      <c r="E51" s="97" t="s">
        <v>77</v>
      </c>
      <c r="F51" s="97" t="s">
        <v>75</v>
      </c>
      <c r="G51" s="97" t="s">
        <v>77</v>
      </c>
      <c r="H51" s="97"/>
      <c r="I51" s="97"/>
      <c r="J51" s="98"/>
      <c r="K51" s="247"/>
      <c r="L51" s="248"/>
    </row>
    <row r="52" spans="2:12" ht="24.75" customHeight="1" x14ac:dyDescent="0.2">
      <c r="B52" s="285"/>
      <c r="C52" s="29">
        <f>+'DATOS INICIALES'!D27</f>
        <v>721539</v>
      </c>
      <c r="D52" s="97" t="s">
        <v>77</v>
      </c>
      <c r="E52" s="97" t="s">
        <v>77</v>
      </c>
      <c r="F52" s="97" t="s">
        <v>77</v>
      </c>
      <c r="G52" s="97" t="s">
        <v>77</v>
      </c>
      <c r="H52" s="97"/>
      <c r="I52" s="97"/>
      <c r="J52" s="98"/>
      <c r="K52" s="247"/>
      <c r="L52" s="248"/>
    </row>
    <row r="53" spans="2:12" ht="24.75" customHeight="1" x14ac:dyDescent="0.2">
      <c r="B53" s="285"/>
      <c r="C53" s="29">
        <f>+'DATOS INICIALES'!D28</f>
        <v>951115</v>
      </c>
      <c r="D53" s="97" t="s">
        <v>77</v>
      </c>
      <c r="E53" s="97" t="s">
        <v>75</v>
      </c>
      <c r="F53" s="97" t="s">
        <v>77</v>
      </c>
      <c r="G53" s="97" t="s">
        <v>77</v>
      </c>
      <c r="H53" s="97"/>
      <c r="I53" s="97"/>
      <c r="J53" s="97"/>
      <c r="K53" s="247"/>
      <c r="L53" s="248"/>
    </row>
    <row r="54" spans="2:12" ht="24.75" customHeight="1" x14ac:dyDescent="0.2">
      <c r="B54" s="285"/>
      <c r="C54" s="29">
        <f>+'DATOS INICIALES'!D29</f>
        <v>721033</v>
      </c>
      <c r="D54" s="97" t="s">
        <v>77</v>
      </c>
      <c r="E54" s="97" t="s">
        <v>77</v>
      </c>
      <c r="F54" s="97" t="s">
        <v>77</v>
      </c>
      <c r="G54" s="97" t="s">
        <v>77</v>
      </c>
      <c r="H54" s="97"/>
      <c r="I54" s="97"/>
      <c r="J54" s="97"/>
      <c r="K54" s="247"/>
      <c r="L54" s="248"/>
    </row>
    <row r="55" spans="2:12" ht="60.75" customHeight="1" x14ac:dyDescent="0.2">
      <c r="B55" s="286"/>
      <c r="C55" s="18" t="s">
        <v>57</v>
      </c>
      <c r="D55" s="18" t="str">
        <f t="shared" ref="D55:G55" si="9">IF(D24="","N/A",IF(D47="SI","CUMPLE",IF(D48="SI","CUMPLE",IF(D49="SI","CUMPLE",IF(D50="SI","CUMPLE",IF(D51="SI","CUMPLE",IF(D52="SI","CUMPLE",IF(D54="SI","CUMPLE","NO CUMPLE"))))))))</f>
        <v>CUMPLE</v>
      </c>
      <c r="E55" s="18" t="str">
        <f t="shared" si="9"/>
        <v>CUMPLE</v>
      </c>
      <c r="F55" s="18" t="str">
        <f t="shared" si="9"/>
        <v>CUMPLE</v>
      </c>
      <c r="G55" s="18" t="str">
        <f t="shared" si="9"/>
        <v>CUMPLE</v>
      </c>
      <c r="H55" s="18" t="str">
        <f t="shared" ref="H55:J55" si="10">IF(H24="","N/A",IF(H47="SI","CUMPLE",IF(H48="SI","CUMPLE",IF(H49="SI","CUMPLE",IF(H50="SI","CUMPLE",IF(H51="SI","CUMPLE",IF(H52="SI","CUMPLE",IF(H54="SI","CUMPLE","NO CUMPLE"))))))))</f>
        <v>N/A</v>
      </c>
      <c r="I55" s="18" t="str">
        <f t="shared" si="10"/>
        <v>N/A</v>
      </c>
      <c r="J55" s="18" t="str">
        <f t="shared" si="10"/>
        <v>N/A</v>
      </c>
      <c r="K55" s="247"/>
      <c r="L55" s="248"/>
    </row>
    <row r="56" spans="2:12" ht="147.5" customHeight="1" x14ac:dyDescent="0.2">
      <c r="B56" s="287" t="s">
        <v>189</v>
      </c>
      <c r="C56" s="288"/>
      <c r="D56" s="91" t="s">
        <v>13</v>
      </c>
      <c r="E56" s="91" t="s">
        <v>13</v>
      </c>
      <c r="F56" s="91" t="s">
        <v>13</v>
      </c>
      <c r="G56" s="91" t="s">
        <v>13</v>
      </c>
      <c r="H56" s="91"/>
      <c r="I56" s="91"/>
      <c r="J56" s="91"/>
      <c r="K56" s="257"/>
      <c r="L56" s="258"/>
    </row>
    <row r="57" spans="2:12" ht="103.25" customHeight="1" x14ac:dyDescent="0.2">
      <c r="B57" s="287" t="s">
        <v>190</v>
      </c>
      <c r="C57" s="288"/>
      <c r="D57" s="91" t="s">
        <v>13</v>
      </c>
      <c r="E57" s="91" t="s">
        <v>13</v>
      </c>
      <c r="F57" s="91" t="s">
        <v>13</v>
      </c>
      <c r="G57" s="91" t="s">
        <v>13</v>
      </c>
      <c r="H57" s="91"/>
      <c r="I57" s="91"/>
      <c r="J57" s="91"/>
      <c r="K57" s="257"/>
      <c r="L57" s="258"/>
    </row>
    <row r="58" spans="2:12" ht="72" customHeight="1" x14ac:dyDescent="0.2">
      <c r="B58" s="281" t="s">
        <v>191</v>
      </c>
      <c r="C58" s="282"/>
      <c r="D58" s="91" t="s">
        <v>13</v>
      </c>
      <c r="E58" s="91" t="s">
        <v>13</v>
      </c>
      <c r="F58" s="91" t="s">
        <v>13</v>
      </c>
      <c r="G58" s="91" t="s">
        <v>13</v>
      </c>
      <c r="H58" s="91"/>
      <c r="I58" s="91"/>
      <c r="J58" s="91"/>
      <c r="K58" s="247"/>
      <c r="L58" s="248"/>
    </row>
    <row r="59" spans="2:12" ht="42.5" customHeight="1" x14ac:dyDescent="0.2">
      <c r="B59" s="281" t="s">
        <v>192</v>
      </c>
      <c r="C59" s="282"/>
      <c r="D59" s="91" t="s">
        <v>13</v>
      </c>
      <c r="E59" s="91" t="s">
        <v>13</v>
      </c>
      <c r="F59" s="91" t="s">
        <v>13</v>
      </c>
      <c r="G59" s="91" t="s">
        <v>13</v>
      </c>
      <c r="H59" s="91"/>
      <c r="I59" s="91"/>
      <c r="J59" s="91"/>
      <c r="K59" s="247"/>
      <c r="L59" s="248"/>
    </row>
    <row r="60" spans="2:12" ht="36" customHeight="1" x14ac:dyDescent="0.2">
      <c r="B60" s="281" t="s">
        <v>193</v>
      </c>
      <c r="C60" s="282"/>
      <c r="D60" s="91" t="s">
        <v>13</v>
      </c>
      <c r="E60" s="91" t="s">
        <v>13</v>
      </c>
      <c r="F60" s="91" t="s">
        <v>13</v>
      </c>
      <c r="G60" s="91" t="s">
        <v>13</v>
      </c>
      <c r="H60" s="91"/>
      <c r="I60" s="91"/>
      <c r="J60" s="91"/>
      <c r="K60" s="247"/>
      <c r="L60" s="248"/>
    </row>
    <row r="61" spans="2:12" ht="160.75" customHeight="1" x14ac:dyDescent="0.2">
      <c r="B61" s="281" t="s">
        <v>194</v>
      </c>
      <c r="C61" s="282"/>
      <c r="D61" s="91" t="s">
        <v>13</v>
      </c>
      <c r="E61" s="91" t="s">
        <v>13</v>
      </c>
      <c r="F61" s="91" t="s">
        <v>13</v>
      </c>
      <c r="G61" s="91" t="s">
        <v>13</v>
      </c>
      <c r="H61" s="91"/>
      <c r="I61" s="91"/>
      <c r="J61" s="91"/>
      <c r="K61" s="247"/>
      <c r="L61" s="248"/>
    </row>
    <row r="62" spans="2:12" ht="409.25" customHeight="1" x14ac:dyDescent="0.2">
      <c r="B62" s="261" t="s">
        <v>195</v>
      </c>
      <c r="C62" s="261"/>
      <c r="D62" s="91" t="s">
        <v>13</v>
      </c>
      <c r="E62" s="91" t="s">
        <v>13</v>
      </c>
      <c r="F62" s="91" t="s">
        <v>13</v>
      </c>
      <c r="G62" s="91" t="s">
        <v>13</v>
      </c>
      <c r="H62" s="91"/>
      <c r="I62" s="91"/>
      <c r="J62" s="91"/>
      <c r="K62" s="279"/>
      <c r="L62" s="280"/>
    </row>
    <row r="63" spans="2:12" ht="301.75" customHeight="1" x14ac:dyDescent="0.2">
      <c r="B63" s="262" t="s">
        <v>196</v>
      </c>
      <c r="C63" s="263"/>
      <c r="D63" s="91" t="s">
        <v>13</v>
      </c>
      <c r="E63" s="91" t="s">
        <v>13</v>
      </c>
      <c r="F63" s="91" t="s">
        <v>13</v>
      </c>
      <c r="G63" s="91" t="s">
        <v>13</v>
      </c>
      <c r="H63" s="91"/>
      <c r="I63" s="91"/>
      <c r="J63" s="91"/>
      <c r="K63" s="247"/>
      <c r="L63" s="248"/>
    </row>
    <row r="64" spans="2:12" ht="253.75" customHeight="1" x14ac:dyDescent="0.2">
      <c r="B64" s="283" t="s">
        <v>197</v>
      </c>
      <c r="C64" s="283"/>
      <c r="D64" s="91" t="s">
        <v>13</v>
      </c>
      <c r="E64" s="91" t="s">
        <v>13</v>
      </c>
      <c r="F64" s="91" t="s">
        <v>13</v>
      </c>
      <c r="G64" s="91" t="s">
        <v>13</v>
      </c>
      <c r="H64" s="91"/>
      <c r="I64" s="91"/>
      <c r="J64" s="91"/>
      <c r="K64" s="247"/>
      <c r="L64" s="248"/>
    </row>
    <row r="65" spans="2:12" ht="243.5" customHeight="1" x14ac:dyDescent="0.2">
      <c r="B65" s="261" t="s">
        <v>198</v>
      </c>
      <c r="C65" s="261"/>
      <c r="D65" s="91" t="s">
        <v>13</v>
      </c>
      <c r="E65" s="91" t="s">
        <v>13</v>
      </c>
      <c r="F65" s="91" t="s">
        <v>13</v>
      </c>
      <c r="G65" s="91" t="s">
        <v>13</v>
      </c>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G66" si="11">IF(F24="","N/A",IF(AND(F46="CUMPLE",F55="CUMPLE",F56="CUMPLE",F57="CUMPLE",F58="CUMPLE",F59="CUMPLE",OR(F61="CUMPLE",F61="N/A"),F62="CUMPLE",OR(F63="CUMPLE",F63="N/A"),F65="CUMPLE",OR(F64="CUMPLE",F64="N/A")),"CUMPLE","NO CUMPLE"))</f>
        <v>CUMPLE</v>
      </c>
      <c r="G66" s="18" t="str">
        <f t="shared" si="11"/>
        <v>CUMPLE</v>
      </c>
      <c r="H66" s="18" t="str">
        <f t="shared" ref="H66:J66" si="12">IF(H24="","N/A",IF(AND(H46="CUMPLE",H55="CUMPLE",H56="CUMPLE",H57="CUMPLE",H58="CUMPLE",H59="CUMPLE",OR(H61="CUMPLE",H61="N/A"),H62="CUMPLE",OR(H63="CUMPLE",H63="N/A"),H65="CUMPLE",OR(H64="CUMPLE",H64="N/A")),"CUMPLE","NO CUMPLE"))</f>
        <v>N/A</v>
      </c>
      <c r="I66" s="18" t="str">
        <f t="shared" si="12"/>
        <v>N/A</v>
      </c>
      <c r="J66" s="18" t="str">
        <f t="shared" si="12"/>
        <v>N/A</v>
      </c>
      <c r="K66" s="147"/>
      <c r="L66" s="148"/>
    </row>
    <row r="67" spans="2:12" ht="54.5" customHeight="1" x14ac:dyDescent="0.2">
      <c r="B67" s="261" t="s">
        <v>188</v>
      </c>
      <c r="C67" s="261"/>
      <c r="D67" s="91" t="s">
        <v>13</v>
      </c>
      <c r="E67" s="91" t="s">
        <v>13</v>
      </c>
      <c r="F67" s="91" t="s">
        <v>13</v>
      </c>
      <c r="G67" s="91" t="s">
        <v>13</v>
      </c>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820" priority="24">
      <formula>NOT(ISERROR(D25))</formula>
    </cfRule>
    <cfRule type="containsBlanks" dxfId="819" priority="23">
      <formula>LEN(TRIM(D25))=0</formula>
    </cfRule>
  </conditionalFormatting>
  <conditionalFormatting sqref="D34:J34 D24:K24">
    <cfRule type="containsBlanks" dxfId="818" priority="25">
      <formula>LEN(TRIM(D24))=0</formula>
    </cfRule>
  </conditionalFormatting>
  <conditionalFormatting sqref="D37:J37">
    <cfRule type="notContainsErrors" dxfId="817" priority="22">
      <formula>NOT(ISERROR(D37))</formula>
    </cfRule>
    <cfRule type="containsBlanks" dxfId="816" priority="21">
      <formula>LEN(TRIM(D37))=0</formula>
    </cfRule>
  </conditionalFormatting>
  <conditionalFormatting sqref="D40:J40">
    <cfRule type="containsBlanks" dxfId="815" priority="39">
      <formula>LEN(TRIM(D40))=0</formula>
    </cfRule>
    <cfRule type="notContainsErrors" dxfId="814" priority="40">
      <formula>NOT(ISERROR(D40))</formula>
    </cfRule>
  </conditionalFormatting>
  <conditionalFormatting sqref="D43:J43 K66:L66">
    <cfRule type="containsBlanks" dxfId="813" priority="49">
      <formula>LEN(TRIM(D43))=0</formula>
    </cfRule>
    <cfRule type="notContainsErrors" dxfId="812" priority="50">
      <formula>NOT(ISERROR(D43))</formula>
    </cfRule>
  </conditionalFormatting>
  <conditionalFormatting sqref="D46:J54">
    <cfRule type="cellIs" dxfId="811" priority="9" operator="equal">
      <formula>"NO CUMPLE"</formula>
    </cfRule>
    <cfRule type="cellIs" dxfId="810" priority="10" operator="equal">
      <formula>"CUMPLE"</formula>
    </cfRule>
    <cfRule type="containsBlanks" dxfId="809" priority="11">
      <formula>LEN(TRIM(D46))=0</formula>
    </cfRule>
    <cfRule type="notContainsErrors" dxfId="808" priority="12">
      <formula>NOT(ISERROR(D46))</formula>
    </cfRule>
  </conditionalFormatting>
  <conditionalFormatting sqref="D55:J55">
    <cfRule type="cellIs" dxfId="807" priority="17" operator="equal">
      <formula>"N/A"</formula>
    </cfRule>
    <cfRule type="cellIs" dxfId="806" priority="18" operator="equal">
      <formula>"CUMPLE"</formula>
    </cfRule>
    <cfRule type="cellIs" dxfId="805" priority="19" operator="equal">
      <formula>"NO CUMPLE"</formula>
    </cfRule>
    <cfRule type="cellIs" dxfId="804" priority="20" operator="equal">
      <formula>"""CUMPLE"""</formula>
    </cfRule>
  </conditionalFormatting>
  <conditionalFormatting sqref="D56:J65">
    <cfRule type="containsBlanks" dxfId="803" priority="7">
      <formula>LEN(TRIM(D56))=0</formula>
    </cfRule>
    <cfRule type="notContainsErrors" dxfId="802" priority="8">
      <formula>NOT(ISERROR(D56))</formula>
    </cfRule>
    <cfRule type="cellIs" dxfId="801" priority="6" operator="equal">
      <formula>"CUMPLE"</formula>
    </cfRule>
    <cfRule type="cellIs" dxfId="800" priority="5" operator="equal">
      <formula>"NO CUMPLE"</formula>
    </cfRule>
  </conditionalFormatting>
  <conditionalFormatting sqref="D66:J66">
    <cfRule type="cellIs" dxfId="799" priority="14" operator="equal">
      <formula>"CUMPLE"</formula>
    </cfRule>
    <cfRule type="cellIs" dxfId="798" priority="15" operator="equal">
      <formula>"NO CUMPLE"</formula>
    </cfRule>
    <cfRule type="cellIs" dxfId="797" priority="16" operator="equal">
      <formula>"""CUMPLE"""</formula>
    </cfRule>
    <cfRule type="cellIs" dxfId="796" priority="13" operator="equal">
      <formula>"N/A"</formula>
    </cfRule>
  </conditionalFormatting>
  <conditionalFormatting sqref="D67:J67">
    <cfRule type="cellIs" dxfId="795" priority="1" operator="equal">
      <formula>"NO CUMPLE"</formula>
    </cfRule>
    <cfRule type="cellIs" dxfId="794" priority="2" operator="equal">
      <formula>"CUMPLE"</formula>
    </cfRule>
  </conditionalFormatting>
  <conditionalFormatting sqref="D24:K24 D34:J34">
    <cfRule type="notContainsErrors" dxfId="793" priority="26">
      <formula>NOT(ISERROR(D24))</formula>
    </cfRule>
  </conditionalFormatting>
  <conditionalFormatting sqref="D67:K67">
    <cfRule type="notContainsErrors" dxfId="792" priority="4">
      <formula>NOT(ISERROR(D67))</formula>
    </cfRule>
    <cfRule type="containsBlanks" dxfId="791" priority="3">
      <formula>LEN(TRIM(D67))=0</formula>
    </cfRule>
  </conditionalFormatting>
  <conditionalFormatting sqref="F20:H20">
    <cfRule type="cellIs" dxfId="790" priority="65" operator="equal">
      <formula>"CUMPLE"</formula>
    </cfRule>
    <cfRule type="cellIs" dxfId="789" priority="66" operator="equal">
      <formula>"NO CUMPLE"</formula>
    </cfRule>
    <cfRule type="cellIs" dxfId="788" priority="67" operator="equal">
      <formula>"""CUMPLE"""</formula>
    </cfRule>
  </conditionalFormatting>
  <conditionalFormatting sqref="I11">
    <cfRule type="containsText" dxfId="787" priority="68" operator="containsText" text="INHABILITADO">
      <formula>NOT(ISERROR(SEARCH("INHABILITADO",I11)))</formula>
    </cfRule>
    <cfRule type="containsText" dxfId="786" priority="69" operator="containsText" text="HABILITADO">
      <formula>NOT(ISERROR(SEARCH("HABILITADO",I11)))</formula>
    </cfRule>
    <cfRule type="containsText" dxfId="785" priority="70" operator="containsText" text="HABILITADO">
      <formula>NOT(ISERROR(SEARCH("HABILITADO",I11)))</formula>
    </cfRule>
    <cfRule type="containsText" dxfId="784" priority="71" operator="containsText" text="NO CUMPLE">
      <formula>NOT(ISERROR(SEARCH("NO CUMPLE",I11)))</formula>
    </cfRule>
  </conditionalFormatting>
  <conditionalFormatting sqref="K19">
    <cfRule type="cellIs" dxfId="783" priority="56" operator="equal">
      <formula>"CUMPLE"</formula>
    </cfRule>
    <cfRule type="cellIs" dxfId="782" priority="57" operator="equal">
      <formula>"NO CUMPLE"</formula>
    </cfRule>
    <cfRule type="cellIs" dxfId="781" priority="58" operator="equal">
      <formula>"""CUMPLE"""</formula>
    </cfRule>
  </conditionalFormatting>
  <conditionalFormatting sqref="K25:K65">
    <cfRule type="containsBlanks" dxfId="780" priority="47">
      <formula>LEN(TRIM(K25))=0</formula>
    </cfRule>
    <cfRule type="notContainsErrors" dxfId="779" priority="48">
      <formula>NOT(ISERROR(K25))</formula>
    </cfRule>
  </conditionalFormatting>
  <conditionalFormatting sqref="L15">
    <cfRule type="cellIs" dxfId="778" priority="62" operator="equal">
      <formula>"CUMPLE"</formula>
    </cfRule>
    <cfRule type="cellIs" dxfId="777" priority="63" operator="equal">
      <formula>"NO CUMPLE"</formula>
    </cfRule>
    <cfRule type="cellIs" dxfId="776" priority="64" operator="equal">
      <formula>"""CUMPLE"""</formula>
    </cfRule>
  </conditionalFormatting>
  <dataValidations count="3">
    <dataValidation type="list" allowBlank="1" showInputMessage="1" showErrorMessage="1" sqref="H67:I67" xr:uid="{B4A3710E-269B-4A00-865F-CDD1C1829699}">
      <formula1>"CUMPLE,NO CUMPLE"</formula1>
    </dataValidation>
    <dataValidation type="list" allowBlank="1" showInputMessage="1" showErrorMessage="1" sqref="D24:J26" xr:uid="{4F849A99-C6B6-4D43-A875-4E86CEA5783B}">
      <formula1>$C$15:$C$19</formula1>
    </dataValidation>
    <dataValidation type="list" allowBlank="1" showInputMessage="1" showErrorMessage="1" sqref="L58:L66" xr:uid="{810DB297-F9AA-4A53-9BAC-630C807196F8}">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BD3744AC-3FF8-4850-A326-E653A4764C86}">
          <x14:formula1>
            <xm:f>'DATOS INICIALES'!$A$13:$A$44</xm:f>
          </x14:formula1>
          <xm:sqref>H31:I31</xm:sqref>
        </x14:dataValidation>
        <x14:dataValidation type="list" allowBlank="1" showInputMessage="1" showErrorMessage="1" xr:uid="{57613AD7-3920-419C-9047-DF644F27D523}">
          <x14:formula1>
            <xm:f>'DATOS INICIALES'!$D$22:$D$26</xm:f>
          </x14:formula1>
          <xm:sqref>M47:M55</xm:sqref>
        </x14:dataValidation>
        <x14:dataValidation type="list" allowBlank="1" showInputMessage="1" showErrorMessage="1" xr:uid="{CC0EFC72-6ADB-4257-A4D1-8F3117F8B2E1}">
          <x14:formula1>
            <xm:f>'DATOS INICIALES'!$A$57:$A$62</xm:f>
          </x14:formula1>
          <xm:sqref>D23:I23</xm:sqref>
        </x14:dataValidation>
        <x14:dataValidation type="list" allowBlank="1" showInputMessage="1" showErrorMessage="1" xr:uid="{BBE1F8E5-4169-4E2E-B4E7-C6AB8E92E946}">
          <x14:formula1>
            <xm:f>'DATOS INICIALES'!$A$53:$A$55</xm:f>
          </x14:formula1>
          <xm:sqref>H59:J65 H46:J46 J56:J57 H56:I58</xm:sqref>
        </x14:dataValidation>
        <x14:dataValidation type="list" allowBlank="1" showInputMessage="1" showErrorMessage="1" xr:uid="{5190A969-D50A-4D68-8CF4-C78BDE41FCCD}">
          <x14:formula1>
            <xm:f>'DATOS INICIALES'!$C$48:$C$49</xm:f>
          </x14:formula1>
          <xm:sqref>J47:J52 H47:I54</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07778-D356-4617-A7BD-F694BBE7E18E}">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G16" sqref="G16"/>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+PROPONENTES!B26</f>
        <v>CONSORCIO DAI USAQUEN</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DOBLE A INGENIERIA SAS</v>
      </c>
      <c r="D15" s="101">
        <f>IF(VLOOKUP(C11,PROPONENTES!B10:N44,3,FALSE)=0,"",VLOOKUP(C11,PROPONENTES!B10:N44,3,FALSE))</f>
        <v>0.75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56927.839999999997</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5</v>
      </c>
      <c r="J15" s="264">
        <f>IF(AND(I15&gt;=1,I15&lt;=2),L8,IF(AND(I15&gt;=3,I15&lt;=4),L9,IF(AND(I15&gt;=5,I15&lt;=7),L10)))</f>
        <v>23649.896899615385</v>
      </c>
      <c r="K15" s="264">
        <f>+E20</f>
        <v>113927.10799999999</v>
      </c>
      <c r="L15" s="265" t="str">
        <f>IF(K15&gt;=J15,"CUMPLE","NO CUMPLE")</f>
        <v>CUMPLE</v>
      </c>
    </row>
    <row r="16" spans="2:12" ht="33.75" customHeight="1" x14ac:dyDescent="0.2">
      <c r="B16" s="273"/>
      <c r="C16" s="100" t="str">
        <f>IF(VLOOKUP(C11,PROPONENTES!B10:N44,4,FALSE)=0,"",VLOOKUP(C11,PROPONENTES!B10:N44,4,FALSE))</f>
        <v>INDUSTRIA PRODUCTORA DE MEZCLAS ASFALTICAS SAS</v>
      </c>
      <c r="D16" s="101">
        <f>IF(VLOOKUP(C11,PROPONENTES!B10:N44,5,FALSE)=0,"",VLOOKUP(C11,PROPONENTES!B10:N44,5,FALSE))</f>
        <v>0.25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56999.267999999996</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113927.10799999999</v>
      </c>
      <c r="J19" s="355">
        <f>IF(I15="","",VLOOKUP(I15,$D$76:$E$82,2,FALSE))</f>
        <v>23649.896899615385</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113927.10799999999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265</v>
      </c>
      <c r="E24" s="91" t="s">
        <v>265</v>
      </c>
      <c r="F24" s="91" t="s">
        <v>264</v>
      </c>
      <c r="G24" s="91" t="s">
        <v>264</v>
      </c>
      <c r="H24" s="91" t="s">
        <v>264</v>
      </c>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213" t="s">
        <v>514</v>
      </c>
      <c r="E27" s="213" t="s">
        <v>515</v>
      </c>
      <c r="F27" s="213" t="s">
        <v>516</v>
      </c>
      <c r="G27" s="213" t="s">
        <v>517</v>
      </c>
      <c r="H27" s="214" t="s">
        <v>518</v>
      </c>
      <c r="I27" s="92"/>
      <c r="J27" s="92"/>
      <c r="K27" s="247"/>
      <c r="L27" s="248"/>
    </row>
    <row r="28" spans="2:14" ht="156.75" customHeight="1" x14ac:dyDescent="0.2">
      <c r="B28" s="277"/>
      <c r="C28" s="26" t="s">
        <v>36</v>
      </c>
      <c r="D28" s="213" t="s">
        <v>519</v>
      </c>
      <c r="E28" s="213" t="s">
        <v>520</v>
      </c>
      <c r="F28" s="213" t="s">
        <v>521</v>
      </c>
      <c r="G28" s="213" t="s">
        <v>522</v>
      </c>
      <c r="H28" s="214" t="s">
        <v>523</v>
      </c>
      <c r="I28" s="92"/>
      <c r="J28" s="92"/>
      <c r="K28" s="247"/>
      <c r="L28" s="248"/>
    </row>
    <row r="29" spans="2:14" ht="52.5" customHeight="1" x14ac:dyDescent="0.2">
      <c r="B29" s="277"/>
      <c r="C29" s="26" t="s">
        <v>172</v>
      </c>
      <c r="D29" s="215">
        <v>43144</v>
      </c>
      <c r="E29" s="216">
        <v>41669</v>
      </c>
      <c r="F29" s="216">
        <v>38686</v>
      </c>
      <c r="G29" s="216">
        <v>35752</v>
      </c>
      <c r="H29" s="217">
        <v>40903</v>
      </c>
      <c r="I29" s="96"/>
      <c r="J29" s="96"/>
      <c r="K29" s="247"/>
      <c r="L29" s="248"/>
    </row>
    <row r="30" spans="2:14" ht="54.75" customHeight="1" x14ac:dyDescent="0.2">
      <c r="B30" s="277"/>
      <c r="C30" s="26" t="s">
        <v>40</v>
      </c>
      <c r="D30" s="216">
        <v>44013</v>
      </c>
      <c r="E30" s="216">
        <v>42124</v>
      </c>
      <c r="F30" s="216">
        <v>39568</v>
      </c>
      <c r="G30" s="216">
        <v>36388</v>
      </c>
      <c r="H30" s="217">
        <v>41351</v>
      </c>
      <c r="I30" s="96"/>
      <c r="J30" s="96"/>
      <c r="K30" s="247"/>
      <c r="L30" s="248"/>
    </row>
    <row r="31" spans="2:14" ht="41.25" customHeight="1" x14ac:dyDescent="0.2">
      <c r="B31" s="277"/>
      <c r="C31" s="26" t="s">
        <v>37</v>
      </c>
      <c r="D31" s="93">
        <v>2020</v>
      </c>
      <c r="E31" s="93">
        <v>2015</v>
      </c>
      <c r="F31" s="93">
        <v>2008</v>
      </c>
      <c r="G31" s="93">
        <v>1999</v>
      </c>
      <c r="H31" s="93">
        <v>2013</v>
      </c>
      <c r="I31" s="93"/>
      <c r="J31" s="93"/>
      <c r="K31" s="247"/>
      <c r="L31" s="248"/>
    </row>
    <row r="32" spans="2:14" ht="63" customHeight="1" x14ac:dyDescent="0.2">
      <c r="B32" s="277"/>
      <c r="C32" s="26" t="s">
        <v>38</v>
      </c>
      <c r="D32" s="213" t="s">
        <v>524</v>
      </c>
      <c r="E32" s="213" t="s">
        <v>524</v>
      </c>
      <c r="F32" s="213" t="s">
        <v>338</v>
      </c>
      <c r="G32" s="213" t="s">
        <v>524</v>
      </c>
      <c r="H32" s="214" t="s">
        <v>525</v>
      </c>
      <c r="I32" s="92"/>
      <c r="J32" s="92"/>
      <c r="K32" s="247"/>
      <c r="L32" s="248"/>
    </row>
    <row r="33" spans="2:12" ht="46.5" customHeight="1" x14ac:dyDescent="0.2">
      <c r="B33" s="277"/>
      <c r="C33" s="26" t="s">
        <v>39</v>
      </c>
      <c r="D33" s="92" t="s">
        <v>526</v>
      </c>
      <c r="E33" s="92" t="s">
        <v>527</v>
      </c>
      <c r="F33" s="92" t="s">
        <v>264</v>
      </c>
      <c r="G33" s="92" t="s">
        <v>528</v>
      </c>
      <c r="H33" s="92" t="s">
        <v>264</v>
      </c>
      <c r="I33" s="92"/>
      <c r="J33" s="92"/>
      <c r="K33" s="247"/>
      <c r="L33" s="248"/>
    </row>
    <row r="34" spans="2:12" ht="27.75" customHeight="1" x14ac:dyDescent="0.2">
      <c r="B34" s="277"/>
      <c r="C34" s="28" t="s">
        <v>33</v>
      </c>
      <c r="D34" s="218">
        <v>1</v>
      </c>
      <c r="E34" s="218">
        <v>5</v>
      </c>
      <c r="F34" s="218">
        <v>10</v>
      </c>
      <c r="G34" s="218">
        <v>30</v>
      </c>
      <c r="H34" s="219">
        <v>1</v>
      </c>
      <c r="I34" s="98"/>
      <c r="J34" s="98"/>
      <c r="K34" s="247"/>
      <c r="L34" s="248"/>
    </row>
    <row r="35" spans="2:12" ht="102.75" customHeight="1" x14ac:dyDescent="0.2">
      <c r="B35" s="277"/>
      <c r="C35" s="26" t="s">
        <v>118</v>
      </c>
      <c r="D35" s="94">
        <v>67890.12</v>
      </c>
      <c r="E35" s="94">
        <v>18072.439999999999</v>
      </c>
      <c r="F35" s="94">
        <v>31468.639999999999</v>
      </c>
      <c r="G35" s="94">
        <v>37214.839999999997</v>
      </c>
      <c r="H35" s="94">
        <v>6851.78</v>
      </c>
      <c r="I35" s="94"/>
      <c r="J35" s="94"/>
      <c r="K35" s="279"/>
      <c r="L35" s="280"/>
    </row>
    <row r="36" spans="2:12" ht="48" customHeight="1" x14ac:dyDescent="0.2">
      <c r="B36" s="277"/>
      <c r="C36" s="26" t="s">
        <v>74</v>
      </c>
      <c r="D36" s="105">
        <f>IFERROR(D35*VLOOKUP(D31,'DATOS INICIALES'!$A$12:$B$44,2,0),"0")</f>
        <v>59594151006.359993</v>
      </c>
      <c r="E36" s="105">
        <f>IFERROR(E35*VLOOKUP(E31,'DATOS INICIALES'!$A$12:$B$44,2,0),"0")</f>
        <v>11644976714</v>
      </c>
      <c r="F36" s="105">
        <f>IFERROR(F35*VLOOKUP(F31,'DATOS INICIALES'!$A$12:$B$44,2,0),"0")</f>
        <v>14522777360</v>
      </c>
      <c r="G36" s="105">
        <f>IFERROR(G35*VLOOKUP(G31,'DATOS INICIALES'!$A$12:$B$44,2,0),"0")</f>
        <v>8799821066.3999996</v>
      </c>
      <c r="H36" s="105">
        <f>IFERROR(H35*VLOOKUP(H31,'DATOS INICIALES'!$A$12:$B$44,2,0),"0")</f>
        <v>4039124310</v>
      </c>
      <c r="I36" s="105" t="str">
        <f>IFERROR(I35*VLOOKUP(I31,'DATOS INICIALES'!$A$12:$B$44,2,0),"0")</f>
        <v>0</v>
      </c>
      <c r="J36" s="105" t="str">
        <f>IFERROR(J35*VLOOKUP(J31,'DATOS INICIALES'!$A$12:$B$44,2,0),"0")</f>
        <v>0</v>
      </c>
      <c r="K36" s="247"/>
      <c r="L36" s="248"/>
    </row>
    <row r="37" spans="2:12" ht="33.75" customHeight="1" x14ac:dyDescent="0.2">
      <c r="B37" s="277"/>
      <c r="C37" s="26" t="s">
        <v>119</v>
      </c>
      <c r="D37" s="95">
        <v>0.6</v>
      </c>
      <c r="E37" s="95">
        <v>0.9</v>
      </c>
      <c r="F37" s="95">
        <v>1</v>
      </c>
      <c r="G37" s="95">
        <v>0.5</v>
      </c>
      <c r="H37" s="95">
        <v>1</v>
      </c>
      <c r="I37" s="95"/>
      <c r="J37" s="95"/>
      <c r="K37" s="247"/>
      <c r="L37" s="248"/>
    </row>
    <row r="38" spans="2:12" ht="48.75" customHeight="1" x14ac:dyDescent="0.2">
      <c r="B38" s="277"/>
      <c r="C38" s="26" t="s">
        <v>125</v>
      </c>
      <c r="D38" s="105">
        <f t="shared" ref="D38:J38" si="3">IF(D24="","0",D37*D36)</f>
        <v>35756490603.815994</v>
      </c>
      <c r="E38" s="105">
        <f t="shared" si="3"/>
        <v>10480479042.6</v>
      </c>
      <c r="F38" s="105">
        <f t="shared" si="3"/>
        <v>14522777360</v>
      </c>
      <c r="G38" s="105">
        <f t="shared" si="3"/>
        <v>4399910533.1999998</v>
      </c>
      <c r="H38" s="105">
        <f t="shared" si="3"/>
        <v>4039124310</v>
      </c>
      <c r="I38" s="105" t="str">
        <f t="shared" si="3"/>
        <v>0</v>
      </c>
      <c r="J38" s="105" t="str">
        <f t="shared" si="3"/>
        <v>0</v>
      </c>
      <c r="K38" s="247"/>
      <c r="L38" s="248"/>
    </row>
    <row r="39" spans="2:12" ht="65.25" customHeight="1" x14ac:dyDescent="0.2">
      <c r="B39" s="277"/>
      <c r="C39" s="26" t="s">
        <v>120</v>
      </c>
      <c r="D39" s="106">
        <f t="shared" ref="D39:J39" si="4">IFERROR(D35*D37,"0")</f>
        <v>40734.071999999993</v>
      </c>
      <c r="E39" s="106">
        <f t="shared" si="4"/>
        <v>16265.196</v>
      </c>
      <c r="F39" s="106">
        <f t="shared" si="4"/>
        <v>31468.639999999999</v>
      </c>
      <c r="G39" s="106">
        <f t="shared" si="4"/>
        <v>18607.419999999998</v>
      </c>
      <c r="H39" s="106">
        <f t="shared" si="4"/>
        <v>6851.78</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t="s">
        <v>13</v>
      </c>
      <c r="I46" s="91"/>
      <c r="J46" s="91"/>
      <c r="K46" s="247"/>
      <c r="L46" s="248"/>
    </row>
    <row r="47" spans="2:12" ht="24.75" customHeight="1" x14ac:dyDescent="0.2">
      <c r="B47" s="284" t="s">
        <v>34</v>
      </c>
      <c r="C47" s="29">
        <f>+'DATOS INICIALES'!D22</f>
        <v>721033</v>
      </c>
      <c r="D47" s="97" t="s">
        <v>77</v>
      </c>
      <c r="E47" s="97" t="s">
        <v>77</v>
      </c>
      <c r="F47" s="97" t="s">
        <v>77</v>
      </c>
      <c r="G47" s="97" t="s">
        <v>77</v>
      </c>
      <c r="H47" s="97" t="s">
        <v>77</v>
      </c>
      <c r="I47" s="97"/>
      <c r="J47" s="98"/>
      <c r="K47" s="247"/>
      <c r="L47" s="248"/>
    </row>
    <row r="48" spans="2:12" ht="24.75" customHeight="1" x14ac:dyDescent="0.2">
      <c r="B48" s="285"/>
      <c r="C48" s="29">
        <f>+'DATOS INICIALES'!D23</f>
        <v>721410</v>
      </c>
      <c r="D48" s="97" t="s">
        <v>77</v>
      </c>
      <c r="E48" s="97" t="s">
        <v>77</v>
      </c>
      <c r="F48" s="97" t="s">
        <v>77</v>
      </c>
      <c r="G48" s="97" t="s">
        <v>77</v>
      </c>
      <c r="H48" s="97" t="s">
        <v>77</v>
      </c>
      <c r="I48" s="97"/>
      <c r="J48" s="98"/>
      <c r="K48" s="247"/>
      <c r="L48" s="248"/>
    </row>
    <row r="49" spans="2:12" ht="24.75" customHeight="1" x14ac:dyDescent="0.2">
      <c r="B49" s="285"/>
      <c r="C49" s="29">
        <f>+'DATOS INICIALES'!D24</f>
        <v>721411</v>
      </c>
      <c r="D49" s="97" t="s">
        <v>77</v>
      </c>
      <c r="E49" s="97" t="s">
        <v>77</v>
      </c>
      <c r="F49" s="97" t="s">
        <v>77</v>
      </c>
      <c r="G49" s="97" t="s">
        <v>77</v>
      </c>
      <c r="H49" s="97" t="s">
        <v>77</v>
      </c>
      <c r="I49" s="97"/>
      <c r="J49" s="98"/>
      <c r="K49" s="247"/>
      <c r="L49" s="248"/>
    </row>
    <row r="50" spans="2:12" ht="24.75" customHeight="1" x14ac:dyDescent="0.2">
      <c r="B50" s="285"/>
      <c r="C50" s="29">
        <f>+'DATOS INICIALES'!D25</f>
        <v>721416</v>
      </c>
      <c r="D50" s="97" t="s">
        <v>77</v>
      </c>
      <c r="E50" s="97" t="s">
        <v>77</v>
      </c>
      <c r="F50" s="97" t="s">
        <v>77</v>
      </c>
      <c r="G50" s="97" t="s">
        <v>77</v>
      </c>
      <c r="H50" s="97" t="s">
        <v>77</v>
      </c>
      <c r="I50" s="97"/>
      <c r="J50" s="98"/>
      <c r="K50" s="247"/>
      <c r="L50" s="248"/>
    </row>
    <row r="51" spans="2:12" ht="24.75" customHeight="1" x14ac:dyDescent="0.2">
      <c r="B51" s="285"/>
      <c r="C51" s="29">
        <f>+'DATOS INICIALES'!D26</f>
        <v>721527</v>
      </c>
      <c r="D51" s="97" t="s">
        <v>77</v>
      </c>
      <c r="E51" s="97" t="s">
        <v>77</v>
      </c>
      <c r="F51" s="97" t="s">
        <v>77</v>
      </c>
      <c r="G51" s="97" t="s">
        <v>77</v>
      </c>
      <c r="H51" s="97" t="s">
        <v>77</v>
      </c>
      <c r="I51" s="97"/>
      <c r="J51" s="98"/>
      <c r="K51" s="247"/>
      <c r="L51" s="248"/>
    </row>
    <row r="52" spans="2:12" ht="24.75" customHeight="1" x14ac:dyDescent="0.2">
      <c r="B52" s="285"/>
      <c r="C52" s="29">
        <f>+'DATOS INICIALES'!D27</f>
        <v>721539</v>
      </c>
      <c r="D52" s="97" t="s">
        <v>75</v>
      </c>
      <c r="E52" s="97" t="s">
        <v>75</v>
      </c>
      <c r="F52" s="97" t="s">
        <v>75</v>
      </c>
      <c r="G52" s="97" t="s">
        <v>75</v>
      </c>
      <c r="H52" s="97" t="s">
        <v>75</v>
      </c>
      <c r="I52" s="97"/>
      <c r="J52" s="98"/>
      <c r="K52" s="247"/>
      <c r="L52" s="248"/>
    </row>
    <row r="53" spans="2:12" ht="24.75" customHeight="1" x14ac:dyDescent="0.2">
      <c r="B53" s="285"/>
      <c r="C53" s="29">
        <f>+'DATOS INICIALES'!D28</f>
        <v>951115</v>
      </c>
      <c r="D53" s="97" t="s">
        <v>77</v>
      </c>
      <c r="E53" s="97" t="s">
        <v>77</v>
      </c>
      <c r="F53" s="97" t="s">
        <v>77</v>
      </c>
      <c r="G53" s="97" t="s">
        <v>77</v>
      </c>
      <c r="H53" s="97" t="s">
        <v>77</v>
      </c>
      <c r="I53" s="97"/>
      <c r="J53" s="97"/>
      <c r="K53" s="247"/>
      <c r="L53" s="248"/>
    </row>
    <row r="54" spans="2:12" ht="24.75" customHeight="1" x14ac:dyDescent="0.2">
      <c r="B54" s="285"/>
      <c r="C54" s="29">
        <f>+'DATOS INICIALES'!D29</f>
        <v>721033</v>
      </c>
      <c r="D54" s="97" t="s">
        <v>77</v>
      </c>
      <c r="E54" s="97" t="s">
        <v>77</v>
      </c>
      <c r="F54" s="97" t="s">
        <v>77</v>
      </c>
      <c r="G54" s="97" t="s">
        <v>77</v>
      </c>
      <c r="H54" s="97" t="s">
        <v>77</v>
      </c>
      <c r="I54" s="97"/>
      <c r="J54" s="97"/>
      <c r="K54" s="247"/>
      <c r="L54" s="248"/>
    </row>
    <row r="55" spans="2:12" ht="60.75" customHeight="1" x14ac:dyDescent="0.2">
      <c r="B55" s="286"/>
      <c r="C55" s="18" t="s">
        <v>57</v>
      </c>
      <c r="D55" s="18" t="str">
        <f t="shared" ref="D55:H55" si="9">IF(D24="","N/A",IF(D47="SI","CUMPLE",IF(D48="SI","CUMPLE",IF(D49="SI","CUMPLE",IF(D50="SI","CUMPLE",IF(D51="SI","CUMPLE",IF(D52="SI","CUMPLE",IF(D54="SI","CUMPLE","NO CUMPLE"))))))))</f>
        <v>CUMPLE</v>
      </c>
      <c r="E55" s="18" t="str">
        <f t="shared" si="9"/>
        <v>CUMPLE</v>
      </c>
      <c r="F55" s="18" t="str">
        <f t="shared" si="9"/>
        <v>CUMPLE</v>
      </c>
      <c r="G55" s="18" t="str">
        <f t="shared" si="9"/>
        <v>CUMPLE</v>
      </c>
      <c r="H55" s="18" t="str">
        <f t="shared" si="9"/>
        <v>CUMPLE</v>
      </c>
      <c r="I55" s="18" t="str">
        <f t="shared" ref="I55:J55" si="10">IF(I24="","N/A",IF(I47="SI","CUMPLE",IF(I48="SI","CUMPLE",IF(I49="SI","CUMPLE",IF(I50="SI","CUMPLE",IF(I51="SI","CUMPLE",IF(I52="SI","CUMPLE",IF(I54="SI","CUMPLE","NO CUMPLE"))))))))</f>
        <v>N/A</v>
      </c>
      <c r="J55" s="18" t="str">
        <f t="shared" si="10"/>
        <v>N/A</v>
      </c>
      <c r="K55" s="247"/>
      <c r="L55" s="248"/>
    </row>
    <row r="56" spans="2:12" ht="147.5" customHeight="1" x14ac:dyDescent="0.2">
      <c r="B56" s="287" t="s">
        <v>189</v>
      </c>
      <c r="C56" s="288"/>
      <c r="D56" s="91" t="s">
        <v>13</v>
      </c>
      <c r="E56" s="91" t="s">
        <v>13</v>
      </c>
      <c r="F56" s="91" t="s">
        <v>13</v>
      </c>
      <c r="G56" s="91" t="s">
        <v>13</v>
      </c>
      <c r="H56" s="91" t="s">
        <v>13</v>
      </c>
      <c r="I56" s="91"/>
      <c r="J56" s="91"/>
      <c r="K56" s="257"/>
      <c r="L56" s="258"/>
    </row>
    <row r="57" spans="2:12" ht="103.25" customHeight="1" x14ac:dyDescent="0.2">
      <c r="B57" s="287" t="s">
        <v>190</v>
      </c>
      <c r="C57" s="288"/>
      <c r="D57" s="91" t="s">
        <v>13</v>
      </c>
      <c r="E57" s="91" t="s">
        <v>13</v>
      </c>
      <c r="F57" s="91" t="s">
        <v>13</v>
      </c>
      <c r="G57" s="91" t="s">
        <v>13</v>
      </c>
      <c r="H57" s="91" t="s">
        <v>13</v>
      </c>
      <c r="I57" s="91"/>
      <c r="J57" s="91"/>
      <c r="K57" s="257"/>
      <c r="L57" s="258"/>
    </row>
    <row r="58" spans="2:12" ht="72" customHeight="1" x14ac:dyDescent="0.2">
      <c r="B58" s="281" t="s">
        <v>191</v>
      </c>
      <c r="C58" s="282"/>
      <c r="D58" s="91" t="s">
        <v>13</v>
      </c>
      <c r="E58" s="91" t="s">
        <v>13</v>
      </c>
      <c r="F58" s="91" t="s">
        <v>13</v>
      </c>
      <c r="G58" s="91" t="s">
        <v>13</v>
      </c>
      <c r="H58" s="91" t="s">
        <v>13</v>
      </c>
      <c r="I58" s="91"/>
      <c r="J58" s="91"/>
      <c r="K58" s="247"/>
      <c r="L58" s="248"/>
    </row>
    <row r="59" spans="2:12" ht="42.5" customHeight="1" x14ac:dyDescent="0.2">
      <c r="B59" s="281" t="s">
        <v>192</v>
      </c>
      <c r="C59" s="282"/>
      <c r="D59" s="91" t="s">
        <v>13</v>
      </c>
      <c r="E59" s="91" t="s">
        <v>13</v>
      </c>
      <c r="F59" s="91" t="s">
        <v>13</v>
      </c>
      <c r="G59" s="91" t="s">
        <v>13</v>
      </c>
      <c r="H59" s="91" t="s">
        <v>13</v>
      </c>
      <c r="I59" s="91"/>
      <c r="J59" s="91"/>
      <c r="K59" s="247"/>
      <c r="L59" s="248"/>
    </row>
    <row r="60" spans="2:12" ht="36" customHeight="1" x14ac:dyDescent="0.2">
      <c r="B60" s="281" t="s">
        <v>193</v>
      </c>
      <c r="C60" s="282"/>
      <c r="D60" s="91" t="s">
        <v>13</v>
      </c>
      <c r="E60" s="91" t="s">
        <v>13</v>
      </c>
      <c r="F60" s="91" t="s">
        <v>13</v>
      </c>
      <c r="G60" s="91" t="s">
        <v>13</v>
      </c>
      <c r="H60" s="91" t="s">
        <v>13</v>
      </c>
      <c r="I60" s="91"/>
      <c r="J60" s="91"/>
      <c r="K60" s="247"/>
      <c r="L60" s="248"/>
    </row>
    <row r="61" spans="2:12" ht="160.75" customHeight="1" x14ac:dyDescent="0.2">
      <c r="B61" s="281" t="s">
        <v>194</v>
      </c>
      <c r="C61" s="282"/>
      <c r="D61" s="91" t="s">
        <v>13</v>
      </c>
      <c r="E61" s="91" t="s">
        <v>13</v>
      </c>
      <c r="F61" s="91" t="s">
        <v>13</v>
      </c>
      <c r="G61" s="91" t="s">
        <v>13</v>
      </c>
      <c r="H61" s="91" t="s">
        <v>13</v>
      </c>
      <c r="I61" s="91"/>
      <c r="J61" s="91"/>
      <c r="K61" s="247"/>
      <c r="L61" s="248"/>
    </row>
    <row r="62" spans="2:12" ht="409.25" customHeight="1" x14ac:dyDescent="0.2">
      <c r="B62" s="261" t="s">
        <v>195</v>
      </c>
      <c r="C62" s="261"/>
      <c r="D62" s="91" t="s">
        <v>13</v>
      </c>
      <c r="E62" s="91" t="s">
        <v>13</v>
      </c>
      <c r="F62" s="91" t="s">
        <v>13</v>
      </c>
      <c r="G62" s="91" t="s">
        <v>13</v>
      </c>
      <c r="H62" s="91" t="s">
        <v>13</v>
      </c>
      <c r="I62" s="91"/>
      <c r="J62" s="91"/>
      <c r="K62" s="279"/>
      <c r="L62" s="280"/>
    </row>
    <row r="63" spans="2:12" ht="301.75" customHeight="1" x14ac:dyDescent="0.2">
      <c r="B63" s="262" t="s">
        <v>196</v>
      </c>
      <c r="C63" s="263"/>
      <c r="D63" s="91" t="s">
        <v>13</v>
      </c>
      <c r="E63" s="91" t="s">
        <v>13</v>
      </c>
      <c r="F63" s="91" t="s">
        <v>13</v>
      </c>
      <c r="G63" s="91" t="s">
        <v>13</v>
      </c>
      <c r="H63" s="91" t="s">
        <v>13</v>
      </c>
      <c r="I63" s="91"/>
      <c r="J63" s="91"/>
      <c r="K63" s="247"/>
      <c r="L63" s="248"/>
    </row>
    <row r="64" spans="2:12" ht="253.75" customHeight="1" x14ac:dyDescent="0.2">
      <c r="B64" s="283" t="s">
        <v>197</v>
      </c>
      <c r="C64" s="283"/>
      <c r="D64" s="91" t="s">
        <v>13</v>
      </c>
      <c r="E64" s="91" t="s">
        <v>13</v>
      </c>
      <c r="F64" s="91" t="s">
        <v>13</v>
      </c>
      <c r="G64" s="91" t="s">
        <v>13</v>
      </c>
      <c r="H64" s="91" t="s">
        <v>13</v>
      </c>
      <c r="I64" s="91"/>
      <c r="J64" s="91"/>
      <c r="K64" s="247"/>
      <c r="L64" s="248"/>
    </row>
    <row r="65" spans="2:12" ht="243.5" customHeight="1" x14ac:dyDescent="0.2">
      <c r="B65" s="261" t="s">
        <v>198</v>
      </c>
      <c r="C65" s="261"/>
      <c r="D65" s="91" t="s">
        <v>13</v>
      </c>
      <c r="E65" s="91" t="s">
        <v>13</v>
      </c>
      <c r="F65" s="91" t="s">
        <v>13</v>
      </c>
      <c r="G65" s="91" t="s">
        <v>13</v>
      </c>
      <c r="H65" s="91" t="s">
        <v>13</v>
      </c>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H66" si="11">IF(F24="","N/A",IF(AND(F46="CUMPLE",F55="CUMPLE",F56="CUMPLE",F57="CUMPLE",F58="CUMPLE",F59="CUMPLE",OR(F61="CUMPLE",F61="N/A"),F62="CUMPLE",OR(F63="CUMPLE",F63="N/A"),F65="CUMPLE",OR(F64="CUMPLE",F64="N/A")),"CUMPLE","NO CUMPLE"))</f>
        <v>CUMPLE</v>
      </c>
      <c r="G66" s="18" t="str">
        <f t="shared" si="11"/>
        <v>CUMPLE</v>
      </c>
      <c r="H66" s="18" t="str">
        <f t="shared" si="11"/>
        <v>CUMPLE</v>
      </c>
      <c r="I66" s="18" t="str">
        <f t="shared" ref="I66:J66" si="12">IF(I24="","N/A",IF(AND(I46="CUMPLE",I55="CUMPLE",I56="CUMPLE",I57="CUMPLE",I58="CUMPLE",I59="CUMPLE",OR(I61="CUMPLE",I61="N/A"),I62="CUMPLE",OR(I63="CUMPLE",I63="N/A"),I65="CUMPLE",OR(I64="CUMPLE",I64="N/A")),"CUMPLE","NO CUMPLE"))</f>
        <v>N/A</v>
      </c>
      <c r="J66" s="18" t="str">
        <f t="shared" si="12"/>
        <v>N/A</v>
      </c>
      <c r="K66" s="147"/>
      <c r="L66" s="148"/>
    </row>
    <row r="67" spans="2:12" ht="54.5" customHeight="1" x14ac:dyDescent="0.2">
      <c r="B67" s="261" t="s">
        <v>188</v>
      </c>
      <c r="C67" s="261"/>
      <c r="D67" s="91" t="s">
        <v>13</v>
      </c>
      <c r="E67" s="91" t="s">
        <v>13</v>
      </c>
      <c r="F67" s="91" t="s">
        <v>13</v>
      </c>
      <c r="G67" s="91" t="s">
        <v>13</v>
      </c>
      <c r="H67" s="91" t="s">
        <v>13</v>
      </c>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775" priority="24">
      <formula>NOT(ISERROR(D25))</formula>
    </cfRule>
    <cfRule type="containsBlanks" dxfId="774" priority="23">
      <formula>LEN(TRIM(D25))=0</formula>
    </cfRule>
  </conditionalFormatting>
  <conditionalFormatting sqref="D34:J34 D24:K24">
    <cfRule type="containsBlanks" dxfId="773" priority="25">
      <formula>LEN(TRIM(D24))=0</formula>
    </cfRule>
  </conditionalFormatting>
  <conditionalFormatting sqref="D37:J37">
    <cfRule type="notContainsErrors" dxfId="772" priority="22">
      <formula>NOT(ISERROR(D37))</formula>
    </cfRule>
    <cfRule type="containsBlanks" dxfId="771" priority="21">
      <formula>LEN(TRIM(D37))=0</formula>
    </cfRule>
  </conditionalFormatting>
  <conditionalFormatting sqref="D40:J40">
    <cfRule type="notContainsErrors" dxfId="770" priority="40">
      <formula>NOT(ISERROR(D40))</formula>
    </cfRule>
    <cfRule type="containsBlanks" dxfId="769" priority="39">
      <formula>LEN(TRIM(D40))=0</formula>
    </cfRule>
  </conditionalFormatting>
  <conditionalFormatting sqref="D43:J43 K66:L66">
    <cfRule type="notContainsErrors" dxfId="768" priority="50">
      <formula>NOT(ISERROR(D43))</formula>
    </cfRule>
    <cfRule type="containsBlanks" dxfId="767" priority="49">
      <formula>LEN(TRIM(D43))=0</formula>
    </cfRule>
  </conditionalFormatting>
  <conditionalFormatting sqref="D46:J54">
    <cfRule type="cellIs" dxfId="766" priority="9" operator="equal">
      <formula>"NO CUMPLE"</formula>
    </cfRule>
    <cfRule type="cellIs" dxfId="765" priority="10" operator="equal">
      <formula>"CUMPLE"</formula>
    </cfRule>
    <cfRule type="containsBlanks" dxfId="764" priority="11">
      <formula>LEN(TRIM(D46))=0</formula>
    </cfRule>
    <cfRule type="notContainsErrors" dxfId="763" priority="12">
      <formula>NOT(ISERROR(D46))</formula>
    </cfRule>
  </conditionalFormatting>
  <conditionalFormatting sqref="D55:J55">
    <cfRule type="cellIs" dxfId="762" priority="18" operator="equal">
      <formula>"CUMPLE"</formula>
    </cfRule>
    <cfRule type="cellIs" dxfId="761" priority="20" operator="equal">
      <formula>"""CUMPLE"""</formula>
    </cfRule>
    <cfRule type="cellIs" dxfId="760" priority="19" operator="equal">
      <formula>"NO CUMPLE"</formula>
    </cfRule>
    <cfRule type="cellIs" dxfId="759" priority="17" operator="equal">
      <formula>"N/A"</formula>
    </cfRule>
  </conditionalFormatting>
  <conditionalFormatting sqref="D56:J65">
    <cfRule type="cellIs" dxfId="758" priority="1" operator="equal">
      <formula>"NO CUMPLE"</formula>
    </cfRule>
    <cfRule type="notContainsErrors" dxfId="757" priority="4">
      <formula>NOT(ISERROR(D56))</formula>
    </cfRule>
    <cfRule type="cellIs" dxfId="756" priority="2" operator="equal">
      <formula>"CUMPLE"</formula>
    </cfRule>
    <cfRule type="containsBlanks" dxfId="755" priority="3">
      <formula>LEN(TRIM(D56))=0</formula>
    </cfRule>
  </conditionalFormatting>
  <conditionalFormatting sqref="D66:J66">
    <cfRule type="cellIs" dxfId="754" priority="16" operator="equal">
      <formula>"""CUMPLE"""</formula>
    </cfRule>
    <cfRule type="cellIs" dxfId="753" priority="13" operator="equal">
      <formula>"N/A"</formula>
    </cfRule>
    <cfRule type="cellIs" dxfId="752" priority="14" operator="equal">
      <formula>"CUMPLE"</formula>
    </cfRule>
    <cfRule type="cellIs" dxfId="751" priority="15" operator="equal">
      <formula>"NO CUMPLE"</formula>
    </cfRule>
  </conditionalFormatting>
  <conditionalFormatting sqref="D67:J67">
    <cfRule type="cellIs" dxfId="750" priority="6" operator="equal">
      <formula>"CUMPLE"</formula>
    </cfRule>
    <cfRule type="cellIs" dxfId="749" priority="5" operator="equal">
      <formula>"NO CUMPLE"</formula>
    </cfRule>
  </conditionalFormatting>
  <conditionalFormatting sqref="D24:K24 D34:J34">
    <cfRule type="notContainsErrors" dxfId="748" priority="26">
      <formula>NOT(ISERROR(D24))</formula>
    </cfRule>
  </conditionalFormatting>
  <conditionalFormatting sqref="D67:K67">
    <cfRule type="notContainsErrors" dxfId="747" priority="8">
      <formula>NOT(ISERROR(D67))</formula>
    </cfRule>
    <cfRule type="containsBlanks" dxfId="746" priority="7">
      <formula>LEN(TRIM(D67))=0</formula>
    </cfRule>
  </conditionalFormatting>
  <conditionalFormatting sqref="F20:H20">
    <cfRule type="cellIs" dxfId="745" priority="65" operator="equal">
      <formula>"CUMPLE"</formula>
    </cfRule>
    <cfRule type="cellIs" dxfId="744" priority="66" operator="equal">
      <formula>"NO CUMPLE"</formula>
    </cfRule>
    <cfRule type="cellIs" dxfId="743" priority="67" operator="equal">
      <formula>"""CUMPLE"""</formula>
    </cfRule>
  </conditionalFormatting>
  <conditionalFormatting sqref="I11">
    <cfRule type="containsText" dxfId="742" priority="68" operator="containsText" text="INHABILITADO">
      <formula>NOT(ISERROR(SEARCH("INHABILITADO",I11)))</formula>
    </cfRule>
    <cfRule type="containsText" dxfId="741" priority="69" operator="containsText" text="HABILITADO">
      <formula>NOT(ISERROR(SEARCH("HABILITADO",I11)))</formula>
    </cfRule>
    <cfRule type="containsText" dxfId="740" priority="70" operator="containsText" text="HABILITADO">
      <formula>NOT(ISERROR(SEARCH("HABILITADO",I11)))</formula>
    </cfRule>
    <cfRule type="containsText" dxfId="739" priority="71" operator="containsText" text="NO CUMPLE">
      <formula>NOT(ISERROR(SEARCH("NO CUMPLE",I11)))</formula>
    </cfRule>
  </conditionalFormatting>
  <conditionalFormatting sqref="K19">
    <cfRule type="cellIs" dxfId="738" priority="56" operator="equal">
      <formula>"CUMPLE"</formula>
    </cfRule>
    <cfRule type="cellIs" dxfId="737" priority="57" operator="equal">
      <formula>"NO CUMPLE"</formula>
    </cfRule>
    <cfRule type="cellIs" dxfId="736" priority="58" operator="equal">
      <formula>"""CUMPLE"""</formula>
    </cfRule>
  </conditionalFormatting>
  <conditionalFormatting sqref="K25:K65">
    <cfRule type="containsBlanks" dxfId="735" priority="47">
      <formula>LEN(TRIM(K25))=0</formula>
    </cfRule>
    <cfRule type="notContainsErrors" dxfId="734" priority="48">
      <formula>NOT(ISERROR(K25))</formula>
    </cfRule>
  </conditionalFormatting>
  <conditionalFormatting sqref="L15">
    <cfRule type="cellIs" dxfId="733" priority="62" operator="equal">
      <formula>"CUMPLE"</formula>
    </cfRule>
    <cfRule type="cellIs" dxfId="732" priority="63" operator="equal">
      <formula>"NO CUMPLE"</formula>
    </cfRule>
    <cfRule type="cellIs" dxfId="731" priority="64" operator="equal">
      <formula>"""CUMPLE"""</formula>
    </cfRule>
  </conditionalFormatting>
  <dataValidations count="3">
    <dataValidation type="list" allowBlank="1" showInputMessage="1" showErrorMessage="1" sqref="L58:L66" xr:uid="{5EB671FB-2CEC-4C86-BCC7-93C7D4F14D22}">
      <formula1>"0,1,2,3,4,5,6"</formula1>
    </dataValidation>
    <dataValidation type="list" allowBlank="1" showInputMessage="1" showErrorMessage="1" sqref="D24:J26" xr:uid="{F26BA123-50B9-47A8-897A-4E631001BDD7}">
      <formula1>$C$15:$C$19</formula1>
    </dataValidation>
    <dataValidation type="list" allowBlank="1" showInputMessage="1" showErrorMessage="1" sqref="I67" xr:uid="{AB3FAC1B-5961-4503-854B-09DA654B01DF}">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40C3654-ACC2-4149-883E-B8C048640D35}">
          <x14:formula1>
            <xm:f>'DATOS INICIALES'!$C$48:$C$49</xm:f>
          </x14:formula1>
          <xm:sqref>J47:J52 I47:I54</xm:sqref>
        </x14:dataValidation>
        <x14:dataValidation type="list" allowBlank="1" showInputMessage="1" showErrorMessage="1" xr:uid="{BAFE3F4E-D538-4C11-994C-5345B0CE0D9B}">
          <x14:formula1>
            <xm:f>'DATOS INICIALES'!$A$53:$A$55</xm:f>
          </x14:formula1>
          <xm:sqref>I59:J65 I46:J46 J56:J57 I56:I58</xm:sqref>
        </x14:dataValidation>
        <x14:dataValidation type="list" allowBlank="1" showInputMessage="1" showErrorMessage="1" xr:uid="{DC3EB4E7-A635-4EE4-8786-C8B39547F47F}">
          <x14:formula1>
            <xm:f>'DATOS INICIALES'!$A$57:$A$62</xm:f>
          </x14:formula1>
          <xm:sqref>D23:I23</xm:sqref>
        </x14:dataValidation>
        <x14:dataValidation type="list" allowBlank="1" showInputMessage="1" showErrorMessage="1" xr:uid="{35F8B126-E534-4D5A-BF84-7301C6942793}">
          <x14:formula1>
            <xm:f>'DATOS INICIALES'!$D$22:$D$26</xm:f>
          </x14:formula1>
          <xm:sqref>M47:M55</xm:sqref>
        </x14:dataValidation>
        <x14:dataValidation type="list" allowBlank="1" showInputMessage="1" showErrorMessage="1" xr:uid="{AFF80101-24C2-4269-948F-241A42183376}">
          <x14:formula1>
            <xm:f>'DATOS INICIALES'!$A$13:$A$44</xm:f>
          </x14:formula1>
          <xm:sqref>I31</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3B96E-56E2-4AB2-ACDF-2FD809A4D72C}">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F25" sqref="F25"/>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+PROPONENTES!B27</f>
        <v>CONSORCIO USAQUEN 002</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LYDCO INGENIERIA SAS </v>
      </c>
      <c r="D15" s="101">
        <f>IF(VLOOKUP(C11,PROPONENTES!B10:N44,3,FALSE)=0,"",VLOOKUP(C11,PROPONENTES!B10:N44,3,FALSE))</f>
        <v>0.9</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9861.3245999999999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9861.3245999999999</v>
      </c>
      <c r="L15" s="265" t="str">
        <f>IF(K15&gt;=J15,"CUMPLE","NO CUMPLE")</f>
        <v>NO CUMPLE</v>
      </c>
    </row>
    <row r="16" spans="2:12" ht="33.75" customHeight="1" x14ac:dyDescent="0.2">
      <c r="B16" s="273"/>
      <c r="C16" s="100" t="str">
        <f>IF(VLOOKUP(C11,PROPONENTES!B10:N44,4,FALSE)=0,"",VLOOKUP(C11,PROPONENTES!B10:N44,4,FALSE))</f>
        <v>DAS CONSTRUCCIONES SAS</v>
      </c>
      <c r="D16" s="101">
        <f>IF(VLOOKUP(C11,PROPONENTES!B10:N44,5,FALSE)=0,"",VLOOKUP(C11,PROPONENTES!B10:N44,5,FALSE))</f>
        <v>0.1</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0</v>
      </c>
      <c r="F16" s="103" t="str">
        <f t="shared" si="1"/>
        <v>NO</v>
      </c>
      <c r="G16" s="104" t="str">
        <f t="shared" si="2"/>
        <v>NO APORTA EXPERIENCIA</v>
      </c>
      <c r="H16" s="104" t="str">
        <f>IF(C16="","",IF(AND(G16="NO APORTA EXPERIENCIA",D16&lt;=10%),"SI",IF(G16="SI","NO APLICA","NO - PORCENTAJE MAYOR AL 10%")))</f>
        <v>SI</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9861.3245999999999</v>
      </c>
      <c r="J19" s="355">
        <f>IF(I15="","",VLOOKUP(I15,$D$76:$E$82,2,FALSE))</f>
        <v>11824.948449807693</v>
      </c>
      <c r="K19" s="249" t="str">
        <f>IF(I19&gt;=J19,"CUMPLE","NO CUMPLE")</f>
        <v>NO CUMPLE</v>
      </c>
      <c r="L19" s="250"/>
    </row>
    <row r="20" spans="2:14" ht="84.75" customHeight="1" x14ac:dyDescent="0.2">
      <c r="B20" s="31" t="s">
        <v>61</v>
      </c>
      <c r="C20" s="25">
        <f>+VLOOKUP(C11,PROPONENTES!B10:N44,12,FALSE)</f>
        <v>2</v>
      </c>
      <c r="D20" s="101">
        <f>+VLOOKUP(C11,PROPONENTES!B10:N44,13,FALSE)</f>
        <v>1</v>
      </c>
      <c r="E20" s="36">
        <f>SUM(E15:E19)</f>
        <v>9861.3245999999999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266</v>
      </c>
      <c r="E24" s="91" t="s">
        <v>266</v>
      </c>
      <c r="F24" s="91"/>
      <c r="G24" s="91"/>
      <c r="H24" s="91"/>
      <c r="I24" s="91"/>
      <c r="J24" s="91"/>
      <c r="K24" s="247"/>
      <c r="L24" s="248"/>
    </row>
    <row r="25" spans="2:14" ht="39.75" customHeight="1" x14ac:dyDescent="0.2">
      <c r="B25" s="259" t="s">
        <v>116</v>
      </c>
      <c r="C25" s="260"/>
      <c r="D25" s="91" t="s">
        <v>481</v>
      </c>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529</v>
      </c>
      <c r="E27" s="92" t="s">
        <v>530</v>
      </c>
      <c r="F27" s="92"/>
      <c r="G27" s="92"/>
      <c r="H27" s="92"/>
      <c r="I27" s="92"/>
      <c r="J27" s="92"/>
      <c r="K27" s="247"/>
      <c r="L27" s="248"/>
    </row>
    <row r="28" spans="2:14" ht="156.75" customHeight="1" x14ac:dyDescent="0.2">
      <c r="B28" s="277"/>
      <c r="C28" s="26" t="s">
        <v>36</v>
      </c>
      <c r="D28" s="92" t="s">
        <v>531</v>
      </c>
      <c r="E28" s="92" t="s">
        <v>532</v>
      </c>
      <c r="F28" s="92"/>
      <c r="G28" s="92"/>
      <c r="H28" s="92"/>
      <c r="I28" s="92"/>
      <c r="J28" s="92"/>
      <c r="K28" s="247"/>
      <c r="L28" s="248"/>
    </row>
    <row r="29" spans="2:14" ht="52.5" customHeight="1" x14ac:dyDescent="0.2">
      <c r="B29" s="277"/>
      <c r="C29" s="26" t="s">
        <v>172</v>
      </c>
      <c r="D29" s="96">
        <v>42285</v>
      </c>
      <c r="E29" s="96">
        <v>42394</v>
      </c>
      <c r="F29" s="96"/>
      <c r="G29" s="96"/>
      <c r="H29" s="96"/>
      <c r="I29" s="96"/>
      <c r="J29" s="96"/>
      <c r="K29" s="247"/>
      <c r="L29" s="248"/>
    </row>
    <row r="30" spans="2:14" ht="54.75" customHeight="1" x14ac:dyDescent="0.2">
      <c r="B30" s="277"/>
      <c r="C30" s="26" t="s">
        <v>40</v>
      </c>
      <c r="D30" s="96">
        <v>42650</v>
      </c>
      <c r="E30" s="96">
        <v>42637</v>
      </c>
      <c r="F30" s="96"/>
      <c r="G30" s="96"/>
      <c r="H30" s="96"/>
      <c r="I30" s="96"/>
      <c r="J30" s="96"/>
      <c r="K30" s="247"/>
      <c r="L30" s="248"/>
    </row>
    <row r="31" spans="2:14" ht="41.25" customHeight="1" x14ac:dyDescent="0.2">
      <c r="B31" s="277"/>
      <c r="C31" s="26" t="s">
        <v>37</v>
      </c>
      <c r="D31" s="93">
        <v>2016</v>
      </c>
      <c r="E31" s="93">
        <v>2016</v>
      </c>
      <c r="F31" s="93"/>
      <c r="G31" s="93"/>
      <c r="H31" s="93"/>
      <c r="I31" s="93"/>
      <c r="J31" s="93"/>
      <c r="K31" s="247"/>
      <c r="L31" s="248"/>
    </row>
    <row r="32" spans="2:14" ht="63" customHeight="1" x14ac:dyDescent="0.2">
      <c r="B32" s="277"/>
      <c r="C32" s="26" t="s">
        <v>38</v>
      </c>
      <c r="D32" s="92" t="s">
        <v>533</v>
      </c>
      <c r="E32" s="92" t="s">
        <v>534</v>
      </c>
      <c r="F32" s="92"/>
      <c r="G32" s="92"/>
      <c r="H32" s="92"/>
      <c r="I32" s="92"/>
      <c r="J32" s="92"/>
      <c r="K32" s="247"/>
      <c r="L32" s="248"/>
    </row>
    <row r="33" spans="2:12" ht="46.5" customHeight="1" x14ac:dyDescent="0.2">
      <c r="B33" s="277"/>
      <c r="C33" s="26" t="s">
        <v>39</v>
      </c>
      <c r="D33" s="92" t="s">
        <v>535</v>
      </c>
      <c r="E33" s="92" t="s">
        <v>536</v>
      </c>
      <c r="F33" s="92"/>
      <c r="G33" s="92"/>
      <c r="H33" s="92"/>
      <c r="I33" s="92"/>
      <c r="J33" s="92"/>
      <c r="K33" s="247"/>
      <c r="L33" s="248"/>
    </row>
    <row r="34" spans="2:12" ht="27.75" customHeight="1" x14ac:dyDescent="0.2">
      <c r="B34" s="277"/>
      <c r="C34" s="28" t="s">
        <v>33</v>
      </c>
      <c r="D34" s="97">
        <v>38</v>
      </c>
      <c r="E34" s="97">
        <v>41</v>
      </c>
      <c r="F34" s="97"/>
      <c r="G34" s="98"/>
      <c r="H34" s="98"/>
      <c r="I34" s="98"/>
      <c r="J34" s="98"/>
      <c r="K34" s="247"/>
      <c r="L34" s="248"/>
    </row>
    <row r="35" spans="2:12" ht="102.75" customHeight="1" x14ac:dyDescent="0.2">
      <c r="B35" s="277"/>
      <c r="C35" s="26" t="s">
        <v>118</v>
      </c>
      <c r="D35" s="94">
        <v>11080.14</v>
      </c>
      <c r="E35" s="94">
        <v>8234.0400000000009</v>
      </c>
      <c r="F35" s="94"/>
      <c r="G35" s="94"/>
      <c r="H35" s="94"/>
      <c r="I35" s="94"/>
      <c r="J35" s="94"/>
      <c r="K35" s="279"/>
      <c r="L35" s="280"/>
    </row>
    <row r="36" spans="2:12" ht="48" customHeight="1" x14ac:dyDescent="0.2">
      <c r="B36" s="277"/>
      <c r="C36" s="26" t="s">
        <v>74</v>
      </c>
      <c r="D36" s="105">
        <f>IFERROR(D35*VLOOKUP(D31,'DATOS INICIALES'!$A$12:$B$44,2,0),"0")</f>
        <v>7639257923.6999998</v>
      </c>
      <c r="E36" s="105">
        <f>IFERROR(E35*VLOOKUP(E31,'DATOS INICIALES'!$A$12:$B$44,2,0),"0")</f>
        <v>5677000048.2000008</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0.89</v>
      </c>
      <c r="E37" s="95">
        <v>0.97</v>
      </c>
      <c r="F37" s="95"/>
      <c r="G37" s="95"/>
      <c r="H37" s="95"/>
      <c r="I37" s="95"/>
      <c r="J37" s="95"/>
      <c r="K37" s="247"/>
      <c r="L37" s="248"/>
    </row>
    <row r="38" spans="2:12" ht="48.75" customHeight="1" x14ac:dyDescent="0.2">
      <c r="B38" s="277"/>
      <c r="C38" s="26" t="s">
        <v>125</v>
      </c>
      <c r="D38" s="105">
        <f t="shared" ref="D38:J38" si="3">IF(D24="","0",D37*D36)</f>
        <v>6798939552.0929995</v>
      </c>
      <c r="E38" s="105">
        <f t="shared" si="3"/>
        <v>5506690046.7540007</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9861.3245999999999</v>
      </c>
      <c r="E39" s="106">
        <f t="shared" si="4"/>
        <v>7987.0188000000007</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75</v>
      </c>
      <c r="E50" s="97" t="s">
        <v>75</v>
      </c>
      <c r="F50" s="97"/>
      <c r="G50" s="97"/>
      <c r="H50" s="97"/>
      <c r="I50" s="97"/>
      <c r="J50" s="98"/>
      <c r="K50" s="247"/>
      <c r="L50" s="248"/>
    </row>
    <row r="51" spans="2:12" ht="24.75" customHeight="1" x14ac:dyDescent="0.2">
      <c r="B51" s="285"/>
      <c r="C51" s="29">
        <f>+'DATOS INICIALES'!D26</f>
        <v>721527</v>
      </c>
      <c r="D51" s="97" t="s">
        <v>75</v>
      </c>
      <c r="E51" s="97" t="s">
        <v>75</v>
      </c>
      <c r="F51" s="97"/>
      <c r="G51" s="97"/>
      <c r="H51" s="97"/>
      <c r="I51" s="97"/>
      <c r="J51" s="98"/>
      <c r="K51" s="247"/>
      <c r="L51" s="248"/>
    </row>
    <row r="52" spans="2:12" ht="24.75" customHeight="1" x14ac:dyDescent="0.2">
      <c r="B52" s="285"/>
      <c r="C52" s="29">
        <f>+'DATOS INICIALES'!D27</f>
        <v>721539</v>
      </c>
      <c r="D52" s="97" t="s">
        <v>75</v>
      </c>
      <c r="E52" s="97" t="s">
        <v>75</v>
      </c>
      <c r="F52" s="97"/>
      <c r="G52" s="97"/>
      <c r="H52" s="97"/>
      <c r="I52" s="97"/>
      <c r="J52" s="98"/>
      <c r="K52" s="247"/>
      <c r="L52" s="248"/>
    </row>
    <row r="53" spans="2:12" ht="24.75" customHeight="1" x14ac:dyDescent="0.2">
      <c r="B53" s="285"/>
      <c r="C53" s="29">
        <f>+'DATOS INICIALES'!D28</f>
        <v>951115</v>
      </c>
      <c r="D53" s="97" t="s">
        <v>77</v>
      </c>
      <c r="E53" s="97" t="s">
        <v>77</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 t="shared" ref="D55:E55" si="9">IF(D24="","N/A",IF(D47="SI","CUMPLE",IF(D48="SI","CUMPLE",IF(D49="SI","CUMPLE",IF(D50="SI","CUMPLE",IF(D51="SI","CUMPLE",IF(D52="SI","CUMPLE",IF(D54="SI","CUMPLE","NO CUMPLE"))))))))</f>
        <v>CUMPLE</v>
      </c>
      <c r="E55" s="18" t="str">
        <f t="shared" si="9"/>
        <v>CUMPLE</v>
      </c>
      <c r="F55" s="18" t="str">
        <f t="shared" ref="F55:J55" si="10">IF(F24="","N/A",IF(F47="SI","CUMPLE",IF(F48="SI","CUMPLE",IF(F49="SI","CUMPLE",IF(F50="SI","CUMPLE",IF(F51="SI","CUMPLE",IF(F52="SI","CUMPLE",IF(F54="SI","CUMPLE","NO CUMPLE"))))))))</f>
        <v>N/A</v>
      </c>
      <c r="G55" s="18" t="str">
        <f t="shared" si="10"/>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12</v>
      </c>
      <c r="E61" s="91" t="s">
        <v>12</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12</v>
      </c>
      <c r="E64" s="91" t="s">
        <v>12</v>
      </c>
      <c r="F64" s="91"/>
      <c r="G64" s="91"/>
      <c r="H64" s="91"/>
      <c r="I64" s="91"/>
      <c r="J64" s="91"/>
      <c r="K64" s="247"/>
      <c r="L64" s="248"/>
    </row>
    <row r="65" spans="2:12" ht="243.5" customHeight="1" x14ac:dyDescent="0.2">
      <c r="B65" s="261" t="s">
        <v>198</v>
      </c>
      <c r="C65" s="261"/>
      <c r="D65" s="91" t="s">
        <v>13</v>
      </c>
      <c r="E65" s="91" t="s">
        <v>14</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NO CUMPLE</v>
      </c>
      <c r="F66" s="18" t="str">
        <f t="shared" ref="F66:J66" si="11">IF(F24="","N/A",IF(AND(F46="CUMPLE",F55="CUMPLE",F56="CUMPLE",F57="CUMPLE",F58="CUMPLE",F59="CUMPLE",OR(F61="CUMPLE",F61="N/A"),F62="CUMPLE",OR(F63="CUMPLE",F63="N/A"),F65="CUMPLE",OR(F64="CUMPLE",F64="N/A")),"CUMPLE","NO CUMPLE"))</f>
        <v>N/A</v>
      </c>
      <c r="G66" s="18" t="str">
        <f t="shared" si="11"/>
        <v>N/A</v>
      </c>
      <c r="H66" s="18" t="str">
        <f t="shared" si="11"/>
        <v>N/A</v>
      </c>
      <c r="I66" s="18" t="str">
        <f t="shared" si="11"/>
        <v>N/A</v>
      </c>
      <c r="J66" s="18" t="str">
        <f t="shared" si="11"/>
        <v>N/A</v>
      </c>
      <c r="K66" s="147"/>
      <c r="L66" s="148"/>
    </row>
    <row r="67" spans="2:12" ht="54.5" customHeight="1" x14ac:dyDescent="0.2">
      <c r="B67" s="261" t="s">
        <v>188</v>
      </c>
      <c r="C67" s="261"/>
      <c r="D67" s="91" t="s">
        <v>13</v>
      </c>
      <c r="E67" s="91" t="s">
        <v>14</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730" priority="24">
      <formula>NOT(ISERROR(D25))</formula>
    </cfRule>
    <cfRule type="containsBlanks" dxfId="729" priority="23">
      <formula>LEN(TRIM(D25))=0</formula>
    </cfRule>
  </conditionalFormatting>
  <conditionalFormatting sqref="D34:J34 D24:K24">
    <cfRule type="containsBlanks" dxfId="728" priority="25">
      <formula>LEN(TRIM(D24))=0</formula>
    </cfRule>
  </conditionalFormatting>
  <conditionalFormatting sqref="D37:J37">
    <cfRule type="notContainsErrors" dxfId="727" priority="22">
      <formula>NOT(ISERROR(D37))</formula>
    </cfRule>
    <cfRule type="containsBlanks" dxfId="726" priority="21">
      <formula>LEN(TRIM(D37))=0</formula>
    </cfRule>
  </conditionalFormatting>
  <conditionalFormatting sqref="D40:J40">
    <cfRule type="containsBlanks" dxfId="725" priority="39">
      <formula>LEN(TRIM(D40))=0</formula>
    </cfRule>
    <cfRule type="notContainsErrors" dxfId="724" priority="40">
      <formula>NOT(ISERROR(D40))</formula>
    </cfRule>
  </conditionalFormatting>
  <conditionalFormatting sqref="D43:J43 K66:L66">
    <cfRule type="containsBlanks" dxfId="723" priority="49">
      <formula>LEN(TRIM(D43))=0</formula>
    </cfRule>
    <cfRule type="notContainsErrors" dxfId="722" priority="50">
      <formula>NOT(ISERROR(D43))</formula>
    </cfRule>
  </conditionalFormatting>
  <conditionalFormatting sqref="D46:J54">
    <cfRule type="cellIs" dxfId="721" priority="9" operator="equal">
      <formula>"NO CUMPLE"</formula>
    </cfRule>
    <cfRule type="cellIs" dxfId="720" priority="10" operator="equal">
      <formula>"CUMPLE"</formula>
    </cfRule>
    <cfRule type="containsBlanks" dxfId="719" priority="11">
      <formula>LEN(TRIM(D46))=0</formula>
    </cfRule>
    <cfRule type="notContainsErrors" dxfId="718" priority="12">
      <formula>NOT(ISERROR(D46))</formula>
    </cfRule>
  </conditionalFormatting>
  <conditionalFormatting sqref="D55:J55">
    <cfRule type="cellIs" dxfId="717" priority="17" operator="equal">
      <formula>"N/A"</formula>
    </cfRule>
    <cfRule type="cellIs" dxfId="716" priority="18" operator="equal">
      <formula>"CUMPLE"</formula>
    </cfRule>
    <cfRule type="cellIs" dxfId="715" priority="19" operator="equal">
      <formula>"NO CUMPLE"</formula>
    </cfRule>
    <cfRule type="cellIs" dxfId="714" priority="20" operator="equal">
      <formula>"""CUMPLE"""</formula>
    </cfRule>
  </conditionalFormatting>
  <conditionalFormatting sqref="D56:J65">
    <cfRule type="containsBlanks" dxfId="713" priority="7">
      <formula>LEN(TRIM(D56))=0</formula>
    </cfRule>
    <cfRule type="notContainsErrors" dxfId="712" priority="8">
      <formula>NOT(ISERROR(D56))</formula>
    </cfRule>
    <cfRule type="cellIs" dxfId="711" priority="6" operator="equal">
      <formula>"CUMPLE"</formula>
    </cfRule>
    <cfRule type="cellIs" dxfId="710" priority="5" operator="equal">
      <formula>"NO CUMPLE"</formula>
    </cfRule>
  </conditionalFormatting>
  <conditionalFormatting sqref="D66:J66">
    <cfRule type="cellIs" dxfId="709" priority="14" operator="equal">
      <formula>"CUMPLE"</formula>
    </cfRule>
    <cfRule type="cellIs" dxfId="708" priority="15" operator="equal">
      <formula>"NO CUMPLE"</formula>
    </cfRule>
    <cfRule type="cellIs" dxfId="707" priority="16" operator="equal">
      <formula>"""CUMPLE"""</formula>
    </cfRule>
    <cfRule type="cellIs" dxfId="706" priority="13" operator="equal">
      <formula>"N/A"</formula>
    </cfRule>
  </conditionalFormatting>
  <conditionalFormatting sqref="D67:J67">
    <cfRule type="cellIs" dxfId="705" priority="1" operator="equal">
      <formula>"NO CUMPLE"</formula>
    </cfRule>
    <cfRule type="cellIs" dxfId="704" priority="2" operator="equal">
      <formula>"CUMPLE"</formula>
    </cfRule>
  </conditionalFormatting>
  <conditionalFormatting sqref="D24:K24 D34:J34">
    <cfRule type="notContainsErrors" dxfId="703" priority="26">
      <formula>NOT(ISERROR(D24))</formula>
    </cfRule>
  </conditionalFormatting>
  <conditionalFormatting sqref="D67:K67">
    <cfRule type="notContainsErrors" dxfId="702" priority="4">
      <formula>NOT(ISERROR(D67))</formula>
    </cfRule>
    <cfRule type="containsBlanks" dxfId="701" priority="3">
      <formula>LEN(TRIM(D67))=0</formula>
    </cfRule>
  </conditionalFormatting>
  <conditionalFormatting sqref="F20:H20">
    <cfRule type="cellIs" dxfId="700" priority="65" operator="equal">
      <formula>"CUMPLE"</formula>
    </cfRule>
    <cfRule type="cellIs" dxfId="699" priority="66" operator="equal">
      <formula>"NO CUMPLE"</formula>
    </cfRule>
    <cfRule type="cellIs" dxfId="698" priority="67" operator="equal">
      <formula>"""CUMPLE"""</formula>
    </cfRule>
  </conditionalFormatting>
  <conditionalFormatting sqref="I11">
    <cfRule type="containsText" dxfId="697" priority="68" operator="containsText" text="INHABILITADO">
      <formula>NOT(ISERROR(SEARCH("INHABILITADO",I11)))</formula>
    </cfRule>
    <cfRule type="containsText" dxfId="696" priority="69" operator="containsText" text="HABILITADO">
      <formula>NOT(ISERROR(SEARCH("HABILITADO",I11)))</formula>
    </cfRule>
    <cfRule type="containsText" dxfId="695" priority="70" operator="containsText" text="HABILITADO">
      <formula>NOT(ISERROR(SEARCH("HABILITADO",I11)))</formula>
    </cfRule>
    <cfRule type="containsText" dxfId="694" priority="71" operator="containsText" text="NO CUMPLE">
      <formula>NOT(ISERROR(SEARCH("NO CUMPLE",I11)))</formula>
    </cfRule>
  </conditionalFormatting>
  <conditionalFormatting sqref="K19">
    <cfRule type="cellIs" dxfId="693" priority="56" operator="equal">
      <formula>"CUMPLE"</formula>
    </cfRule>
    <cfRule type="cellIs" dxfId="692" priority="57" operator="equal">
      <formula>"NO CUMPLE"</formula>
    </cfRule>
    <cfRule type="cellIs" dxfId="691" priority="58" operator="equal">
      <formula>"""CUMPLE"""</formula>
    </cfRule>
  </conditionalFormatting>
  <conditionalFormatting sqref="K25:K65">
    <cfRule type="containsBlanks" dxfId="690" priority="47">
      <formula>LEN(TRIM(K25))=0</formula>
    </cfRule>
    <cfRule type="notContainsErrors" dxfId="689" priority="48">
      <formula>NOT(ISERROR(K25))</formula>
    </cfRule>
  </conditionalFormatting>
  <conditionalFormatting sqref="L15">
    <cfRule type="cellIs" dxfId="688" priority="62" operator="equal">
      <formula>"CUMPLE"</formula>
    </cfRule>
    <cfRule type="cellIs" dxfId="687" priority="63" operator="equal">
      <formula>"NO CUMPLE"</formula>
    </cfRule>
    <cfRule type="cellIs" dxfId="686" priority="64" operator="equal">
      <formula>"""CUMPLE"""</formula>
    </cfRule>
  </conditionalFormatting>
  <dataValidations count="3">
    <dataValidation type="list" allowBlank="1" showInputMessage="1" showErrorMessage="1" sqref="D67:I67" xr:uid="{6DB9ECEF-5778-4B7A-9E1A-9B3607AAEAF5}">
      <formula1>"CUMPLE,NO CUMPLE"</formula1>
    </dataValidation>
    <dataValidation type="list" allowBlank="1" showInputMessage="1" showErrorMessage="1" sqref="D24:J26" xr:uid="{352279B0-8F7C-425E-A606-A467CCED97D6}">
      <formula1>$C$15:$C$19</formula1>
    </dataValidation>
    <dataValidation type="list" allowBlank="1" showInputMessage="1" showErrorMessage="1" sqref="L58:L66" xr:uid="{089D81EA-9146-474D-BC9B-FD5D88B0E864}">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CF3334F7-FD5F-402F-837C-153F630ECC82}">
          <x14:formula1>
            <xm:f>'DATOS INICIALES'!$A$13:$A$44</xm:f>
          </x14:formula1>
          <xm:sqref>F31:I31</xm:sqref>
        </x14:dataValidation>
        <x14:dataValidation type="list" allowBlank="1" showInputMessage="1" showErrorMessage="1" xr:uid="{07E02FC5-E515-4CC7-B05D-5D910167169E}">
          <x14:formula1>
            <xm:f>'DATOS INICIALES'!$D$22:$D$26</xm:f>
          </x14:formula1>
          <xm:sqref>M47:M55</xm:sqref>
        </x14:dataValidation>
        <x14:dataValidation type="list" allowBlank="1" showInputMessage="1" showErrorMessage="1" xr:uid="{28746EA5-526C-4FF3-8BC4-7EBB9447E178}">
          <x14:formula1>
            <xm:f>'DATOS INICIALES'!$A$57:$A$62</xm:f>
          </x14:formula1>
          <xm:sqref>D23:I23</xm:sqref>
        </x14:dataValidation>
        <x14:dataValidation type="list" allowBlank="1" showInputMessage="1" showErrorMessage="1" xr:uid="{EF367648-2B1F-46B7-A0DB-934625CE32DF}">
          <x14:formula1>
            <xm:f>'DATOS INICIALES'!$A$53:$A$55</xm:f>
          </x14:formula1>
          <xm:sqref>F59:J65 F46:J46 J56:J57 F56:I58</xm:sqref>
        </x14:dataValidation>
        <x14:dataValidation type="list" allowBlank="1" showInputMessage="1" showErrorMessage="1" xr:uid="{D7433F8C-6DB2-4EE4-945E-0795C023AAC0}">
          <x14:formula1>
            <xm:f>'DATOS INICIALES'!$C$48:$C$49</xm:f>
          </x14:formula1>
          <xm:sqref>J47:J52 F47:I54</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1A096-BB45-4D0D-BFDC-400503144E72}">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G16" sqref="G16"/>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+PROPONENTES!B28</f>
        <v>CONSORCIO MALLA VIAL USAQUEN</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KABOD EXECUTIVE GROUP SAS</v>
      </c>
      <c r="D15" s="101">
        <f>IF(VLOOKUP(C11,PROPONENTES!B10:N44,3,FALSE)=0,"",VLOOKUP(C11,PROPONENTES!B10:N44,3,FALSE))</f>
        <v>0.6</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14017.974</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18719.733</v>
      </c>
      <c r="L15" s="265" t="str">
        <f>IF(K15&gt;=J15,"CUMPLE","NO CUMPLE")</f>
        <v>CUMPLE</v>
      </c>
    </row>
    <row r="16" spans="2:12" ht="33.75" customHeight="1" x14ac:dyDescent="0.2">
      <c r="B16" s="273"/>
      <c r="C16" s="100" t="str">
        <f>IF(VLOOKUP(C11,PROPONENTES!B10:N44,4,FALSE)=0,"",VLOOKUP(C11,PROPONENTES!B10:N44,4,FALSE))</f>
        <v xml:space="preserve">ASB ONASSIS CONSTRUCCIONES S.A.S </v>
      </c>
      <c r="D16" s="101">
        <f>IF(VLOOKUP(C11,PROPONENTES!B10:N44,5,FALSE)=0,"",VLOOKUP(C11,PROPONENTES!B10:N44,5,FALSE))</f>
        <v>0.4</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4701.759</v>
      </c>
      <c r="F16" s="103" t="str">
        <f t="shared" si="1"/>
        <v>NO</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14017.974</v>
      </c>
      <c r="J19" s="355">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18719.733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269</v>
      </c>
      <c r="E24" s="91" t="s">
        <v>268</v>
      </c>
      <c r="F24" s="91"/>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537</v>
      </c>
      <c r="E27" s="92" t="s">
        <v>538</v>
      </c>
      <c r="F27" s="92"/>
      <c r="G27" s="92"/>
      <c r="H27" s="92"/>
      <c r="I27" s="92"/>
      <c r="J27" s="92"/>
      <c r="K27" s="247"/>
      <c r="L27" s="248"/>
    </row>
    <row r="28" spans="2:14" ht="156.75" customHeight="1" x14ac:dyDescent="0.2">
      <c r="B28" s="277"/>
      <c r="C28" s="26" t="s">
        <v>36</v>
      </c>
      <c r="D28" s="92" t="s">
        <v>539</v>
      </c>
      <c r="E28" s="92" t="s">
        <v>540</v>
      </c>
      <c r="F28" s="92"/>
      <c r="G28" s="92"/>
      <c r="H28" s="92"/>
      <c r="I28" s="92"/>
      <c r="J28" s="92"/>
      <c r="K28" s="247"/>
      <c r="L28" s="248"/>
    </row>
    <row r="29" spans="2:14" ht="52.5" customHeight="1" x14ac:dyDescent="0.2">
      <c r="B29" s="277"/>
      <c r="C29" s="26" t="s">
        <v>172</v>
      </c>
      <c r="D29" s="96">
        <v>43566</v>
      </c>
      <c r="E29" s="96">
        <v>38716</v>
      </c>
      <c r="F29" s="96"/>
      <c r="G29" s="96"/>
      <c r="H29" s="96"/>
      <c r="I29" s="96"/>
      <c r="J29" s="96"/>
      <c r="K29" s="247"/>
      <c r="L29" s="248"/>
    </row>
    <row r="30" spans="2:14" ht="54.75" customHeight="1" x14ac:dyDescent="0.2">
      <c r="B30" s="277"/>
      <c r="C30" s="26" t="s">
        <v>40</v>
      </c>
      <c r="D30" s="96">
        <v>43825</v>
      </c>
      <c r="E30" s="96">
        <v>39658</v>
      </c>
      <c r="F30" s="96"/>
      <c r="G30" s="96"/>
      <c r="H30" s="96"/>
      <c r="I30" s="96"/>
      <c r="J30" s="96"/>
      <c r="K30" s="247"/>
      <c r="L30" s="248"/>
    </row>
    <row r="31" spans="2:14" ht="41.25" customHeight="1" x14ac:dyDescent="0.2">
      <c r="B31" s="277"/>
      <c r="C31" s="26" t="s">
        <v>37</v>
      </c>
      <c r="D31" s="93">
        <v>2019</v>
      </c>
      <c r="E31" s="93">
        <v>2008</v>
      </c>
      <c r="F31" s="93"/>
      <c r="G31" s="93"/>
      <c r="H31" s="93"/>
      <c r="I31" s="93"/>
      <c r="J31" s="93"/>
      <c r="K31" s="247"/>
      <c r="L31" s="248"/>
    </row>
    <row r="32" spans="2:14" ht="63" customHeight="1" x14ac:dyDescent="0.2">
      <c r="B32" s="277"/>
      <c r="C32" s="26" t="s">
        <v>38</v>
      </c>
      <c r="D32" s="92" t="s">
        <v>541</v>
      </c>
      <c r="E32" s="92" t="s">
        <v>542</v>
      </c>
      <c r="F32" s="92"/>
      <c r="G32" s="92"/>
      <c r="H32" s="92"/>
      <c r="I32" s="92"/>
      <c r="J32" s="92"/>
      <c r="K32" s="247"/>
      <c r="L32" s="248"/>
    </row>
    <row r="33" spans="2:12" ht="46.5" customHeight="1" x14ac:dyDescent="0.2">
      <c r="B33" s="277"/>
      <c r="C33" s="26" t="s">
        <v>39</v>
      </c>
      <c r="D33" s="92" t="s">
        <v>543</v>
      </c>
      <c r="E33" s="92" t="s">
        <v>544</v>
      </c>
      <c r="F33" s="92"/>
      <c r="G33" s="92"/>
      <c r="H33" s="92"/>
      <c r="I33" s="92"/>
      <c r="J33" s="92"/>
      <c r="K33" s="247"/>
      <c r="L33" s="248"/>
    </row>
    <row r="34" spans="2:12" ht="27.75" customHeight="1" x14ac:dyDescent="0.2">
      <c r="B34" s="277"/>
      <c r="C34" s="28" t="s">
        <v>33</v>
      </c>
      <c r="D34" s="97">
        <v>14</v>
      </c>
      <c r="E34" s="97">
        <v>114</v>
      </c>
      <c r="F34" s="97"/>
      <c r="G34" s="98"/>
      <c r="H34" s="98"/>
      <c r="I34" s="98"/>
      <c r="J34" s="98"/>
      <c r="K34" s="247"/>
      <c r="L34" s="248"/>
    </row>
    <row r="35" spans="2:12" ht="102.75" customHeight="1" x14ac:dyDescent="0.2">
      <c r="B35" s="277"/>
      <c r="C35" s="26" t="s">
        <v>118</v>
      </c>
      <c r="D35" s="94">
        <v>4949.22</v>
      </c>
      <c r="E35" s="94">
        <v>46726.58</v>
      </c>
      <c r="F35" s="94"/>
      <c r="G35" s="94"/>
      <c r="H35" s="94"/>
      <c r="I35" s="94"/>
      <c r="J35" s="94"/>
      <c r="K35" s="279"/>
      <c r="L35" s="280"/>
    </row>
    <row r="36" spans="2:12" ht="48" customHeight="1" x14ac:dyDescent="0.2">
      <c r="B36" s="277"/>
      <c r="C36" s="26" t="s">
        <v>74</v>
      </c>
      <c r="D36" s="105">
        <f>IFERROR(D35*VLOOKUP(D31,'DATOS INICIALES'!$A$12:$B$44,2,0),"0")</f>
        <v>4098528269.52</v>
      </c>
      <c r="E36" s="105">
        <f>IFERROR(E35*VLOOKUP(E31,'DATOS INICIALES'!$A$12:$B$44,2,0),"0")</f>
        <v>21564316670</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0.95</v>
      </c>
      <c r="E37" s="95">
        <v>0.3</v>
      </c>
      <c r="F37" s="95"/>
      <c r="G37" s="95"/>
      <c r="H37" s="95"/>
      <c r="I37" s="95"/>
      <c r="J37" s="95"/>
      <c r="K37" s="247"/>
      <c r="L37" s="248"/>
    </row>
    <row r="38" spans="2:12" ht="48.75" customHeight="1" x14ac:dyDescent="0.2">
      <c r="B38" s="277"/>
      <c r="C38" s="26" t="s">
        <v>125</v>
      </c>
      <c r="D38" s="105">
        <f t="shared" ref="D38:J38" si="3">IF(D24="","0",D37*D36)</f>
        <v>3893601856.0439997</v>
      </c>
      <c r="E38" s="105">
        <f t="shared" si="3"/>
        <v>6469295001</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4701.759</v>
      </c>
      <c r="E39" s="106">
        <f t="shared" si="4"/>
        <v>14017.974</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77</v>
      </c>
      <c r="F47" s="97"/>
      <c r="G47" s="97"/>
      <c r="H47" s="97"/>
      <c r="I47" s="97"/>
      <c r="J47" s="98"/>
      <c r="K47" s="247"/>
      <c r="L47" s="248"/>
    </row>
    <row r="48" spans="2:12" ht="24.75" customHeight="1" x14ac:dyDescent="0.2">
      <c r="B48" s="285"/>
      <c r="C48" s="29">
        <f>+'DATOS INICIALES'!D23</f>
        <v>721410</v>
      </c>
      <c r="D48" s="97" t="s">
        <v>77</v>
      </c>
      <c r="E48" s="97" t="s">
        <v>77</v>
      </c>
      <c r="F48" s="97"/>
      <c r="G48" s="97"/>
      <c r="H48" s="97"/>
      <c r="I48" s="97"/>
      <c r="J48" s="98"/>
      <c r="K48" s="247"/>
      <c r="L48" s="248"/>
    </row>
    <row r="49" spans="2:12" ht="24.75" customHeight="1" x14ac:dyDescent="0.2">
      <c r="B49" s="285"/>
      <c r="C49" s="29">
        <f>+'DATOS INICIALES'!D24</f>
        <v>721411</v>
      </c>
      <c r="D49" s="97" t="s">
        <v>77</v>
      </c>
      <c r="E49" s="97" t="s">
        <v>77</v>
      </c>
      <c r="F49" s="97"/>
      <c r="G49" s="97"/>
      <c r="H49" s="97"/>
      <c r="I49" s="97"/>
      <c r="J49" s="98"/>
      <c r="K49" s="247"/>
      <c r="L49" s="248"/>
    </row>
    <row r="50" spans="2:12" ht="24.75" customHeight="1" x14ac:dyDescent="0.2">
      <c r="B50" s="285"/>
      <c r="C50" s="29">
        <f>+'DATOS INICIALES'!D25</f>
        <v>721416</v>
      </c>
      <c r="D50" s="97" t="s">
        <v>77</v>
      </c>
      <c r="E50" s="97" t="s">
        <v>77</v>
      </c>
      <c r="F50" s="97"/>
      <c r="G50" s="97"/>
      <c r="H50" s="97"/>
      <c r="I50" s="97"/>
      <c r="J50" s="98"/>
      <c r="K50" s="247"/>
      <c r="L50" s="248"/>
    </row>
    <row r="51" spans="2:12" ht="24.75" customHeight="1" x14ac:dyDescent="0.2">
      <c r="B51" s="285"/>
      <c r="C51" s="29">
        <f>+'DATOS INICIALES'!D26</f>
        <v>721527</v>
      </c>
      <c r="D51" s="97" t="s">
        <v>77</v>
      </c>
      <c r="E51" s="97" t="s">
        <v>77</v>
      </c>
      <c r="F51" s="97"/>
      <c r="G51" s="97"/>
      <c r="H51" s="97"/>
      <c r="I51" s="97"/>
      <c r="J51" s="98"/>
      <c r="K51" s="247"/>
      <c r="L51" s="248"/>
    </row>
    <row r="52" spans="2:12" ht="24.75" customHeight="1" x14ac:dyDescent="0.2">
      <c r="B52" s="285"/>
      <c r="C52" s="29">
        <f>+'DATOS INICIALES'!D27</f>
        <v>721539</v>
      </c>
      <c r="D52" s="97" t="s">
        <v>77</v>
      </c>
      <c r="E52" s="97" t="s">
        <v>77</v>
      </c>
      <c r="F52" s="97"/>
      <c r="G52" s="97"/>
      <c r="H52" s="97"/>
      <c r="I52" s="97"/>
      <c r="J52" s="98"/>
      <c r="K52" s="247"/>
      <c r="L52" s="248"/>
    </row>
    <row r="53" spans="2:12" ht="24.75" customHeight="1" x14ac:dyDescent="0.2">
      <c r="B53" s="285"/>
      <c r="C53" s="29">
        <f>+'DATOS INICIALES'!D28</f>
        <v>951115</v>
      </c>
      <c r="D53" s="97" t="s">
        <v>77</v>
      </c>
      <c r="E53" s="97" t="s">
        <v>75</v>
      </c>
      <c r="F53" s="97"/>
      <c r="G53" s="97"/>
      <c r="H53" s="97"/>
      <c r="I53" s="97"/>
      <c r="J53" s="97"/>
      <c r="K53" s="247"/>
      <c r="L53" s="248"/>
    </row>
    <row r="54" spans="2:12" ht="24.75" customHeight="1" x14ac:dyDescent="0.2">
      <c r="B54" s="285"/>
      <c r="C54" s="29">
        <f>+'DATOS INICIALES'!D29</f>
        <v>721033</v>
      </c>
      <c r="D54" s="97" t="s">
        <v>77</v>
      </c>
      <c r="E54" s="97" t="s">
        <v>77</v>
      </c>
      <c r="F54" s="97"/>
      <c r="G54" s="97"/>
      <c r="H54" s="97"/>
      <c r="I54" s="97"/>
      <c r="J54" s="97"/>
      <c r="K54" s="247"/>
      <c r="L54" s="248"/>
    </row>
    <row r="55" spans="2:12" ht="60.75" customHeight="1" x14ac:dyDescent="0.2">
      <c r="B55" s="286"/>
      <c r="C55" s="18" t="s">
        <v>57</v>
      </c>
      <c r="D55" s="18" t="str">
        <f t="shared" ref="D55:E55" si="9">IF(D24="","N/A",IF(D47="SI","CUMPLE",IF(D48="SI","CUMPLE",IF(D49="SI","CUMPLE",IF(D50="SI","CUMPLE",IF(D51="SI","CUMPLE",IF(D52="SI","CUMPLE",IF(D54="SI","CUMPLE","NO CUMPLE"))))))))</f>
        <v>CUMPLE</v>
      </c>
      <c r="E55" s="18" t="str">
        <f t="shared" si="9"/>
        <v>CUMPLE</v>
      </c>
      <c r="F55" s="18" t="str">
        <f t="shared" ref="F55:J55" si="10">IF(F24="","N/A",IF(F47="SI","CUMPLE",IF(F48="SI","CUMPLE",IF(F49="SI","CUMPLE",IF(F50="SI","CUMPLE",IF(F51="SI","CUMPLE",IF(F52="SI","CUMPLE",IF(F54="SI","CUMPLE","NO CUMPLE"))))))))</f>
        <v>N/A</v>
      </c>
      <c r="G55" s="18" t="str">
        <f t="shared" si="10"/>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12</v>
      </c>
      <c r="E64" s="91" t="s">
        <v>12</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J66" si="11">IF(F24="","N/A",IF(AND(F46="CUMPLE",F55="CUMPLE",F56="CUMPLE",F57="CUMPLE",F58="CUMPLE",F59="CUMPLE",OR(F61="CUMPLE",F61="N/A"),F62="CUMPLE",OR(F63="CUMPLE",F63="N/A"),F65="CUMPLE",OR(F64="CUMPLE",F64="N/A")),"CUMPLE","NO CUMPLE"))</f>
        <v>N/A</v>
      </c>
      <c r="G66" s="18" t="str">
        <f t="shared" si="11"/>
        <v>N/A</v>
      </c>
      <c r="H66" s="18" t="str">
        <f t="shared" si="11"/>
        <v>N/A</v>
      </c>
      <c r="I66" s="18" t="str">
        <f t="shared" si="11"/>
        <v>N/A</v>
      </c>
      <c r="J66" s="18" t="str">
        <f t="shared" si="11"/>
        <v>N/A</v>
      </c>
      <c r="K66" s="147"/>
      <c r="L66" s="148"/>
    </row>
    <row r="67" spans="2:12" ht="54.5" customHeight="1" x14ac:dyDescent="0.2">
      <c r="B67" s="261" t="s">
        <v>188</v>
      </c>
      <c r="C67" s="261"/>
      <c r="D67" s="91" t="s">
        <v>14</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685" priority="24">
      <formula>NOT(ISERROR(D25))</formula>
    </cfRule>
    <cfRule type="containsBlanks" dxfId="684" priority="23">
      <formula>LEN(TRIM(D25))=0</formula>
    </cfRule>
  </conditionalFormatting>
  <conditionalFormatting sqref="D34:J34 D24:K24">
    <cfRule type="containsBlanks" dxfId="683" priority="25">
      <formula>LEN(TRIM(D24))=0</formula>
    </cfRule>
  </conditionalFormatting>
  <conditionalFormatting sqref="D37:J37">
    <cfRule type="notContainsErrors" dxfId="682" priority="22">
      <formula>NOT(ISERROR(D37))</formula>
    </cfRule>
    <cfRule type="containsBlanks" dxfId="681" priority="21">
      <formula>LEN(TRIM(D37))=0</formula>
    </cfRule>
  </conditionalFormatting>
  <conditionalFormatting sqref="D40:J40">
    <cfRule type="containsBlanks" dxfId="680" priority="39">
      <formula>LEN(TRIM(D40))=0</formula>
    </cfRule>
    <cfRule type="notContainsErrors" dxfId="679" priority="40">
      <formula>NOT(ISERROR(D40))</formula>
    </cfRule>
  </conditionalFormatting>
  <conditionalFormatting sqref="D43:J43 K66:L66">
    <cfRule type="containsBlanks" dxfId="678" priority="49">
      <formula>LEN(TRIM(D43))=0</formula>
    </cfRule>
    <cfRule type="notContainsErrors" dxfId="677" priority="50">
      <formula>NOT(ISERROR(D43))</formula>
    </cfRule>
  </conditionalFormatting>
  <conditionalFormatting sqref="D46:J54">
    <cfRule type="cellIs" dxfId="676" priority="9" operator="equal">
      <formula>"NO CUMPLE"</formula>
    </cfRule>
    <cfRule type="cellIs" dxfId="675" priority="10" operator="equal">
      <formula>"CUMPLE"</formula>
    </cfRule>
    <cfRule type="containsBlanks" dxfId="674" priority="11">
      <formula>LEN(TRIM(D46))=0</formula>
    </cfRule>
    <cfRule type="notContainsErrors" dxfId="673" priority="12">
      <formula>NOT(ISERROR(D46))</formula>
    </cfRule>
  </conditionalFormatting>
  <conditionalFormatting sqref="D55:J55">
    <cfRule type="cellIs" dxfId="672" priority="17" operator="equal">
      <formula>"N/A"</formula>
    </cfRule>
    <cfRule type="cellIs" dxfId="671" priority="18" operator="equal">
      <formula>"CUMPLE"</formula>
    </cfRule>
    <cfRule type="cellIs" dxfId="670" priority="19" operator="equal">
      <formula>"NO CUMPLE"</formula>
    </cfRule>
    <cfRule type="cellIs" dxfId="669" priority="20" operator="equal">
      <formula>"""CUMPLE"""</formula>
    </cfRule>
  </conditionalFormatting>
  <conditionalFormatting sqref="D56:J65">
    <cfRule type="containsBlanks" dxfId="668" priority="7">
      <formula>LEN(TRIM(D56))=0</formula>
    </cfRule>
    <cfRule type="notContainsErrors" dxfId="667" priority="8">
      <formula>NOT(ISERROR(D56))</formula>
    </cfRule>
    <cfRule type="cellIs" dxfId="666" priority="6" operator="equal">
      <formula>"CUMPLE"</formula>
    </cfRule>
    <cfRule type="cellIs" dxfId="665" priority="5" operator="equal">
      <formula>"NO CUMPLE"</formula>
    </cfRule>
  </conditionalFormatting>
  <conditionalFormatting sqref="D66:J66">
    <cfRule type="cellIs" dxfId="664" priority="14" operator="equal">
      <formula>"CUMPLE"</formula>
    </cfRule>
    <cfRule type="cellIs" dxfId="663" priority="15" operator="equal">
      <formula>"NO CUMPLE"</formula>
    </cfRule>
    <cfRule type="cellIs" dxfId="662" priority="16" operator="equal">
      <formula>"""CUMPLE"""</formula>
    </cfRule>
    <cfRule type="cellIs" dxfId="661" priority="13" operator="equal">
      <formula>"N/A"</formula>
    </cfRule>
  </conditionalFormatting>
  <conditionalFormatting sqref="D67:J67">
    <cfRule type="cellIs" dxfId="660" priority="1" operator="equal">
      <formula>"NO CUMPLE"</formula>
    </cfRule>
    <cfRule type="cellIs" dxfId="659" priority="2" operator="equal">
      <formula>"CUMPLE"</formula>
    </cfRule>
  </conditionalFormatting>
  <conditionalFormatting sqref="D24:K24 D34:J34">
    <cfRule type="notContainsErrors" dxfId="658" priority="26">
      <formula>NOT(ISERROR(D24))</formula>
    </cfRule>
  </conditionalFormatting>
  <conditionalFormatting sqref="D67:K67">
    <cfRule type="notContainsErrors" dxfId="657" priority="4">
      <formula>NOT(ISERROR(D67))</formula>
    </cfRule>
    <cfRule type="containsBlanks" dxfId="656" priority="3">
      <formula>LEN(TRIM(D67))=0</formula>
    </cfRule>
  </conditionalFormatting>
  <conditionalFormatting sqref="F20:H20">
    <cfRule type="cellIs" dxfId="655" priority="65" operator="equal">
      <formula>"CUMPLE"</formula>
    </cfRule>
    <cfRule type="cellIs" dxfId="654" priority="66" operator="equal">
      <formula>"NO CUMPLE"</formula>
    </cfRule>
    <cfRule type="cellIs" dxfId="653" priority="67" operator="equal">
      <formula>"""CUMPLE"""</formula>
    </cfRule>
  </conditionalFormatting>
  <conditionalFormatting sqref="I11">
    <cfRule type="containsText" dxfId="652" priority="68" operator="containsText" text="INHABILITADO">
      <formula>NOT(ISERROR(SEARCH("INHABILITADO",I11)))</formula>
    </cfRule>
    <cfRule type="containsText" dxfId="651" priority="69" operator="containsText" text="HABILITADO">
      <formula>NOT(ISERROR(SEARCH("HABILITADO",I11)))</formula>
    </cfRule>
    <cfRule type="containsText" dxfId="650" priority="70" operator="containsText" text="HABILITADO">
      <formula>NOT(ISERROR(SEARCH("HABILITADO",I11)))</formula>
    </cfRule>
    <cfRule type="containsText" dxfId="649" priority="71" operator="containsText" text="NO CUMPLE">
      <formula>NOT(ISERROR(SEARCH("NO CUMPLE",I11)))</formula>
    </cfRule>
  </conditionalFormatting>
  <conditionalFormatting sqref="K19">
    <cfRule type="cellIs" dxfId="648" priority="56" operator="equal">
      <formula>"CUMPLE"</formula>
    </cfRule>
    <cfRule type="cellIs" dxfId="647" priority="57" operator="equal">
      <formula>"NO CUMPLE"</formula>
    </cfRule>
    <cfRule type="cellIs" dxfId="646" priority="58" operator="equal">
      <formula>"""CUMPLE"""</formula>
    </cfRule>
  </conditionalFormatting>
  <conditionalFormatting sqref="K25:K65">
    <cfRule type="containsBlanks" dxfId="645" priority="47">
      <formula>LEN(TRIM(K25))=0</formula>
    </cfRule>
    <cfRule type="notContainsErrors" dxfId="644" priority="48">
      <formula>NOT(ISERROR(K25))</formula>
    </cfRule>
  </conditionalFormatting>
  <conditionalFormatting sqref="L15">
    <cfRule type="cellIs" dxfId="643" priority="62" operator="equal">
      <formula>"CUMPLE"</formula>
    </cfRule>
    <cfRule type="cellIs" dxfId="642" priority="63" operator="equal">
      <formula>"NO CUMPLE"</formula>
    </cfRule>
    <cfRule type="cellIs" dxfId="641" priority="64" operator="equal">
      <formula>"""CUMPLE"""</formula>
    </cfRule>
  </conditionalFormatting>
  <dataValidations disablePrompts="1" count="3">
    <dataValidation type="list" allowBlank="1" showInputMessage="1" showErrorMessage="1" sqref="D67:I67" xr:uid="{E291424A-1910-49BB-818C-695D9AB59DB3}">
      <formula1>"CUMPLE,NO CUMPLE"</formula1>
    </dataValidation>
    <dataValidation type="list" allowBlank="1" showInputMessage="1" showErrorMessage="1" sqref="D24:J26" xr:uid="{49734C08-39AA-422C-B49A-54D298BCCF9D}">
      <formula1>$C$15:$C$19</formula1>
    </dataValidation>
    <dataValidation type="list" allowBlank="1" showInputMessage="1" showErrorMessage="1" sqref="L58:L66" xr:uid="{0DB4349F-457A-44AF-A22D-4893D06BA65C}">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6781804C-EABB-4D17-9D31-1FA8FC83DB77}">
          <x14:formula1>
            <xm:f>'DATOS INICIALES'!$A$13:$A$44</xm:f>
          </x14:formula1>
          <xm:sqref>F31:I31</xm:sqref>
        </x14:dataValidation>
        <x14:dataValidation type="list" allowBlank="1" showInputMessage="1" showErrorMessage="1" xr:uid="{6550DDB6-E2CC-4CB7-9506-352C0B84830A}">
          <x14:formula1>
            <xm:f>'DATOS INICIALES'!$D$22:$D$26</xm:f>
          </x14:formula1>
          <xm:sqref>M47:M55</xm:sqref>
        </x14:dataValidation>
        <x14:dataValidation type="list" allowBlank="1" showInputMessage="1" showErrorMessage="1" xr:uid="{27021419-31C3-407E-B26E-DB1FA3305818}">
          <x14:formula1>
            <xm:f>'DATOS INICIALES'!$A$57:$A$62</xm:f>
          </x14:formula1>
          <xm:sqref>D23:I23</xm:sqref>
        </x14:dataValidation>
        <x14:dataValidation type="list" allowBlank="1" showInputMessage="1" showErrorMessage="1" xr:uid="{0D32B785-198C-48D3-A480-47628400CD19}">
          <x14:formula1>
            <xm:f>'DATOS INICIALES'!$A$53:$A$55</xm:f>
          </x14:formula1>
          <xm:sqref>F59:J65 F46:J46 J56:J57 F56:I58</xm:sqref>
        </x14:dataValidation>
        <x14:dataValidation type="list" allowBlank="1" showInputMessage="1" showErrorMessage="1" xr:uid="{B1357C47-4514-44F4-96C1-B301E41B9D58}">
          <x14:formula1>
            <xm:f>'DATOS INICIALES'!$C$48:$C$49</xm:f>
          </x14:formula1>
          <xm:sqref>J47:J52 F47:I54</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D21A3-B163-42B0-AD78-9E635432578D}">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I15" sqref="I15:I17"/>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+PROPONENTES!B29</f>
        <v>CONSORCIO SEGMENTOS VIALES</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INVERSIONES Y CONSTRUCCIONES MUNDO NUEVO SAS </v>
      </c>
      <c r="D15" s="101">
        <f>IF(VLOOKUP(C11,PROPONENTES!B10:N44,3,FALSE)=0,"",VLOOKUP(C11,PROPONENTES!B10:N44,3,FALSE))</f>
        <v>0.4</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31616.7425</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3</v>
      </c>
      <c r="J15" s="264">
        <f>IF(AND(I15&gt;=1,I15&lt;=2),L8,IF(AND(I15&gt;=3,I15&lt;=4),L9,IF(AND(I15&gt;=5,I15&lt;=7),L10)))</f>
        <v>18919.917519692306</v>
      </c>
      <c r="K15" s="264">
        <f>+E20</f>
        <v>44280.847500000003</v>
      </c>
      <c r="L15" s="265" t="str">
        <f>IF(K15&gt;=J15,"CUMPLE","NO CUMPLE")</f>
        <v>CUMPLE</v>
      </c>
    </row>
    <row r="16" spans="2:12" ht="33.75" customHeight="1" x14ac:dyDescent="0.2">
      <c r="B16" s="273"/>
      <c r="C16" s="100" t="str">
        <f>IF(VLOOKUP(C11,PROPONENTES!B10:N44,4,FALSE)=0,"",VLOOKUP(C11,PROPONENTES!B10:N44,4,FALSE))</f>
        <v>MAQUINARIA E INFRAESTRUCTURA S.A.S</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12664.105</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xml:space="preserve">INVERSIONES Y CONSTRUCCIONES DEL CATILLO SAS </v>
      </c>
      <c r="D17" s="101">
        <f>IF(VLOOKUP(C11,PROPONENTES!B10:N44,7,FALSE)=0,"",VLOOKUP(C11,PROPONENTES!B10:N44,7,FALSE))</f>
        <v>0.1</v>
      </c>
      <c r="E17" s="102">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0</v>
      </c>
      <c r="F17" s="103" t="str">
        <f t="shared" si="1"/>
        <v>NO</v>
      </c>
      <c r="G17" s="104" t="str">
        <f t="shared" si="2"/>
        <v>NO APORTA EXPERIENCIA</v>
      </c>
      <c r="H17" s="103" t="str">
        <f>IF(C17="","",IF(AND(G17="NO APORTA EXPERIENCIA",D17&lt;=10%),"SI",IF(G17="SI","NO APLICA","NO - PORCENTAJE MAYOR AL 10%")))</f>
        <v>SI</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44280.847500000003</v>
      </c>
      <c r="J19" s="355">
        <f>IF(I15="","",VLOOKUP(I15,$D$76:$E$82,2,FALSE))</f>
        <v>18919.917519692306</v>
      </c>
      <c r="K19" s="249" t="str">
        <f>IF(I19&gt;=J19,"CUMPLE","NO CUMPLE")</f>
        <v>CUMPLE</v>
      </c>
      <c r="L19" s="250"/>
    </row>
    <row r="20" spans="2:14" ht="84.75" customHeight="1" x14ac:dyDescent="0.2">
      <c r="B20" s="31" t="s">
        <v>61</v>
      </c>
      <c r="C20" s="25">
        <f>+VLOOKUP(C11,PROPONENTES!B10:N44,12,FALSE)</f>
        <v>3</v>
      </c>
      <c r="D20" s="101">
        <f>+VLOOKUP(C11,PROPONENTES!B10:N44,13,FALSE)</f>
        <v>1</v>
      </c>
      <c r="E20" s="36">
        <f>SUM(E15:E19)</f>
        <v>44280.847500000003</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270</v>
      </c>
      <c r="E24" s="91" t="s">
        <v>270</v>
      </c>
      <c r="F24" s="91" t="s">
        <v>270</v>
      </c>
      <c r="G24" s="91"/>
      <c r="H24" s="91"/>
      <c r="I24" s="91"/>
      <c r="J24" s="91"/>
      <c r="K24" s="247"/>
      <c r="L24" s="248"/>
    </row>
    <row r="25" spans="2:14" ht="39.75" customHeight="1" x14ac:dyDescent="0.2">
      <c r="B25" s="259" t="s">
        <v>116</v>
      </c>
      <c r="C25" s="260"/>
      <c r="D25" s="91" t="s">
        <v>271</v>
      </c>
      <c r="E25" s="91" t="s">
        <v>271</v>
      </c>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545</v>
      </c>
      <c r="E27" s="92" t="s">
        <v>546</v>
      </c>
      <c r="F27" s="92" t="s">
        <v>547</v>
      </c>
      <c r="G27" s="92"/>
      <c r="H27" s="92"/>
      <c r="I27" s="92"/>
      <c r="J27" s="92"/>
      <c r="K27" s="247"/>
      <c r="L27" s="248"/>
    </row>
    <row r="28" spans="2:14" ht="156.75" customHeight="1" x14ac:dyDescent="0.2">
      <c r="B28" s="277"/>
      <c r="C28" s="26" t="s">
        <v>36</v>
      </c>
      <c r="D28" s="92" t="s">
        <v>548</v>
      </c>
      <c r="E28" s="92" t="s">
        <v>549</v>
      </c>
      <c r="F28" s="92" t="s">
        <v>550</v>
      </c>
      <c r="G28" s="92"/>
      <c r="H28" s="92"/>
      <c r="I28" s="92"/>
      <c r="J28" s="92"/>
      <c r="K28" s="247"/>
      <c r="L28" s="248"/>
    </row>
    <row r="29" spans="2:14" ht="52.5" customHeight="1" x14ac:dyDescent="0.2">
      <c r="B29" s="277"/>
      <c r="C29" s="26" t="s">
        <v>172</v>
      </c>
      <c r="D29" s="96">
        <v>41673</v>
      </c>
      <c r="E29" s="96">
        <v>41668</v>
      </c>
      <c r="F29" s="96">
        <v>41381</v>
      </c>
      <c r="G29" s="96"/>
      <c r="H29" s="96"/>
      <c r="I29" s="96"/>
      <c r="J29" s="96"/>
      <c r="K29" s="247"/>
      <c r="L29" s="248"/>
    </row>
    <row r="30" spans="2:14" ht="54.75" customHeight="1" x14ac:dyDescent="0.2">
      <c r="B30" s="277"/>
      <c r="C30" s="26" t="s">
        <v>40</v>
      </c>
      <c r="D30" s="96">
        <v>42226</v>
      </c>
      <c r="E30" s="96">
        <v>42217</v>
      </c>
      <c r="F30" s="96">
        <v>41928</v>
      </c>
      <c r="G30" s="96"/>
      <c r="H30" s="96"/>
      <c r="I30" s="96"/>
      <c r="J30" s="96"/>
      <c r="K30" s="247"/>
      <c r="L30" s="248"/>
    </row>
    <row r="31" spans="2:14" ht="41.25" customHeight="1" x14ac:dyDescent="0.2">
      <c r="B31" s="277"/>
      <c r="C31" s="26" t="s">
        <v>37</v>
      </c>
      <c r="D31" s="93">
        <v>2015</v>
      </c>
      <c r="E31" s="93">
        <v>2015</v>
      </c>
      <c r="F31" s="93">
        <v>2014</v>
      </c>
      <c r="G31" s="93"/>
      <c r="H31" s="93"/>
      <c r="I31" s="93"/>
      <c r="J31" s="93"/>
      <c r="K31" s="247"/>
      <c r="L31" s="248"/>
    </row>
    <row r="32" spans="2:14" ht="63" customHeight="1" x14ac:dyDescent="0.2">
      <c r="B32" s="277"/>
      <c r="C32" s="26" t="s">
        <v>38</v>
      </c>
      <c r="D32" s="92" t="s">
        <v>551</v>
      </c>
      <c r="E32" s="92" t="s">
        <v>551</v>
      </c>
      <c r="F32" s="92" t="s">
        <v>551</v>
      </c>
      <c r="G32" s="92"/>
      <c r="H32" s="92"/>
      <c r="I32" s="92"/>
      <c r="J32" s="92"/>
      <c r="K32" s="247"/>
      <c r="L32" s="248"/>
    </row>
    <row r="33" spans="2:12" ht="46.5" customHeight="1" x14ac:dyDescent="0.2">
      <c r="B33" s="277"/>
      <c r="C33" s="26" t="s">
        <v>39</v>
      </c>
      <c r="D33" s="92" t="s">
        <v>552</v>
      </c>
      <c r="E33" s="92" t="s">
        <v>553</v>
      </c>
      <c r="F33" s="92" t="s">
        <v>554</v>
      </c>
      <c r="G33" s="92"/>
      <c r="H33" s="92"/>
      <c r="I33" s="92"/>
      <c r="J33" s="92"/>
      <c r="K33" s="247"/>
      <c r="L33" s="248"/>
    </row>
    <row r="34" spans="2:12" ht="27.75" customHeight="1" x14ac:dyDescent="0.2">
      <c r="B34" s="277"/>
      <c r="C34" s="28" t="s">
        <v>33</v>
      </c>
      <c r="D34" s="187" t="s">
        <v>555</v>
      </c>
      <c r="E34" s="187" t="s">
        <v>556</v>
      </c>
      <c r="F34" s="97">
        <v>13</v>
      </c>
      <c r="G34" s="98"/>
      <c r="H34" s="98"/>
      <c r="I34" s="98"/>
      <c r="J34" s="98"/>
      <c r="K34" s="247"/>
      <c r="L34" s="248"/>
    </row>
    <row r="35" spans="2:12" ht="102.75" customHeight="1" x14ac:dyDescent="0.2">
      <c r="B35" s="277"/>
      <c r="C35" s="26" t="s">
        <v>118</v>
      </c>
      <c r="D35" s="94">
        <v>28178.19</v>
      </c>
      <c r="E35" s="94">
        <v>27856.58</v>
      </c>
      <c r="F35" s="94">
        <v>29736.27</v>
      </c>
      <c r="G35" s="94"/>
      <c r="H35" s="94"/>
      <c r="I35" s="94"/>
      <c r="J35" s="94"/>
      <c r="K35" s="279"/>
      <c r="L35" s="280"/>
    </row>
    <row r="36" spans="2:12" ht="48" customHeight="1" x14ac:dyDescent="0.2">
      <c r="B36" s="277"/>
      <c r="C36" s="26" t="s">
        <v>74</v>
      </c>
      <c r="D36" s="105">
        <f>IFERROR(D35*VLOOKUP(D31,'DATOS INICIALES'!$A$12:$B$44,2,0),"0")</f>
        <v>18156616726.5</v>
      </c>
      <c r="E36" s="105">
        <f>IFERROR(E35*VLOOKUP(E31,'DATOS INICIALES'!$A$12:$B$44,2,0),"0")</f>
        <v>17949387323</v>
      </c>
      <c r="F36" s="105">
        <f>IFERROR(F35*VLOOKUP(F31,'DATOS INICIALES'!$A$12:$B$44,2,0),"0")</f>
        <v>18317542320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0.4</v>
      </c>
      <c r="E37" s="95">
        <v>0.25</v>
      </c>
      <c r="F37" s="95">
        <v>0.45</v>
      </c>
      <c r="G37" s="95"/>
      <c r="H37" s="95"/>
      <c r="I37" s="95"/>
      <c r="J37" s="95"/>
      <c r="K37" s="247"/>
      <c r="L37" s="248"/>
    </row>
    <row r="38" spans="2:12" ht="48.75" customHeight="1" x14ac:dyDescent="0.2">
      <c r="B38" s="277"/>
      <c r="C38" s="26" t="s">
        <v>125</v>
      </c>
      <c r="D38" s="105">
        <f t="shared" ref="D38:J38" si="3">IF(D24="","0",D37*D36)</f>
        <v>7262646690.6000004</v>
      </c>
      <c r="E38" s="105">
        <f t="shared" si="3"/>
        <v>4487346830.75</v>
      </c>
      <c r="F38" s="105">
        <f t="shared" si="3"/>
        <v>8242894044</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11271.276</v>
      </c>
      <c r="E39" s="106">
        <f t="shared" si="4"/>
        <v>6964.1450000000004</v>
      </c>
      <c r="F39" s="106">
        <f t="shared" si="4"/>
        <v>13381.3215</v>
      </c>
      <c r="G39" s="106">
        <f t="shared" si="4"/>
        <v>0</v>
      </c>
      <c r="H39" s="106">
        <f t="shared" si="4"/>
        <v>0</v>
      </c>
      <c r="I39" s="106">
        <f t="shared" si="4"/>
        <v>0</v>
      </c>
      <c r="J39" s="106">
        <f t="shared" si="4"/>
        <v>0</v>
      </c>
      <c r="K39" s="247"/>
      <c r="L39" s="248"/>
    </row>
    <row r="40" spans="2:12" ht="65.25" customHeight="1" x14ac:dyDescent="0.2">
      <c r="B40" s="277"/>
      <c r="C40" s="26" t="s">
        <v>121</v>
      </c>
      <c r="D40" s="95">
        <v>0.4</v>
      </c>
      <c r="E40" s="95">
        <v>0.05</v>
      </c>
      <c r="F40" s="95"/>
      <c r="G40" s="95"/>
      <c r="H40" s="95"/>
      <c r="I40" s="95"/>
      <c r="J40" s="95"/>
      <c r="K40" s="247"/>
      <c r="L40" s="248"/>
    </row>
    <row r="41" spans="2:12" ht="65.25" customHeight="1" x14ac:dyDescent="0.2">
      <c r="B41" s="277"/>
      <c r="C41" s="26" t="s">
        <v>126</v>
      </c>
      <c r="D41" s="107">
        <f t="shared" ref="D41:J41" si="5">IF(D25="","0",D40*D36)</f>
        <v>7262646690.6000004</v>
      </c>
      <c r="E41" s="107">
        <f t="shared" si="5"/>
        <v>897469366.1500001</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11271.276</v>
      </c>
      <c r="E42" s="106">
        <f t="shared" ref="E42:J42" si="6">IF(E25="",0,E35*E40)</f>
        <v>1392.8290000000002</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c r="H46" s="91"/>
      <c r="I46" s="91"/>
      <c r="J46" s="91"/>
      <c r="K46" s="247"/>
      <c r="L46" s="248"/>
    </row>
    <row r="47" spans="2:12" ht="24.75" customHeight="1" x14ac:dyDescent="0.2">
      <c r="B47" s="284" t="s">
        <v>34</v>
      </c>
      <c r="C47" s="29">
        <f>+'DATOS INICIALES'!D22</f>
        <v>721033</v>
      </c>
      <c r="D47" s="97" t="s">
        <v>77</v>
      </c>
      <c r="E47" s="97" t="s">
        <v>77</v>
      </c>
      <c r="F47" s="97" t="s">
        <v>77</v>
      </c>
      <c r="G47" s="97"/>
      <c r="H47" s="97"/>
      <c r="I47" s="97"/>
      <c r="J47" s="98"/>
      <c r="K47" s="247"/>
      <c r="L47" s="248"/>
    </row>
    <row r="48" spans="2:12" ht="24.75" customHeight="1" x14ac:dyDescent="0.2">
      <c r="B48" s="285"/>
      <c r="C48" s="29">
        <f>+'DATOS INICIALES'!D23</f>
        <v>721410</v>
      </c>
      <c r="D48" s="97" t="s">
        <v>77</v>
      </c>
      <c r="E48" s="97" t="s">
        <v>77</v>
      </c>
      <c r="F48" s="97" t="s">
        <v>77</v>
      </c>
      <c r="G48" s="97"/>
      <c r="H48" s="97"/>
      <c r="I48" s="97"/>
      <c r="J48" s="98"/>
      <c r="K48" s="247"/>
      <c r="L48" s="248"/>
    </row>
    <row r="49" spans="2:12" ht="24.75" customHeight="1" x14ac:dyDescent="0.2">
      <c r="B49" s="285"/>
      <c r="C49" s="29">
        <f>+'DATOS INICIALES'!D24</f>
        <v>721411</v>
      </c>
      <c r="D49" s="97" t="s">
        <v>77</v>
      </c>
      <c r="E49" s="97" t="s">
        <v>77</v>
      </c>
      <c r="F49" s="97" t="s">
        <v>77</v>
      </c>
      <c r="G49" s="97"/>
      <c r="H49" s="97"/>
      <c r="I49" s="97"/>
      <c r="J49" s="98"/>
      <c r="K49" s="247"/>
      <c r="L49" s="248"/>
    </row>
    <row r="50" spans="2:12" ht="24.75" customHeight="1" x14ac:dyDescent="0.2">
      <c r="B50" s="285"/>
      <c r="C50" s="29">
        <f>+'DATOS INICIALES'!D25</f>
        <v>721416</v>
      </c>
      <c r="D50" s="97" t="s">
        <v>77</v>
      </c>
      <c r="E50" s="97" t="s">
        <v>77</v>
      </c>
      <c r="F50" s="97" t="s">
        <v>75</v>
      </c>
      <c r="G50" s="97"/>
      <c r="H50" s="97"/>
      <c r="I50" s="97"/>
      <c r="J50" s="98"/>
      <c r="K50" s="247"/>
      <c r="L50" s="248"/>
    </row>
    <row r="51" spans="2:12" ht="24.75" customHeight="1" x14ac:dyDescent="0.2">
      <c r="B51" s="285"/>
      <c r="C51" s="29">
        <f>+'DATOS INICIALES'!D26</f>
        <v>721527</v>
      </c>
      <c r="D51" s="97" t="s">
        <v>77</v>
      </c>
      <c r="E51" s="97" t="s">
        <v>77</v>
      </c>
      <c r="F51" s="97" t="s">
        <v>77</v>
      </c>
      <c r="G51" s="97"/>
      <c r="H51" s="97"/>
      <c r="I51" s="97"/>
      <c r="J51" s="98"/>
      <c r="K51" s="247"/>
      <c r="L51" s="248"/>
    </row>
    <row r="52" spans="2:12" ht="24.75" customHeight="1" x14ac:dyDescent="0.2">
      <c r="B52" s="285"/>
      <c r="C52" s="29">
        <f>+'DATOS INICIALES'!D27</f>
        <v>721539</v>
      </c>
      <c r="D52" s="97" t="s">
        <v>77</v>
      </c>
      <c r="E52" s="97" t="s">
        <v>77</v>
      </c>
      <c r="F52" s="97" t="s">
        <v>77</v>
      </c>
      <c r="G52" s="97"/>
      <c r="H52" s="97"/>
      <c r="I52" s="97"/>
      <c r="J52" s="98"/>
      <c r="K52" s="247"/>
      <c r="L52" s="248"/>
    </row>
    <row r="53" spans="2:12" ht="24.75" customHeight="1" x14ac:dyDescent="0.2">
      <c r="B53" s="285"/>
      <c r="C53" s="29">
        <f>+'DATOS INICIALES'!D28</f>
        <v>951115</v>
      </c>
      <c r="D53" s="97" t="s">
        <v>77</v>
      </c>
      <c r="E53" s="97" t="s">
        <v>77</v>
      </c>
      <c r="F53" s="97" t="s">
        <v>77</v>
      </c>
      <c r="G53" s="97"/>
      <c r="H53" s="97"/>
      <c r="I53" s="97"/>
      <c r="J53" s="97"/>
      <c r="K53" s="247"/>
      <c r="L53" s="248"/>
    </row>
    <row r="54" spans="2:12" ht="24.75" customHeight="1" x14ac:dyDescent="0.2">
      <c r="B54" s="285"/>
      <c r="C54" s="29">
        <f>+'DATOS INICIALES'!D29</f>
        <v>721033</v>
      </c>
      <c r="D54" s="97" t="s">
        <v>77</v>
      </c>
      <c r="E54" s="97" t="s">
        <v>77</v>
      </c>
      <c r="F54" s="97" t="s">
        <v>77</v>
      </c>
      <c r="G54" s="97"/>
      <c r="H54" s="97"/>
      <c r="I54" s="97"/>
      <c r="J54" s="97"/>
      <c r="K54" s="247"/>
      <c r="L54" s="248"/>
    </row>
    <row r="55" spans="2:12" ht="60.75" customHeight="1" x14ac:dyDescent="0.2">
      <c r="B55" s="286"/>
      <c r="C55" s="18" t="s">
        <v>57</v>
      </c>
      <c r="D55" s="18" t="str">
        <f t="shared" ref="D55:F55" si="9">IF(D24="","N/A",IF(D47="SI","CUMPLE",IF(D48="SI","CUMPLE",IF(D49="SI","CUMPLE",IF(D50="SI","CUMPLE",IF(D51="SI","CUMPLE",IF(D52="SI","CUMPLE",IF(D54="SI","CUMPLE","NO CUMPLE"))))))))</f>
        <v>CUMPLE</v>
      </c>
      <c r="E55" s="18" t="str">
        <f t="shared" si="9"/>
        <v>CUMPLE</v>
      </c>
      <c r="F55" s="18" t="str">
        <f t="shared" si="9"/>
        <v>CUMPLE</v>
      </c>
      <c r="G55" s="18" t="str">
        <f t="shared" ref="G55:J55" si="10">IF(G24="","N/A",IF(G47="SI","CUMPLE",IF(G48="SI","CUMPLE",IF(G49="SI","CUMPLE",IF(G50="SI","CUMPLE",IF(G51="SI","CUMPLE",IF(G52="SI","CUMPLE",IF(G54="SI","CUMPLE","NO CUMPLE"))))))))</f>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t="s">
        <v>13</v>
      </c>
      <c r="G56" s="91"/>
      <c r="H56" s="91"/>
      <c r="I56" s="91"/>
      <c r="J56" s="91"/>
      <c r="K56" s="257"/>
      <c r="L56" s="258"/>
    </row>
    <row r="57" spans="2:12" ht="103.25" customHeight="1" x14ac:dyDescent="0.2">
      <c r="B57" s="287" t="s">
        <v>190</v>
      </c>
      <c r="C57" s="288"/>
      <c r="D57" s="91" t="s">
        <v>13</v>
      </c>
      <c r="E57" s="91" t="s">
        <v>13</v>
      </c>
      <c r="F57" s="91" t="s">
        <v>13</v>
      </c>
      <c r="G57" s="91"/>
      <c r="H57" s="91"/>
      <c r="I57" s="91"/>
      <c r="J57" s="91"/>
      <c r="K57" s="257"/>
      <c r="L57" s="258"/>
    </row>
    <row r="58" spans="2:12" ht="72" customHeight="1" x14ac:dyDescent="0.2">
      <c r="B58" s="281" t="s">
        <v>191</v>
      </c>
      <c r="C58" s="282"/>
      <c r="D58" s="91" t="s">
        <v>13</v>
      </c>
      <c r="E58" s="91" t="s">
        <v>13</v>
      </c>
      <c r="F58" s="91" t="s">
        <v>13</v>
      </c>
      <c r="G58" s="91"/>
      <c r="H58" s="91"/>
      <c r="I58" s="91"/>
      <c r="J58" s="91"/>
      <c r="K58" s="247"/>
      <c r="L58" s="248"/>
    </row>
    <row r="59" spans="2:12" ht="42.5" customHeight="1" x14ac:dyDescent="0.2">
      <c r="B59" s="281" t="s">
        <v>192</v>
      </c>
      <c r="C59" s="282"/>
      <c r="D59" s="91" t="s">
        <v>13</v>
      </c>
      <c r="E59" s="91" t="s">
        <v>13</v>
      </c>
      <c r="F59" s="91" t="s">
        <v>13</v>
      </c>
      <c r="G59" s="91"/>
      <c r="H59" s="91"/>
      <c r="I59" s="91"/>
      <c r="J59" s="91"/>
      <c r="K59" s="247"/>
      <c r="L59" s="248"/>
    </row>
    <row r="60" spans="2:12" ht="36" customHeight="1" x14ac:dyDescent="0.2">
      <c r="B60" s="281" t="s">
        <v>193</v>
      </c>
      <c r="C60" s="282"/>
      <c r="D60" s="91" t="s">
        <v>13</v>
      </c>
      <c r="E60" s="91" t="s">
        <v>13</v>
      </c>
      <c r="F60" s="91" t="s">
        <v>13</v>
      </c>
      <c r="G60" s="91"/>
      <c r="H60" s="91"/>
      <c r="I60" s="91"/>
      <c r="J60" s="91"/>
      <c r="K60" s="247"/>
      <c r="L60" s="248"/>
    </row>
    <row r="61" spans="2:12" ht="160.75" customHeight="1" x14ac:dyDescent="0.2">
      <c r="B61" s="281" t="s">
        <v>194</v>
      </c>
      <c r="C61" s="282"/>
      <c r="D61" s="91" t="s">
        <v>13</v>
      </c>
      <c r="E61" s="91" t="s">
        <v>13</v>
      </c>
      <c r="F61" s="91" t="s">
        <v>13</v>
      </c>
      <c r="G61" s="91"/>
      <c r="H61" s="91"/>
      <c r="I61" s="91"/>
      <c r="J61" s="91"/>
      <c r="K61" s="247"/>
      <c r="L61" s="248"/>
    </row>
    <row r="62" spans="2:12" ht="409.25" customHeight="1" x14ac:dyDescent="0.2">
      <c r="B62" s="261" t="s">
        <v>195</v>
      </c>
      <c r="C62" s="261"/>
      <c r="D62" s="91" t="s">
        <v>13</v>
      </c>
      <c r="E62" s="91" t="s">
        <v>13</v>
      </c>
      <c r="F62" s="91" t="s">
        <v>13</v>
      </c>
      <c r="G62" s="91"/>
      <c r="H62" s="91"/>
      <c r="I62" s="91"/>
      <c r="J62" s="91"/>
      <c r="K62" s="279"/>
      <c r="L62" s="280"/>
    </row>
    <row r="63" spans="2:12" ht="301.75" customHeight="1" x14ac:dyDescent="0.2">
      <c r="B63" s="262" t="s">
        <v>196</v>
      </c>
      <c r="C63" s="263"/>
      <c r="D63" s="91" t="s">
        <v>13</v>
      </c>
      <c r="E63" s="91" t="s">
        <v>13</v>
      </c>
      <c r="F63" s="91" t="s">
        <v>13</v>
      </c>
      <c r="G63" s="91"/>
      <c r="H63" s="91"/>
      <c r="I63" s="91"/>
      <c r="J63" s="91"/>
      <c r="K63" s="247"/>
      <c r="L63" s="248"/>
    </row>
    <row r="64" spans="2:12" ht="253.75" customHeight="1" x14ac:dyDescent="0.2">
      <c r="B64" s="283" t="s">
        <v>197</v>
      </c>
      <c r="C64" s="283"/>
      <c r="D64" s="91" t="s">
        <v>12</v>
      </c>
      <c r="E64" s="91" t="s">
        <v>12</v>
      </c>
      <c r="F64" s="91" t="s">
        <v>12</v>
      </c>
      <c r="G64" s="91"/>
      <c r="H64" s="91"/>
      <c r="I64" s="91"/>
      <c r="J64" s="91"/>
      <c r="K64" s="247"/>
      <c r="L64" s="248"/>
    </row>
    <row r="65" spans="2:12" ht="243.5" customHeight="1" x14ac:dyDescent="0.2">
      <c r="B65" s="261" t="s">
        <v>198</v>
      </c>
      <c r="C65" s="261"/>
      <c r="D65" s="91" t="s">
        <v>13</v>
      </c>
      <c r="E65" s="91" t="s">
        <v>13</v>
      </c>
      <c r="F65" s="91" t="s">
        <v>13</v>
      </c>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 si="11">IF(F24="","N/A",IF(AND(F46="CUMPLE",F55="CUMPLE",F56="CUMPLE",F57="CUMPLE",F58="CUMPLE",F59="CUMPLE",OR(F61="CUMPLE",F61="N/A"),F62="CUMPLE",OR(F63="CUMPLE",F63="N/A"),F65="CUMPLE",OR(F64="CUMPLE",F64="N/A")),"CUMPLE","NO CUMPLE"))</f>
        <v>CUMPLE</v>
      </c>
      <c r="G66" s="18" t="str">
        <f t="shared" ref="G66:J66" si="12">IF(G24="","N/A",IF(AND(G46="CUMPLE",G55="CUMPLE",G56="CUMPLE",G57="CUMPLE",G58="CUMPLE",G59="CUMPLE",OR(G61="CUMPLE",G61="N/A"),G62="CUMPLE",OR(G63="CUMPLE",G63="N/A"),G65="CUMPLE",OR(G64="CUMPLE",G64="N/A")),"CUMPLE","NO CUMPLE"))</f>
        <v>N/A</v>
      </c>
      <c r="H66" s="18" t="str">
        <f t="shared" si="12"/>
        <v>N/A</v>
      </c>
      <c r="I66" s="18" t="str">
        <f t="shared" si="12"/>
        <v>N/A</v>
      </c>
      <c r="J66" s="18" t="str">
        <f t="shared" si="12"/>
        <v>N/A</v>
      </c>
      <c r="K66" s="147"/>
      <c r="L66" s="148"/>
    </row>
    <row r="67" spans="2:12" ht="54.5" customHeight="1" x14ac:dyDescent="0.2">
      <c r="B67" s="261" t="s">
        <v>188</v>
      </c>
      <c r="C67" s="261"/>
      <c r="D67" s="91" t="s">
        <v>13</v>
      </c>
      <c r="E67" s="91" t="s">
        <v>13</v>
      </c>
      <c r="F67" s="91" t="s">
        <v>13</v>
      </c>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640" priority="25">
      <formula>LEN(TRIM(D25))=0</formula>
    </cfRule>
    <cfRule type="notContainsErrors" dxfId="639" priority="26">
      <formula>NOT(ISERROR(D25))</formula>
    </cfRule>
  </conditionalFormatting>
  <conditionalFormatting sqref="D34:J34 D24:K24">
    <cfRule type="containsBlanks" dxfId="638" priority="27">
      <formula>LEN(TRIM(D24))=0</formula>
    </cfRule>
  </conditionalFormatting>
  <conditionalFormatting sqref="D37:J37">
    <cfRule type="notContainsErrors" dxfId="637" priority="24">
      <formula>NOT(ISERROR(D37))</formula>
    </cfRule>
    <cfRule type="containsBlanks" dxfId="636" priority="23">
      <formula>LEN(TRIM(D37))=0</formula>
    </cfRule>
  </conditionalFormatting>
  <conditionalFormatting sqref="D40:J40">
    <cfRule type="notContainsErrors" dxfId="635" priority="22">
      <formula>NOT(ISERROR(D40))</formula>
    </cfRule>
    <cfRule type="containsBlanks" dxfId="634" priority="21">
      <formula>LEN(TRIM(D40))=0</formula>
    </cfRule>
  </conditionalFormatting>
  <conditionalFormatting sqref="D43:J43 K66:L66">
    <cfRule type="notContainsErrors" dxfId="633" priority="52">
      <formula>NOT(ISERROR(D43))</formula>
    </cfRule>
    <cfRule type="containsBlanks" dxfId="632" priority="51">
      <formula>LEN(TRIM(D43))=0</formula>
    </cfRule>
  </conditionalFormatting>
  <conditionalFormatting sqref="D46:J54">
    <cfRule type="cellIs" dxfId="631" priority="9" operator="equal">
      <formula>"NO CUMPLE"</formula>
    </cfRule>
    <cfRule type="cellIs" dxfId="630" priority="10" operator="equal">
      <formula>"CUMPLE"</formula>
    </cfRule>
    <cfRule type="containsBlanks" dxfId="629" priority="11">
      <formula>LEN(TRIM(D46))=0</formula>
    </cfRule>
    <cfRule type="notContainsErrors" dxfId="628" priority="12">
      <formula>NOT(ISERROR(D46))</formula>
    </cfRule>
  </conditionalFormatting>
  <conditionalFormatting sqref="D55:J55">
    <cfRule type="cellIs" dxfId="627" priority="20" operator="equal">
      <formula>"""CUMPLE"""</formula>
    </cfRule>
    <cfRule type="cellIs" dxfId="626" priority="17" operator="equal">
      <formula>"N/A"</formula>
    </cfRule>
    <cfRule type="cellIs" dxfId="625" priority="18" operator="equal">
      <formula>"CUMPLE"</formula>
    </cfRule>
    <cfRule type="cellIs" dxfId="624" priority="19" operator="equal">
      <formula>"NO CUMPLE"</formula>
    </cfRule>
  </conditionalFormatting>
  <conditionalFormatting sqref="D56:J65">
    <cfRule type="cellIs" dxfId="623" priority="6" operator="equal">
      <formula>"CUMPLE"</formula>
    </cfRule>
    <cfRule type="notContainsErrors" dxfId="622" priority="8">
      <formula>NOT(ISERROR(D56))</formula>
    </cfRule>
    <cfRule type="containsBlanks" dxfId="621" priority="7">
      <formula>LEN(TRIM(D56))=0</formula>
    </cfRule>
    <cfRule type="cellIs" dxfId="620" priority="5" operator="equal">
      <formula>"NO CUMPLE"</formula>
    </cfRule>
  </conditionalFormatting>
  <conditionalFormatting sqref="D66:J66">
    <cfRule type="cellIs" dxfId="619" priority="16" operator="equal">
      <formula>"""CUMPLE"""</formula>
    </cfRule>
    <cfRule type="cellIs" dxfId="618" priority="15" operator="equal">
      <formula>"NO CUMPLE"</formula>
    </cfRule>
    <cfRule type="cellIs" dxfId="617" priority="14" operator="equal">
      <formula>"CUMPLE"</formula>
    </cfRule>
    <cfRule type="cellIs" dxfId="616" priority="13" operator="equal">
      <formula>"N/A"</formula>
    </cfRule>
  </conditionalFormatting>
  <conditionalFormatting sqref="D67:J67">
    <cfRule type="cellIs" dxfId="615" priority="1" operator="equal">
      <formula>"NO CUMPLE"</formula>
    </cfRule>
    <cfRule type="cellIs" dxfId="614" priority="2" operator="equal">
      <formula>"CUMPLE"</formula>
    </cfRule>
  </conditionalFormatting>
  <conditionalFormatting sqref="D24:K24 D34:J34">
    <cfRule type="notContainsErrors" dxfId="613" priority="28">
      <formula>NOT(ISERROR(D24))</formula>
    </cfRule>
  </conditionalFormatting>
  <conditionalFormatting sqref="D67:K67">
    <cfRule type="notContainsErrors" dxfId="612" priority="4">
      <formula>NOT(ISERROR(D67))</formula>
    </cfRule>
    <cfRule type="containsBlanks" dxfId="611" priority="3">
      <formula>LEN(TRIM(D67))=0</formula>
    </cfRule>
  </conditionalFormatting>
  <conditionalFormatting sqref="F20:H20">
    <cfRule type="cellIs" dxfId="610" priority="67" operator="equal">
      <formula>"CUMPLE"</formula>
    </cfRule>
    <cfRule type="cellIs" dxfId="609" priority="68" operator="equal">
      <formula>"NO CUMPLE"</formula>
    </cfRule>
    <cfRule type="cellIs" dxfId="608" priority="69" operator="equal">
      <formula>"""CUMPLE"""</formula>
    </cfRule>
  </conditionalFormatting>
  <conditionalFormatting sqref="I11">
    <cfRule type="containsText" dxfId="607" priority="70" operator="containsText" text="INHABILITADO">
      <formula>NOT(ISERROR(SEARCH("INHABILITADO",I11)))</formula>
    </cfRule>
    <cfRule type="containsText" dxfId="606" priority="71" operator="containsText" text="HABILITADO">
      <formula>NOT(ISERROR(SEARCH("HABILITADO",I11)))</formula>
    </cfRule>
    <cfRule type="containsText" dxfId="605" priority="72" operator="containsText" text="HABILITADO">
      <formula>NOT(ISERROR(SEARCH("HABILITADO",I11)))</formula>
    </cfRule>
    <cfRule type="containsText" dxfId="604" priority="73" operator="containsText" text="NO CUMPLE">
      <formula>NOT(ISERROR(SEARCH("NO CUMPLE",I11)))</formula>
    </cfRule>
  </conditionalFormatting>
  <conditionalFormatting sqref="K19">
    <cfRule type="cellIs" dxfId="603" priority="58" operator="equal">
      <formula>"CUMPLE"</formula>
    </cfRule>
    <cfRule type="cellIs" dxfId="602" priority="59" operator="equal">
      <formula>"NO CUMPLE"</formula>
    </cfRule>
    <cfRule type="cellIs" dxfId="601" priority="60" operator="equal">
      <formula>"""CUMPLE"""</formula>
    </cfRule>
  </conditionalFormatting>
  <conditionalFormatting sqref="K25:K65">
    <cfRule type="containsBlanks" dxfId="600" priority="49">
      <formula>LEN(TRIM(K25))=0</formula>
    </cfRule>
    <cfRule type="notContainsErrors" dxfId="599" priority="50">
      <formula>NOT(ISERROR(K25))</formula>
    </cfRule>
  </conditionalFormatting>
  <conditionalFormatting sqref="L15">
    <cfRule type="cellIs" dxfId="598" priority="64" operator="equal">
      <formula>"CUMPLE"</formula>
    </cfRule>
    <cfRule type="cellIs" dxfId="597" priority="65" operator="equal">
      <formula>"NO CUMPLE"</formula>
    </cfRule>
    <cfRule type="cellIs" dxfId="596" priority="66" operator="equal">
      <formula>"""CUMPLE"""</formula>
    </cfRule>
  </conditionalFormatting>
  <dataValidations count="3">
    <dataValidation type="list" allowBlank="1" showInputMessage="1" showErrorMessage="1" sqref="L58:L66" xr:uid="{223B0A34-F8CF-4FAE-8DD6-84D5166065CD}">
      <formula1>"0,1,2,3,4,5,6"</formula1>
    </dataValidation>
    <dataValidation type="list" allowBlank="1" showInputMessage="1" showErrorMessage="1" sqref="D24:J26" xr:uid="{313DCCB3-39A4-4564-AC74-1A929A2C7513}">
      <formula1>$C$15:$C$19</formula1>
    </dataValidation>
    <dataValidation type="list" allowBlank="1" showInputMessage="1" showErrorMessage="1" sqref="D67:I67" xr:uid="{4F7069BB-B70E-430F-B608-EC164F8F6A52}">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54DE5113-287A-4A00-87C5-0BB2EA34F33F}">
          <x14:formula1>
            <xm:f>'DATOS INICIALES'!$C$48:$C$49</xm:f>
          </x14:formula1>
          <xm:sqref>J47:J52 G47:I54</xm:sqref>
        </x14:dataValidation>
        <x14:dataValidation type="list" allowBlank="1" showInputMessage="1" showErrorMessage="1" xr:uid="{95468CB9-3796-4E36-9427-F350F013715C}">
          <x14:formula1>
            <xm:f>'DATOS INICIALES'!$A$53:$A$55</xm:f>
          </x14:formula1>
          <xm:sqref>G59:J65 G46:J46 J56:J57 G56:I58</xm:sqref>
        </x14:dataValidation>
        <x14:dataValidation type="list" allowBlank="1" showInputMessage="1" showErrorMessage="1" xr:uid="{6173B700-335D-42C4-905C-F9997D1D749A}">
          <x14:formula1>
            <xm:f>'DATOS INICIALES'!$A$57:$A$62</xm:f>
          </x14:formula1>
          <xm:sqref>D23:I23</xm:sqref>
        </x14:dataValidation>
        <x14:dataValidation type="list" allowBlank="1" showInputMessage="1" showErrorMessage="1" xr:uid="{56BE62E1-EEB6-4D92-BC7A-49AF733080CC}">
          <x14:formula1>
            <xm:f>'DATOS INICIALES'!$D$22:$D$26</xm:f>
          </x14:formula1>
          <xm:sqref>M47:M55</xm:sqref>
        </x14:dataValidation>
        <x14:dataValidation type="list" allowBlank="1" showInputMessage="1" showErrorMessage="1" xr:uid="{2260D509-622B-4C20-AA5D-79C68178B4C0}">
          <x14:formula1>
            <xm:f>'DATOS INICIALES'!$A$13:$A$44</xm:f>
          </x14:formula1>
          <xm:sqref>G31:I31</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2016F-8E36-49DA-A355-D290E0ED2636}">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G61" sqref="G61"/>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+PROPONENTES!B30</f>
        <v>CONSORCIO LOCALIDAD USAQUEN</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EDUARDO CABALLERO AVILA</v>
      </c>
      <c r="D15" s="101">
        <f>IF(VLOOKUP(C11,PROPONENTES!B10:N44,3,FALSE)=0,"",VLOOKUP(C11,PROPONENTES!B10:N44,3,FALSE))</f>
        <v>0.4</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16408.8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6</v>
      </c>
      <c r="J15" s="264">
        <f>IF(AND(I15&gt;=1,I15&lt;=2),L8,IF(AND(I15&gt;=3,I15&lt;=4),L9,IF(AND(I15&gt;=5,I15&lt;=7),L10)))</f>
        <v>23649.896899615385</v>
      </c>
      <c r="K15" s="264">
        <f>+E20</f>
        <v>22204.108499999998</v>
      </c>
      <c r="L15" s="265" t="str">
        <f>IF(K15&gt;=J15,"CUMPLE","NO CUMPLE")</f>
        <v>NO CUMPLE</v>
      </c>
    </row>
    <row r="16" spans="2:12" ht="33.75" customHeight="1" x14ac:dyDescent="0.2">
      <c r="B16" s="273"/>
      <c r="C16" s="100" t="str">
        <f>IF(VLOOKUP(C11,PROPONENTES!B10:N44,4,FALSE)=0,"",VLOOKUP(C11,PROPONENTES!B10:N44,4,FALSE))</f>
        <v xml:space="preserve">PROCOM INGENIERIA SAS </v>
      </c>
      <c r="D16" s="101">
        <f>IF(VLOOKUP(C11,PROPONENTES!B10:N44,5,FALSE)=0,"",VLOOKUP(C11,PROPONENTES!B10:N44,5,FALSE))</f>
        <v>0.4</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5795.3085000000001</v>
      </c>
      <c r="F16" s="103" t="str">
        <f t="shared" si="1"/>
        <v>NO</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ML CONSTRUCCIONES Y SERVICIOS SAS</v>
      </c>
      <c r="D17" s="101">
        <f>IF(VLOOKUP(C11,PROPONENTES!B10:N44,7,FALSE)=0,"",VLOOKUP(C11,PROPONENTES!B10:N44,7,FALSE))</f>
        <v>0.2</v>
      </c>
      <c r="E17" s="102">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0</v>
      </c>
      <c r="F17" s="103" t="str">
        <f t="shared" si="1"/>
        <v>NO</v>
      </c>
      <c r="G17" s="104" t="str">
        <f t="shared" si="2"/>
        <v>NO APORTA EXPERIENCIA</v>
      </c>
      <c r="H17" s="103" t="str">
        <f>IF(C17="","",IF(AND(G17="NO APORTA EXPERIENCIA",D17&lt;=10%),"SI",IF(G17="SI","NO APLICA","NO - PORCENTAJE MAYOR AL 10%")))</f>
        <v>NO - PORCENTAJE MAYOR AL 10%</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3035.3969999999999</v>
      </c>
      <c r="J19" s="355">
        <f>IF(I15="","",VLOOKUP(I15,$D$76:$E$82,2,FALSE))</f>
        <v>23649.896899615385</v>
      </c>
      <c r="K19" s="249" t="str">
        <f>IF(I19&gt;=J19,"CUMPLE","NO CUMPLE")</f>
        <v>NO CUMPLE</v>
      </c>
      <c r="L19" s="250"/>
    </row>
    <row r="20" spans="2:14" ht="84.75" customHeight="1" x14ac:dyDescent="0.2">
      <c r="B20" s="31" t="s">
        <v>61</v>
      </c>
      <c r="C20" s="25">
        <f>+VLOOKUP(C11,PROPONENTES!B10:N44,12,FALSE)</f>
        <v>3</v>
      </c>
      <c r="D20" s="101">
        <f>+VLOOKUP(C11,PROPONENTES!B10:N44,13,FALSE)</f>
        <v>1</v>
      </c>
      <c r="E20" s="36">
        <f>SUM(E15:E19)</f>
        <v>22204.108499999998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NO 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273</v>
      </c>
      <c r="E24" s="91" t="s">
        <v>273</v>
      </c>
      <c r="F24" s="91" t="s">
        <v>275</v>
      </c>
      <c r="G24" s="91" t="s">
        <v>274</v>
      </c>
      <c r="H24" s="91" t="s">
        <v>273</v>
      </c>
      <c r="I24" s="91" t="s">
        <v>274</v>
      </c>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557</v>
      </c>
      <c r="E27" s="92" t="s">
        <v>558</v>
      </c>
      <c r="F27" s="92" t="s">
        <v>559</v>
      </c>
      <c r="G27" s="92" t="s">
        <v>560</v>
      </c>
      <c r="H27" s="92" t="s">
        <v>561</v>
      </c>
      <c r="I27" s="92" t="s">
        <v>562</v>
      </c>
      <c r="J27" s="92"/>
      <c r="K27" s="247"/>
      <c r="L27" s="248"/>
    </row>
    <row r="28" spans="2:14" ht="156.75" customHeight="1" x14ac:dyDescent="0.2">
      <c r="B28" s="277"/>
      <c r="C28" s="26" t="s">
        <v>36</v>
      </c>
      <c r="D28" s="92" t="s">
        <v>563</v>
      </c>
      <c r="E28" s="92" t="s">
        <v>564</v>
      </c>
      <c r="F28" s="92" t="s">
        <v>565</v>
      </c>
      <c r="G28" s="92" t="s">
        <v>566</v>
      </c>
      <c r="H28" s="92" t="s">
        <v>567</v>
      </c>
      <c r="I28" s="92" t="s">
        <v>568</v>
      </c>
      <c r="J28" s="92"/>
      <c r="K28" s="247"/>
      <c r="L28" s="248"/>
    </row>
    <row r="29" spans="2:14" ht="52.5" customHeight="1" x14ac:dyDescent="0.2">
      <c r="B29" s="277"/>
      <c r="C29" s="26" t="s">
        <v>172</v>
      </c>
      <c r="D29" s="96">
        <v>43570</v>
      </c>
      <c r="E29" s="96">
        <v>44442</v>
      </c>
      <c r="F29" s="96">
        <v>44117</v>
      </c>
      <c r="G29" s="96">
        <v>45061</v>
      </c>
      <c r="H29" s="96">
        <v>43591</v>
      </c>
      <c r="I29" s="96">
        <v>44755</v>
      </c>
      <c r="J29" s="96"/>
      <c r="K29" s="247"/>
      <c r="L29" s="248"/>
    </row>
    <row r="30" spans="2:14" ht="54.75" customHeight="1" x14ac:dyDescent="0.2">
      <c r="B30" s="277"/>
      <c r="C30" s="26" t="s">
        <v>40</v>
      </c>
      <c r="D30" s="96">
        <v>43745</v>
      </c>
      <c r="E30" s="96">
        <v>45504</v>
      </c>
      <c r="F30" s="96">
        <v>44362</v>
      </c>
      <c r="G30" s="96">
        <v>45396</v>
      </c>
      <c r="H30" s="96">
        <v>43997</v>
      </c>
      <c r="I30" s="96">
        <v>45216</v>
      </c>
      <c r="J30" s="96"/>
      <c r="K30" s="247"/>
      <c r="L30" s="248"/>
    </row>
    <row r="31" spans="2:14" ht="41.25" customHeight="1" x14ac:dyDescent="0.2">
      <c r="B31" s="277"/>
      <c r="C31" s="26" t="s">
        <v>37</v>
      </c>
      <c r="D31" s="93">
        <v>2019</v>
      </c>
      <c r="E31" s="93">
        <v>2024</v>
      </c>
      <c r="F31" s="93">
        <v>2021</v>
      </c>
      <c r="G31" s="93">
        <v>2024</v>
      </c>
      <c r="H31" s="93">
        <v>2020</v>
      </c>
      <c r="I31" s="93">
        <v>2023</v>
      </c>
      <c r="J31" s="93"/>
      <c r="K31" s="247"/>
      <c r="L31" s="248"/>
    </row>
    <row r="32" spans="2:14" ht="63" customHeight="1" x14ac:dyDescent="0.2">
      <c r="B32" s="277"/>
      <c r="C32" s="26" t="s">
        <v>38</v>
      </c>
      <c r="D32" s="92" t="s">
        <v>569</v>
      </c>
      <c r="E32" s="92" t="s">
        <v>570</v>
      </c>
      <c r="F32" s="92" t="s">
        <v>571</v>
      </c>
      <c r="G32" s="92" t="s">
        <v>572</v>
      </c>
      <c r="H32" s="92" t="s">
        <v>573</v>
      </c>
      <c r="I32" s="92" t="s">
        <v>574</v>
      </c>
      <c r="J32" s="92"/>
      <c r="K32" s="247"/>
      <c r="L32" s="248"/>
    </row>
    <row r="33" spans="2:12" ht="46.5" customHeight="1" x14ac:dyDescent="0.2">
      <c r="B33" s="277"/>
      <c r="C33" s="26" t="s">
        <v>39</v>
      </c>
      <c r="D33" s="92" t="s">
        <v>273</v>
      </c>
      <c r="E33" s="92" t="s">
        <v>575</v>
      </c>
      <c r="F33" s="92" t="s">
        <v>576</v>
      </c>
      <c r="G33" s="92" t="s">
        <v>577</v>
      </c>
      <c r="H33" s="92" t="s">
        <v>578</v>
      </c>
      <c r="I33" s="92" t="s">
        <v>579</v>
      </c>
      <c r="J33" s="92"/>
      <c r="K33" s="247"/>
      <c r="L33" s="248"/>
    </row>
    <row r="34" spans="2:12" ht="27.75" customHeight="1" x14ac:dyDescent="0.2">
      <c r="B34" s="277"/>
      <c r="C34" s="28" t="s">
        <v>33</v>
      </c>
      <c r="D34" s="97">
        <v>10</v>
      </c>
      <c r="E34" s="97">
        <v>22</v>
      </c>
      <c r="F34" s="97">
        <v>1</v>
      </c>
      <c r="G34" s="98">
        <v>1</v>
      </c>
      <c r="H34" s="98">
        <v>12</v>
      </c>
      <c r="I34" s="98">
        <v>73</v>
      </c>
      <c r="J34" s="98"/>
      <c r="K34" s="247"/>
      <c r="L34" s="248"/>
    </row>
    <row r="35" spans="2:12" ht="102.75" customHeight="1" x14ac:dyDescent="0.2">
      <c r="B35" s="277"/>
      <c r="C35" s="26" t="s">
        <v>118</v>
      </c>
      <c r="D35" s="94">
        <v>5598.9</v>
      </c>
      <c r="E35" s="94">
        <v>10017.02</v>
      </c>
      <c r="F35" s="94">
        <v>17700.689999999999</v>
      </c>
      <c r="G35" s="94">
        <v>10117.99</v>
      </c>
      <c r="H35" s="94">
        <v>5801.39</v>
      </c>
      <c r="I35" s="94">
        <v>2905.17</v>
      </c>
      <c r="J35" s="94"/>
      <c r="K35" s="279"/>
      <c r="L35" s="280"/>
    </row>
    <row r="36" spans="2:12" ht="48" customHeight="1" x14ac:dyDescent="0.2">
      <c r="B36" s="277"/>
      <c r="C36" s="26" t="s">
        <v>74</v>
      </c>
      <c r="D36" s="105">
        <f>IFERROR(D35*VLOOKUP(D31,'DATOS INICIALES'!$A$12:$B$44,2,0),"0")</f>
        <v>4636538672.3999996</v>
      </c>
      <c r="E36" s="105">
        <f>IFERROR(E35*VLOOKUP(E31,'DATOS INICIALES'!$A$12:$B$44,2,0),"0")</f>
        <v>13022126000</v>
      </c>
      <c r="F36" s="105">
        <f>IFERROR(F35*VLOOKUP(F31,'DATOS INICIALES'!$A$12:$B$44,2,0),"0")</f>
        <v>16081537082.939999</v>
      </c>
      <c r="G36" s="105">
        <f>IFERROR(G35*VLOOKUP(G31,'DATOS INICIALES'!$A$12:$B$44,2,0),"0")</f>
        <v>13153387000</v>
      </c>
      <c r="H36" s="105">
        <f>IFERROR(H35*VLOOKUP(H31,'DATOS INICIALES'!$A$12:$B$44,2,0),"0")</f>
        <v>5092477546.1700001</v>
      </c>
      <c r="I36" s="105">
        <f>IFERROR(I35*VLOOKUP(I31,'DATOS INICIALES'!$A$12:$B$44,2,0),"0")</f>
        <v>3369997200</v>
      </c>
      <c r="J36" s="105" t="str">
        <f>IFERROR(J35*VLOOKUP(J31,'DATOS INICIALES'!$A$12:$B$44,2,0),"0")</f>
        <v>0</v>
      </c>
      <c r="K36" s="247"/>
      <c r="L36" s="248"/>
    </row>
    <row r="37" spans="2:12" ht="33.75" customHeight="1" x14ac:dyDescent="0.2">
      <c r="B37" s="277"/>
      <c r="C37" s="26" t="s">
        <v>119</v>
      </c>
      <c r="D37" s="95">
        <v>1</v>
      </c>
      <c r="E37" s="95">
        <v>0.5</v>
      </c>
      <c r="F37" s="95">
        <v>0.2</v>
      </c>
      <c r="G37" s="95">
        <v>0.3</v>
      </c>
      <c r="H37" s="95">
        <v>1</v>
      </c>
      <c r="I37" s="95">
        <v>0.95</v>
      </c>
      <c r="J37" s="95"/>
      <c r="K37" s="247"/>
      <c r="L37" s="248"/>
    </row>
    <row r="38" spans="2:12" ht="48.75" customHeight="1" x14ac:dyDescent="0.2">
      <c r="B38" s="277"/>
      <c r="C38" s="26" t="s">
        <v>125</v>
      </c>
      <c r="D38" s="105">
        <f t="shared" ref="D38:J38" si="3">IF(D24="","0",D37*D36)</f>
        <v>4636538672.3999996</v>
      </c>
      <c r="E38" s="105">
        <f t="shared" si="3"/>
        <v>6511063000</v>
      </c>
      <c r="F38" s="105">
        <f t="shared" si="3"/>
        <v>3216307416.5879998</v>
      </c>
      <c r="G38" s="105">
        <f t="shared" si="3"/>
        <v>3946016100</v>
      </c>
      <c r="H38" s="105">
        <f t="shared" si="3"/>
        <v>5092477546.1700001</v>
      </c>
      <c r="I38" s="105">
        <f t="shared" si="3"/>
        <v>3201497340</v>
      </c>
      <c r="J38" s="105" t="str">
        <f t="shared" si="3"/>
        <v>0</v>
      </c>
      <c r="K38" s="247"/>
      <c r="L38" s="248"/>
    </row>
    <row r="39" spans="2:12" ht="65.25" customHeight="1" x14ac:dyDescent="0.2">
      <c r="B39" s="277"/>
      <c r="C39" s="26" t="s">
        <v>120</v>
      </c>
      <c r="D39" s="106">
        <f t="shared" ref="D39:J39" si="4">IFERROR(D35*D37,"0")</f>
        <v>5598.9</v>
      </c>
      <c r="E39" s="106">
        <f t="shared" si="4"/>
        <v>5008.51</v>
      </c>
      <c r="F39" s="106">
        <f t="shared" si="4"/>
        <v>3540.1379999999999</v>
      </c>
      <c r="G39" s="106">
        <f t="shared" si="4"/>
        <v>3035.3969999999999</v>
      </c>
      <c r="H39" s="106">
        <f t="shared" si="4"/>
        <v>5801.39</v>
      </c>
      <c r="I39" s="106">
        <f t="shared" si="4"/>
        <v>2759.9115000000002</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t="s">
        <v>13</v>
      </c>
      <c r="I46" s="91" t="s">
        <v>13</v>
      </c>
      <c r="J46" s="91"/>
      <c r="K46" s="247"/>
      <c r="L46" s="248"/>
    </row>
    <row r="47" spans="2:12" ht="24.75" customHeight="1" x14ac:dyDescent="0.2">
      <c r="B47" s="284" t="s">
        <v>34</v>
      </c>
      <c r="C47" s="29">
        <f>+'DATOS INICIALES'!D22</f>
        <v>721033</v>
      </c>
      <c r="D47" s="97" t="s">
        <v>77</v>
      </c>
      <c r="E47" s="97" t="s">
        <v>77</v>
      </c>
      <c r="F47" s="97" t="s">
        <v>77</v>
      </c>
      <c r="G47" s="97" t="s">
        <v>77</v>
      </c>
      <c r="H47" s="97" t="s">
        <v>77</v>
      </c>
      <c r="I47" s="97" t="s">
        <v>77</v>
      </c>
      <c r="J47" s="98"/>
      <c r="K47" s="247"/>
      <c r="L47" s="248"/>
    </row>
    <row r="48" spans="2:12" ht="24.75" customHeight="1" x14ac:dyDescent="0.2">
      <c r="B48" s="285"/>
      <c r="C48" s="29">
        <f>+'DATOS INICIALES'!D23</f>
        <v>721410</v>
      </c>
      <c r="D48" s="97" t="s">
        <v>77</v>
      </c>
      <c r="E48" s="97" t="s">
        <v>77</v>
      </c>
      <c r="F48" s="97" t="s">
        <v>77</v>
      </c>
      <c r="G48" s="97" t="s">
        <v>77</v>
      </c>
      <c r="H48" s="97" t="s">
        <v>77</v>
      </c>
      <c r="I48" s="97" t="s">
        <v>77</v>
      </c>
      <c r="J48" s="98"/>
      <c r="K48" s="247"/>
      <c r="L48" s="248"/>
    </row>
    <row r="49" spans="2:12" ht="24.75" customHeight="1" x14ac:dyDescent="0.2">
      <c r="B49" s="285"/>
      <c r="C49" s="29">
        <f>+'DATOS INICIALES'!D24</f>
        <v>721411</v>
      </c>
      <c r="D49" s="97" t="s">
        <v>77</v>
      </c>
      <c r="E49" s="97" t="s">
        <v>77</v>
      </c>
      <c r="F49" s="97" t="s">
        <v>77</v>
      </c>
      <c r="G49" s="97" t="s">
        <v>77</v>
      </c>
      <c r="H49" s="97" t="s">
        <v>75</v>
      </c>
      <c r="I49" s="97" t="s">
        <v>77</v>
      </c>
      <c r="J49" s="98"/>
      <c r="K49" s="247"/>
      <c r="L49" s="248"/>
    </row>
    <row r="50" spans="2:12" ht="24.75" customHeight="1" x14ac:dyDescent="0.2">
      <c r="B50" s="285"/>
      <c r="C50" s="29">
        <f>+'DATOS INICIALES'!D25</f>
        <v>721416</v>
      </c>
      <c r="D50" s="97" t="s">
        <v>77</v>
      </c>
      <c r="E50" s="97" t="s">
        <v>77</v>
      </c>
      <c r="F50" s="97" t="s">
        <v>77</v>
      </c>
      <c r="G50" s="97" t="s">
        <v>77</v>
      </c>
      <c r="H50" s="97" t="s">
        <v>77</v>
      </c>
      <c r="I50" s="97" t="s">
        <v>75</v>
      </c>
      <c r="J50" s="98"/>
      <c r="K50" s="247"/>
      <c r="L50" s="248"/>
    </row>
    <row r="51" spans="2:12" ht="24.75" customHeight="1" x14ac:dyDescent="0.2">
      <c r="B51" s="285"/>
      <c r="C51" s="29">
        <f>+'DATOS INICIALES'!D26</f>
        <v>721527</v>
      </c>
      <c r="D51" s="97" t="s">
        <v>77</v>
      </c>
      <c r="E51" s="97" t="s">
        <v>77</v>
      </c>
      <c r="F51" s="97" t="s">
        <v>77</v>
      </c>
      <c r="G51" s="97" t="s">
        <v>77</v>
      </c>
      <c r="H51" s="97" t="s">
        <v>77</v>
      </c>
      <c r="I51" s="97" t="s">
        <v>77</v>
      </c>
      <c r="J51" s="98"/>
      <c r="K51" s="247"/>
      <c r="L51" s="248"/>
    </row>
    <row r="52" spans="2:12" ht="24.75" customHeight="1" x14ac:dyDescent="0.2">
      <c r="B52" s="285"/>
      <c r="C52" s="29">
        <f>+'DATOS INICIALES'!D27</f>
        <v>721539</v>
      </c>
      <c r="D52" s="97" t="s">
        <v>77</v>
      </c>
      <c r="E52" s="97" t="s">
        <v>77</v>
      </c>
      <c r="F52" s="97" t="s">
        <v>77</v>
      </c>
      <c r="G52" s="97" t="s">
        <v>77</v>
      </c>
      <c r="H52" s="97" t="s">
        <v>77</v>
      </c>
      <c r="I52" s="97" t="s">
        <v>77</v>
      </c>
      <c r="J52" s="98"/>
      <c r="K52" s="247"/>
      <c r="L52" s="248"/>
    </row>
    <row r="53" spans="2:12" ht="24.75" customHeight="1" x14ac:dyDescent="0.2">
      <c r="B53" s="285"/>
      <c r="C53" s="29">
        <f>+'DATOS INICIALES'!D28</f>
        <v>951115</v>
      </c>
      <c r="D53" s="97" t="s">
        <v>77</v>
      </c>
      <c r="E53" s="97" t="s">
        <v>75</v>
      </c>
      <c r="F53" s="97" t="s">
        <v>75</v>
      </c>
      <c r="G53" s="97" t="s">
        <v>77</v>
      </c>
      <c r="H53" s="97" t="s">
        <v>77</v>
      </c>
      <c r="I53" s="97" t="s">
        <v>77</v>
      </c>
      <c r="J53" s="97"/>
      <c r="K53" s="247"/>
      <c r="L53" s="248"/>
    </row>
    <row r="54" spans="2:12" ht="24.75" customHeight="1" x14ac:dyDescent="0.2">
      <c r="B54" s="285"/>
      <c r="C54" s="29">
        <f>+'DATOS INICIALES'!D29</f>
        <v>721033</v>
      </c>
      <c r="D54" s="97" t="s">
        <v>77</v>
      </c>
      <c r="E54" s="97" t="s">
        <v>77</v>
      </c>
      <c r="F54" s="97" t="s">
        <v>77</v>
      </c>
      <c r="G54" s="97" t="s">
        <v>77</v>
      </c>
      <c r="H54" s="97" t="s">
        <v>77</v>
      </c>
      <c r="I54" s="97" t="s">
        <v>77</v>
      </c>
      <c r="J54" s="97"/>
      <c r="K54" s="247"/>
      <c r="L54" s="248"/>
    </row>
    <row r="55" spans="2:12" ht="60.75" customHeight="1" x14ac:dyDescent="0.2">
      <c r="B55" s="286"/>
      <c r="C55" s="18" t="s">
        <v>57</v>
      </c>
      <c r="D55" s="18" t="str">
        <f t="shared" ref="D55:I55" si="9">IF(D24="","N/A",IF(D47="SI","CUMPLE",IF(D48="SI","CUMPLE",IF(D49="SI","CUMPLE",IF(D50="SI","CUMPLE",IF(D51="SI","CUMPLE",IF(D52="SI","CUMPLE",IF(D54="SI","CUMPLE","NO CUMPLE"))))))))</f>
        <v>CUMPLE</v>
      </c>
      <c r="E55" s="18" t="str">
        <f t="shared" si="9"/>
        <v>CUMPLE</v>
      </c>
      <c r="F55" s="18" t="str">
        <f t="shared" si="9"/>
        <v>CUMPLE</v>
      </c>
      <c r="G55" s="18" t="str">
        <f t="shared" si="9"/>
        <v>CUMPLE</v>
      </c>
      <c r="H55" s="18" t="str">
        <f t="shared" si="9"/>
        <v>CUMPLE</v>
      </c>
      <c r="I55" s="18" t="str">
        <f t="shared" si="9"/>
        <v>CUMPLE</v>
      </c>
      <c r="J55" s="18" t="str">
        <f t="shared" ref="J55" si="10">IF(J24="","N/A",IF(J47="SI","CUMPLE",IF(J48="SI","CUMPLE",IF(J49="SI","CUMPLE",IF(J50="SI","CUMPLE",IF(J51="SI","CUMPLE",IF(J52="SI","CUMPLE",IF(J54="SI","CUMPLE","NO CUMPLE"))))))))</f>
        <v>N/A</v>
      </c>
      <c r="K55" s="247"/>
      <c r="L55" s="248"/>
    </row>
    <row r="56" spans="2:12" ht="147.5" customHeight="1" x14ac:dyDescent="0.2">
      <c r="B56" s="287" t="s">
        <v>189</v>
      </c>
      <c r="C56" s="288"/>
      <c r="D56" s="91" t="s">
        <v>13</v>
      </c>
      <c r="E56" s="91" t="s">
        <v>13</v>
      </c>
      <c r="F56" s="91" t="s">
        <v>13</v>
      </c>
      <c r="G56" s="91" t="s">
        <v>13</v>
      </c>
      <c r="H56" s="91" t="s">
        <v>13</v>
      </c>
      <c r="I56" s="91" t="s">
        <v>13</v>
      </c>
      <c r="J56" s="91"/>
      <c r="K56" s="257"/>
      <c r="L56" s="258"/>
    </row>
    <row r="57" spans="2:12" ht="103.25" customHeight="1" x14ac:dyDescent="0.2">
      <c r="B57" s="287" t="s">
        <v>190</v>
      </c>
      <c r="C57" s="288"/>
      <c r="D57" s="91" t="s">
        <v>13</v>
      </c>
      <c r="E57" s="91" t="s">
        <v>13</v>
      </c>
      <c r="F57" s="91" t="s">
        <v>13</v>
      </c>
      <c r="G57" s="91" t="s">
        <v>13</v>
      </c>
      <c r="H57" s="91" t="s">
        <v>13</v>
      </c>
      <c r="I57" s="91" t="s">
        <v>13</v>
      </c>
      <c r="J57" s="91"/>
      <c r="K57" s="257"/>
      <c r="L57" s="258"/>
    </row>
    <row r="58" spans="2:12" ht="72" customHeight="1" x14ac:dyDescent="0.2">
      <c r="B58" s="281" t="s">
        <v>191</v>
      </c>
      <c r="C58" s="282"/>
      <c r="D58" s="91" t="s">
        <v>13</v>
      </c>
      <c r="E58" s="91" t="s">
        <v>13</v>
      </c>
      <c r="F58" s="91" t="s">
        <v>13</v>
      </c>
      <c r="G58" s="91" t="s">
        <v>13</v>
      </c>
      <c r="H58" s="91" t="s">
        <v>13</v>
      </c>
      <c r="I58" s="91" t="s">
        <v>13</v>
      </c>
      <c r="J58" s="91"/>
      <c r="K58" s="247"/>
      <c r="L58" s="248"/>
    </row>
    <row r="59" spans="2:12" ht="42.5" customHeight="1" x14ac:dyDescent="0.2">
      <c r="B59" s="281" t="s">
        <v>192</v>
      </c>
      <c r="C59" s="282"/>
      <c r="D59" s="91" t="s">
        <v>13</v>
      </c>
      <c r="E59" s="91" t="s">
        <v>13</v>
      </c>
      <c r="F59" s="91" t="s">
        <v>13</v>
      </c>
      <c r="G59" s="91" t="s">
        <v>13</v>
      </c>
      <c r="H59" s="91" t="s">
        <v>13</v>
      </c>
      <c r="I59" s="91" t="s">
        <v>13</v>
      </c>
      <c r="J59" s="91"/>
      <c r="K59" s="247"/>
      <c r="L59" s="248"/>
    </row>
    <row r="60" spans="2:12" ht="36" customHeight="1" x14ac:dyDescent="0.2">
      <c r="B60" s="281" t="s">
        <v>193</v>
      </c>
      <c r="C60" s="282"/>
      <c r="D60" s="91" t="s">
        <v>13</v>
      </c>
      <c r="E60" s="91" t="s">
        <v>13</v>
      </c>
      <c r="F60" s="91" t="s">
        <v>13</v>
      </c>
      <c r="G60" s="91" t="s">
        <v>13</v>
      </c>
      <c r="H60" s="91" t="s">
        <v>13</v>
      </c>
      <c r="I60" s="91" t="s">
        <v>13</v>
      </c>
      <c r="J60" s="91"/>
      <c r="K60" s="247"/>
      <c r="L60" s="248"/>
    </row>
    <row r="61" spans="2:12" ht="160.75" customHeight="1" x14ac:dyDescent="0.2">
      <c r="B61" s="281" t="s">
        <v>194</v>
      </c>
      <c r="C61" s="282"/>
      <c r="D61" s="91" t="s">
        <v>12</v>
      </c>
      <c r="E61" s="91" t="s">
        <v>12</v>
      </c>
      <c r="F61" s="91" t="s">
        <v>12</v>
      </c>
      <c r="G61" s="91" t="s">
        <v>12</v>
      </c>
      <c r="H61" s="91" t="s">
        <v>12</v>
      </c>
      <c r="I61" s="91" t="s">
        <v>12</v>
      </c>
      <c r="J61" s="91"/>
      <c r="K61" s="247"/>
      <c r="L61" s="248"/>
    </row>
    <row r="62" spans="2:12" ht="409.25" customHeight="1" x14ac:dyDescent="0.2">
      <c r="B62" s="261" t="s">
        <v>195</v>
      </c>
      <c r="C62" s="261"/>
      <c r="D62" s="91" t="s">
        <v>13</v>
      </c>
      <c r="E62" s="91" t="s">
        <v>13</v>
      </c>
      <c r="F62" s="91" t="s">
        <v>13</v>
      </c>
      <c r="G62" s="91" t="s">
        <v>13</v>
      </c>
      <c r="H62" s="91" t="s">
        <v>13</v>
      </c>
      <c r="I62" s="91" t="s">
        <v>13</v>
      </c>
      <c r="J62" s="91"/>
      <c r="K62" s="279"/>
      <c r="L62" s="280"/>
    </row>
    <row r="63" spans="2:12" ht="301.75" customHeight="1" x14ac:dyDescent="0.2">
      <c r="B63" s="262" t="s">
        <v>196</v>
      </c>
      <c r="C63" s="263"/>
      <c r="D63" s="91" t="s">
        <v>13</v>
      </c>
      <c r="E63" s="91" t="s">
        <v>13</v>
      </c>
      <c r="F63" s="91" t="s">
        <v>13</v>
      </c>
      <c r="G63" s="91" t="s">
        <v>13</v>
      </c>
      <c r="H63" s="91" t="s">
        <v>13</v>
      </c>
      <c r="I63" s="91" t="s">
        <v>13</v>
      </c>
      <c r="J63" s="91"/>
      <c r="K63" s="247"/>
      <c r="L63" s="248"/>
    </row>
    <row r="64" spans="2:12" ht="253.75" customHeight="1" x14ac:dyDescent="0.2">
      <c r="B64" s="283" t="s">
        <v>197</v>
      </c>
      <c r="C64" s="283"/>
      <c r="D64" s="91" t="s">
        <v>12</v>
      </c>
      <c r="E64" s="91" t="s">
        <v>12</v>
      </c>
      <c r="F64" s="91" t="s">
        <v>12</v>
      </c>
      <c r="G64" s="91" t="s">
        <v>12</v>
      </c>
      <c r="H64" s="91" t="s">
        <v>12</v>
      </c>
      <c r="I64" s="91" t="s">
        <v>12</v>
      </c>
      <c r="J64" s="91"/>
      <c r="K64" s="247"/>
      <c r="L64" s="248"/>
    </row>
    <row r="65" spans="2:12" ht="243.5" customHeight="1" x14ac:dyDescent="0.2">
      <c r="B65" s="261" t="s">
        <v>198</v>
      </c>
      <c r="C65" s="261"/>
      <c r="D65" s="91" t="s">
        <v>13</v>
      </c>
      <c r="E65" s="91" t="s">
        <v>13</v>
      </c>
      <c r="F65" s="91" t="s">
        <v>14</v>
      </c>
      <c r="G65" s="91" t="s">
        <v>13</v>
      </c>
      <c r="H65" s="91" t="s">
        <v>13</v>
      </c>
      <c r="I65" s="91" t="s">
        <v>13</v>
      </c>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I66" si="11">IF(F24="","N/A",IF(AND(F46="CUMPLE",F55="CUMPLE",F56="CUMPLE",F57="CUMPLE",F58="CUMPLE",F59="CUMPLE",OR(F61="CUMPLE",F61="N/A"),F62="CUMPLE",OR(F63="CUMPLE",F63="N/A"),F65="CUMPLE",OR(F64="CUMPLE",F64="N/A")),"CUMPLE","NO CUMPLE"))</f>
        <v>NO CUMPLE</v>
      </c>
      <c r="G66" s="18" t="str">
        <f t="shared" si="11"/>
        <v>CUMPLE</v>
      </c>
      <c r="H66" s="18" t="str">
        <f t="shared" si="11"/>
        <v>CUMPLE</v>
      </c>
      <c r="I66" s="18" t="str">
        <f t="shared" si="11"/>
        <v>CUMPLE</v>
      </c>
      <c r="J66" s="18" t="str">
        <f t="shared" ref="J66" si="12">IF(J24="","N/A",IF(AND(J46="CUMPLE",J55="CUMPLE",J56="CUMPLE",J57="CUMPLE",J58="CUMPLE",J59="CUMPLE",OR(J61="CUMPLE",J61="N/A"),J62="CUMPLE",OR(J63="CUMPLE",J63="N/A"),J65="CUMPLE",OR(J64="CUMPLE",J64="N/A")),"CUMPLE","NO CUMPLE"))</f>
        <v>N/A</v>
      </c>
      <c r="K66" s="147"/>
      <c r="L66" s="148"/>
    </row>
    <row r="67" spans="2:12" ht="54.5" customHeight="1" x14ac:dyDescent="0.2">
      <c r="B67" s="261" t="s">
        <v>188</v>
      </c>
      <c r="C67" s="261"/>
      <c r="D67" s="91" t="s">
        <v>14</v>
      </c>
      <c r="E67" s="91" t="s">
        <v>14</v>
      </c>
      <c r="F67" s="91" t="s">
        <v>14</v>
      </c>
      <c r="G67" s="91" t="s">
        <v>13</v>
      </c>
      <c r="H67" s="91" t="s">
        <v>14</v>
      </c>
      <c r="I67" s="91" t="s">
        <v>14</v>
      </c>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595" priority="24">
      <formula>NOT(ISERROR(D25))</formula>
    </cfRule>
    <cfRule type="containsBlanks" dxfId="594" priority="23">
      <formula>LEN(TRIM(D25))=0</formula>
    </cfRule>
  </conditionalFormatting>
  <conditionalFormatting sqref="D34:J34 D24:K24">
    <cfRule type="containsBlanks" dxfId="593" priority="25">
      <formula>LEN(TRIM(D24))=0</formula>
    </cfRule>
  </conditionalFormatting>
  <conditionalFormatting sqref="D37:J37">
    <cfRule type="notContainsErrors" dxfId="592" priority="22">
      <formula>NOT(ISERROR(D37))</formula>
    </cfRule>
    <cfRule type="containsBlanks" dxfId="591" priority="21">
      <formula>LEN(TRIM(D37))=0</formula>
    </cfRule>
  </conditionalFormatting>
  <conditionalFormatting sqref="D40:J40">
    <cfRule type="containsBlanks" dxfId="590" priority="39">
      <formula>LEN(TRIM(D40))=0</formula>
    </cfRule>
    <cfRule type="notContainsErrors" dxfId="589" priority="40">
      <formula>NOT(ISERROR(D40))</formula>
    </cfRule>
  </conditionalFormatting>
  <conditionalFormatting sqref="D43:J43 K66:L66">
    <cfRule type="containsBlanks" dxfId="588" priority="49">
      <formula>LEN(TRIM(D43))=0</formula>
    </cfRule>
    <cfRule type="notContainsErrors" dxfId="587" priority="50">
      <formula>NOT(ISERROR(D43))</formula>
    </cfRule>
  </conditionalFormatting>
  <conditionalFormatting sqref="D46:J54">
    <cfRule type="cellIs" dxfId="586" priority="9" operator="equal">
      <formula>"NO CUMPLE"</formula>
    </cfRule>
    <cfRule type="cellIs" dxfId="585" priority="10" operator="equal">
      <formula>"CUMPLE"</formula>
    </cfRule>
    <cfRule type="containsBlanks" dxfId="584" priority="11">
      <formula>LEN(TRIM(D46))=0</formula>
    </cfRule>
    <cfRule type="notContainsErrors" dxfId="583" priority="12">
      <formula>NOT(ISERROR(D46))</formula>
    </cfRule>
  </conditionalFormatting>
  <conditionalFormatting sqref="D55:J55">
    <cfRule type="cellIs" dxfId="582" priority="17" operator="equal">
      <formula>"N/A"</formula>
    </cfRule>
    <cfRule type="cellIs" dxfId="581" priority="18" operator="equal">
      <formula>"CUMPLE"</formula>
    </cfRule>
    <cfRule type="cellIs" dxfId="580" priority="19" operator="equal">
      <formula>"NO CUMPLE"</formula>
    </cfRule>
    <cfRule type="cellIs" dxfId="579" priority="20" operator="equal">
      <formula>"""CUMPLE"""</formula>
    </cfRule>
  </conditionalFormatting>
  <conditionalFormatting sqref="D56:J65">
    <cfRule type="containsBlanks" dxfId="578" priority="7">
      <formula>LEN(TRIM(D56))=0</formula>
    </cfRule>
    <cfRule type="notContainsErrors" dxfId="577" priority="8">
      <formula>NOT(ISERROR(D56))</formula>
    </cfRule>
    <cfRule type="cellIs" dxfId="576" priority="6" operator="equal">
      <formula>"CUMPLE"</formula>
    </cfRule>
    <cfRule type="cellIs" dxfId="575" priority="5" operator="equal">
      <formula>"NO CUMPLE"</formula>
    </cfRule>
  </conditionalFormatting>
  <conditionalFormatting sqref="D66:J66">
    <cfRule type="cellIs" dxfId="574" priority="14" operator="equal">
      <formula>"CUMPLE"</formula>
    </cfRule>
    <cfRule type="cellIs" dxfId="573" priority="15" operator="equal">
      <formula>"NO CUMPLE"</formula>
    </cfRule>
    <cfRule type="cellIs" dxfId="572" priority="16" operator="equal">
      <formula>"""CUMPLE"""</formula>
    </cfRule>
    <cfRule type="cellIs" dxfId="571" priority="13" operator="equal">
      <formula>"N/A"</formula>
    </cfRule>
  </conditionalFormatting>
  <conditionalFormatting sqref="D67:J67">
    <cfRule type="cellIs" dxfId="570" priority="1" operator="equal">
      <formula>"NO CUMPLE"</formula>
    </cfRule>
    <cfRule type="cellIs" dxfId="569" priority="2" operator="equal">
      <formula>"CUMPLE"</formula>
    </cfRule>
  </conditionalFormatting>
  <conditionalFormatting sqref="D24:K24 D34:J34">
    <cfRule type="notContainsErrors" dxfId="568" priority="26">
      <formula>NOT(ISERROR(D24))</formula>
    </cfRule>
  </conditionalFormatting>
  <conditionalFormatting sqref="D67:K67">
    <cfRule type="notContainsErrors" dxfId="567" priority="4">
      <formula>NOT(ISERROR(D67))</formula>
    </cfRule>
    <cfRule type="containsBlanks" dxfId="566" priority="3">
      <formula>LEN(TRIM(D67))=0</formula>
    </cfRule>
  </conditionalFormatting>
  <conditionalFormatting sqref="F20:H20">
    <cfRule type="cellIs" dxfId="565" priority="65" operator="equal">
      <formula>"CUMPLE"</formula>
    </cfRule>
    <cfRule type="cellIs" dxfId="564" priority="66" operator="equal">
      <formula>"NO CUMPLE"</formula>
    </cfRule>
    <cfRule type="cellIs" dxfId="563" priority="67" operator="equal">
      <formula>"""CUMPLE"""</formula>
    </cfRule>
  </conditionalFormatting>
  <conditionalFormatting sqref="I11">
    <cfRule type="containsText" dxfId="562" priority="68" operator="containsText" text="INHABILITADO">
      <formula>NOT(ISERROR(SEARCH("INHABILITADO",I11)))</formula>
    </cfRule>
    <cfRule type="containsText" dxfId="561" priority="69" operator="containsText" text="HABILITADO">
      <formula>NOT(ISERROR(SEARCH("HABILITADO",I11)))</formula>
    </cfRule>
    <cfRule type="containsText" dxfId="560" priority="70" operator="containsText" text="HABILITADO">
      <formula>NOT(ISERROR(SEARCH("HABILITADO",I11)))</formula>
    </cfRule>
    <cfRule type="containsText" dxfId="559" priority="71" operator="containsText" text="NO CUMPLE">
      <formula>NOT(ISERROR(SEARCH("NO CUMPLE",I11)))</formula>
    </cfRule>
  </conditionalFormatting>
  <conditionalFormatting sqref="K19">
    <cfRule type="cellIs" dxfId="558" priority="56" operator="equal">
      <formula>"CUMPLE"</formula>
    </cfRule>
    <cfRule type="cellIs" dxfId="557" priority="57" operator="equal">
      <formula>"NO CUMPLE"</formula>
    </cfRule>
    <cfRule type="cellIs" dxfId="556" priority="58" operator="equal">
      <formula>"""CUMPLE"""</formula>
    </cfRule>
  </conditionalFormatting>
  <conditionalFormatting sqref="K25:K65">
    <cfRule type="containsBlanks" dxfId="555" priority="47">
      <formula>LEN(TRIM(K25))=0</formula>
    </cfRule>
    <cfRule type="notContainsErrors" dxfId="554" priority="48">
      <formula>NOT(ISERROR(K25))</formula>
    </cfRule>
  </conditionalFormatting>
  <conditionalFormatting sqref="L15">
    <cfRule type="cellIs" dxfId="553" priority="62" operator="equal">
      <formula>"CUMPLE"</formula>
    </cfRule>
    <cfRule type="cellIs" dxfId="552" priority="63" operator="equal">
      <formula>"NO CUMPLE"</formula>
    </cfRule>
    <cfRule type="cellIs" dxfId="551" priority="64" operator="equal">
      <formula>"""CUMPLE"""</formula>
    </cfRule>
  </conditionalFormatting>
  <dataValidations count="3">
    <dataValidation type="list" allowBlank="1" showInputMessage="1" showErrorMessage="1" sqref="D67:I67" xr:uid="{09C70E38-E886-4000-94F7-C24B43FFD133}">
      <formula1>"CUMPLE,NO CUMPLE"</formula1>
    </dataValidation>
    <dataValidation type="list" allowBlank="1" showInputMessage="1" showErrorMessage="1" sqref="D24:J26" xr:uid="{A618755C-7261-442B-863F-5D57D4468200}">
      <formula1>$C$15:$C$19</formula1>
    </dataValidation>
    <dataValidation type="list" allowBlank="1" showInputMessage="1" showErrorMessage="1" sqref="L58:L66" xr:uid="{EF8BAD9E-E1EB-4BB2-8BC3-F37E1BD8AC50}">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7FD00F51-7FCD-49BA-8CD2-BE834C84CC10}">
          <x14:formula1>
            <xm:f>'DATOS INICIALES'!$D$22:$D$26</xm:f>
          </x14:formula1>
          <xm:sqref>M47:M55</xm:sqref>
        </x14:dataValidation>
        <x14:dataValidation type="list" allowBlank="1" showInputMessage="1" showErrorMessage="1" xr:uid="{1C40E3FD-220A-4A89-8EA9-6879DE65F1B9}">
          <x14:formula1>
            <xm:f>'DATOS INICIALES'!$A$57:$A$62</xm:f>
          </x14:formula1>
          <xm:sqref>D23:I23</xm:sqref>
        </x14:dataValidation>
        <x14:dataValidation type="list" allowBlank="1" showInputMessage="1" showErrorMessage="1" xr:uid="{86308322-1A4F-4E49-864A-56C18BB553EB}">
          <x14:formula1>
            <xm:f>'DATOS INICIALES'!$A$53:$A$55</xm:f>
          </x14:formula1>
          <xm:sqref>J59:J65 J46 J56:J57</xm:sqref>
        </x14:dataValidation>
        <x14:dataValidation type="list" allowBlank="1" showInputMessage="1" showErrorMessage="1" xr:uid="{129D6BF3-0ACF-4DD6-8423-3515E0665075}">
          <x14:formula1>
            <xm:f>'DATOS INICIALES'!$C$48:$C$49</xm:f>
          </x14:formula1>
          <xm:sqref>J47:J52</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4536C-88F7-46A7-B6DC-91BB55433570}">
  <sheetPr>
    <tabColor rgb="FF92D050"/>
  </sheetPr>
  <dimension ref="B1:N85"/>
  <sheetViews>
    <sheetView view="pageBreakPreview" zoomScale="55" zoomScaleNormal="55" zoomScaleSheetLayoutView="55" workbookViewId="0">
      <pane ySplit="11" topLeftCell="A15" activePane="bottomLeft" state="frozenSplit"/>
      <selection activeCell="C11" sqref="C11:G11"/>
      <selection pane="bottomLeft" activeCell="H18" sqref="H18"/>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+PROPONENTES!B31</f>
        <v>22 CONSORCIO VIAL USAQUEN</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IMAC SAS ZOMAC</v>
      </c>
      <c r="D15" s="101">
        <f>IF(VLOOKUP(C11,PROPONENTES!B10:N44,3,FALSE)=0,"",VLOOKUP(C11,PROPONENTES!B10:N44,3,FALSE))</f>
        <v>0.5</v>
      </c>
      <c r="E15" s="102">
        <f>IF(C15="","",IF($D$69="CUMPLE",IF(C15=$D$24,$D$39)+IF(C15=$D$25,$D$42)+IF(C15=$D$26,$D$45))+IF($E$69="CUMPLE",IF(C15=$E$24,$E$39)+IF(C15=$E$25,$E$42)+IF(C15=$E$26,$E$45))+IF($F$69="CUMPLE",IF(C15=$F$24,$F$39)+IF(C15=$F$25,$F$42)+IF(C15=$F$26,$F$45))+IF($G$69="CUMPLE",IF(C15=$G$24,$G$39)+IF(C15=$G$25,$G$42)+IF(C15=$G$26,$G$45))+IF($H$69="CUMPLE",IF(C15=$H$24,$H$39)+IF(C15=$H$25,$H$42)+IF(C15=$H$26,$H$45))+IF($I$69="CUMPLE",IF(C15=$I$24,$I$39)+IF(C15=$I$25,$I$42)+IF(C15=$I$26,$I$45))+IF($J$69="CUMPLE",IF(C15=$J$24,$J$39)+IF(C15=$J$25,$J$42)+IF(C15=$J$26,$J$45)))</f>
        <v>23698.534499999998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5</v>
      </c>
      <c r="J15" s="264">
        <f>IF(AND(I15&gt;=1,I15&lt;=2),L8,IF(AND(I15&gt;=3,I15&lt;=4),L9,IF(AND(I15&gt;=5,I15&lt;=7),L10)))</f>
        <v>23649.896899615385</v>
      </c>
      <c r="K15" s="264">
        <f>+E20</f>
        <v>30821.838799999998</v>
      </c>
      <c r="L15" s="265" t="str">
        <f>IF(K15&gt;=J15,"CUMPLE","NO CUMPLE")</f>
        <v>CUMPLE</v>
      </c>
    </row>
    <row r="16" spans="2:12" ht="33.75" customHeight="1" x14ac:dyDescent="0.2">
      <c r="B16" s="273"/>
      <c r="C16" s="100" t="str">
        <f>IF(VLOOKUP(C11,PROPONENTES!B10:N44,4,FALSE)=0,"",VLOOKUP(C11,PROPONENTES!B10:N44,4,FALSE))</f>
        <v>CONSTRUCTORA ESTRACOR SAS</v>
      </c>
      <c r="D16" s="101">
        <f>IF(VLOOKUP(C11,PROPONENTES!B10:N44,5,FALSE)=0,"",VLOOKUP(C11,PROPONENTES!B10:N44,5,FALSE))</f>
        <v>0.1</v>
      </c>
      <c r="E16" s="102">
        <f>IF(C16="","",IF($D$69="CUMPLE",IF(C16=$D$24,$D$39)+IF(C16=$D$25,$D$42)+IF(C16=$D$26,$D$45))+IF($E$69="CUMPLE",IF(C16=$E$24,$E$39)+IF(C16=$E$25,$E$42)+IF(C16=$E$26,$E$45))+IF($F$69="CUMPLE",IF(C16=$F$24,$F$39)+IF(C16=$F$25,$F$42)+IF(C16=$F$26,$F$45))+IF($G$69="CUMPLE",IF(C16=$G$24,$G$39)+IF(C16=$G$25,$G$42)+IF(C16=$G$26,$G$45))+IF($H$69="CUMPLE",IF(C16=$H$24,$H$39)+IF(C16=$H$25,$H$42)+IF(C16=$H$26,$H$45))+IF($I$69="CUMPLE",IF(C16=$I$24,$I$39)+IF(C16=$I$25,$I$42)+IF(C16=$I$26,$I$45))+IF($J$69="CUMPLE",IF(C16=$J$24,$J$39)+IF(C16=$J$25,$J$42)+IF(C16=$J$26,$J$45)))</f>
        <v>3197.2590000000005</v>
      </c>
      <c r="F16" s="103" t="str">
        <f t="shared" si="1"/>
        <v>NO</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xml:space="preserve">HERSA CONSTRUCTORES SAS </v>
      </c>
      <c r="D17" s="101">
        <f>IF(VLOOKUP(C11,PROPONENTES!B10:N44,7,FALSE)=0,"",VLOOKUP(C11,PROPONENTES!B10:N44,7,FALSE))</f>
        <v>0.2</v>
      </c>
      <c r="E17" s="102">
        <f>IF(C17="","",IF($D$69="CUMPLE",IF(C17=$D$24,$D$39)+IF(C17=$D$25,$D$42)+IF(C17=$D$26,$D$45))+IF($E$69="CUMPLE",IF(C17=$E$24,$E$39)+IF(C17=$E$25,$E$42)+IF(C17=$E$26,$E$45))+IF($F$69="CUMPLE",IF(C17=$F$24,$F$39)+IF(C17=$F$25,$F$42)+IF(C17=$F$26,$F$45))+IF($G$69="CUMPLE",IF(C17=$G$24,$G$39)+IF(C17=$G$25,$G$42)+IF(C17=$G$26,$G$45))+IF($H$69="CUMPLE",IF(C17=$H$24,$H$39)+IF(C17=$H$25,$H$42)+IF(C17=$H$26,$H$45))+IF($I$69="CUMPLE",IF(C17=$I$24,$I$39)+IF(C17=$I$25,$I$42)+IF(C17=$I$26,$I$45))+IF($J$69="CUMPLE",IF(C17=$J$24,$J$39)+IF(C17=$J$25,$J$42)+IF(C17=$J$26,$J$45)))</f>
        <v>3224.6325000000002</v>
      </c>
      <c r="F17" s="103" t="str">
        <f t="shared" si="1"/>
        <v>NO</v>
      </c>
      <c r="G17" s="104" t="str">
        <f t="shared" si="2"/>
        <v>SI</v>
      </c>
      <c r="H17" s="103" t="str">
        <f>IF(C17="","",IF(AND(G17="NO APORTA EXPERIENCIA",D17&lt;=10%),"SI",IF(G17="SI","NO APLICA","NO - PORCENTAJE MAYOR AL 10%")))</f>
        <v>NO APLICA</v>
      </c>
      <c r="I17" s="316"/>
      <c r="J17" s="264"/>
      <c r="K17" s="264"/>
      <c r="L17" s="265"/>
    </row>
    <row r="18" spans="2:14" ht="50.25" customHeight="1" x14ac:dyDescent="0.2">
      <c r="B18" s="273"/>
      <c r="C18" s="100" t="str">
        <f>IF(VLOOKUP(C11,PROPONENTES!B10:N44,8,FALSE)=0,"",VLOOKUP(C11,PROPONENTES!B10:N44,8,FALSE))</f>
        <v xml:space="preserve">MIGUEL EMILIO VILLAMIL ARIAS </v>
      </c>
      <c r="D18" s="101">
        <f>IF(VLOOKUP(C11,PROPONENTES!B10:N44,9,FALSE)=0,"",VLOOKUP(C11,PROPONENTES!B10:N44,9,FALSE))</f>
        <v>0.2</v>
      </c>
      <c r="E18" s="102">
        <f>IF(C18="","",IF($D$69="CUMPLE",IF(C18=$D$24,$D$39)+IF(C18=$D$25,$D$42)+IF(C18=$D$26,$D$45))+IF($E$69="CUMPLE",IF(C18=$E$24,$E$39)+IF(C18=$E$25,$E$42)+IF(C18=$E$26,$E$45))+IF($F$69="CUMPLE",IF(C18=$F$24,$F$39)+IF(C18=$F$25,$F$42)+IF(C18=$F$26,$F$45))+IF($G$69="CUMPLE",IF(C18=$G$24,$G$39)+IF(C18=$G$25,$G$42)+IF(C18=$G$26,$G$45))+IF($H$69="CUMPLE",IF(C18=$H$24,$H$39)+IF(C18=$H$25,$H$42)+IF(C18=$H$26,$H$45))+IF($I$69="CUMPLE",IF(C18=$I$24,$I$39)+IF(C18=$I$25,$I$42)+IF(C18=$I$26,$I$45))+IF($J$69="CUMPLE",IF(C18=$J$24,$J$39)+IF(C18=$J$25,$J$42)+IF(C18=$J$26,$J$45)))</f>
        <v>701.41279999999995</v>
      </c>
      <c r="F18" s="103" t="str">
        <f t="shared" si="1"/>
        <v>NO</v>
      </c>
      <c r="G18" s="104">
        <f>IF(C18="","",IF(E18&gt;=$J$15*0.05,"SI",IF(E18=0,"NO APORTA EXPERIENCIA",)))</f>
        <v>0</v>
      </c>
      <c r="H18" s="103" t="str">
        <f>IF(C18="","",IF(AND(G18="NO APORTA EXPERIENCIA",D18&lt;=10%),"SI",IF(G18="SI","NO APLICA","NO - PORCENTAJE MAYOR AL 10%")))</f>
        <v>NO - PORCENTAJE MAYOR AL 10%</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$69="CUMPLE",IF(C19=$D$24,$D$39)+IF(C19=$D$25,$D$42)+IF(C19=$D$26,$D$45))+IF($E$69="CUMPLE",IF(C19=$E$24,$E$39)+IF(C19=$E$25,$E$42)+IF(C19=$E$26,$E$45))+IF($F$69="CUMPLE",IF(C19=$F$24,$F$39)+IF(C19=$F$25,$F$42)+IF(C19=$F$26,$F$45))+IF($G$69="CUMPLE",IF(C19=$G$24,$G$39)+IF(C19=$G$25,$G$42)+IF(C19=$G$26,$G$45))+IF($H$69="CUMPLE",IF(C19=$H$24,$H$39)+IF(C19=$H$25,$H$42)+IF(C19=$H$26,$H$45))+IF($I$69="CUMPLE",IF(C19=$I$24,$I$39)+IF(C19=$I$25,$I$42)+IF(C19=$I$26,$I$45))+IF($J$69="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SUMIF(D70:J70,"CUMPLE",D39:J39)+SUMIF(D70:J70,"CUMPLE",D42:J42)+SUMIF(D70:J70,"CUMPLE",D45:J45)+SUMIF(D70:J70,"CUMPLE",D48:J48)</f>
        <v>30821.838799999998</v>
      </c>
      <c r="J19" s="355">
        <f>IF(I15="","",VLOOKUP(I15,$D$79:$E$85,2,FALSE))</f>
        <v>23649.896899615385</v>
      </c>
      <c r="K19" s="249" t="str">
        <f>IF(I19&gt;=J19,"CUMPLE","NO CUMPLE")</f>
        <v>CUMPLE</v>
      </c>
      <c r="L19" s="250"/>
    </row>
    <row r="20" spans="2:14" ht="84.75" customHeight="1" x14ac:dyDescent="0.2">
      <c r="B20" s="31" t="s">
        <v>61</v>
      </c>
      <c r="C20" s="25">
        <f>+VLOOKUP(C11,PROPONENTES!B10:N44,12,FALSE)</f>
        <v>4</v>
      </c>
      <c r="D20" s="101">
        <f>+VLOOKUP(C11,PROPONENTES!B10:N44,13,FALSE)</f>
        <v>1</v>
      </c>
      <c r="E20" s="36">
        <f>SUM(E15:E19)</f>
        <v>30821.838799999998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NO CUMPLE</v>
      </c>
      <c r="H20" s="18" t="str">
        <f>IF(COUNTIF(E15:E19,0)&gt;1,"NO CUMPLE, HAY MAS DE UN (1) INTEGRANTE QUE NO APORTA EXPERIENCIA",IF(AND(OR(H15="NO APLICA",H15="SI",H15=""),OR(H16="NO APLICA",H16="SI",H16=""),OR(H17="NO APLICA",H17="SI",H17=""),OR(H18="NO APLICA",H18="SI",H18=""),OR(H19="NO APLICA",H19="SI",H19="")),"CUMPLE","NO CUMPLE"))</f>
        <v>NO 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276</v>
      </c>
      <c r="E24" s="91" t="s">
        <v>279</v>
      </c>
      <c r="F24" s="91" t="s">
        <v>277</v>
      </c>
      <c r="G24" s="91" t="s">
        <v>278</v>
      </c>
      <c r="H24" s="91" t="s">
        <v>276</v>
      </c>
      <c r="I24" s="91"/>
      <c r="J24" s="91"/>
      <c r="K24" s="247"/>
      <c r="L24" s="248"/>
    </row>
    <row r="25" spans="2:14" ht="39.75" customHeight="1" x14ac:dyDescent="0.2">
      <c r="B25" s="259" t="s">
        <v>116</v>
      </c>
      <c r="C25" s="260"/>
      <c r="D25" s="91"/>
      <c r="E25" s="91"/>
      <c r="F25" s="91" t="s">
        <v>481</v>
      </c>
      <c r="G25" s="91"/>
      <c r="H25" s="91"/>
      <c r="I25" s="91"/>
      <c r="J25" s="91"/>
      <c r="K25" s="247"/>
      <c r="L25" s="248"/>
    </row>
    <row r="26" spans="2:14" ht="39.75" customHeight="1" x14ac:dyDescent="0.2">
      <c r="B26" s="259" t="s">
        <v>117</v>
      </c>
      <c r="C26" s="260"/>
      <c r="D26" s="91"/>
      <c r="E26" s="91"/>
      <c r="F26" s="91"/>
      <c r="G26" s="91" t="s">
        <v>481</v>
      </c>
      <c r="H26" s="91"/>
      <c r="I26" s="91"/>
      <c r="J26" s="91"/>
      <c r="K26" s="247"/>
      <c r="L26" s="248"/>
    </row>
    <row r="27" spans="2:14" ht="45.75" customHeight="1" x14ac:dyDescent="0.2">
      <c r="B27" s="276" t="s">
        <v>58</v>
      </c>
      <c r="C27" s="26" t="s">
        <v>35</v>
      </c>
      <c r="D27" s="92" t="s">
        <v>580</v>
      </c>
      <c r="E27" s="92" t="s">
        <v>581</v>
      </c>
      <c r="F27" s="92" t="s">
        <v>582</v>
      </c>
      <c r="G27" s="92" t="s">
        <v>583</v>
      </c>
      <c r="H27" s="92" t="s">
        <v>584</v>
      </c>
      <c r="I27" s="92"/>
      <c r="J27" s="92"/>
      <c r="K27" s="247"/>
      <c r="L27" s="248"/>
    </row>
    <row r="28" spans="2:14" ht="156.75" customHeight="1" x14ac:dyDescent="0.2">
      <c r="B28" s="277"/>
      <c r="C28" s="26" t="s">
        <v>36</v>
      </c>
      <c r="D28" s="92" t="s">
        <v>585</v>
      </c>
      <c r="E28" s="92" t="s">
        <v>586</v>
      </c>
      <c r="F28" s="92" t="s">
        <v>587</v>
      </c>
      <c r="G28" s="92" t="s">
        <v>588</v>
      </c>
      <c r="H28" s="92" t="s">
        <v>589</v>
      </c>
      <c r="I28" s="92"/>
      <c r="J28" s="92"/>
      <c r="K28" s="247"/>
      <c r="L28" s="248"/>
    </row>
    <row r="29" spans="2:14" ht="52.5" customHeight="1" x14ac:dyDescent="0.2">
      <c r="B29" s="277"/>
      <c r="C29" s="26" t="s">
        <v>172</v>
      </c>
      <c r="D29" s="96" t="s">
        <v>590</v>
      </c>
      <c r="E29" s="96">
        <v>43798</v>
      </c>
      <c r="F29" s="96">
        <v>42349</v>
      </c>
      <c r="G29" s="96">
        <v>43663</v>
      </c>
      <c r="H29" s="96">
        <v>40805</v>
      </c>
      <c r="I29" s="96"/>
      <c r="J29" s="96"/>
      <c r="K29" s="247"/>
      <c r="L29" s="248"/>
    </row>
    <row r="30" spans="2:14" ht="54.75" customHeight="1" x14ac:dyDescent="0.2">
      <c r="B30" s="277"/>
      <c r="C30" s="26" t="s">
        <v>40</v>
      </c>
      <c r="D30" s="96">
        <v>41600</v>
      </c>
      <c r="E30" s="96">
        <v>43962</v>
      </c>
      <c r="F30" s="96">
        <v>42668</v>
      </c>
      <c r="G30" s="96">
        <v>43809</v>
      </c>
      <c r="H30" s="96">
        <v>41258</v>
      </c>
      <c r="I30" s="96"/>
      <c r="J30" s="96"/>
      <c r="K30" s="247"/>
      <c r="L30" s="248"/>
    </row>
    <row r="31" spans="2:14" ht="41.25" customHeight="1" x14ac:dyDescent="0.2">
      <c r="B31" s="277"/>
      <c r="C31" s="26" t="s">
        <v>37</v>
      </c>
      <c r="D31" s="93">
        <v>2013</v>
      </c>
      <c r="E31" s="93">
        <v>2020</v>
      </c>
      <c r="F31" s="93">
        <v>2016</v>
      </c>
      <c r="G31" s="93">
        <v>2019</v>
      </c>
      <c r="H31" s="93">
        <v>2012</v>
      </c>
      <c r="I31" s="93"/>
      <c r="J31" s="93"/>
      <c r="K31" s="247"/>
      <c r="L31" s="248"/>
    </row>
    <row r="32" spans="2:14" ht="63" customHeight="1" x14ac:dyDescent="0.2">
      <c r="B32" s="277"/>
      <c r="C32" s="26" t="s">
        <v>38</v>
      </c>
      <c r="D32" s="92" t="s">
        <v>591</v>
      </c>
      <c r="E32" s="92" t="s">
        <v>592</v>
      </c>
      <c r="F32" s="92" t="s">
        <v>593</v>
      </c>
      <c r="G32" s="92" t="s">
        <v>594</v>
      </c>
      <c r="H32" s="92" t="s">
        <v>595</v>
      </c>
      <c r="I32" s="92"/>
      <c r="J32" s="92"/>
      <c r="K32" s="247"/>
      <c r="L32" s="248"/>
    </row>
    <row r="33" spans="2:12" ht="46.5" customHeight="1" x14ac:dyDescent="0.2">
      <c r="B33" s="277"/>
      <c r="C33" s="26" t="s">
        <v>39</v>
      </c>
      <c r="D33" s="92" t="s">
        <v>596</v>
      </c>
      <c r="E33" s="92" t="s">
        <v>597</v>
      </c>
      <c r="F33" s="92" t="s">
        <v>598</v>
      </c>
      <c r="G33" s="92" t="s">
        <v>599</v>
      </c>
      <c r="H33" s="92" t="s">
        <v>600</v>
      </c>
      <c r="I33" s="92"/>
      <c r="J33" s="92"/>
      <c r="K33" s="247"/>
      <c r="L33" s="248"/>
    </row>
    <row r="34" spans="2:12" ht="27.75" customHeight="1" x14ac:dyDescent="0.2">
      <c r="B34" s="277"/>
      <c r="C34" s="28" t="s">
        <v>33</v>
      </c>
      <c r="D34" s="97">
        <v>23</v>
      </c>
      <c r="E34" s="97">
        <v>19</v>
      </c>
      <c r="F34" s="97">
        <v>12</v>
      </c>
      <c r="G34" s="98">
        <v>45</v>
      </c>
      <c r="H34" s="98">
        <v>21</v>
      </c>
      <c r="I34" s="98"/>
      <c r="J34" s="98"/>
      <c r="K34" s="247"/>
      <c r="L34" s="248"/>
    </row>
    <row r="35" spans="2:12" ht="102.75" customHeight="1" x14ac:dyDescent="0.2">
      <c r="B35" s="277"/>
      <c r="C35" s="26" t="s">
        <v>118</v>
      </c>
      <c r="D35" s="94">
        <v>39083.49</v>
      </c>
      <c r="E35" s="94">
        <v>797.06</v>
      </c>
      <c r="F35" s="94">
        <v>3552.51</v>
      </c>
      <c r="G35" s="94">
        <v>4299.51</v>
      </c>
      <c r="H35" s="94">
        <v>13579.92</v>
      </c>
      <c r="I35" s="94"/>
      <c r="J35" s="94"/>
      <c r="K35" s="279"/>
      <c r="L35" s="280"/>
    </row>
    <row r="36" spans="2:12" ht="48" customHeight="1" x14ac:dyDescent="0.2">
      <c r="B36" s="277"/>
      <c r="C36" s="26" t="s">
        <v>74</v>
      </c>
      <c r="D36" s="105">
        <f>IFERROR(D35*VLOOKUP(D31,'DATOS INICIALES'!$A$12:$B$44,2,0),"0")</f>
        <v>23039717355</v>
      </c>
      <c r="E36" s="105">
        <f>IFERROR(E35*VLOOKUP(E31,'DATOS INICIALES'!$A$12:$B$44,2,0),"0")</f>
        <v>699661659.17999995</v>
      </c>
      <c r="F36" s="105">
        <f>IFERROR(F35*VLOOKUP(F31,'DATOS INICIALES'!$A$12:$B$44,2,0),"0")</f>
        <v>2449295782.0500002</v>
      </c>
      <c r="G36" s="105">
        <f>IFERROR(G35*VLOOKUP(G31,'DATOS INICIALES'!$A$12:$B$44,2,0),"0")</f>
        <v>3560493023.1600003</v>
      </c>
      <c r="H36" s="105">
        <f>IFERROR(H35*VLOOKUP(H31,'DATOS INICIALES'!$A$12:$B$44,2,0),"0")</f>
        <v>7695740664</v>
      </c>
      <c r="I36" s="105" t="str">
        <f>IFERROR(I35*VLOOKUP(I31,'DATOS INICIALES'!$A$12:$B$44,2,0),"0")</f>
        <v>0</v>
      </c>
      <c r="J36" s="105" t="str">
        <f>IFERROR(J35*VLOOKUP(J31,'DATOS INICIALES'!$A$12:$B$44,2,0),"0")</f>
        <v>0</v>
      </c>
      <c r="K36" s="247"/>
      <c r="L36" s="248"/>
    </row>
    <row r="37" spans="2:12" ht="33.75" customHeight="1" x14ac:dyDescent="0.2">
      <c r="B37" s="277"/>
      <c r="C37" s="26" t="s">
        <v>119</v>
      </c>
      <c r="D37" s="95">
        <v>0.45</v>
      </c>
      <c r="E37" s="95">
        <v>0.88</v>
      </c>
      <c r="F37" s="95">
        <v>0.9</v>
      </c>
      <c r="G37" s="95">
        <v>0.75</v>
      </c>
      <c r="H37" s="95">
        <v>0.45</v>
      </c>
      <c r="I37" s="95"/>
      <c r="J37" s="95"/>
      <c r="K37" s="247"/>
      <c r="L37" s="248"/>
    </row>
    <row r="38" spans="2:12" ht="48.75" customHeight="1" x14ac:dyDescent="0.2">
      <c r="B38" s="277"/>
      <c r="C38" s="26" t="s">
        <v>125</v>
      </c>
      <c r="D38" s="105">
        <f t="shared" ref="D38:J38" si="3">IF(D24="","0",D37*D36)</f>
        <v>10367872809.75</v>
      </c>
      <c r="E38" s="105">
        <f t="shared" si="3"/>
        <v>615702260.07840002</v>
      </c>
      <c r="F38" s="105">
        <f t="shared" si="3"/>
        <v>2204366203.8450003</v>
      </c>
      <c r="G38" s="105">
        <f t="shared" si="3"/>
        <v>2670369767.3700004</v>
      </c>
      <c r="H38" s="105">
        <f t="shared" si="3"/>
        <v>3463083298.8000002</v>
      </c>
      <c r="I38" s="105" t="str">
        <f t="shared" si="3"/>
        <v>0</v>
      </c>
      <c r="J38" s="105" t="str">
        <f t="shared" si="3"/>
        <v>0</v>
      </c>
      <c r="K38" s="247"/>
      <c r="L38" s="248"/>
    </row>
    <row r="39" spans="2:12" ht="65.25" customHeight="1" x14ac:dyDescent="0.2">
      <c r="B39" s="277"/>
      <c r="C39" s="26" t="s">
        <v>120</v>
      </c>
      <c r="D39" s="106">
        <f t="shared" ref="D39:J39" si="4">IFERROR(D35*D37,"0")</f>
        <v>17587.570499999998</v>
      </c>
      <c r="E39" s="106">
        <f t="shared" si="4"/>
        <v>701.41279999999995</v>
      </c>
      <c r="F39" s="106">
        <f t="shared" si="4"/>
        <v>3197.2590000000005</v>
      </c>
      <c r="G39" s="106">
        <f t="shared" si="4"/>
        <v>3224.6325000000002</v>
      </c>
      <c r="H39" s="106">
        <f t="shared" si="4"/>
        <v>6110.9639999999999</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65.25" customHeight="1" x14ac:dyDescent="0.2">
      <c r="B46" s="157"/>
      <c r="C46" s="26" t="s">
        <v>322</v>
      </c>
      <c r="D46" s="95"/>
      <c r="E46" s="95"/>
      <c r="F46" s="95"/>
      <c r="G46" s="95"/>
      <c r="H46" s="95"/>
      <c r="I46" s="95"/>
      <c r="J46" s="95"/>
      <c r="K46" s="247"/>
      <c r="L46" s="248"/>
    </row>
    <row r="47" spans="2:12" ht="65.25" customHeight="1" x14ac:dyDescent="0.2">
      <c r="B47" s="157"/>
      <c r="C47" s="26" t="s">
        <v>323</v>
      </c>
      <c r="D47" s="107">
        <f>IF(D29="","0",D46*D39)</f>
        <v>0</v>
      </c>
      <c r="E47" s="107">
        <f t="shared" ref="E47:J47" si="9">IF(E29="","0",E46*E39)</f>
        <v>0</v>
      </c>
      <c r="F47" s="107">
        <f t="shared" si="9"/>
        <v>0</v>
      </c>
      <c r="G47" s="107">
        <f t="shared" si="9"/>
        <v>0</v>
      </c>
      <c r="H47" s="107">
        <f t="shared" si="9"/>
        <v>0</v>
      </c>
      <c r="I47" s="107" t="str">
        <f t="shared" si="9"/>
        <v>0</v>
      </c>
      <c r="J47" s="107" t="str">
        <f t="shared" si="9"/>
        <v>0</v>
      </c>
      <c r="K47" s="247"/>
      <c r="L47" s="248"/>
    </row>
    <row r="48" spans="2:12" ht="65.25" customHeight="1" x14ac:dyDescent="0.2">
      <c r="B48" s="157"/>
      <c r="C48" s="26" t="s">
        <v>324</v>
      </c>
      <c r="D48" s="106">
        <f>IF(D29="",0,D38*D46)</f>
        <v>0</v>
      </c>
      <c r="E48" s="106">
        <f t="shared" ref="E48:J48" si="10">IF(E29="",0,E38*E46)</f>
        <v>0</v>
      </c>
      <c r="F48" s="106">
        <f t="shared" si="10"/>
        <v>0</v>
      </c>
      <c r="G48" s="106">
        <f t="shared" si="10"/>
        <v>0</v>
      </c>
      <c r="H48" s="106">
        <f t="shared" si="10"/>
        <v>0</v>
      </c>
      <c r="I48" s="106">
        <f t="shared" si="10"/>
        <v>0</v>
      </c>
      <c r="J48" s="106">
        <f t="shared" si="10"/>
        <v>0</v>
      </c>
      <c r="K48" s="247"/>
      <c r="L48" s="248"/>
    </row>
    <row r="49" spans="2:12" ht="39.75" customHeight="1" x14ac:dyDescent="0.2">
      <c r="B49" s="156" t="s">
        <v>55</v>
      </c>
      <c r="C49" s="30" t="s">
        <v>56</v>
      </c>
      <c r="D49" s="91" t="s">
        <v>13</v>
      </c>
      <c r="E49" s="91" t="s">
        <v>13</v>
      </c>
      <c r="F49" s="91" t="s">
        <v>13</v>
      </c>
      <c r="G49" s="91" t="s">
        <v>13</v>
      </c>
      <c r="H49" s="91" t="s">
        <v>13</v>
      </c>
      <c r="I49" s="91"/>
      <c r="J49" s="91"/>
      <c r="K49" s="247"/>
      <c r="L49" s="248"/>
    </row>
    <row r="50" spans="2:12" ht="24.75" customHeight="1" x14ac:dyDescent="0.2">
      <c r="B50" s="284" t="s">
        <v>34</v>
      </c>
      <c r="C50" s="29">
        <f>+'DATOS INICIALES'!D22</f>
        <v>721033</v>
      </c>
      <c r="D50" s="97" t="s">
        <v>77</v>
      </c>
      <c r="E50" s="97" t="s">
        <v>77</v>
      </c>
      <c r="F50" s="97" t="s">
        <v>77</v>
      </c>
      <c r="G50" s="97" t="s">
        <v>77</v>
      </c>
      <c r="H50" s="97" t="s">
        <v>77</v>
      </c>
      <c r="I50" s="97"/>
      <c r="J50" s="98"/>
      <c r="K50" s="247"/>
      <c r="L50" s="248"/>
    </row>
    <row r="51" spans="2:12" ht="24.75" customHeight="1" x14ac:dyDescent="0.2">
      <c r="B51" s="285"/>
      <c r="C51" s="29">
        <f>+'DATOS INICIALES'!D23</f>
        <v>721410</v>
      </c>
      <c r="D51" s="97" t="s">
        <v>77</v>
      </c>
      <c r="E51" s="97" t="s">
        <v>77</v>
      </c>
      <c r="F51" s="97" t="s">
        <v>77</v>
      </c>
      <c r="G51" s="97" t="s">
        <v>77</v>
      </c>
      <c r="H51" s="97" t="s">
        <v>77</v>
      </c>
      <c r="I51" s="97"/>
      <c r="J51" s="98"/>
      <c r="K51" s="247"/>
      <c r="L51" s="248"/>
    </row>
    <row r="52" spans="2:12" ht="24.75" customHeight="1" x14ac:dyDescent="0.2">
      <c r="B52" s="285"/>
      <c r="C52" s="29">
        <f>+'DATOS INICIALES'!D24</f>
        <v>721411</v>
      </c>
      <c r="D52" s="97" t="s">
        <v>77</v>
      </c>
      <c r="E52" s="97" t="s">
        <v>77</v>
      </c>
      <c r="F52" s="97" t="s">
        <v>77</v>
      </c>
      <c r="G52" s="97" t="s">
        <v>77</v>
      </c>
      <c r="H52" s="97" t="s">
        <v>77</v>
      </c>
      <c r="I52" s="97"/>
      <c r="J52" s="98"/>
      <c r="K52" s="247"/>
      <c r="L52" s="248"/>
    </row>
    <row r="53" spans="2:12" ht="24.75" customHeight="1" x14ac:dyDescent="0.2">
      <c r="B53" s="285"/>
      <c r="C53" s="29">
        <f>+'DATOS INICIALES'!D25</f>
        <v>721416</v>
      </c>
      <c r="D53" s="97" t="s">
        <v>77</v>
      </c>
      <c r="E53" s="97" t="s">
        <v>75</v>
      </c>
      <c r="F53" s="97" t="s">
        <v>75</v>
      </c>
      <c r="G53" s="97" t="s">
        <v>75</v>
      </c>
      <c r="H53" s="97" t="s">
        <v>77</v>
      </c>
      <c r="I53" s="97"/>
      <c r="J53" s="98"/>
      <c r="K53" s="247"/>
      <c r="L53" s="248"/>
    </row>
    <row r="54" spans="2:12" ht="24.75" customHeight="1" x14ac:dyDescent="0.2">
      <c r="B54" s="285"/>
      <c r="C54" s="29">
        <f>+'DATOS INICIALES'!D26</f>
        <v>721527</v>
      </c>
      <c r="D54" s="97" t="s">
        <v>77</v>
      </c>
      <c r="E54" s="97" t="s">
        <v>77</v>
      </c>
      <c r="F54" s="97" t="s">
        <v>77</v>
      </c>
      <c r="G54" s="97" t="s">
        <v>77</v>
      </c>
      <c r="H54" s="97" t="s">
        <v>77</v>
      </c>
      <c r="I54" s="97"/>
      <c r="J54" s="98"/>
      <c r="K54" s="247"/>
      <c r="L54" s="248"/>
    </row>
    <row r="55" spans="2:12" ht="24.75" customHeight="1" x14ac:dyDescent="0.2">
      <c r="B55" s="285"/>
      <c r="C55" s="29">
        <f>+'DATOS INICIALES'!D27</f>
        <v>721539</v>
      </c>
      <c r="D55" s="97" t="s">
        <v>77</v>
      </c>
      <c r="E55" s="97" t="s">
        <v>75</v>
      </c>
      <c r="F55" s="97" t="s">
        <v>77</v>
      </c>
      <c r="G55" s="97" t="s">
        <v>77</v>
      </c>
      <c r="H55" s="97" t="s">
        <v>77</v>
      </c>
      <c r="I55" s="97"/>
      <c r="J55" s="98"/>
      <c r="K55" s="247"/>
      <c r="L55" s="248"/>
    </row>
    <row r="56" spans="2:12" ht="24.75" customHeight="1" x14ac:dyDescent="0.2">
      <c r="B56" s="285"/>
      <c r="C56" s="29">
        <f>+'DATOS INICIALES'!D28</f>
        <v>951115</v>
      </c>
      <c r="D56" s="97" t="s">
        <v>77</v>
      </c>
      <c r="E56" s="97" t="s">
        <v>77</v>
      </c>
      <c r="F56" s="97" t="s">
        <v>77</v>
      </c>
      <c r="G56" s="97" t="s">
        <v>77</v>
      </c>
      <c r="H56" s="97" t="s">
        <v>77</v>
      </c>
      <c r="I56" s="97"/>
      <c r="J56" s="97"/>
      <c r="K56" s="247"/>
      <c r="L56" s="248"/>
    </row>
    <row r="57" spans="2:12" ht="24.75" customHeight="1" x14ac:dyDescent="0.2">
      <c r="B57" s="285"/>
      <c r="C57" s="29">
        <f>+'DATOS INICIALES'!D29</f>
        <v>721033</v>
      </c>
      <c r="D57" s="97" t="s">
        <v>77</v>
      </c>
      <c r="E57" s="97" t="s">
        <v>77</v>
      </c>
      <c r="F57" s="97" t="s">
        <v>77</v>
      </c>
      <c r="G57" s="97" t="s">
        <v>77</v>
      </c>
      <c r="H57" s="97" t="s">
        <v>77</v>
      </c>
      <c r="I57" s="97"/>
      <c r="J57" s="97"/>
      <c r="K57" s="247"/>
      <c r="L57" s="248"/>
    </row>
    <row r="58" spans="2:12" ht="60.75" customHeight="1" x14ac:dyDescent="0.2">
      <c r="B58" s="286"/>
      <c r="C58" s="18" t="s">
        <v>57</v>
      </c>
      <c r="D58" s="18" t="str">
        <f t="shared" ref="D58:H58" si="11">IF(D24="","N/A",IF(D50="SI","CUMPLE",IF(D51="SI","CUMPLE",IF(D52="SI","CUMPLE",IF(D53="SI","CUMPLE",IF(D54="SI","CUMPLE",IF(D55="SI","CUMPLE",IF(D57="SI","CUMPLE","NO CUMPLE"))))))))</f>
        <v>CUMPLE</v>
      </c>
      <c r="E58" s="18" t="str">
        <f t="shared" si="11"/>
        <v>CUMPLE</v>
      </c>
      <c r="F58" s="18" t="str">
        <f t="shared" si="11"/>
        <v>CUMPLE</v>
      </c>
      <c r="G58" s="18" t="str">
        <f t="shared" si="11"/>
        <v>CUMPLE</v>
      </c>
      <c r="H58" s="18" t="str">
        <f t="shared" si="11"/>
        <v>CUMPLE</v>
      </c>
      <c r="I58" s="18" t="str">
        <f t="shared" ref="I58:J58" si="12">IF(I24="","N/A",IF(I50="SI","CUMPLE",IF(I51="SI","CUMPLE",IF(I52="SI","CUMPLE",IF(I53="SI","CUMPLE",IF(I54="SI","CUMPLE",IF(I55="SI","CUMPLE",IF(I57="SI","CUMPLE","NO CUMPLE"))))))))</f>
        <v>N/A</v>
      </c>
      <c r="J58" s="18" t="str">
        <f t="shared" si="12"/>
        <v>N/A</v>
      </c>
      <c r="K58" s="247"/>
      <c r="L58" s="248"/>
    </row>
    <row r="59" spans="2:12" ht="147.5" customHeight="1" x14ac:dyDescent="0.2">
      <c r="B59" s="287" t="s">
        <v>189</v>
      </c>
      <c r="C59" s="288"/>
      <c r="D59" s="91" t="s">
        <v>13</v>
      </c>
      <c r="E59" s="91" t="s">
        <v>13</v>
      </c>
      <c r="F59" s="91" t="s">
        <v>13</v>
      </c>
      <c r="G59" s="91" t="s">
        <v>13</v>
      </c>
      <c r="H59" s="91" t="s">
        <v>13</v>
      </c>
      <c r="I59" s="91"/>
      <c r="J59" s="91"/>
      <c r="K59" s="257"/>
      <c r="L59" s="258"/>
    </row>
    <row r="60" spans="2:12" ht="103.25" customHeight="1" x14ac:dyDescent="0.2">
      <c r="B60" s="287" t="s">
        <v>190</v>
      </c>
      <c r="C60" s="288"/>
      <c r="D60" s="91" t="s">
        <v>13</v>
      </c>
      <c r="E60" s="91" t="s">
        <v>13</v>
      </c>
      <c r="F60" s="91" t="s">
        <v>13</v>
      </c>
      <c r="G60" s="91" t="s">
        <v>13</v>
      </c>
      <c r="H60" s="91" t="s">
        <v>13</v>
      </c>
      <c r="I60" s="91"/>
      <c r="J60" s="91"/>
      <c r="K60" s="257"/>
      <c r="L60" s="258"/>
    </row>
    <row r="61" spans="2:12" ht="72" customHeight="1" x14ac:dyDescent="0.2">
      <c r="B61" s="281" t="s">
        <v>191</v>
      </c>
      <c r="C61" s="282"/>
      <c r="D61" s="91" t="s">
        <v>13</v>
      </c>
      <c r="E61" s="91" t="s">
        <v>13</v>
      </c>
      <c r="F61" s="91" t="s">
        <v>13</v>
      </c>
      <c r="G61" s="91" t="s">
        <v>13</v>
      </c>
      <c r="H61" s="91" t="s">
        <v>13</v>
      </c>
      <c r="I61" s="91"/>
      <c r="J61" s="91"/>
      <c r="K61" s="247"/>
      <c r="L61" s="248"/>
    </row>
    <row r="62" spans="2:12" ht="42.5" customHeight="1" x14ac:dyDescent="0.2">
      <c r="B62" s="281" t="s">
        <v>192</v>
      </c>
      <c r="C62" s="282"/>
      <c r="D62" s="91" t="s">
        <v>13</v>
      </c>
      <c r="E62" s="91" t="s">
        <v>13</v>
      </c>
      <c r="F62" s="91" t="s">
        <v>13</v>
      </c>
      <c r="G62" s="91" t="s">
        <v>13</v>
      </c>
      <c r="H62" s="91" t="s">
        <v>13</v>
      </c>
      <c r="I62" s="91"/>
      <c r="J62" s="91"/>
      <c r="K62" s="247"/>
      <c r="L62" s="248"/>
    </row>
    <row r="63" spans="2:12" ht="36" customHeight="1" x14ac:dyDescent="0.2">
      <c r="B63" s="281" t="s">
        <v>193</v>
      </c>
      <c r="C63" s="282"/>
      <c r="D63" s="91" t="s">
        <v>13</v>
      </c>
      <c r="E63" s="91" t="s">
        <v>13</v>
      </c>
      <c r="F63" s="91" t="s">
        <v>13</v>
      </c>
      <c r="G63" s="91" t="s">
        <v>13</v>
      </c>
      <c r="H63" s="91" t="s">
        <v>13</v>
      </c>
      <c r="I63" s="91"/>
      <c r="J63" s="91"/>
      <c r="K63" s="247"/>
      <c r="L63" s="248"/>
    </row>
    <row r="64" spans="2:12" ht="160.75" customHeight="1" x14ac:dyDescent="0.2">
      <c r="B64" s="281" t="s">
        <v>194</v>
      </c>
      <c r="C64" s="282"/>
      <c r="D64" s="91" t="s">
        <v>13</v>
      </c>
      <c r="E64" s="91" t="s">
        <v>13</v>
      </c>
      <c r="F64" s="91" t="s">
        <v>13</v>
      </c>
      <c r="G64" s="91" t="s">
        <v>13</v>
      </c>
      <c r="H64" s="91" t="s">
        <v>13</v>
      </c>
      <c r="I64" s="91"/>
      <c r="J64" s="91"/>
      <c r="K64" s="247"/>
      <c r="L64" s="248"/>
    </row>
    <row r="65" spans="2:12" ht="409.25" customHeight="1" x14ac:dyDescent="0.2">
      <c r="B65" s="261" t="s">
        <v>195</v>
      </c>
      <c r="C65" s="261"/>
      <c r="D65" s="91" t="s">
        <v>13</v>
      </c>
      <c r="E65" s="91" t="s">
        <v>13</v>
      </c>
      <c r="F65" s="91" t="s">
        <v>13</v>
      </c>
      <c r="G65" s="91" t="s">
        <v>13</v>
      </c>
      <c r="H65" s="91" t="s">
        <v>13</v>
      </c>
      <c r="I65" s="91"/>
      <c r="J65" s="91"/>
      <c r="K65" s="279"/>
      <c r="L65" s="280"/>
    </row>
    <row r="66" spans="2:12" ht="301.75" customHeight="1" x14ac:dyDescent="0.2">
      <c r="B66" s="262" t="s">
        <v>196</v>
      </c>
      <c r="C66" s="263"/>
      <c r="D66" s="91" t="s">
        <v>13</v>
      </c>
      <c r="E66" s="91" t="s">
        <v>13</v>
      </c>
      <c r="F66" s="91" t="s">
        <v>13</v>
      </c>
      <c r="G66" s="91" t="s">
        <v>13</v>
      </c>
      <c r="H66" s="91" t="s">
        <v>13</v>
      </c>
      <c r="I66" s="91"/>
      <c r="J66" s="91"/>
      <c r="K66" s="247"/>
      <c r="L66" s="248"/>
    </row>
    <row r="67" spans="2:12" ht="253.75" customHeight="1" x14ac:dyDescent="0.2">
      <c r="B67" s="283" t="s">
        <v>197</v>
      </c>
      <c r="C67" s="283"/>
      <c r="D67" s="91" t="s">
        <v>13</v>
      </c>
      <c r="E67" s="91" t="s">
        <v>13</v>
      </c>
      <c r="F67" s="91" t="s">
        <v>13</v>
      </c>
      <c r="G67" s="91" t="s">
        <v>13</v>
      </c>
      <c r="H67" s="91" t="s">
        <v>13</v>
      </c>
      <c r="I67" s="91"/>
      <c r="J67" s="91"/>
      <c r="K67" s="247"/>
      <c r="L67" s="248"/>
    </row>
    <row r="68" spans="2:12" ht="243.5" customHeight="1" x14ac:dyDescent="0.2">
      <c r="B68" s="261" t="s">
        <v>198</v>
      </c>
      <c r="C68" s="261"/>
      <c r="D68" s="91" t="s">
        <v>13</v>
      </c>
      <c r="E68" s="91" t="s">
        <v>13</v>
      </c>
      <c r="F68" s="91" t="s">
        <v>13</v>
      </c>
      <c r="G68" s="91" t="s">
        <v>13</v>
      </c>
      <c r="H68" s="91" t="s">
        <v>13</v>
      </c>
      <c r="I68" s="91"/>
      <c r="J68" s="91"/>
      <c r="K68" s="247"/>
      <c r="L68" s="248"/>
    </row>
    <row r="69" spans="2:12" ht="70.5" customHeight="1" x14ac:dyDescent="0.2">
      <c r="B69" s="289" t="s">
        <v>78</v>
      </c>
      <c r="C69" s="289"/>
      <c r="D69" s="18" t="str">
        <f>IF(D24="","N/A",IF(AND(D49="CUMPLE",D58="CUMPLE",D59="CUMPLE",D60="CUMPLE",D61="CUMPLE",D62="CUMPLE",OR(D64="CUMPLE",D64="N/A"),D65="CUMPLE",OR(D66="CUMPLE",D66="N/A"),D68="CUMPLE",OR(D67="CUMPLE",D67="N/A")),"CUMPLE","NO CUMPLE"))</f>
        <v>CUMPLE</v>
      </c>
      <c r="E69" s="18" t="str">
        <f>IF(E24="","N/A",IF(AND(E49="CUMPLE",E58="CUMPLE",E59="CUMPLE",E60="CUMPLE",E61="CUMPLE",E62="CUMPLE",OR(E64="CUMPLE",E64="N/A"),E65="CUMPLE",OR(E66="CUMPLE",E66="N/A"),E68="CUMPLE",OR(E67="CUMPLE",E67="N/A")),"CUMPLE","NO CUMPLE"))</f>
        <v>CUMPLE</v>
      </c>
      <c r="F69" s="18" t="str">
        <f>IF(F24="","N/A",IF(AND(F49="CUMPLE",F58="CUMPLE",F59="CUMPLE",F60="CUMPLE",F61="CUMPLE",F62="CUMPLE",OR(F64="CUMPLE",F64="N/A"),F65="CUMPLE",OR(F66="CUMPLE",F66="N/A"),F68="CUMPLE",OR(F67="CUMPLE",F67="N/A")),"CUMPLE","NO CUMPLE"))</f>
        <v>CUMPLE</v>
      </c>
      <c r="G69" s="18" t="str">
        <f t="shared" ref="G69:H69" si="13">IF(G24="","N/A",IF(AND(G49="CUMPLE",G58="CUMPLE",G59="CUMPLE",G60="CUMPLE",G61="CUMPLE",G62="CUMPLE",OR(G64="CUMPLE",G64="N/A"),G65="CUMPLE",OR(G66="CUMPLE",G66="N/A"),G68="CUMPLE",OR(G67="CUMPLE",G67="N/A")),"CUMPLE","NO CUMPLE"))</f>
        <v>CUMPLE</v>
      </c>
      <c r="H69" s="18" t="str">
        <f t="shared" si="13"/>
        <v>CUMPLE</v>
      </c>
      <c r="I69" s="18" t="str">
        <f t="shared" ref="I69:J69" si="14">IF(I24="","N/A",IF(AND(I49="CUMPLE",I58="CUMPLE",I59="CUMPLE",I60="CUMPLE",I61="CUMPLE",I62="CUMPLE",OR(I64="CUMPLE",I64="N/A"),I65="CUMPLE",OR(I66="CUMPLE",I66="N/A"),I68="CUMPLE",OR(I67="CUMPLE",I67="N/A")),"CUMPLE","NO CUMPLE"))</f>
        <v>N/A</v>
      </c>
      <c r="J69" s="18" t="str">
        <f t="shared" si="14"/>
        <v>N/A</v>
      </c>
      <c r="K69" s="147"/>
      <c r="L69" s="148"/>
    </row>
    <row r="70" spans="2:12" ht="54.5" customHeight="1" x14ac:dyDescent="0.2">
      <c r="B70" s="261" t="s">
        <v>188</v>
      </c>
      <c r="C70" s="261"/>
      <c r="D70" s="91" t="s">
        <v>13</v>
      </c>
      <c r="E70" s="91" t="s">
        <v>13</v>
      </c>
      <c r="F70" s="91" t="s">
        <v>13</v>
      </c>
      <c r="G70" s="91" t="s">
        <v>13</v>
      </c>
      <c r="H70" s="91" t="s">
        <v>13</v>
      </c>
      <c r="I70" s="91"/>
      <c r="J70" s="91"/>
      <c r="K70" s="247"/>
      <c r="L70" s="248"/>
    </row>
    <row r="77" spans="2:12" ht="16" thickBot="1" x14ac:dyDescent="0.25"/>
    <row r="78" spans="2:12" ht="61" thickBot="1" x14ac:dyDescent="0.25">
      <c r="D78" s="173" t="s">
        <v>199</v>
      </c>
      <c r="E78" s="174" t="s">
        <v>200</v>
      </c>
      <c r="F78" s="174" t="s">
        <v>200</v>
      </c>
    </row>
    <row r="79" spans="2:12" x14ac:dyDescent="0.2">
      <c r="D79" s="175">
        <v>1</v>
      </c>
      <c r="E79" s="183">
        <f>+L8</f>
        <v>11824.948449807693</v>
      </c>
      <c r="F79" s="176">
        <v>0.75</v>
      </c>
    </row>
    <row r="80" spans="2:12" x14ac:dyDescent="0.2">
      <c r="D80" s="177">
        <v>2</v>
      </c>
      <c r="E80" s="184">
        <f>+L8</f>
        <v>11824.948449807693</v>
      </c>
      <c r="F80" s="178">
        <v>0.75</v>
      </c>
    </row>
    <row r="81" spans="4:6" x14ac:dyDescent="0.2">
      <c r="D81" s="177">
        <v>3</v>
      </c>
      <c r="E81" s="184">
        <f>+L9</f>
        <v>18919.917519692306</v>
      </c>
      <c r="F81" s="178">
        <v>1.2</v>
      </c>
    </row>
    <row r="82" spans="4:6" x14ac:dyDescent="0.2">
      <c r="D82" s="177">
        <v>4</v>
      </c>
      <c r="E82" s="184">
        <f>+L9</f>
        <v>18919.917519692306</v>
      </c>
      <c r="F82" s="178">
        <v>1.2</v>
      </c>
    </row>
    <row r="83" spans="4:6" x14ac:dyDescent="0.2">
      <c r="D83" s="177">
        <v>5</v>
      </c>
      <c r="E83" s="184">
        <f>+L10</f>
        <v>23649.896899615385</v>
      </c>
      <c r="F83" s="178">
        <v>1.5</v>
      </c>
    </row>
    <row r="84" spans="4:6" x14ac:dyDescent="0.2">
      <c r="D84" s="181">
        <v>6</v>
      </c>
      <c r="E84" s="185">
        <f>+L10</f>
        <v>23649.896899615385</v>
      </c>
      <c r="F84" s="182">
        <v>1.5</v>
      </c>
    </row>
    <row r="85" spans="4:6" ht="16" thickBot="1" x14ac:dyDescent="0.25">
      <c r="D85" s="179">
        <v>7</v>
      </c>
      <c r="E85" s="186">
        <f>+L10</f>
        <v>23649.896899615385</v>
      </c>
      <c r="F85" s="180">
        <v>1.5</v>
      </c>
    </row>
  </sheetData>
  <sheetProtection formatCells="0" formatColumns="0" formatRows="0"/>
  <mergeCells count="88">
    <mergeCell ref="B65:C65"/>
    <mergeCell ref="K65:L65"/>
    <mergeCell ref="B69:C69"/>
    <mergeCell ref="B70:C70"/>
    <mergeCell ref="K70:L70"/>
    <mergeCell ref="B66:C66"/>
    <mergeCell ref="K66:L66"/>
    <mergeCell ref="B67:C67"/>
    <mergeCell ref="K67:L67"/>
    <mergeCell ref="B68:C68"/>
    <mergeCell ref="K68:L68"/>
    <mergeCell ref="B62:C62"/>
    <mergeCell ref="K62:L62"/>
    <mergeCell ref="B63:C63"/>
    <mergeCell ref="K63:L63"/>
    <mergeCell ref="B64:C64"/>
    <mergeCell ref="K64:L64"/>
    <mergeCell ref="B59:C59"/>
    <mergeCell ref="K59:L59"/>
    <mergeCell ref="B60:C60"/>
    <mergeCell ref="K60:L60"/>
    <mergeCell ref="B61:C61"/>
    <mergeCell ref="K61:L61"/>
    <mergeCell ref="K49:L49"/>
    <mergeCell ref="B50:B58"/>
    <mergeCell ref="K50:L50"/>
    <mergeCell ref="K51:L51"/>
    <mergeCell ref="K52:L52"/>
    <mergeCell ref="K53:L53"/>
    <mergeCell ref="K54:L54"/>
    <mergeCell ref="K55:L55"/>
    <mergeCell ref="K56:L56"/>
    <mergeCell ref="K57:L57"/>
    <mergeCell ref="K58:L58"/>
    <mergeCell ref="K43:L43"/>
    <mergeCell ref="K44:L44"/>
    <mergeCell ref="K46:L46"/>
    <mergeCell ref="K47:L47"/>
    <mergeCell ref="K48:L48"/>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550" priority="24">
      <formula>NOT(ISERROR(D25))</formula>
    </cfRule>
    <cfRule type="containsBlanks" dxfId="549" priority="23">
      <formula>LEN(TRIM(D25))=0</formula>
    </cfRule>
  </conditionalFormatting>
  <conditionalFormatting sqref="D34:J34 D24:K24">
    <cfRule type="containsBlanks" dxfId="548" priority="25">
      <formula>LEN(TRIM(D24))=0</formula>
    </cfRule>
  </conditionalFormatting>
  <conditionalFormatting sqref="D37:J37">
    <cfRule type="containsBlanks" dxfId="547" priority="21">
      <formula>LEN(TRIM(D37))=0</formula>
    </cfRule>
    <cfRule type="notContainsErrors" dxfId="546" priority="22">
      <formula>NOT(ISERROR(D37))</formula>
    </cfRule>
  </conditionalFormatting>
  <conditionalFormatting sqref="D40:J40">
    <cfRule type="notContainsErrors" dxfId="545" priority="42">
      <formula>NOT(ISERROR(D40))</formula>
    </cfRule>
    <cfRule type="containsBlanks" dxfId="544" priority="41">
      <formula>LEN(TRIM(D40))=0</formula>
    </cfRule>
  </conditionalFormatting>
  <conditionalFormatting sqref="D43:J43 K69:L69">
    <cfRule type="notContainsErrors" dxfId="543" priority="52">
      <formula>NOT(ISERROR(D43))</formula>
    </cfRule>
    <cfRule type="containsBlanks" dxfId="542" priority="51">
      <formula>LEN(TRIM(D43))=0</formula>
    </cfRule>
  </conditionalFormatting>
  <conditionalFormatting sqref="D46:J46">
    <cfRule type="containsBlanks" dxfId="541" priority="27">
      <formula>LEN(TRIM(D46))=0</formula>
    </cfRule>
    <cfRule type="notContainsErrors" dxfId="540" priority="28">
      <formula>NOT(ISERROR(D46))</formula>
    </cfRule>
  </conditionalFormatting>
  <conditionalFormatting sqref="D49:J57">
    <cfRule type="containsBlanks" dxfId="539" priority="11">
      <formula>LEN(TRIM(D49))=0</formula>
    </cfRule>
    <cfRule type="notContainsErrors" dxfId="538" priority="12">
      <formula>NOT(ISERROR(D49))</formula>
    </cfRule>
    <cfRule type="cellIs" dxfId="537" priority="10" operator="equal">
      <formula>"CUMPLE"</formula>
    </cfRule>
    <cfRule type="cellIs" dxfId="536" priority="9" operator="equal">
      <formula>"NO CUMPLE"</formula>
    </cfRule>
  </conditionalFormatting>
  <conditionalFormatting sqref="D58:J58">
    <cfRule type="cellIs" dxfId="535" priority="17" operator="equal">
      <formula>"N/A"</formula>
    </cfRule>
    <cfRule type="cellIs" dxfId="534" priority="18" operator="equal">
      <formula>"CUMPLE"</formula>
    </cfRule>
    <cfRule type="cellIs" dxfId="533" priority="19" operator="equal">
      <formula>"NO CUMPLE"</formula>
    </cfRule>
    <cfRule type="cellIs" dxfId="532" priority="20" operator="equal">
      <formula>"""CUMPLE"""</formula>
    </cfRule>
  </conditionalFormatting>
  <conditionalFormatting sqref="D59:J68">
    <cfRule type="notContainsErrors" dxfId="531" priority="8">
      <formula>NOT(ISERROR(D59))</formula>
    </cfRule>
    <cfRule type="containsBlanks" dxfId="530" priority="7">
      <formula>LEN(TRIM(D59))=0</formula>
    </cfRule>
    <cfRule type="cellIs" dxfId="529" priority="6" operator="equal">
      <formula>"CUMPLE"</formula>
    </cfRule>
    <cfRule type="cellIs" dxfId="528" priority="5" operator="equal">
      <formula>"NO CUMPLE"</formula>
    </cfRule>
  </conditionalFormatting>
  <conditionalFormatting sqref="D69:J69">
    <cfRule type="cellIs" dxfId="527" priority="13" operator="equal">
      <formula>"N/A"</formula>
    </cfRule>
    <cfRule type="cellIs" dxfId="526" priority="15" operator="equal">
      <formula>"NO CUMPLE"</formula>
    </cfRule>
    <cfRule type="cellIs" dxfId="525" priority="16" operator="equal">
      <formula>"""CUMPLE"""</formula>
    </cfRule>
    <cfRule type="cellIs" dxfId="524" priority="14" operator="equal">
      <formula>"CUMPLE"</formula>
    </cfRule>
  </conditionalFormatting>
  <conditionalFormatting sqref="D70:J70">
    <cfRule type="cellIs" dxfId="523" priority="1" operator="equal">
      <formula>"NO CUMPLE"</formula>
    </cfRule>
    <cfRule type="cellIs" dxfId="522" priority="2" operator="equal">
      <formula>"CUMPLE"</formula>
    </cfRule>
  </conditionalFormatting>
  <conditionalFormatting sqref="D24:K24 D34:J34">
    <cfRule type="notContainsErrors" dxfId="521" priority="26">
      <formula>NOT(ISERROR(D24))</formula>
    </cfRule>
  </conditionalFormatting>
  <conditionalFormatting sqref="D70:K70">
    <cfRule type="notContainsErrors" dxfId="520" priority="4">
      <formula>NOT(ISERROR(D70))</formula>
    </cfRule>
    <cfRule type="containsBlanks" dxfId="519" priority="3">
      <formula>LEN(TRIM(D70))=0</formula>
    </cfRule>
  </conditionalFormatting>
  <conditionalFormatting sqref="F20:H20">
    <cfRule type="cellIs" dxfId="518" priority="67" operator="equal">
      <formula>"CUMPLE"</formula>
    </cfRule>
    <cfRule type="cellIs" dxfId="517" priority="68" operator="equal">
      <formula>"NO CUMPLE"</formula>
    </cfRule>
    <cfRule type="cellIs" dxfId="516" priority="69" operator="equal">
      <formula>"""CUMPLE"""</formula>
    </cfRule>
  </conditionalFormatting>
  <conditionalFormatting sqref="I11">
    <cfRule type="containsText" dxfId="515" priority="70" operator="containsText" text="INHABILITADO">
      <formula>NOT(ISERROR(SEARCH("INHABILITADO",I11)))</formula>
    </cfRule>
    <cfRule type="containsText" dxfId="514" priority="71" operator="containsText" text="HABILITADO">
      <formula>NOT(ISERROR(SEARCH("HABILITADO",I11)))</formula>
    </cfRule>
    <cfRule type="containsText" dxfId="513" priority="72" operator="containsText" text="HABILITADO">
      <formula>NOT(ISERROR(SEARCH("HABILITADO",I11)))</formula>
    </cfRule>
    <cfRule type="containsText" dxfId="512" priority="73" operator="containsText" text="NO CUMPLE">
      <formula>NOT(ISERROR(SEARCH("NO CUMPLE",I11)))</formula>
    </cfRule>
  </conditionalFormatting>
  <conditionalFormatting sqref="K19">
    <cfRule type="cellIs" dxfId="511" priority="58" operator="equal">
      <formula>"CUMPLE"</formula>
    </cfRule>
    <cfRule type="cellIs" dxfId="510" priority="59" operator="equal">
      <formula>"NO CUMPLE"</formula>
    </cfRule>
    <cfRule type="cellIs" dxfId="509" priority="60" operator="equal">
      <formula>"""CUMPLE"""</formula>
    </cfRule>
  </conditionalFormatting>
  <conditionalFormatting sqref="K25:K68">
    <cfRule type="containsBlanks" dxfId="508" priority="49">
      <formula>LEN(TRIM(K25))=0</formula>
    </cfRule>
    <cfRule type="notContainsErrors" dxfId="507" priority="50">
      <formula>NOT(ISERROR(K25))</formula>
    </cfRule>
  </conditionalFormatting>
  <conditionalFormatting sqref="L15">
    <cfRule type="cellIs" dxfId="506" priority="64" operator="equal">
      <formula>"CUMPLE"</formula>
    </cfRule>
    <cfRule type="cellIs" dxfId="505" priority="65" operator="equal">
      <formula>"NO CUMPLE"</formula>
    </cfRule>
    <cfRule type="cellIs" dxfId="504" priority="66" operator="equal">
      <formula>"""CUMPLE"""</formula>
    </cfRule>
  </conditionalFormatting>
  <dataValidations count="3">
    <dataValidation type="list" allowBlank="1" showInputMessage="1" showErrorMessage="1" sqref="L61:L69" xr:uid="{D3B33714-0AFB-4BBC-A9F8-CC7ABC6AF2F2}">
      <formula1>"0,1,2,3,4,5,6"</formula1>
    </dataValidation>
    <dataValidation type="list" allowBlank="1" showInputMessage="1" showErrorMessage="1" sqref="D24:J26" xr:uid="{7B7CAEB8-4317-40F8-B868-4CB6BD1B2AD0}">
      <formula1>$C$15:$C$19</formula1>
    </dataValidation>
    <dataValidation type="list" allowBlank="1" showInputMessage="1" showErrorMessage="1" sqref="D70:I70" xr:uid="{B892AD76-30B8-4996-A4D3-5167F939531C}">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4FA50C88-80C6-4CCF-905E-D6F7ADBD59DA}">
          <x14:formula1>
            <xm:f>'DATOS INICIALES'!$C$48:$C$49</xm:f>
          </x14:formula1>
          <xm:sqref>J50:J55 I50:I57</xm:sqref>
        </x14:dataValidation>
        <x14:dataValidation type="list" allowBlank="1" showInputMessage="1" showErrorMessage="1" xr:uid="{42186B57-D562-44BC-ACD2-126EEFAC7F1D}">
          <x14:formula1>
            <xm:f>'DATOS INICIALES'!$A$53:$A$55</xm:f>
          </x14:formula1>
          <xm:sqref>I62:J68 I49:J49 J59:J60 I59:I61</xm:sqref>
        </x14:dataValidation>
        <x14:dataValidation type="list" allowBlank="1" showInputMessage="1" showErrorMessage="1" xr:uid="{9D91AEF9-34BE-49AF-89F6-CF39B96868BA}">
          <x14:formula1>
            <xm:f>'DATOS INICIALES'!$A$57:$A$62</xm:f>
          </x14:formula1>
          <xm:sqref>D23:I23</xm:sqref>
        </x14:dataValidation>
        <x14:dataValidation type="list" allowBlank="1" showInputMessage="1" showErrorMessage="1" xr:uid="{C5E65D06-0010-48B5-9224-A5140C93412D}">
          <x14:formula1>
            <xm:f>'DATOS INICIALES'!$D$22:$D$26</xm:f>
          </x14:formula1>
          <xm:sqref>M50:M58</xm:sqref>
        </x14:dataValidation>
        <x14:dataValidation type="list" allowBlank="1" showInputMessage="1" showErrorMessage="1" xr:uid="{7CD94782-813A-40D7-A694-41C32EA66002}">
          <x14:formula1>
            <xm:f>'DATOS INICIALES'!$A$13:$A$44</xm:f>
          </x14:formula1>
          <xm:sqref>I31</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C3169-ADED-424A-A64F-BBF687B6A61C}">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G20" sqref="G20"/>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+PROPONENTES!B32</f>
        <v>VD USAQUEN 2024</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VIC SAS</v>
      </c>
      <c r="D15" s="101">
        <f>IF(VLOOKUP(C11,PROPONENTES!B10:N44,3,FALSE)=0,"",VLOOKUP(C11,PROPONENTES!B10:N44,3,FALSE))</f>
        <v>0.4</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11586.904</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3</v>
      </c>
      <c r="J15" s="264">
        <f>IF(AND(I15&gt;=1,I15&lt;=2),L8,IF(AND(I15&gt;=3,I15&lt;=4),L9,IF(AND(I15&gt;=5,I15&lt;=7),L10)))</f>
        <v>18919.917519692306</v>
      </c>
      <c r="K15" s="264">
        <f>+E20</f>
        <v>27547.673999999999</v>
      </c>
      <c r="L15" s="265" t="str">
        <f>IF(K15&gt;=J15,"CUMPLE","NO CUMPLE")</f>
        <v>CUMPLE</v>
      </c>
    </row>
    <row r="16" spans="2:12" ht="33.75" customHeight="1" x14ac:dyDescent="0.2">
      <c r="B16" s="273"/>
      <c r="C16" s="100" t="str">
        <f>IF(VLOOKUP(C11,PROPONENTES!B10:N44,4,FALSE)=0,"",VLOOKUP(C11,PROPONENTES!B10:N44,4,FALSE))</f>
        <v xml:space="preserve">DROMOS PAVIMENTOS SAS </v>
      </c>
      <c r="D16" s="101">
        <f>IF(VLOOKUP(C11,PROPONENTES!B10:N44,5,FALSE)=0,"",VLOOKUP(C11,PROPONENTES!B10:N44,5,FALSE))</f>
        <v>0.6</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15960.77</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27547.673999999999</v>
      </c>
      <c r="J19" s="355">
        <f>IF(I15="","",VLOOKUP(I15,$D$76:$E$82,2,FALSE))</f>
        <v>18919.917519692306</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27547.673999999999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280</v>
      </c>
      <c r="E24" s="91" t="s">
        <v>281</v>
      </c>
      <c r="F24" s="91" t="s">
        <v>281</v>
      </c>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601</v>
      </c>
      <c r="E27" s="92" t="s">
        <v>602</v>
      </c>
      <c r="F27" s="92" t="s">
        <v>603</v>
      </c>
      <c r="G27" s="92"/>
      <c r="H27" s="92"/>
      <c r="I27" s="92"/>
      <c r="J27" s="92"/>
      <c r="K27" s="247"/>
      <c r="L27" s="248"/>
    </row>
    <row r="28" spans="2:14" ht="156.75" customHeight="1" x14ac:dyDescent="0.2">
      <c r="B28" s="277"/>
      <c r="C28" s="26" t="s">
        <v>36</v>
      </c>
      <c r="D28" s="92" t="s">
        <v>604</v>
      </c>
      <c r="E28" s="92" t="s">
        <v>605</v>
      </c>
      <c r="F28" s="92" t="s">
        <v>606</v>
      </c>
      <c r="G28" s="92"/>
      <c r="H28" s="92"/>
      <c r="I28" s="92"/>
      <c r="J28" s="92"/>
      <c r="K28" s="247"/>
      <c r="L28" s="248"/>
    </row>
    <row r="29" spans="2:14" ht="52.5" customHeight="1" x14ac:dyDescent="0.2">
      <c r="B29" s="277"/>
      <c r="C29" s="26" t="s">
        <v>172</v>
      </c>
      <c r="D29" s="96">
        <v>41974</v>
      </c>
      <c r="E29" s="96">
        <v>41976</v>
      </c>
      <c r="F29" s="96">
        <v>44727</v>
      </c>
      <c r="G29" s="96"/>
      <c r="H29" s="96"/>
      <c r="I29" s="96"/>
      <c r="J29" s="96"/>
      <c r="K29" s="247"/>
      <c r="L29" s="248"/>
    </row>
    <row r="30" spans="2:14" ht="54.75" customHeight="1" x14ac:dyDescent="0.2">
      <c r="B30" s="277"/>
      <c r="C30" s="26" t="s">
        <v>40</v>
      </c>
      <c r="D30" s="96">
        <v>42354</v>
      </c>
      <c r="E30" s="96">
        <v>42411</v>
      </c>
      <c r="F30" s="96">
        <v>45092</v>
      </c>
      <c r="G30" s="96"/>
      <c r="H30" s="96"/>
      <c r="I30" s="96"/>
      <c r="J30" s="96"/>
      <c r="K30" s="247"/>
      <c r="L30" s="248"/>
    </row>
    <row r="31" spans="2:14" ht="41.25" customHeight="1" x14ac:dyDescent="0.2">
      <c r="B31" s="277"/>
      <c r="C31" s="26" t="s">
        <v>37</v>
      </c>
      <c r="D31" s="93">
        <v>2015</v>
      </c>
      <c r="E31" s="93">
        <v>2016</v>
      </c>
      <c r="F31" s="93">
        <v>2023</v>
      </c>
      <c r="G31" s="93"/>
      <c r="H31" s="93"/>
      <c r="I31" s="93"/>
      <c r="J31" s="93"/>
      <c r="K31" s="247"/>
      <c r="L31" s="248"/>
    </row>
    <row r="32" spans="2:14" ht="63" customHeight="1" x14ac:dyDescent="0.2">
      <c r="B32" s="277"/>
      <c r="C32" s="26" t="s">
        <v>38</v>
      </c>
      <c r="D32" s="92" t="s">
        <v>524</v>
      </c>
      <c r="E32" s="92" t="s">
        <v>524</v>
      </c>
      <c r="F32" s="92" t="s">
        <v>607</v>
      </c>
      <c r="G32" s="92"/>
      <c r="H32" s="92"/>
      <c r="I32" s="92"/>
      <c r="J32" s="92"/>
      <c r="K32" s="247"/>
      <c r="L32" s="248"/>
    </row>
    <row r="33" spans="2:12" ht="46.5" customHeight="1" x14ac:dyDescent="0.2">
      <c r="B33" s="277"/>
      <c r="C33" s="26" t="s">
        <v>39</v>
      </c>
      <c r="D33" s="92" t="s">
        <v>608</v>
      </c>
      <c r="E33" s="92" t="s">
        <v>609</v>
      </c>
      <c r="F33" s="92" t="s">
        <v>610</v>
      </c>
      <c r="G33" s="92"/>
      <c r="H33" s="92"/>
      <c r="I33" s="92"/>
      <c r="J33" s="92"/>
      <c r="K33" s="247"/>
      <c r="L33" s="248"/>
    </row>
    <row r="34" spans="2:12" ht="27.75" customHeight="1" x14ac:dyDescent="0.2">
      <c r="B34" s="277"/>
      <c r="C34" s="28" t="s">
        <v>33</v>
      </c>
      <c r="D34" s="97">
        <v>33</v>
      </c>
      <c r="E34" s="97">
        <v>20</v>
      </c>
      <c r="F34" s="97">
        <v>44</v>
      </c>
      <c r="G34" s="98"/>
      <c r="H34" s="98"/>
      <c r="I34" s="98"/>
      <c r="J34" s="98"/>
      <c r="K34" s="247"/>
      <c r="L34" s="248"/>
    </row>
    <row r="35" spans="2:12" ht="102.75" customHeight="1" x14ac:dyDescent="0.2">
      <c r="B35" s="277"/>
      <c r="C35" s="26" t="s">
        <v>118</v>
      </c>
      <c r="D35" s="94">
        <v>14483.63</v>
      </c>
      <c r="E35" s="94">
        <v>14402.16</v>
      </c>
      <c r="F35" s="94">
        <v>8759.69</v>
      </c>
      <c r="G35" s="94"/>
      <c r="H35" s="94"/>
      <c r="I35" s="94"/>
      <c r="J35" s="94"/>
      <c r="K35" s="279"/>
      <c r="L35" s="280"/>
    </row>
    <row r="36" spans="2:12" ht="48" customHeight="1" x14ac:dyDescent="0.2">
      <c r="B36" s="277"/>
      <c r="C36" s="26" t="s">
        <v>74</v>
      </c>
      <c r="D36" s="105">
        <f>IFERROR(D35*VLOOKUP(D31,'DATOS INICIALES'!$A$12:$B$44,2,0),"0")</f>
        <v>9332526990.5</v>
      </c>
      <c r="E36" s="105">
        <f>IFERROR(E35*VLOOKUP(E31,'DATOS INICIALES'!$A$12:$B$44,2,0),"0")</f>
        <v>9929641222.7999992</v>
      </c>
      <c r="F36" s="105">
        <f>IFERROR(F35*VLOOKUP(F31,'DATOS INICIALES'!$A$12:$B$44,2,0),"0")</f>
        <v>10161240400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0.8</v>
      </c>
      <c r="E37" s="95">
        <v>0.5</v>
      </c>
      <c r="F37" s="95">
        <v>1</v>
      </c>
      <c r="G37" s="95"/>
      <c r="H37" s="95"/>
      <c r="I37" s="95"/>
      <c r="J37" s="95"/>
      <c r="K37" s="247"/>
      <c r="L37" s="248"/>
    </row>
    <row r="38" spans="2:12" ht="48.75" customHeight="1" x14ac:dyDescent="0.2">
      <c r="B38" s="277"/>
      <c r="C38" s="26" t="s">
        <v>125</v>
      </c>
      <c r="D38" s="105">
        <f t="shared" ref="D38:J38" si="3">IF(D24="","0",D37*D36)</f>
        <v>7466021592.4000006</v>
      </c>
      <c r="E38" s="105">
        <f t="shared" si="3"/>
        <v>4964820611.3999996</v>
      </c>
      <c r="F38" s="105">
        <f t="shared" si="3"/>
        <v>10161240400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11586.904</v>
      </c>
      <c r="E39" s="106">
        <f t="shared" si="4"/>
        <v>7201.08</v>
      </c>
      <c r="F39" s="106">
        <f t="shared" si="4"/>
        <v>8759.69</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c r="H46" s="91"/>
      <c r="I46" s="91"/>
      <c r="J46" s="91"/>
      <c r="K46" s="247"/>
      <c r="L46" s="248"/>
    </row>
    <row r="47" spans="2:12" ht="24.75" customHeight="1" x14ac:dyDescent="0.2">
      <c r="B47" s="284" t="s">
        <v>34</v>
      </c>
      <c r="C47" s="29">
        <f>+'DATOS INICIALES'!D22</f>
        <v>721033</v>
      </c>
      <c r="D47" s="97" t="s">
        <v>77</v>
      </c>
      <c r="E47" s="97" t="s">
        <v>77</v>
      </c>
      <c r="F47" s="97" t="s">
        <v>77</v>
      </c>
      <c r="G47" s="97"/>
      <c r="H47" s="97"/>
      <c r="I47" s="97"/>
      <c r="J47" s="98"/>
      <c r="K47" s="247"/>
      <c r="L47" s="248"/>
    </row>
    <row r="48" spans="2:12" ht="24.75" customHeight="1" x14ac:dyDescent="0.2">
      <c r="B48" s="285"/>
      <c r="C48" s="29">
        <f>+'DATOS INICIALES'!D23</f>
        <v>721410</v>
      </c>
      <c r="D48" s="97" t="s">
        <v>77</v>
      </c>
      <c r="E48" s="97" t="s">
        <v>77</v>
      </c>
      <c r="F48" s="97" t="s">
        <v>77</v>
      </c>
      <c r="G48" s="97"/>
      <c r="H48" s="97"/>
      <c r="I48" s="97"/>
      <c r="J48" s="98"/>
      <c r="K48" s="247"/>
      <c r="L48" s="248"/>
    </row>
    <row r="49" spans="2:12" ht="24.75" customHeight="1" x14ac:dyDescent="0.2">
      <c r="B49" s="285"/>
      <c r="C49" s="29">
        <f>+'DATOS INICIALES'!D24</f>
        <v>721411</v>
      </c>
      <c r="D49" s="97" t="s">
        <v>77</v>
      </c>
      <c r="E49" s="97" t="s">
        <v>77</v>
      </c>
      <c r="F49" s="97" t="s">
        <v>77</v>
      </c>
      <c r="G49" s="97"/>
      <c r="H49" s="97"/>
      <c r="I49" s="97"/>
      <c r="J49" s="98"/>
      <c r="K49" s="247"/>
      <c r="L49" s="248"/>
    </row>
    <row r="50" spans="2:12" ht="24.75" customHeight="1" x14ac:dyDescent="0.2">
      <c r="B50" s="285"/>
      <c r="C50" s="29">
        <f>+'DATOS INICIALES'!D25</f>
        <v>721416</v>
      </c>
      <c r="D50" s="97" t="s">
        <v>75</v>
      </c>
      <c r="E50" s="97" t="s">
        <v>75</v>
      </c>
      <c r="F50" s="97" t="s">
        <v>77</v>
      </c>
      <c r="G50" s="97"/>
      <c r="H50" s="97"/>
      <c r="I50" s="97"/>
      <c r="J50" s="98"/>
      <c r="K50" s="247"/>
      <c r="L50" s="248"/>
    </row>
    <row r="51" spans="2:12" ht="24.75" customHeight="1" x14ac:dyDescent="0.2">
      <c r="B51" s="285"/>
      <c r="C51" s="29">
        <f>+'DATOS INICIALES'!D26</f>
        <v>721527</v>
      </c>
      <c r="D51" s="97" t="s">
        <v>75</v>
      </c>
      <c r="E51" s="97" t="s">
        <v>75</v>
      </c>
      <c r="F51" s="97" t="s">
        <v>77</v>
      </c>
      <c r="G51" s="97"/>
      <c r="H51" s="97"/>
      <c r="I51" s="97"/>
      <c r="J51" s="98"/>
      <c r="K51" s="247"/>
      <c r="L51" s="248"/>
    </row>
    <row r="52" spans="2:12" ht="24.75" customHeight="1" x14ac:dyDescent="0.2">
      <c r="B52" s="285"/>
      <c r="C52" s="29">
        <f>+'DATOS INICIALES'!D27</f>
        <v>721539</v>
      </c>
      <c r="D52" s="97" t="s">
        <v>75</v>
      </c>
      <c r="E52" s="97" t="s">
        <v>75</v>
      </c>
      <c r="F52" s="97" t="s">
        <v>75</v>
      </c>
      <c r="G52" s="97"/>
      <c r="H52" s="97"/>
      <c r="I52" s="97"/>
      <c r="J52" s="98"/>
      <c r="K52" s="247"/>
      <c r="L52" s="248"/>
    </row>
    <row r="53" spans="2:12" ht="24.75" customHeight="1" x14ac:dyDescent="0.2">
      <c r="B53" s="285"/>
      <c r="C53" s="29">
        <f>+'DATOS INICIALES'!D28</f>
        <v>951115</v>
      </c>
      <c r="D53" s="97" t="s">
        <v>77</v>
      </c>
      <c r="E53" s="97" t="s">
        <v>77</v>
      </c>
      <c r="F53" s="97" t="s">
        <v>77</v>
      </c>
      <c r="G53" s="97"/>
      <c r="H53" s="97"/>
      <c r="I53" s="97"/>
      <c r="J53" s="97"/>
      <c r="K53" s="247"/>
      <c r="L53" s="248"/>
    </row>
    <row r="54" spans="2:12" ht="24.75" customHeight="1" x14ac:dyDescent="0.2">
      <c r="B54" s="285"/>
      <c r="C54" s="29">
        <f>+'DATOS INICIALES'!D29</f>
        <v>721033</v>
      </c>
      <c r="D54" s="97" t="s">
        <v>75</v>
      </c>
      <c r="E54" s="97" t="s">
        <v>77</v>
      </c>
      <c r="F54" s="97" t="s">
        <v>77</v>
      </c>
      <c r="G54" s="97"/>
      <c r="H54" s="97"/>
      <c r="I54" s="97"/>
      <c r="J54" s="97"/>
      <c r="K54" s="247"/>
      <c r="L54" s="248"/>
    </row>
    <row r="55" spans="2:12" ht="60.75" customHeight="1" x14ac:dyDescent="0.2">
      <c r="B55" s="286"/>
      <c r="C55" s="18" t="s">
        <v>57</v>
      </c>
      <c r="D55" s="18" t="str">
        <f t="shared" ref="D55:F55" si="9">IF(D24="","N/A",IF(D47="SI","CUMPLE",IF(D48="SI","CUMPLE",IF(D49="SI","CUMPLE",IF(D50="SI","CUMPLE",IF(D51="SI","CUMPLE",IF(D52="SI","CUMPLE",IF(D54="SI","CUMPLE","NO CUMPLE"))))))))</f>
        <v>CUMPLE</v>
      </c>
      <c r="E55" s="18" t="str">
        <f t="shared" si="9"/>
        <v>CUMPLE</v>
      </c>
      <c r="F55" s="18" t="str">
        <f t="shared" si="9"/>
        <v>CUMPLE</v>
      </c>
      <c r="G55" s="18" t="str">
        <f t="shared" ref="G55:J55" si="10">IF(G24="","N/A",IF(G47="SI","CUMPLE",IF(G48="SI","CUMPLE",IF(G49="SI","CUMPLE",IF(G50="SI","CUMPLE",IF(G51="SI","CUMPLE",IF(G52="SI","CUMPLE",IF(G54="SI","CUMPLE","NO CUMPLE"))))))))</f>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t="s">
        <v>13</v>
      </c>
      <c r="G56" s="91"/>
      <c r="H56" s="91"/>
      <c r="I56" s="91"/>
      <c r="J56" s="91"/>
      <c r="K56" s="257"/>
      <c r="L56" s="258"/>
    </row>
    <row r="57" spans="2:12" ht="103.25" customHeight="1" x14ac:dyDescent="0.2">
      <c r="B57" s="287" t="s">
        <v>190</v>
      </c>
      <c r="C57" s="288"/>
      <c r="D57" s="91" t="s">
        <v>13</v>
      </c>
      <c r="E57" s="91" t="s">
        <v>13</v>
      </c>
      <c r="F57" s="91" t="s">
        <v>13</v>
      </c>
      <c r="G57" s="91"/>
      <c r="H57" s="91"/>
      <c r="I57" s="91"/>
      <c r="J57" s="91"/>
      <c r="K57" s="257"/>
      <c r="L57" s="258"/>
    </row>
    <row r="58" spans="2:12" ht="72" customHeight="1" x14ac:dyDescent="0.2">
      <c r="B58" s="281" t="s">
        <v>191</v>
      </c>
      <c r="C58" s="282"/>
      <c r="D58" s="91" t="s">
        <v>13</v>
      </c>
      <c r="E58" s="91" t="s">
        <v>13</v>
      </c>
      <c r="F58" s="91" t="s">
        <v>13</v>
      </c>
      <c r="G58" s="91"/>
      <c r="H58" s="91"/>
      <c r="I58" s="91"/>
      <c r="J58" s="91"/>
      <c r="K58" s="247"/>
      <c r="L58" s="248"/>
    </row>
    <row r="59" spans="2:12" ht="42.5" customHeight="1" x14ac:dyDescent="0.2">
      <c r="B59" s="281" t="s">
        <v>192</v>
      </c>
      <c r="C59" s="282"/>
      <c r="D59" s="91" t="s">
        <v>13</v>
      </c>
      <c r="E59" s="91" t="s">
        <v>13</v>
      </c>
      <c r="F59" s="91" t="s">
        <v>13</v>
      </c>
      <c r="G59" s="91"/>
      <c r="H59" s="91"/>
      <c r="I59" s="91"/>
      <c r="J59" s="91"/>
      <c r="K59" s="247"/>
      <c r="L59" s="248"/>
    </row>
    <row r="60" spans="2:12" ht="36" customHeight="1" x14ac:dyDescent="0.2">
      <c r="B60" s="281" t="s">
        <v>193</v>
      </c>
      <c r="C60" s="282"/>
      <c r="D60" s="91" t="s">
        <v>13</v>
      </c>
      <c r="E60" s="91" t="s">
        <v>13</v>
      </c>
      <c r="F60" s="91" t="s">
        <v>13</v>
      </c>
      <c r="G60" s="91"/>
      <c r="H60" s="91"/>
      <c r="I60" s="91"/>
      <c r="J60" s="91"/>
      <c r="K60" s="247"/>
      <c r="L60" s="248"/>
    </row>
    <row r="61" spans="2:12" ht="160.75" customHeight="1" x14ac:dyDescent="0.2">
      <c r="B61" s="281" t="s">
        <v>194</v>
      </c>
      <c r="C61" s="282"/>
      <c r="D61" s="91" t="s">
        <v>13</v>
      </c>
      <c r="E61" s="91" t="s">
        <v>13</v>
      </c>
      <c r="F61" s="91" t="s">
        <v>13</v>
      </c>
      <c r="G61" s="91"/>
      <c r="H61" s="91"/>
      <c r="I61" s="91"/>
      <c r="J61" s="91"/>
      <c r="K61" s="247"/>
      <c r="L61" s="248"/>
    </row>
    <row r="62" spans="2:12" ht="409.25" customHeight="1" x14ac:dyDescent="0.2">
      <c r="B62" s="261" t="s">
        <v>195</v>
      </c>
      <c r="C62" s="261"/>
      <c r="D62" s="91" t="s">
        <v>13</v>
      </c>
      <c r="E62" s="91" t="s">
        <v>13</v>
      </c>
      <c r="F62" s="91" t="s">
        <v>13</v>
      </c>
      <c r="G62" s="91"/>
      <c r="H62" s="91"/>
      <c r="I62" s="91"/>
      <c r="J62" s="91"/>
      <c r="K62" s="279"/>
      <c r="L62" s="280"/>
    </row>
    <row r="63" spans="2:12" ht="301.75" customHeight="1" x14ac:dyDescent="0.2">
      <c r="B63" s="262" t="s">
        <v>196</v>
      </c>
      <c r="C63" s="263"/>
      <c r="D63" s="91" t="s">
        <v>13</v>
      </c>
      <c r="E63" s="91" t="s">
        <v>13</v>
      </c>
      <c r="F63" s="91" t="s">
        <v>13</v>
      </c>
      <c r="G63" s="91"/>
      <c r="H63" s="91"/>
      <c r="I63" s="91"/>
      <c r="J63" s="91"/>
      <c r="K63" s="247"/>
      <c r="L63" s="248"/>
    </row>
    <row r="64" spans="2:12" ht="253.75" customHeight="1" x14ac:dyDescent="0.2">
      <c r="B64" s="283" t="s">
        <v>197</v>
      </c>
      <c r="C64" s="283"/>
      <c r="D64" s="91" t="s">
        <v>13</v>
      </c>
      <c r="E64" s="91" t="s">
        <v>13</v>
      </c>
      <c r="F64" s="91" t="s">
        <v>13</v>
      </c>
      <c r="G64" s="91"/>
      <c r="H64" s="91"/>
      <c r="I64" s="91"/>
      <c r="J64" s="91"/>
      <c r="K64" s="247"/>
      <c r="L64" s="248"/>
    </row>
    <row r="65" spans="2:12" ht="243.5" customHeight="1" x14ac:dyDescent="0.2">
      <c r="B65" s="261" t="s">
        <v>198</v>
      </c>
      <c r="C65" s="261"/>
      <c r="D65" s="91" t="s">
        <v>13</v>
      </c>
      <c r="E65" s="91" t="s">
        <v>13</v>
      </c>
      <c r="F65" s="91" t="s">
        <v>13</v>
      </c>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 si="11">IF(F24="","N/A",IF(AND(F46="CUMPLE",F55="CUMPLE",F56="CUMPLE",F57="CUMPLE",F58="CUMPLE",F59="CUMPLE",OR(F61="CUMPLE",F61="N/A"),F62="CUMPLE",OR(F63="CUMPLE",F63="N/A"),F65="CUMPLE",OR(F64="CUMPLE",F64="N/A")),"CUMPLE","NO CUMPLE"))</f>
        <v>CUMPLE</v>
      </c>
      <c r="G66" s="18" t="str">
        <f t="shared" ref="G66:J66" si="12">IF(G24="","N/A",IF(AND(G46="CUMPLE",G55="CUMPLE",G56="CUMPLE",G57="CUMPLE",G58="CUMPLE",G59="CUMPLE",OR(G61="CUMPLE",G61="N/A"),G62="CUMPLE",OR(G63="CUMPLE",G63="N/A"),G65="CUMPLE",OR(G64="CUMPLE",G64="N/A")),"CUMPLE","NO CUMPLE"))</f>
        <v>N/A</v>
      </c>
      <c r="H66" s="18" t="str">
        <f t="shared" si="12"/>
        <v>N/A</v>
      </c>
      <c r="I66" s="18" t="str">
        <f t="shared" si="12"/>
        <v>N/A</v>
      </c>
      <c r="J66" s="18" t="str">
        <f t="shared" si="12"/>
        <v>N/A</v>
      </c>
      <c r="K66" s="147"/>
      <c r="L66" s="148"/>
    </row>
    <row r="67" spans="2:12" ht="54.5" customHeight="1" x14ac:dyDescent="0.2">
      <c r="B67" s="261" t="s">
        <v>188</v>
      </c>
      <c r="C67" s="261"/>
      <c r="D67" s="91" t="s">
        <v>13</v>
      </c>
      <c r="E67" s="91" t="s">
        <v>13</v>
      </c>
      <c r="F67" s="91" t="s">
        <v>13</v>
      </c>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503" priority="24">
      <formula>NOT(ISERROR(D25))</formula>
    </cfRule>
    <cfRule type="containsBlanks" dxfId="502" priority="23">
      <formula>LEN(TRIM(D25))=0</formula>
    </cfRule>
  </conditionalFormatting>
  <conditionalFormatting sqref="D34:J34 D24:K24">
    <cfRule type="containsBlanks" dxfId="501" priority="25">
      <formula>LEN(TRIM(D24))=0</formula>
    </cfRule>
  </conditionalFormatting>
  <conditionalFormatting sqref="D37:J37">
    <cfRule type="notContainsErrors" dxfId="500" priority="22">
      <formula>NOT(ISERROR(D37))</formula>
    </cfRule>
    <cfRule type="containsBlanks" dxfId="499" priority="21">
      <formula>LEN(TRIM(D37))=0</formula>
    </cfRule>
  </conditionalFormatting>
  <conditionalFormatting sqref="D40:J40">
    <cfRule type="containsBlanks" dxfId="498" priority="39">
      <formula>LEN(TRIM(D40))=0</formula>
    </cfRule>
    <cfRule type="notContainsErrors" dxfId="497" priority="40">
      <formula>NOT(ISERROR(D40))</formula>
    </cfRule>
  </conditionalFormatting>
  <conditionalFormatting sqref="D43:J43 K66:L66">
    <cfRule type="containsBlanks" dxfId="496" priority="49">
      <formula>LEN(TRIM(D43))=0</formula>
    </cfRule>
    <cfRule type="notContainsErrors" dxfId="495" priority="50">
      <formula>NOT(ISERROR(D43))</formula>
    </cfRule>
  </conditionalFormatting>
  <conditionalFormatting sqref="D46:J54">
    <cfRule type="cellIs" dxfId="494" priority="9" operator="equal">
      <formula>"NO CUMPLE"</formula>
    </cfRule>
    <cfRule type="cellIs" dxfId="493" priority="10" operator="equal">
      <formula>"CUMPLE"</formula>
    </cfRule>
    <cfRule type="containsBlanks" dxfId="492" priority="11">
      <formula>LEN(TRIM(D46))=0</formula>
    </cfRule>
    <cfRule type="notContainsErrors" dxfId="491" priority="12">
      <formula>NOT(ISERROR(D46))</formula>
    </cfRule>
  </conditionalFormatting>
  <conditionalFormatting sqref="D55:J55">
    <cfRule type="cellIs" dxfId="490" priority="17" operator="equal">
      <formula>"N/A"</formula>
    </cfRule>
    <cfRule type="cellIs" dxfId="489" priority="18" operator="equal">
      <formula>"CUMPLE"</formula>
    </cfRule>
    <cfRule type="cellIs" dxfId="488" priority="19" operator="equal">
      <formula>"NO CUMPLE"</formula>
    </cfRule>
    <cfRule type="cellIs" dxfId="487" priority="20" operator="equal">
      <formula>"""CUMPLE"""</formula>
    </cfRule>
  </conditionalFormatting>
  <conditionalFormatting sqref="D56:J65">
    <cfRule type="containsBlanks" dxfId="486" priority="7">
      <formula>LEN(TRIM(D56))=0</formula>
    </cfRule>
    <cfRule type="notContainsErrors" dxfId="485" priority="8">
      <formula>NOT(ISERROR(D56))</formula>
    </cfRule>
    <cfRule type="cellIs" dxfId="484" priority="6" operator="equal">
      <formula>"CUMPLE"</formula>
    </cfRule>
    <cfRule type="cellIs" dxfId="483" priority="5" operator="equal">
      <formula>"NO CUMPLE"</formula>
    </cfRule>
  </conditionalFormatting>
  <conditionalFormatting sqref="D66:J66">
    <cfRule type="cellIs" dxfId="482" priority="14" operator="equal">
      <formula>"CUMPLE"</formula>
    </cfRule>
    <cfRule type="cellIs" dxfId="481" priority="15" operator="equal">
      <formula>"NO CUMPLE"</formula>
    </cfRule>
    <cfRule type="cellIs" dxfId="480" priority="16" operator="equal">
      <formula>"""CUMPLE"""</formula>
    </cfRule>
    <cfRule type="cellIs" dxfId="479" priority="13" operator="equal">
      <formula>"N/A"</formula>
    </cfRule>
  </conditionalFormatting>
  <conditionalFormatting sqref="D67:J67">
    <cfRule type="cellIs" dxfId="478" priority="1" operator="equal">
      <formula>"NO CUMPLE"</formula>
    </cfRule>
    <cfRule type="cellIs" dxfId="477" priority="2" operator="equal">
      <formula>"CUMPLE"</formula>
    </cfRule>
  </conditionalFormatting>
  <conditionalFormatting sqref="D24:K24 D34:J34">
    <cfRule type="notContainsErrors" dxfId="476" priority="26">
      <formula>NOT(ISERROR(D24))</formula>
    </cfRule>
  </conditionalFormatting>
  <conditionalFormatting sqref="D67:K67">
    <cfRule type="notContainsErrors" dxfId="475" priority="4">
      <formula>NOT(ISERROR(D67))</formula>
    </cfRule>
    <cfRule type="containsBlanks" dxfId="474" priority="3">
      <formula>LEN(TRIM(D67))=0</formula>
    </cfRule>
  </conditionalFormatting>
  <conditionalFormatting sqref="F20:H20">
    <cfRule type="cellIs" dxfId="473" priority="65" operator="equal">
      <formula>"CUMPLE"</formula>
    </cfRule>
    <cfRule type="cellIs" dxfId="472" priority="66" operator="equal">
      <formula>"NO CUMPLE"</formula>
    </cfRule>
    <cfRule type="cellIs" dxfId="471" priority="67" operator="equal">
      <formula>"""CUMPLE"""</formula>
    </cfRule>
  </conditionalFormatting>
  <conditionalFormatting sqref="I11">
    <cfRule type="containsText" dxfId="470" priority="68" operator="containsText" text="INHABILITADO">
      <formula>NOT(ISERROR(SEARCH("INHABILITADO",I11)))</formula>
    </cfRule>
    <cfRule type="containsText" dxfId="469" priority="69" operator="containsText" text="HABILITADO">
      <formula>NOT(ISERROR(SEARCH("HABILITADO",I11)))</formula>
    </cfRule>
    <cfRule type="containsText" dxfId="468" priority="70" operator="containsText" text="HABILITADO">
      <formula>NOT(ISERROR(SEARCH("HABILITADO",I11)))</formula>
    </cfRule>
    <cfRule type="containsText" dxfId="467" priority="71" operator="containsText" text="NO CUMPLE">
      <formula>NOT(ISERROR(SEARCH("NO CUMPLE",I11)))</formula>
    </cfRule>
  </conditionalFormatting>
  <conditionalFormatting sqref="K19">
    <cfRule type="cellIs" dxfId="466" priority="56" operator="equal">
      <formula>"CUMPLE"</formula>
    </cfRule>
    <cfRule type="cellIs" dxfId="465" priority="57" operator="equal">
      <formula>"NO CUMPLE"</formula>
    </cfRule>
    <cfRule type="cellIs" dxfId="464" priority="58" operator="equal">
      <formula>"""CUMPLE"""</formula>
    </cfRule>
  </conditionalFormatting>
  <conditionalFormatting sqref="K25:K65">
    <cfRule type="containsBlanks" dxfId="463" priority="47">
      <formula>LEN(TRIM(K25))=0</formula>
    </cfRule>
    <cfRule type="notContainsErrors" dxfId="462" priority="48">
      <formula>NOT(ISERROR(K25))</formula>
    </cfRule>
  </conditionalFormatting>
  <conditionalFormatting sqref="L15">
    <cfRule type="cellIs" dxfId="461" priority="62" operator="equal">
      <formula>"CUMPLE"</formula>
    </cfRule>
    <cfRule type="cellIs" dxfId="460" priority="63" operator="equal">
      <formula>"NO CUMPLE"</formula>
    </cfRule>
    <cfRule type="cellIs" dxfId="459" priority="64" operator="equal">
      <formula>"""CUMPLE"""</formula>
    </cfRule>
  </conditionalFormatting>
  <dataValidations count="3">
    <dataValidation type="list" allowBlank="1" showInputMessage="1" showErrorMessage="1" sqref="D67:I67" xr:uid="{C8DEB32D-F537-44A1-8A4E-BB1D7191CB21}">
      <formula1>"CUMPLE,NO CUMPLE"</formula1>
    </dataValidation>
    <dataValidation type="list" allowBlank="1" showInputMessage="1" showErrorMessage="1" sqref="D24:J26" xr:uid="{0586F781-7BC8-4C0F-BF54-1A1C07107D76}">
      <formula1>$C$15:$C$19</formula1>
    </dataValidation>
    <dataValidation type="list" allowBlank="1" showInputMessage="1" showErrorMessage="1" sqref="L58:L66" xr:uid="{656C501B-2B62-4F23-A808-1AD35CB4B6F4}">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991904CE-727E-42FB-993E-78F8C7198D5A}">
          <x14:formula1>
            <xm:f>'DATOS INICIALES'!$A$13:$A$44</xm:f>
          </x14:formula1>
          <xm:sqref>G31:I31</xm:sqref>
        </x14:dataValidation>
        <x14:dataValidation type="list" allowBlank="1" showInputMessage="1" showErrorMessage="1" xr:uid="{C5D7FAC8-74CB-4982-B3C3-0B8A4E68258F}">
          <x14:formula1>
            <xm:f>'DATOS INICIALES'!$D$22:$D$26</xm:f>
          </x14:formula1>
          <xm:sqref>M47:M55</xm:sqref>
        </x14:dataValidation>
        <x14:dataValidation type="list" allowBlank="1" showInputMessage="1" showErrorMessage="1" xr:uid="{287888D4-47AE-45B0-ACE9-2E8139EFC1E9}">
          <x14:formula1>
            <xm:f>'DATOS INICIALES'!$A$57:$A$62</xm:f>
          </x14:formula1>
          <xm:sqref>D23:I23</xm:sqref>
        </x14:dataValidation>
        <x14:dataValidation type="list" allowBlank="1" showInputMessage="1" showErrorMessage="1" xr:uid="{F0F08500-EB26-4652-B6C4-E956C7076C60}">
          <x14:formula1>
            <xm:f>'DATOS INICIALES'!$A$53:$A$55</xm:f>
          </x14:formula1>
          <xm:sqref>G59:J65 G46:J46 J56:J57 G56:I58</xm:sqref>
        </x14:dataValidation>
        <x14:dataValidation type="list" allowBlank="1" showInputMessage="1" showErrorMessage="1" xr:uid="{C36DA87A-D174-4CEB-B469-58D0220C7B9B}">
          <x14:formula1>
            <xm:f>'DATOS INICIALES'!$C$48:$C$49</xm:f>
          </x14:formula1>
          <xm:sqref>J47:J52 G47:I54</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F25FF-71C4-4D68-AA3F-0A08E10BAEDB}">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D46" sqref="D46:F67"/>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+PROPONENTES!B33</f>
        <v>CONSORCIO ZONA 1</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INGEVOLCO SAS</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29094.529750000002</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3</v>
      </c>
      <c r="J15" s="264">
        <f>IF(AND(I15&gt;=1,I15&lt;=2),L8,IF(AND(I15&gt;=3,I15&lt;=4),L9,IF(AND(I15&gt;=5,I15&lt;=7),L10)))</f>
        <v>18919.917519692306</v>
      </c>
      <c r="K15" s="264">
        <f>+E20</f>
        <v>36744.529750000002</v>
      </c>
      <c r="L15" s="265" t="str">
        <f>IF(K15&gt;=J15,"CUMPLE","NO CUMPLE")</f>
        <v>CUMPLE</v>
      </c>
    </row>
    <row r="16" spans="2:12" ht="33.75" customHeight="1" x14ac:dyDescent="0.2">
      <c r="B16" s="273"/>
      <c r="C16" s="100" t="str">
        <f>IF(VLOOKUP(C11,PROPONENTES!B10:N44,4,FALSE)=0,"",VLOOKUP(C11,PROPONENTES!B10:N44,4,FALSE))</f>
        <v xml:space="preserve">INVERSIONES HINDEL SAS </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7650</v>
      </c>
      <c r="F16" s="103" t="str">
        <f t="shared" si="1"/>
        <v>NO</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36744.529750000002</v>
      </c>
      <c r="J19" s="355">
        <f>IF(I15="","",VLOOKUP(I15,$D$76:$E$82,2,FALSE))</f>
        <v>18919.917519692306</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36744.529750000002</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282</v>
      </c>
      <c r="E24" s="91" t="s">
        <v>282</v>
      </c>
      <c r="F24" s="91" t="s">
        <v>282</v>
      </c>
      <c r="G24" s="91"/>
      <c r="H24" s="91"/>
      <c r="I24" s="91"/>
      <c r="J24" s="91"/>
      <c r="K24" s="247"/>
      <c r="L24" s="248"/>
    </row>
    <row r="25" spans="2:14" ht="39.75" customHeight="1" x14ac:dyDescent="0.2">
      <c r="B25" s="259" t="s">
        <v>116</v>
      </c>
      <c r="C25" s="260"/>
      <c r="D25" s="91"/>
      <c r="E25" s="91"/>
      <c r="F25" s="91" t="s">
        <v>283</v>
      </c>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611</v>
      </c>
      <c r="E27" s="92" t="s">
        <v>612</v>
      </c>
      <c r="F27" s="92" t="s">
        <v>613</v>
      </c>
      <c r="G27" s="92"/>
      <c r="H27" s="92"/>
      <c r="I27" s="92"/>
      <c r="J27" s="92"/>
      <c r="K27" s="247"/>
      <c r="L27" s="248"/>
    </row>
    <row r="28" spans="2:14" ht="156.75" customHeight="1" x14ac:dyDescent="0.2">
      <c r="B28" s="277"/>
      <c r="C28" s="26" t="s">
        <v>36</v>
      </c>
      <c r="D28" s="92" t="s">
        <v>614</v>
      </c>
      <c r="E28" s="92" t="s">
        <v>615</v>
      </c>
      <c r="F28" s="92" t="s">
        <v>616</v>
      </c>
      <c r="G28" s="92"/>
      <c r="H28" s="92"/>
      <c r="I28" s="92"/>
      <c r="J28" s="92"/>
      <c r="K28" s="247"/>
      <c r="L28" s="248"/>
    </row>
    <row r="29" spans="2:14" ht="52.5" customHeight="1" x14ac:dyDescent="0.2">
      <c r="B29" s="277"/>
      <c r="C29" s="26" t="s">
        <v>172</v>
      </c>
      <c r="D29" s="96">
        <v>43445</v>
      </c>
      <c r="E29" s="96">
        <v>43510</v>
      </c>
      <c r="F29" s="96">
        <v>43868</v>
      </c>
      <c r="G29" s="96"/>
      <c r="H29" s="96"/>
      <c r="I29" s="96"/>
      <c r="J29" s="96"/>
      <c r="K29" s="247"/>
      <c r="L29" s="248"/>
    </row>
    <row r="30" spans="2:14" ht="54.75" customHeight="1" x14ac:dyDescent="0.2">
      <c r="B30" s="277"/>
      <c r="C30" s="26" t="s">
        <v>40</v>
      </c>
      <c r="D30" s="96">
        <v>44223</v>
      </c>
      <c r="E30" s="96">
        <v>43812</v>
      </c>
      <c r="F30" s="96">
        <v>44574</v>
      </c>
      <c r="G30" s="96"/>
      <c r="H30" s="96"/>
      <c r="I30" s="96"/>
      <c r="J30" s="96"/>
      <c r="K30" s="247"/>
      <c r="L30" s="248"/>
    </row>
    <row r="31" spans="2:14" ht="41.25" customHeight="1" x14ac:dyDescent="0.2">
      <c r="B31" s="277"/>
      <c r="C31" s="26" t="s">
        <v>37</v>
      </c>
      <c r="D31" s="93">
        <v>2021</v>
      </c>
      <c r="E31" s="93">
        <v>2021</v>
      </c>
      <c r="F31" s="93">
        <v>2022</v>
      </c>
      <c r="G31" s="93"/>
      <c r="H31" s="93"/>
      <c r="I31" s="93"/>
      <c r="J31" s="93"/>
      <c r="K31" s="247"/>
      <c r="L31" s="248"/>
    </row>
    <row r="32" spans="2:14" ht="63" customHeight="1" x14ac:dyDescent="0.2">
      <c r="B32" s="277"/>
      <c r="C32" s="26" t="s">
        <v>38</v>
      </c>
      <c r="D32" s="92" t="s">
        <v>617</v>
      </c>
      <c r="E32" s="92" t="s">
        <v>618</v>
      </c>
      <c r="F32" s="92" t="s">
        <v>619</v>
      </c>
      <c r="G32" s="92"/>
      <c r="H32" s="92"/>
      <c r="I32" s="92"/>
      <c r="J32" s="92"/>
      <c r="K32" s="247"/>
      <c r="L32" s="248"/>
    </row>
    <row r="33" spans="2:12" ht="46.5" customHeight="1" x14ac:dyDescent="0.2">
      <c r="B33" s="277"/>
      <c r="C33" s="26" t="s">
        <v>39</v>
      </c>
      <c r="D33" s="92" t="s">
        <v>620</v>
      </c>
      <c r="E33" s="92" t="s">
        <v>621</v>
      </c>
      <c r="F33" s="92" t="s">
        <v>622</v>
      </c>
      <c r="G33" s="92"/>
      <c r="H33" s="92"/>
      <c r="I33" s="92"/>
      <c r="J33" s="92"/>
      <c r="K33" s="247"/>
      <c r="L33" s="248"/>
    </row>
    <row r="34" spans="2:12" ht="27.75" customHeight="1" x14ac:dyDescent="0.2">
      <c r="B34" s="277"/>
      <c r="C34" s="28" t="s">
        <v>33</v>
      </c>
      <c r="D34" s="97">
        <v>16</v>
      </c>
      <c r="E34" s="97">
        <v>14</v>
      </c>
      <c r="F34" s="97">
        <v>17</v>
      </c>
      <c r="G34" s="98"/>
      <c r="H34" s="98"/>
      <c r="I34" s="98"/>
      <c r="J34" s="98"/>
      <c r="K34" s="247"/>
      <c r="L34" s="248"/>
    </row>
    <row r="35" spans="2:12" ht="102.75" customHeight="1" x14ac:dyDescent="0.2">
      <c r="B35" s="277"/>
      <c r="C35" s="26" t="s">
        <v>118</v>
      </c>
      <c r="D35" s="94">
        <v>36995.25</v>
      </c>
      <c r="E35" s="94">
        <v>7459.75</v>
      </c>
      <c r="F35" s="94">
        <v>15300</v>
      </c>
      <c r="G35" s="94"/>
      <c r="H35" s="94"/>
      <c r="I35" s="94"/>
      <c r="J35" s="94"/>
      <c r="K35" s="279"/>
      <c r="L35" s="280"/>
    </row>
    <row r="36" spans="2:12" ht="48" customHeight="1" x14ac:dyDescent="0.2">
      <c r="B36" s="277"/>
      <c r="C36" s="26" t="s">
        <v>74</v>
      </c>
      <c r="D36" s="105">
        <f>IFERROR(D35*VLOOKUP(D31,'DATOS INICIALES'!$A$12:$B$44,2,0),"0")</f>
        <v>33611146501.5</v>
      </c>
      <c r="E36" s="105">
        <f>IFERROR(E35*VLOOKUP(E31,'DATOS INICIALES'!$A$12:$B$44,2,0),"0")</f>
        <v>6777376828.5</v>
      </c>
      <c r="F36" s="105">
        <f>IFERROR(F35*VLOOKUP(F31,'DATOS INICIALES'!$A$12:$B$44,2,0),"0")</f>
        <v>15300000000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0.499</v>
      </c>
      <c r="E37" s="95">
        <v>0.4</v>
      </c>
      <c r="F37" s="95">
        <v>0.5</v>
      </c>
      <c r="G37" s="95"/>
      <c r="H37" s="95"/>
      <c r="I37" s="95"/>
      <c r="J37" s="95"/>
      <c r="K37" s="247"/>
      <c r="L37" s="248"/>
    </row>
    <row r="38" spans="2:12" ht="48.75" customHeight="1" x14ac:dyDescent="0.2">
      <c r="B38" s="277"/>
      <c r="C38" s="26" t="s">
        <v>125</v>
      </c>
      <c r="D38" s="105">
        <f t="shared" ref="D38:J38" si="3">IF(D24="","0",D37*D36)</f>
        <v>16771962104.248501</v>
      </c>
      <c r="E38" s="105">
        <f t="shared" si="3"/>
        <v>2710950731.4000001</v>
      </c>
      <c r="F38" s="105">
        <f t="shared" si="3"/>
        <v>7650000000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18460.62975</v>
      </c>
      <c r="E39" s="106">
        <f t="shared" si="4"/>
        <v>2983.9</v>
      </c>
      <c r="F39" s="106">
        <f t="shared" si="4"/>
        <v>7650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v>0.5</v>
      </c>
      <c r="G40" s="95"/>
      <c r="H40" s="95"/>
      <c r="I40" s="95"/>
      <c r="J40" s="95"/>
      <c r="K40" s="247"/>
      <c r="L40" s="248"/>
    </row>
    <row r="41" spans="2:12" ht="65.25" customHeight="1" x14ac:dyDescent="0.2">
      <c r="B41" s="277"/>
      <c r="C41" s="26" t="s">
        <v>126</v>
      </c>
      <c r="D41" s="107" t="str">
        <f t="shared" ref="D41:J41" si="5">IF(D25="","0",D40*D36)</f>
        <v>0</v>
      </c>
      <c r="E41" s="107" t="str">
        <f t="shared" si="5"/>
        <v>0</v>
      </c>
      <c r="F41" s="107">
        <f t="shared" si="5"/>
        <v>7650000000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7650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c r="H46" s="91"/>
      <c r="I46" s="91"/>
      <c r="J46" s="91"/>
      <c r="K46" s="247"/>
      <c r="L46" s="248"/>
    </row>
    <row r="47" spans="2:12" ht="24.75" customHeight="1" x14ac:dyDescent="0.2">
      <c r="B47" s="284" t="s">
        <v>34</v>
      </c>
      <c r="C47" s="29">
        <f>+'DATOS INICIALES'!D22</f>
        <v>721033</v>
      </c>
      <c r="D47" s="97" t="s">
        <v>77</v>
      </c>
      <c r="E47" s="97" t="s">
        <v>77</v>
      </c>
      <c r="F47" s="97" t="s">
        <v>77</v>
      </c>
      <c r="G47" s="97"/>
      <c r="H47" s="97"/>
      <c r="I47" s="97"/>
      <c r="J47" s="98"/>
      <c r="K47" s="247"/>
      <c r="L47" s="248"/>
    </row>
    <row r="48" spans="2:12" ht="24.75" customHeight="1" x14ac:dyDescent="0.2">
      <c r="B48" s="285"/>
      <c r="C48" s="29">
        <f>+'DATOS INICIALES'!D23</f>
        <v>721410</v>
      </c>
      <c r="D48" s="97" t="s">
        <v>77</v>
      </c>
      <c r="E48" s="97" t="s">
        <v>77</v>
      </c>
      <c r="F48" s="97" t="s">
        <v>77</v>
      </c>
      <c r="G48" s="97"/>
      <c r="H48" s="97"/>
      <c r="I48" s="97"/>
      <c r="J48" s="98"/>
      <c r="K48" s="247"/>
      <c r="L48" s="248"/>
    </row>
    <row r="49" spans="2:12" ht="24.75" customHeight="1" x14ac:dyDescent="0.2">
      <c r="B49" s="285"/>
      <c r="C49" s="29">
        <f>+'DATOS INICIALES'!D24</f>
        <v>721411</v>
      </c>
      <c r="D49" s="97" t="s">
        <v>77</v>
      </c>
      <c r="E49" s="97" t="s">
        <v>77</v>
      </c>
      <c r="F49" s="97" t="s">
        <v>77</v>
      </c>
      <c r="G49" s="97"/>
      <c r="H49" s="97"/>
      <c r="I49" s="97"/>
      <c r="J49" s="98"/>
      <c r="K49" s="247"/>
      <c r="L49" s="248"/>
    </row>
    <row r="50" spans="2:12" ht="24.75" customHeight="1" x14ac:dyDescent="0.2">
      <c r="B50" s="285"/>
      <c r="C50" s="29">
        <f>+'DATOS INICIALES'!D25</f>
        <v>721416</v>
      </c>
      <c r="D50" s="97" t="s">
        <v>75</v>
      </c>
      <c r="E50" s="97" t="s">
        <v>75</v>
      </c>
      <c r="F50" s="97" t="s">
        <v>75</v>
      </c>
      <c r="G50" s="97"/>
      <c r="H50" s="97"/>
      <c r="I50" s="97"/>
      <c r="J50" s="98"/>
      <c r="K50" s="247"/>
      <c r="L50" s="248"/>
    </row>
    <row r="51" spans="2:12" ht="24.75" customHeight="1" x14ac:dyDescent="0.2">
      <c r="B51" s="285"/>
      <c r="C51" s="29">
        <f>+'DATOS INICIALES'!D26</f>
        <v>721527</v>
      </c>
      <c r="D51" s="97" t="s">
        <v>77</v>
      </c>
      <c r="E51" s="97" t="s">
        <v>77</v>
      </c>
      <c r="F51" s="97" t="s">
        <v>77</v>
      </c>
      <c r="G51" s="97"/>
      <c r="H51" s="97"/>
      <c r="I51" s="97"/>
      <c r="J51" s="98"/>
      <c r="K51" s="247"/>
      <c r="L51" s="248"/>
    </row>
    <row r="52" spans="2:12" ht="24.75" customHeight="1" x14ac:dyDescent="0.2">
      <c r="B52" s="285"/>
      <c r="C52" s="29">
        <f>+'DATOS INICIALES'!D27</f>
        <v>721539</v>
      </c>
      <c r="D52" s="97" t="s">
        <v>77</v>
      </c>
      <c r="E52" s="97" t="s">
        <v>77</v>
      </c>
      <c r="F52" s="97" t="s">
        <v>77</v>
      </c>
      <c r="G52" s="97"/>
      <c r="H52" s="97"/>
      <c r="I52" s="97"/>
      <c r="J52" s="98"/>
      <c r="K52" s="247"/>
      <c r="L52" s="248"/>
    </row>
    <row r="53" spans="2:12" ht="24.75" customHeight="1" x14ac:dyDescent="0.2">
      <c r="B53" s="285"/>
      <c r="C53" s="29">
        <f>+'DATOS INICIALES'!D28</f>
        <v>951115</v>
      </c>
      <c r="D53" s="97" t="s">
        <v>75</v>
      </c>
      <c r="E53" s="97" t="s">
        <v>77</v>
      </c>
      <c r="F53" s="97" t="s">
        <v>77</v>
      </c>
      <c r="G53" s="97"/>
      <c r="H53" s="97"/>
      <c r="I53" s="97"/>
      <c r="J53" s="97"/>
      <c r="K53" s="247"/>
      <c r="L53" s="248"/>
    </row>
    <row r="54" spans="2:12" ht="24.75" customHeight="1" x14ac:dyDescent="0.2">
      <c r="B54" s="285"/>
      <c r="C54" s="29">
        <f>+'DATOS INICIALES'!D29</f>
        <v>721033</v>
      </c>
      <c r="D54" s="97" t="s">
        <v>77</v>
      </c>
      <c r="E54" s="97" t="s">
        <v>77</v>
      </c>
      <c r="F54" s="97" t="s">
        <v>77</v>
      </c>
      <c r="G54" s="97"/>
      <c r="H54" s="97"/>
      <c r="I54" s="97"/>
      <c r="J54" s="97"/>
      <c r="K54" s="247"/>
      <c r="L54" s="248"/>
    </row>
    <row r="55" spans="2:12" ht="60.75" customHeight="1" x14ac:dyDescent="0.2">
      <c r="B55" s="286"/>
      <c r="C55" s="18" t="s">
        <v>57</v>
      </c>
      <c r="D55" s="18" t="str">
        <f t="shared" ref="D55:E55" si="9">IF(D24="","N/A",IF(D47="SI","CUMPLE",IF(D48="SI","CUMPLE",IF(D49="SI","CUMPLE",IF(D50="SI","CUMPLE",IF(D51="SI","CUMPLE",IF(D52="SI","CUMPLE",IF(D54="SI","CUMPLE","NO CUMPLE"))))))))</f>
        <v>CUMPLE</v>
      </c>
      <c r="E55" s="18" t="str">
        <f t="shared" si="9"/>
        <v>CUMPLE</v>
      </c>
      <c r="F55" s="18" t="str">
        <f>IF(F24="","N/A",IF(F47="SI","CUMPLE",IF(F48="SI","CUMPLE",IF(F49="SI","CUMPLE",IF(F50="SI","CUMPLE",IF(F51="SI","CUMPLE",IF(F52="SI","CUMPLE",IF(F54="SI","CUMPLE","NO CUMPLE"))))))))</f>
        <v>CUMPLE</v>
      </c>
      <c r="G55" s="18" t="str">
        <f t="shared" ref="G55:J55" si="10">IF(G24="","N/A",IF(G47="SI","CUMPLE",IF(G48="SI","CUMPLE",IF(G49="SI","CUMPLE",IF(G50="SI","CUMPLE",IF(G51="SI","CUMPLE",IF(G52="SI","CUMPLE",IF(G54="SI","CUMPLE","NO CUMPLE"))))))))</f>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t="s">
        <v>13</v>
      </c>
      <c r="G56" s="91"/>
      <c r="H56" s="91"/>
      <c r="I56" s="91"/>
      <c r="J56" s="91"/>
      <c r="K56" s="257"/>
      <c r="L56" s="258"/>
    </row>
    <row r="57" spans="2:12" ht="103.25" customHeight="1" x14ac:dyDescent="0.2">
      <c r="B57" s="287" t="s">
        <v>190</v>
      </c>
      <c r="C57" s="288"/>
      <c r="D57" s="91" t="s">
        <v>13</v>
      </c>
      <c r="E57" s="91" t="s">
        <v>13</v>
      </c>
      <c r="F57" s="91" t="s">
        <v>13</v>
      </c>
      <c r="G57" s="91"/>
      <c r="H57" s="91"/>
      <c r="I57" s="91"/>
      <c r="J57" s="91"/>
      <c r="K57" s="257"/>
      <c r="L57" s="258"/>
    </row>
    <row r="58" spans="2:12" ht="72" customHeight="1" x14ac:dyDescent="0.2">
      <c r="B58" s="281" t="s">
        <v>191</v>
      </c>
      <c r="C58" s="282"/>
      <c r="D58" s="91" t="s">
        <v>13</v>
      </c>
      <c r="E58" s="91" t="s">
        <v>13</v>
      </c>
      <c r="F58" s="91" t="s">
        <v>13</v>
      </c>
      <c r="G58" s="91"/>
      <c r="H58" s="91"/>
      <c r="I58" s="91"/>
      <c r="J58" s="91"/>
      <c r="K58" s="247"/>
      <c r="L58" s="248"/>
    </row>
    <row r="59" spans="2:12" ht="42.5" customHeight="1" x14ac:dyDescent="0.2">
      <c r="B59" s="281" t="s">
        <v>192</v>
      </c>
      <c r="C59" s="282"/>
      <c r="D59" s="91" t="s">
        <v>13</v>
      </c>
      <c r="E59" s="91" t="s">
        <v>13</v>
      </c>
      <c r="F59" s="91" t="s">
        <v>13</v>
      </c>
      <c r="G59" s="91"/>
      <c r="H59" s="91"/>
      <c r="I59" s="91"/>
      <c r="J59" s="91"/>
      <c r="K59" s="247"/>
      <c r="L59" s="248"/>
    </row>
    <row r="60" spans="2:12" ht="36" customHeight="1" x14ac:dyDescent="0.2">
      <c r="B60" s="281" t="s">
        <v>193</v>
      </c>
      <c r="C60" s="282"/>
      <c r="D60" s="91" t="s">
        <v>13</v>
      </c>
      <c r="E60" s="91" t="s">
        <v>13</v>
      </c>
      <c r="F60" s="91" t="s">
        <v>13</v>
      </c>
      <c r="G60" s="91"/>
      <c r="H60" s="91"/>
      <c r="I60" s="91"/>
      <c r="J60" s="91"/>
      <c r="K60" s="247"/>
      <c r="L60" s="248"/>
    </row>
    <row r="61" spans="2:12" ht="160.75" customHeight="1" x14ac:dyDescent="0.2">
      <c r="B61" s="281" t="s">
        <v>194</v>
      </c>
      <c r="C61" s="282"/>
      <c r="D61" s="91" t="s">
        <v>13</v>
      </c>
      <c r="E61" s="91" t="s">
        <v>13</v>
      </c>
      <c r="F61" s="91" t="s">
        <v>13</v>
      </c>
      <c r="G61" s="91"/>
      <c r="H61" s="91"/>
      <c r="I61" s="91"/>
      <c r="J61" s="91"/>
      <c r="K61" s="247"/>
      <c r="L61" s="248"/>
    </row>
    <row r="62" spans="2:12" ht="409.25" customHeight="1" x14ac:dyDescent="0.2">
      <c r="B62" s="261" t="s">
        <v>195</v>
      </c>
      <c r="C62" s="261"/>
      <c r="D62" s="91" t="s">
        <v>13</v>
      </c>
      <c r="E62" s="91" t="s">
        <v>13</v>
      </c>
      <c r="F62" s="91" t="s">
        <v>13</v>
      </c>
      <c r="G62" s="91"/>
      <c r="H62" s="91"/>
      <c r="I62" s="91"/>
      <c r="J62" s="91"/>
      <c r="K62" s="279"/>
      <c r="L62" s="280"/>
    </row>
    <row r="63" spans="2:12" ht="301.75" customHeight="1" x14ac:dyDescent="0.2">
      <c r="B63" s="262" t="s">
        <v>196</v>
      </c>
      <c r="C63" s="263"/>
      <c r="D63" s="91" t="s">
        <v>13</v>
      </c>
      <c r="E63" s="91" t="s">
        <v>13</v>
      </c>
      <c r="F63" s="91" t="s">
        <v>13</v>
      </c>
      <c r="G63" s="91"/>
      <c r="H63" s="91"/>
      <c r="I63" s="91"/>
      <c r="J63" s="91"/>
      <c r="K63" s="247"/>
      <c r="L63" s="248"/>
    </row>
    <row r="64" spans="2:12" ht="253.75" customHeight="1" x14ac:dyDescent="0.2">
      <c r="B64" s="283" t="s">
        <v>197</v>
      </c>
      <c r="C64" s="283"/>
      <c r="D64" s="91" t="s">
        <v>13</v>
      </c>
      <c r="E64" s="91" t="s">
        <v>13</v>
      </c>
      <c r="F64" s="91" t="s">
        <v>13</v>
      </c>
      <c r="G64" s="91"/>
      <c r="H64" s="91"/>
      <c r="I64" s="91"/>
      <c r="J64" s="91"/>
      <c r="K64" s="247"/>
      <c r="L64" s="248"/>
    </row>
    <row r="65" spans="2:12" ht="243.5" customHeight="1" x14ac:dyDescent="0.2">
      <c r="B65" s="261" t="s">
        <v>198</v>
      </c>
      <c r="C65" s="261"/>
      <c r="D65" s="91" t="s">
        <v>13</v>
      </c>
      <c r="E65" s="91" t="s">
        <v>13</v>
      </c>
      <c r="F65" s="91" t="s">
        <v>13</v>
      </c>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 si="11">IF(F24="","N/A",IF(AND(F46="CUMPLE",F55="CUMPLE",F56="CUMPLE",F57="CUMPLE",F58="CUMPLE",F59="CUMPLE",OR(F61="CUMPLE",F61="N/A"),F62="CUMPLE",OR(F63="CUMPLE",F63="N/A"),F65="CUMPLE",OR(F64="CUMPLE",F64="N/A")),"CUMPLE","NO CUMPLE"))</f>
        <v>CUMPLE</v>
      </c>
      <c r="G66" s="18" t="str">
        <f t="shared" ref="G66:J66" si="12">IF(G24="","N/A",IF(AND(G46="CUMPLE",G55="CUMPLE",G56="CUMPLE",G57="CUMPLE",G58="CUMPLE",G59="CUMPLE",OR(G61="CUMPLE",G61="N/A"),G62="CUMPLE",OR(G63="CUMPLE",G63="N/A"),G65="CUMPLE",OR(G64="CUMPLE",G64="N/A")),"CUMPLE","NO CUMPLE"))</f>
        <v>N/A</v>
      </c>
      <c r="H66" s="18" t="str">
        <f t="shared" si="12"/>
        <v>N/A</v>
      </c>
      <c r="I66" s="18" t="str">
        <f t="shared" si="12"/>
        <v>N/A</v>
      </c>
      <c r="J66" s="18" t="str">
        <f t="shared" si="12"/>
        <v>N/A</v>
      </c>
      <c r="K66" s="147"/>
      <c r="L66" s="148"/>
    </row>
    <row r="67" spans="2:12" ht="54.5" customHeight="1" x14ac:dyDescent="0.2">
      <c r="B67" s="261" t="s">
        <v>188</v>
      </c>
      <c r="C67" s="261"/>
      <c r="D67" s="91" t="s">
        <v>13</v>
      </c>
      <c r="E67" s="91" t="s">
        <v>13</v>
      </c>
      <c r="F67" s="91" t="s">
        <v>13</v>
      </c>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458" priority="25">
      <formula>LEN(TRIM(D25))=0</formula>
    </cfRule>
    <cfRule type="notContainsErrors" dxfId="457" priority="26">
      <formula>NOT(ISERROR(D25))</formula>
    </cfRule>
  </conditionalFormatting>
  <conditionalFormatting sqref="D34:J34 D24:K24">
    <cfRule type="containsBlanks" dxfId="456" priority="27">
      <formula>LEN(TRIM(D24))=0</formula>
    </cfRule>
  </conditionalFormatting>
  <conditionalFormatting sqref="D37:J37">
    <cfRule type="notContainsErrors" dxfId="455" priority="24">
      <formula>NOT(ISERROR(D37))</formula>
    </cfRule>
    <cfRule type="containsBlanks" dxfId="454" priority="23">
      <formula>LEN(TRIM(D37))=0</formula>
    </cfRule>
  </conditionalFormatting>
  <conditionalFormatting sqref="D40:J40">
    <cfRule type="notContainsErrors" dxfId="453" priority="22">
      <formula>NOT(ISERROR(D40))</formula>
    </cfRule>
    <cfRule type="containsBlanks" dxfId="452" priority="21">
      <formula>LEN(TRIM(D40))=0</formula>
    </cfRule>
  </conditionalFormatting>
  <conditionalFormatting sqref="D43:J43 K66:L66">
    <cfRule type="notContainsErrors" dxfId="451" priority="52">
      <formula>NOT(ISERROR(D43))</formula>
    </cfRule>
    <cfRule type="containsBlanks" dxfId="450" priority="51">
      <formula>LEN(TRIM(D43))=0</formula>
    </cfRule>
  </conditionalFormatting>
  <conditionalFormatting sqref="D46:J54">
    <cfRule type="cellIs" dxfId="449" priority="9" operator="equal">
      <formula>"NO CUMPLE"</formula>
    </cfRule>
    <cfRule type="cellIs" dxfId="448" priority="10" operator="equal">
      <formula>"CUMPLE"</formula>
    </cfRule>
    <cfRule type="containsBlanks" dxfId="447" priority="11">
      <formula>LEN(TRIM(D46))=0</formula>
    </cfRule>
    <cfRule type="notContainsErrors" dxfId="446" priority="12">
      <formula>NOT(ISERROR(D46))</formula>
    </cfRule>
  </conditionalFormatting>
  <conditionalFormatting sqref="D55:J55">
    <cfRule type="cellIs" dxfId="445" priority="20" operator="equal">
      <formula>"""CUMPLE"""</formula>
    </cfRule>
    <cfRule type="cellIs" dxfId="444" priority="17" operator="equal">
      <formula>"N/A"</formula>
    </cfRule>
    <cfRule type="cellIs" dxfId="443" priority="18" operator="equal">
      <formula>"CUMPLE"</formula>
    </cfRule>
    <cfRule type="cellIs" dxfId="442" priority="19" operator="equal">
      <formula>"NO CUMPLE"</formula>
    </cfRule>
  </conditionalFormatting>
  <conditionalFormatting sqref="D56:J65">
    <cfRule type="cellIs" dxfId="441" priority="6" operator="equal">
      <formula>"CUMPLE"</formula>
    </cfRule>
    <cfRule type="notContainsErrors" dxfId="440" priority="8">
      <formula>NOT(ISERROR(D56))</formula>
    </cfRule>
    <cfRule type="containsBlanks" dxfId="439" priority="7">
      <formula>LEN(TRIM(D56))=0</formula>
    </cfRule>
    <cfRule type="cellIs" dxfId="438" priority="5" operator="equal">
      <formula>"NO CUMPLE"</formula>
    </cfRule>
  </conditionalFormatting>
  <conditionalFormatting sqref="D66:J66">
    <cfRule type="cellIs" dxfId="437" priority="16" operator="equal">
      <formula>"""CUMPLE"""</formula>
    </cfRule>
    <cfRule type="cellIs" dxfId="436" priority="15" operator="equal">
      <formula>"NO CUMPLE"</formula>
    </cfRule>
    <cfRule type="cellIs" dxfId="435" priority="14" operator="equal">
      <formula>"CUMPLE"</formula>
    </cfRule>
    <cfRule type="cellIs" dxfId="434" priority="13" operator="equal">
      <formula>"N/A"</formula>
    </cfRule>
  </conditionalFormatting>
  <conditionalFormatting sqref="D67:J67">
    <cfRule type="cellIs" dxfId="433" priority="1" operator="equal">
      <formula>"NO CUMPLE"</formula>
    </cfRule>
    <cfRule type="cellIs" dxfId="432" priority="2" operator="equal">
      <formula>"CUMPLE"</formula>
    </cfRule>
  </conditionalFormatting>
  <conditionalFormatting sqref="D24:K24 D34:J34">
    <cfRule type="notContainsErrors" dxfId="431" priority="28">
      <formula>NOT(ISERROR(D24))</formula>
    </cfRule>
  </conditionalFormatting>
  <conditionalFormatting sqref="D67:K67">
    <cfRule type="notContainsErrors" dxfId="430" priority="4">
      <formula>NOT(ISERROR(D67))</formula>
    </cfRule>
    <cfRule type="containsBlanks" dxfId="429" priority="3">
      <formula>LEN(TRIM(D67))=0</formula>
    </cfRule>
  </conditionalFormatting>
  <conditionalFormatting sqref="F20:H20">
    <cfRule type="cellIs" dxfId="428" priority="67" operator="equal">
      <formula>"CUMPLE"</formula>
    </cfRule>
    <cfRule type="cellIs" dxfId="427" priority="68" operator="equal">
      <formula>"NO CUMPLE"</formula>
    </cfRule>
    <cfRule type="cellIs" dxfId="426" priority="69" operator="equal">
      <formula>"""CUMPLE"""</formula>
    </cfRule>
  </conditionalFormatting>
  <conditionalFormatting sqref="I11">
    <cfRule type="containsText" dxfId="425" priority="70" operator="containsText" text="INHABILITADO">
      <formula>NOT(ISERROR(SEARCH("INHABILITADO",I11)))</formula>
    </cfRule>
    <cfRule type="containsText" dxfId="424" priority="71" operator="containsText" text="HABILITADO">
      <formula>NOT(ISERROR(SEARCH("HABILITADO",I11)))</formula>
    </cfRule>
    <cfRule type="containsText" dxfId="423" priority="72" operator="containsText" text="HABILITADO">
      <formula>NOT(ISERROR(SEARCH("HABILITADO",I11)))</formula>
    </cfRule>
    <cfRule type="containsText" dxfId="422" priority="73" operator="containsText" text="NO CUMPLE">
      <formula>NOT(ISERROR(SEARCH("NO CUMPLE",I11)))</formula>
    </cfRule>
  </conditionalFormatting>
  <conditionalFormatting sqref="K19">
    <cfRule type="cellIs" dxfId="421" priority="58" operator="equal">
      <formula>"CUMPLE"</formula>
    </cfRule>
    <cfRule type="cellIs" dxfId="420" priority="59" operator="equal">
      <formula>"NO CUMPLE"</formula>
    </cfRule>
    <cfRule type="cellIs" dxfId="419" priority="60" operator="equal">
      <formula>"""CUMPLE"""</formula>
    </cfRule>
  </conditionalFormatting>
  <conditionalFormatting sqref="K25:K65">
    <cfRule type="containsBlanks" dxfId="418" priority="49">
      <formula>LEN(TRIM(K25))=0</formula>
    </cfRule>
    <cfRule type="notContainsErrors" dxfId="417" priority="50">
      <formula>NOT(ISERROR(K25))</formula>
    </cfRule>
  </conditionalFormatting>
  <conditionalFormatting sqref="L15">
    <cfRule type="cellIs" dxfId="416" priority="64" operator="equal">
      <formula>"CUMPLE"</formula>
    </cfRule>
    <cfRule type="cellIs" dxfId="415" priority="65" operator="equal">
      <formula>"NO CUMPLE"</formula>
    </cfRule>
    <cfRule type="cellIs" dxfId="414" priority="66" operator="equal">
      <formula>"""CUMPLE"""</formula>
    </cfRule>
  </conditionalFormatting>
  <dataValidations count="3">
    <dataValidation type="list" allowBlank="1" showInputMessage="1" showErrorMessage="1" sqref="L58:L66" xr:uid="{650100E2-9288-4A42-A810-C21DF40D2C74}">
      <formula1>"0,1,2,3,4,5,6"</formula1>
    </dataValidation>
    <dataValidation type="list" allowBlank="1" showInputMessage="1" showErrorMessage="1" sqref="D24:J26" xr:uid="{CA9302BA-4AB7-4358-8ECB-478E49DD2E35}">
      <formula1>$C$15:$C$19</formula1>
    </dataValidation>
    <dataValidation type="list" allowBlank="1" showInputMessage="1" showErrorMessage="1" sqref="D67:I67" xr:uid="{5B1AA5B8-0715-4C1A-859A-F241DC22C1C8}">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42CE3476-3F39-4526-9CA3-E70D116330DD}">
          <x14:formula1>
            <xm:f>'DATOS INICIALES'!$C$48:$C$49</xm:f>
          </x14:formula1>
          <xm:sqref>J47:J52 G47:I54</xm:sqref>
        </x14:dataValidation>
        <x14:dataValidation type="list" allowBlank="1" showInputMessage="1" showErrorMessage="1" xr:uid="{6DD5288B-3EA3-4F84-AFFF-12DE22B80B8B}">
          <x14:formula1>
            <xm:f>'DATOS INICIALES'!$A$53:$A$55</xm:f>
          </x14:formula1>
          <xm:sqref>G59:J65 G46:J46 J56:J57 G56:I58</xm:sqref>
        </x14:dataValidation>
        <x14:dataValidation type="list" allowBlank="1" showInputMessage="1" showErrorMessage="1" xr:uid="{ACB60522-8388-41A1-A39B-691AA03739C2}">
          <x14:formula1>
            <xm:f>'DATOS INICIALES'!$A$57:$A$62</xm:f>
          </x14:formula1>
          <xm:sqref>D23:I23</xm:sqref>
        </x14:dataValidation>
        <x14:dataValidation type="list" allowBlank="1" showInputMessage="1" showErrorMessage="1" xr:uid="{A9BF7F34-0DAC-40E5-A3DC-416837BB2667}">
          <x14:formula1>
            <xm:f>'DATOS INICIALES'!$D$22:$D$26</xm:f>
          </x14:formula1>
          <xm:sqref>M47:M55</xm:sqref>
        </x14:dataValidation>
        <x14:dataValidation type="list" allowBlank="1" showInputMessage="1" showErrorMessage="1" xr:uid="{77E08D61-F0D7-4282-AFFC-F2C64C130DD2}">
          <x14:formula1>
            <xm:f>'DATOS INICIALES'!$A$13:$A$44</xm:f>
          </x14:formula1>
          <xm:sqref>G31:I31</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AEAAE-A0DC-4808-B3D4-CE268BDD7509}">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G16" sqref="G16"/>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+PROPONENTES!B34</f>
        <v>CONSORCIO VIAS USAQUEN 2027</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JAIRO ANTONIO OSSA LOPEZ</v>
      </c>
      <c r="D15" s="101">
        <f>IF(VLOOKUP(C11,PROPONENTES!B10:N44,3,FALSE)=0,"",VLOOKUP(C11,PROPONENTES!B10:N44,3,FALSE))</f>
        <v>0.3</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3214.5120000000002</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316">
        <v>4</v>
      </c>
      <c r="J15" s="264">
        <f>IF(AND(I15&gt;=1,I15&lt;=2),L8,IF(AND(I15&gt;=3,I15&lt;=4),L9,IF(AND(I15&gt;=5,I15&lt;=7),L10)))</f>
        <v>18919.917519692306</v>
      </c>
      <c r="K15" s="264">
        <f>+E20</f>
        <v>74434.661999999997</v>
      </c>
      <c r="L15" s="265" t="str">
        <f>IF(K15&gt;=J15,"CUMPLE","NO CUMPLE")</f>
        <v>CUMPLE</v>
      </c>
    </row>
    <row r="16" spans="2:12" ht="33.75" customHeight="1" x14ac:dyDescent="0.2">
      <c r="B16" s="273"/>
      <c r="C16" s="100" t="str">
        <f>IF(VLOOKUP(C11,PROPONENTES!B10:N44,4,FALSE)=0,"",VLOOKUP(C11,PROPONENTES!B10:N44,4,FALSE))</f>
        <v>B.O.L INGENIEROS ARQUITECTOS S.A.</v>
      </c>
      <c r="D16" s="101">
        <f>IF(VLOOKUP(C11,PROPONENTES!B10:N44,5,FALSE)=0,"",VLOOKUP(C11,PROPONENTES!B10:N44,5,FALSE))</f>
        <v>0.3</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3821.1989999999996</v>
      </c>
      <c r="F16" s="103" t="str">
        <f t="shared" si="1"/>
        <v>NO</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BERNARDO ANCIZAR OSSA LOPEZ</v>
      </c>
      <c r="D17" s="101">
        <f>IF(VLOOKUP(C11,PROPONENTES!B10:N44,7,FALSE)=0,"",VLOOKUP(C11,PROPONENTES!B10:N44,7,FALSE))</f>
        <v>0.4</v>
      </c>
      <c r="E17" s="102">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67398.951000000001</v>
      </c>
      <c r="F17" s="103" t="str">
        <f t="shared" si="1"/>
        <v>SI</v>
      </c>
      <c r="G17" s="104" t="str">
        <f t="shared" si="2"/>
        <v>SI</v>
      </c>
      <c r="H17" s="103" t="str">
        <f>IF(C17="","",IF(AND(G17="NO APORTA EXPERIENCIA",D17&lt;=10%),"SI",IF(G17="SI","NO APLICA","NO - PORCENTAJE MAYOR AL 10%")))</f>
        <v>NO APLICA</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74434.661999999997</v>
      </c>
      <c r="J19" s="355">
        <f>IF(I15="","",VLOOKUP(I15,$D$76:$E$82,2,FALSE))</f>
        <v>18919.917519692306</v>
      </c>
      <c r="K19" s="249" t="str">
        <f>IF(I19&gt;=J19,"CUMPLE","NO CUMPLE")</f>
        <v>CUMPLE</v>
      </c>
      <c r="L19" s="250"/>
    </row>
    <row r="20" spans="2:14" ht="84.75" customHeight="1" x14ac:dyDescent="0.2">
      <c r="B20" s="31" t="s">
        <v>61</v>
      </c>
      <c r="C20" s="25">
        <f>+VLOOKUP(C11,PROPONENTES!B10:N44,12,FALSE)</f>
        <v>3</v>
      </c>
      <c r="D20" s="101">
        <f>+VLOOKUP(C11,PROPONENTES!B10:N44,13,FALSE)</f>
        <v>1</v>
      </c>
      <c r="E20" s="36">
        <f>SUM(E15:E19)</f>
        <v>74434.661999999997</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286</v>
      </c>
      <c r="E24" s="91" t="s">
        <v>286</v>
      </c>
      <c r="F24" s="91" t="s">
        <v>286</v>
      </c>
      <c r="G24" s="91" t="s">
        <v>284</v>
      </c>
      <c r="H24" s="91"/>
      <c r="I24" s="91"/>
      <c r="J24" s="91"/>
      <c r="K24" s="247"/>
      <c r="L24" s="248"/>
    </row>
    <row r="25" spans="2:14" ht="39.75" customHeight="1" x14ac:dyDescent="0.2">
      <c r="B25" s="259" t="s">
        <v>116</v>
      </c>
      <c r="C25" s="260"/>
      <c r="D25" s="91"/>
      <c r="E25" s="91" t="s">
        <v>285</v>
      </c>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623</v>
      </c>
      <c r="E27" s="92" t="s">
        <v>624</v>
      </c>
      <c r="F27" s="92" t="s">
        <v>625</v>
      </c>
      <c r="G27" s="92" t="s">
        <v>626</v>
      </c>
      <c r="H27" s="92"/>
      <c r="I27" s="92"/>
      <c r="J27" s="92"/>
      <c r="K27" s="247"/>
      <c r="L27" s="248"/>
    </row>
    <row r="28" spans="2:14" ht="156.75" customHeight="1" x14ac:dyDescent="0.2">
      <c r="B28" s="277"/>
      <c r="C28" s="26" t="s">
        <v>36</v>
      </c>
      <c r="D28" s="92" t="s">
        <v>627</v>
      </c>
      <c r="E28" s="92" t="s">
        <v>628</v>
      </c>
      <c r="F28" s="92" t="s">
        <v>629</v>
      </c>
      <c r="G28" s="92" t="s">
        <v>630</v>
      </c>
      <c r="H28" s="92"/>
      <c r="I28" s="92"/>
      <c r="J28" s="92"/>
      <c r="K28" s="247"/>
      <c r="L28" s="248"/>
    </row>
    <row r="29" spans="2:14" ht="52.5" customHeight="1" x14ac:dyDescent="0.2">
      <c r="B29" s="277"/>
      <c r="C29" s="26" t="s">
        <v>172</v>
      </c>
      <c r="D29" s="96">
        <v>39062</v>
      </c>
      <c r="E29" s="96">
        <v>41246</v>
      </c>
      <c r="F29" s="96">
        <v>38439</v>
      </c>
      <c r="G29" s="96">
        <v>36766</v>
      </c>
      <c r="H29" s="96"/>
      <c r="I29" s="96"/>
      <c r="J29" s="96"/>
      <c r="K29" s="247"/>
      <c r="L29" s="248"/>
    </row>
    <row r="30" spans="2:14" ht="54.75" customHeight="1" x14ac:dyDescent="0.2">
      <c r="B30" s="277"/>
      <c r="C30" s="26" t="s">
        <v>40</v>
      </c>
      <c r="D30" s="96">
        <v>40462</v>
      </c>
      <c r="E30" s="96">
        <v>41396</v>
      </c>
      <c r="F30" s="96">
        <v>39719</v>
      </c>
      <c r="G30" s="96">
        <v>37216</v>
      </c>
      <c r="H30" s="96"/>
      <c r="I30" s="96"/>
      <c r="J30" s="96"/>
      <c r="K30" s="247"/>
      <c r="L30" s="248"/>
    </row>
    <row r="31" spans="2:14" ht="41.25" customHeight="1" x14ac:dyDescent="0.2">
      <c r="B31" s="277"/>
      <c r="C31" s="26" t="s">
        <v>37</v>
      </c>
      <c r="D31" s="93">
        <v>2010</v>
      </c>
      <c r="E31" s="93">
        <v>2013</v>
      </c>
      <c r="F31" s="93">
        <v>2008</v>
      </c>
      <c r="G31" s="93">
        <v>2001</v>
      </c>
      <c r="H31" s="93"/>
      <c r="I31" s="93"/>
      <c r="J31" s="93"/>
      <c r="K31" s="247"/>
      <c r="L31" s="248"/>
    </row>
    <row r="32" spans="2:14" ht="63" customHeight="1" x14ac:dyDescent="0.2">
      <c r="B32" s="277"/>
      <c r="C32" s="26" t="s">
        <v>38</v>
      </c>
      <c r="D32" s="92" t="s">
        <v>631</v>
      </c>
      <c r="E32" s="92" t="s">
        <v>632</v>
      </c>
      <c r="F32" s="92" t="s">
        <v>631</v>
      </c>
      <c r="G32" s="92" t="s">
        <v>471</v>
      </c>
      <c r="H32" s="92"/>
      <c r="I32" s="92"/>
      <c r="J32" s="92"/>
      <c r="K32" s="247"/>
      <c r="L32" s="248"/>
    </row>
    <row r="33" spans="2:12" ht="46.5" customHeight="1" x14ac:dyDescent="0.2">
      <c r="B33" s="277"/>
      <c r="C33" s="26" t="s">
        <v>39</v>
      </c>
      <c r="D33" s="92" t="s">
        <v>633</v>
      </c>
      <c r="E33" s="92" t="s">
        <v>634</v>
      </c>
      <c r="F33" s="92" t="s">
        <v>286</v>
      </c>
      <c r="G33" s="92" t="s">
        <v>635</v>
      </c>
      <c r="H33" s="92"/>
      <c r="I33" s="92"/>
      <c r="J33" s="92"/>
      <c r="K33" s="247"/>
      <c r="L33" s="248"/>
    </row>
    <row r="34" spans="2:12" ht="27.75" customHeight="1" x14ac:dyDescent="0.2">
      <c r="B34" s="277"/>
      <c r="C34" s="28" t="s">
        <v>33</v>
      </c>
      <c r="D34" s="97">
        <v>5</v>
      </c>
      <c r="E34" s="97">
        <v>94</v>
      </c>
      <c r="F34" s="97">
        <v>3</v>
      </c>
      <c r="G34" s="98">
        <v>103</v>
      </c>
      <c r="H34" s="98"/>
      <c r="I34" s="98"/>
      <c r="J34" s="98"/>
      <c r="K34" s="247"/>
      <c r="L34" s="248"/>
    </row>
    <row r="35" spans="2:12" ht="102.75" customHeight="1" x14ac:dyDescent="0.2">
      <c r="B35" s="277"/>
      <c r="C35" s="26" t="s">
        <v>118</v>
      </c>
      <c r="D35" s="94">
        <v>37191.49</v>
      </c>
      <c r="E35" s="94">
        <v>12737.33</v>
      </c>
      <c r="F35" s="94">
        <v>21291.33</v>
      </c>
      <c r="G35" s="94">
        <v>16072.56</v>
      </c>
      <c r="H35" s="94"/>
      <c r="I35" s="94"/>
      <c r="J35" s="94"/>
      <c r="K35" s="279"/>
      <c r="L35" s="280"/>
    </row>
    <row r="36" spans="2:12" ht="48" customHeight="1" x14ac:dyDescent="0.2">
      <c r="B36" s="277"/>
      <c r="C36" s="26" t="s">
        <v>74</v>
      </c>
      <c r="D36" s="105">
        <f>IFERROR(D35*VLOOKUP(D31,'DATOS INICIALES'!$A$12:$B$44,2,0),"0")</f>
        <v>19153617350</v>
      </c>
      <c r="E36" s="105">
        <f>IFERROR(E35*VLOOKUP(E31,'DATOS INICIALES'!$A$12:$B$44,2,0),"0")</f>
        <v>7508656035</v>
      </c>
      <c r="F36" s="105">
        <f>IFERROR(F35*VLOOKUP(F31,'DATOS INICIALES'!$A$12:$B$44,2,0),"0")</f>
        <v>9825948795</v>
      </c>
      <c r="G36" s="105">
        <f>IFERROR(G35*VLOOKUP(G31,'DATOS INICIALES'!$A$12:$B$44,2,0),"0")</f>
        <v>4596752160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1</v>
      </c>
      <c r="E37" s="95">
        <v>0.7</v>
      </c>
      <c r="F37" s="95">
        <v>1</v>
      </c>
      <c r="G37" s="95">
        <v>0.2</v>
      </c>
      <c r="H37" s="95"/>
      <c r="I37" s="95"/>
      <c r="J37" s="95"/>
      <c r="K37" s="247"/>
      <c r="L37" s="248"/>
    </row>
    <row r="38" spans="2:12" ht="48.75" customHeight="1" x14ac:dyDescent="0.2">
      <c r="B38" s="277"/>
      <c r="C38" s="26" t="s">
        <v>125</v>
      </c>
      <c r="D38" s="105">
        <f t="shared" ref="D38:J38" si="3">IF(D24="","0",D37*D36)</f>
        <v>19153617350</v>
      </c>
      <c r="E38" s="105">
        <f t="shared" si="3"/>
        <v>5256059224.5</v>
      </c>
      <c r="F38" s="105">
        <f t="shared" si="3"/>
        <v>9825948795</v>
      </c>
      <c r="G38" s="105">
        <f t="shared" si="3"/>
        <v>919350432</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37191.49</v>
      </c>
      <c r="E39" s="106">
        <f t="shared" si="4"/>
        <v>8916.1309999999994</v>
      </c>
      <c r="F39" s="106">
        <f t="shared" si="4"/>
        <v>21291.33</v>
      </c>
      <c r="G39" s="106">
        <f t="shared" si="4"/>
        <v>3214.5120000000002</v>
      </c>
      <c r="H39" s="106">
        <f t="shared" si="4"/>
        <v>0</v>
      </c>
      <c r="I39" s="106">
        <f t="shared" si="4"/>
        <v>0</v>
      </c>
      <c r="J39" s="106">
        <f t="shared" si="4"/>
        <v>0</v>
      </c>
      <c r="K39" s="247"/>
      <c r="L39" s="248"/>
    </row>
    <row r="40" spans="2:12" ht="65.25" customHeight="1" x14ac:dyDescent="0.2">
      <c r="B40" s="277"/>
      <c r="C40" s="26" t="s">
        <v>121</v>
      </c>
      <c r="D40" s="95"/>
      <c r="E40" s="95">
        <v>0.3</v>
      </c>
      <c r="F40" s="95"/>
      <c r="G40" s="95"/>
      <c r="H40" s="95"/>
      <c r="I40" s="95"/>
      <c r="J40" s="95"/>
      <c r="K40" s="247"/>
      <c r="L40" s="248"/>
    </row>
    <row r="41" spans="2:12" ht="65.25" customHeight="1" x14ac:dyDescent="0.2">
      <c r="B41" s="277"/>
      <c r="C41" s="26" t="s">
        <v>126</v>
      </c>
      <c r="D41" s="107" t="str">
        <f t="shared" ref="D41:J41" si="5">IF(D25="","0",D40*D36)</f>
        <v>0</v>
      </c>
      <c r="E41" s="107">
        <f t="shared" si="5"/>
        <v>2252596810.5</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3821.1989999999996</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c r="I46" s="91"/>
      <c r="J46" s="91"/>
      <c r="K46" s="247"/>
      <c r="L46" s="248"/>
    </row>
    <row r="47" spans="2:12" ht="24.75" customHeight="1" x14ac:dyDescent="0.2">
      <c r="B47" s="284" t="s">
        <v>34</v>
      </c>
      <c r="C47" s="29">
        <f>+'DATOS INICIALES'!D22</f>
        <v>721033</v>
      </c>
      <c r="D47" s="97" t="s">
        <v>77</v>
      </c>
      <c r="E47" s="97" t="s">
        <v>77</v>
      </c>
      <c r="F47" s="97" t="s">
        <v>77</v>
      </c>
      <c r="G47" s="97" t="s">
        <v>77</v>
      </c>
      <c r="H47" s="97"/>
      <c r="I47" s="97"/>
      <c r="J47" s="98"/>
      <c r="K47" s="247"/>
      <c r="L47" s="248"/>
    </row>
    <row r="48" spans="2:12" ht="24.75" customHeight="1" x14ac:dyDescent="0.2">
      <c r="B48" s="285"/>
      <c r="C48" s="29">
        <f>+'DATOS INICIALES'!D23</f>
        <v>721410</v>
      </c>
      <c r="D48" s="97" t="s">
        <v>77</v>
      </c>
      <c r="E48" s="97" t="s">
        <v>77</v>
      </c>
      <c r="F48" s="97" t="s">
        <v>77</v>
      </c>
      <c r="G48" s="97" t="s">
        <v>77</v>
      </c>
      <c r="H48" s="97"/>
      <c r="I48" s="97"/>
      <c r="J48" s="98"/>
      <c r="K48" s="247"/>
      <c r="L48" s="248"/>
    </row>
    <row r="49" spans="2:12" ht="24.75" customHeight="1" x14ac:dyDescent="0.2">
      <c r="B49" s="285"/>
      <c r="C49" s="29">
        <f>+'DATOS INICIALES'!D24</f>
        <v>721411</v>
      </c>
      <c r="D49" s="97" t="s">
        <v>77</v>
      </c>
      <c r="E49" s="97" t="s">
        <v>77</v>
      </c>
      <c r="F49" s="97" t="s">
        <v>77</v>
      </c>
      <c r="G49" s="97" t="s">
        <v>77</v>
      </c>
      <c r="H49" s="97"/>
      <c r="I49" s="97"/>
      <c r="J49" s="98"/>
      <c r="K49" s="247"/>
      <c r="L49" s="248"/>
    </row>
    <row r="50" spans="2:12" ht="24.75" customHeight="1" x14ac:dyDescent="0.2">
      <c r="B50" s="285"/>
      <c r="C50" s="29">
        <f>+'DATOS INICIALES'!D25</f>
        <v>721416</v>
      </c>
      <c r="D50" s="97" t="s">
        <v>75</v>
      </c>
      <c r="E50" s="97" t="s">
        <v>75</v>
      </c>
      <c r="F50" s="97" t="s">
        <v>75</v>
      </c>
      <c r="G50" s="97" t="s">
        <v>77</v>
      </c>
      <c r="H50" s="97"/>
      <c r="I50" s="97"/>
      <c r="J50" s="98"/>
      <c r="K50" s="247"/>
      <c r="L50" s="248"/>
    </row>
    <row r="51" spans="2:12" ht="24.75" customHeight="1" x14ac:dyDescent="0.2">
      <c r="B51" s="285"/>
      <c r="C51" s="29">
        <f>+'DATOS INICIALES'!D26</f>
        <v>721527</v>
      </c>
      <c r="D51" s="97" t="s">
        <v>77</v>
      </c>
      <c r="E51" s="97" t="s">
        <v>77</v>
      </c>
      <c r="F51" s="97" t="s">
        <v>77</v>
      </c>
      <c r="G51" s="97" t="s">
        <v>77</v>
      </c>
      <c r="H51" s="97"/>
      <c r="I51" s="97"/>
      <c r="J51" s="98"/>
      <c r="K51" s="247"/>
      <c r="L51" s="248"/>
    </row>
    <row r="52" spans="2:12" ht="24.75" customHeight="1" x14ac:dyDescent="0.2">
      <c r="B52" s="285"/>
      <c r="C52" s="29">
        <f>+'DATOS INICIALES'!D27</f>
        <v>721539</v>
      </c>
      <c r="D52" s="97" t="s">
        <v>75</v>
      </c>
      <c r="E52" s="97" t="s">
        <v>77</v>
      </c>
      <c r="F52" s="97" t="s">
        <v>75</v>
      </c>
      <c r="G52" s="97" t="s">
        <v>75</v>
      </c>
      <c r="H52" s="97"/>
      <c r="I52" s="97"/>
      <c r="J52" s="98"/>
      <c r="K52" s="247"/>
      <c r="L52" s="248"/>
    </row>
    <row r="53" spans="2:12" ht="24.75" customHeight="1" x14ac:dyDescent="0.2">
      <c r="B53" s="285"/>
      <c r="C53" s="29">
        <f>+'DATOS INICIALES'!D28</f>
        <v>951115</v>
      </c>
      <c r="D53" s="97" t="s">
        <v>77</v>
      </c>
      <c r="E53" s="97" t="s">
        <v>77</v>
      </c>
      <c r="F53" s="97" t="s">
        <v>77</v>
      </c>
      <c r="G53" s="97" t="s">
        <v>75</v>
      </c>
      <c r="H53" s="97"/>
      <c r="I53" s="97"/>
      <c r="J53" s="97"/>
      <c r="K53" s="247"/>
      <c r="L53" s="248"/>
    </row>
    <row r="54" spans="2:12" ht="24.75" customHeight="1" x14ac:dyDescent="0.2">
      <c r="B54" s="285"/>
      <c r="C54" s="29">
        <f>+'DATOS INICIALES'!D29</f>
        <v>721033</v>
      </c>
      <c r="D54" s="97" t="s">
        <v>77</v>
      </c>
      <c r="E54" s="97" t="s">
        <v>77</v>
      </c>
      <c r="F54" s="97" t="s">
        <v>77</v>
      </c>
      <c r="G54" s="97" t="s">
        <v>77</v>
      </c>
      <c r="H54" s="97"/>
      <c r="I54" s="97"/>
      <c r="J54" s="97"/>
      <c r="K54" s="247"/>
      <c r="L54" s="248"/>
    </row>
    <row r="55" spans="2:12" ht="60.75" customHeight="1" x14ac:dyDescent="0.2">
      <c r="B55" s="286"/>
      <c r="C55" s="18" t="s">
        <v>57</v>
      </c>
      <c r="D55" s="18" t="str">
        <f t="shared" ref="D55:G55" si="9">IF(D24="","N/A",IF(D47="SI","CUMPLE",IF(D48="SI","CUMPLE",IF(D49="SI","CUMPLE",IF(D50="SI","CUMPLE",IF(D51="SI","CUMPLE",IF(D52="SI","CUMPLE",IF(D54="SI","CUMPLE","NO CUMPLE"))))))))</f>
        <v>CUMPLE</v>
      </c>
      <c r="E55" s="18" t="str">
        <f t="shared" si="9"/>
        <v>CUMPLE</v>
      </c>
      <c r="F55" s="18" t="str">
        <f t="shared" si="9"/>
        <v>CUMPLE</v>
      </c>
      <c r="G55" s="18" t="str">
        <f t="shared" si="9"/>
        <v>CUMPLE</v>
      </c>
      <c r="H55" s="18" t="str">
        <f t="shared" ref="H55:J55" si="10">IF(H24="","N/A",IF(H47="SI","CUMPLE",IF(H48="SI","CUMPLE",IF(H49="SI","CUMPLE",IF(H50="SI","CUMPLE",IF(H51="SI","CUMPLE",IF(H52="SI","CUMPLE",IF(H54="SI","CUMPLE","NO CUMPLE"))))))))</f>
        <v>N/A</v>
      </c>
      <c r="I55" s="18" t="str">
        <f t="shared" si="10"/>
        <v>N/A</v>
      </c>
      <c r="J55" s="18" t="str">
        <f t="shared" si="10"/>
        <v>N/A</v>
      </c>
      <c r="K55" s="247"/>
      <c r="L55" s="248"/>
    </row>
    <row r="56" spans="2:12" ht="147.5" customHeight="1" x14ac:dyDescent="0.2">
      <c r="B56" s="287" t="s">
        <v>189</v>
      </c>
      <c r="C56" s="288"/>
      <c r="D56" s="91" t="s">
        <v>13</v>
      </c>
      <c r="E56" s="91" t="s">
        <v>13</v>
      </c>
      <c r="F56" s="91" t="s">
        <v>13</v>
      </c>
      <c r="G56" s="91" t="s">
        <v>13</v>
      </c>
      <c r="H56" s="91"/>
      <c r="I56" s="91"/>
      <c r="J56" s="91"/>
      <c r="K56" s="257"/>
      <c r="L56" s="258"/>
    </row>
    <row r="57" spans="2:12" ht="103.25" customHeight="1" x14ac:dyDescent="0.2">
      <c r="B57" s="287" t="s">
        <v>190</v>
      </c>
      <c r="C57" s="288"/>
      <c r="D57" s="91" t="s">
        <v>13</v>
      </c>
      <c r="E57" s="91" t="s">
        <v>13</v>
      </c>
      <c r="F57" s="91" t="s">
        <v>13</v>
      </c>
      <c r="G57" s="91" t="s">
        <v>13</v>
      </c>
      <c r="H57" s="91"/>
      <c r="I57" s="91"/>
      <c r="J57" s="91"/>
      <c r="K57" s="257"/>
      <c r="L57" s="258"/>
    </row>
    <row r="58" spans="2:12" ht="72" customHeight="1" x14ac:dyDescent="0.2">
      <c r="B58" s="281" t="s">
        <v>191</v>
      </c>
      <c r="C58" s="282"/>
      <c r="D58" s="91" t="s">
        <v>13</v>
      </c>
      <c r="E58" s="91" t="s">
        <v>13</v>
      </c>
      <c r="F58" s="91" t="s">
        <v>13</v>
      </c>
      <c r="G58" s="91" t="s">
        <v>13</v>
      </c>
      <c r="H58" s="91"/>
      <c r="I58" s="91"/>
      <c r="J58" s="91"/>
      <c r="K58" s="247"/>
      <c r="L58" s="248"/>
    </row>
    <row r="59" spans="2:12" ht="42.5" customHeight="1" x14ac:dyDescent="0.2">
      <c r="B59" s="281" t="s">
        <v>192</v>
      </c>
      <c r="C59" s="282"/>
      <c r="D59" s="91" t="s">
        <v>13</v>
      </c>
      <c r="E59" s="91" t="s">
        <v>13</v>
      </c>
      <c r="F59" s="91" t="s">
        <v>13</v>
      </c>
      <c r="G59" s="91" t="s">
        <v>13</v>
      </c>
      <c r="H59" s="91"/>
      <c r="I59" s="91"/>
      <c r="J59" s="91"/>
      <c r="K59" s="247"/>
      <c r="L59" s="248"/>
    </row>
    <row r="60" spans="2:12" ht="36" customHeight="1" x14ac:dyDescent="0.2">
      <c r="B60" s="281" t="s">
        <v>193</v>
      </c>
      <c r="C60" s="282"/>
      <c r="D60" s="91" t="s">
        <v>13</v>
      </c>
      <c r="E60" s="91" t="s">
        <v>13</v>
      </c>
      <c r="F60" s="91" t="s">
        <v>13</v>
      </c>
      <c r="G60" s="91" t="s">
        <v>13</v>
      </c>
      <c r="H60" s="91"/>
      <c r="I60" s="91"/>
      <c r="J60" s="91"/>
      <c r="K60" s="247"/>
      <c r="L60" s="248"/>
    </row>
    <row r="61" spans="2:12" ht="160.75" customHeight="1" x14ac:dyDescent="0.2">
      <c r="B61" s="281" t="s">
        <v>194</v>
      </c>
      <c r="C61" s="282"/>
      <c r="D61" s="91" t="s">
        <v>13</v>
      </c>
      <c r="E61" s="91" t="s">
        <v>13</v>
      </c>
      <c r="F61" s="91" t="s">
        <v>13</v>
      </c>
      <c r="G61" s="91" t="s">
        <v>13</v>
      </c>
      <c r="H61" s="91"/>
      <c r="I61" s="91"/>
      <c r="J61" s="91"/>
      <c r="K61" s="247"/>
      <c r="L61" s="248"/>
    </row>
    <row r="62" spans="2:12" ht="409.25" customHeight="1" x14ac:dyDescent="0.2">
      <c r="B62" s="261" t="s">
        <v>195</v>
      </c>
      <c r="C62" s="261"/>
      <c r="D62" s="91" t="s">
        <v>13</v>
      </c>
      <c r="E62" s="91" t="s">
        <v>13</v>
      </c>
      <c r="F62" s="91" t="s">
        <v>13</v>
      </c>
      <c r="G62" s="91" t="s">
        <v>13</v>
      </c>
      <c r="H62" s="91"/>
      <c r="I62" s="91"/>
      <c r="J62" s="91"/>
      <c r="K62" s="279"/>
      <c r="L62" s="280"/>
    </row>
    <row r="63" spans="2:12" ht="301.75" customHeight="1" x14ac:dyDescent="0.2">
      <c r="B63" s="262" t="s">
        <v>196</v>
      </c>
      <c r="C63" s="263"/>
      <c r="D63" s="91" t="s">
        <v>13</v>
      </c>
      <c r="E63" s="91" t="s">
        <v>13</v>
      </c>
      <c r="F63" s="91" t="s">
        <v>13</v>
      </c>
      <c r="G63" s="91" t="s">
        <v>13</v>
      </c>
      <c r="H63" s="91"/>
      <c r="I63" s="91"/>
      <c r="J63" s="91"/>
      <c r="K63" s="247"/>
      <c r="L63" s="248"/>
    </row>
    <row r="64" spans="2:12" ht="253.75" customHeight="1" x14ac:dyDescent="0.2">
      <c r="B64" s="283" t="s">
        <v>197</v>
      </c>
      <c r="C64" s="283"/>
      <c r="D64" s="91" t="s">
        <v>13</v>
      </c>
      <c r="E64" s="91" t="s">
        <v>13</v>
      </c>
      <c r="F64" s="91" t="s">
        <v>13</v>
      </c>
      <c r="G64" s="91" t="s">
        <v>13</v>
      </c>
      <c r="H64" s="91"/>
      <c r="I64" s="91"/>
      <c r="J64" s="91"/>
      <c r="K64" s="247"/>
      <c r="L64" s="248"/>
    </row>
    <row r="65" spans="2:12" ht="243.5" customHeight="1" x14ac:dyDescent="0.2">
      <c r="B65" s="261" t="s">
        <v>198</v>
      </c>
      <c r="C65" s="261"/>
      <c r="D65" s="91" t="s">
        <v>13</v>
      </c>
      <c r="E65" s="91" t="s">
        <v>13</v>
      </c>
      <c r="F65" s="91" t="s">
        <v>13</v>
      </c>
      <c r="G65" s="91" t="s">
        <v>13</v>
      </c>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IF(F24="","N/A",IF(AND(F46="CUMPLE",F55="CUMPLE",F56="CUMPLE",F57="CUMPLE",F58="CUMPLE",F59="CUMPLE",OR(F61="CUMPLE",F61="N/A"),F62="CUMPLE",OR(F63="CUMPLE",F63="N/A"),F65="CUMPLE",OR(F64="CUMPLE",F64="N/A")),"CUMPLE","NO CUMPLE"))</f>
        <v>CUMPLE</v>
      </c>
      <c r="G66" s="18" t="str">
        <f t="shared" ref="G66" si="11">IF(G24="","N/A",IF(AND(G46="CUMPLE",G55="CUMPLE",G56="CUMPLE",G57="CUMPLE",G58="CUMPLE",G59="CUMPLE",OR(G61="CUMPLE",G61="N/A"),G62="CUMPLE",OR(G63="CUMPLE",G63="N/A"),G65="CUMPLE",OR(G64="CUMPLE",G64="N/A")),"CUMPLE","NO CUMPLE"))</f>
        <v>CUMPLE</v>
      </c>
      <c r="H66" s="18" t="str">
        <f t="shared" ref="H66:J66" si="12">IF(H24="","N/A",IF(AND(H46="CUMPLE",H55="CUMPLE",H56="CUMPLE",H57="CUMPLE",H58="CUMPLE",H59="CUMPLE",OR(H61="CUMPLE",H61="N/A"),H62="CUMPLE",OR(H63="CUMPLE",H63="N/A"),H65="CUMPLE",OR(H64="CUMPLE",H64="N/A")),"CUMPLE","NO CUMPLE"))</f>
        <v>N/A</v>
      </c>
      <c r="I66" s="18" t="str">
        <f t="shared" si="12"/>
        <v>N/A</v>
      </c>
      <c r="J66" s="18" t="str">
        <f t="shared" si="12"/>
        <v>N/A</v>
      </c>
      <c r="K66" s="147"/>
      <c r="L66" s="148"/>
    </row>
    <row r="67" spans="2:12" ht="54.5" customHeight="1" x14ac:dyDescent="0.2">
      <c r="B67" s="261" t="s">
        <v>188</v>
      </c>
      <c r="C67" s="261"/>
      <c r="D67" s="91" t="s">
        <v>13</v>
      </c>
      <c r="E67" s="91" t="s">
        <v>13</v>
      </c>
      <c r="F67" s="91" t="s">
        <v>13</v>
      </c>
      <c r="G67" s="91" t="s">
        <v>13</v>
      </c>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413" priority="25">
      <formula>LEN(TRIM(D25))=0</formula>
    </cfRule>
    <cfRule type="notContainsErrors" dxfId="412" priority="26">
      <formula>NOT(ISERROR(D25))</formula>
    </cfRule>
  </conditionalFormatting>
  <conditionalFormatting sqref="D34:J34 D24:K24">
    <cfRule type="containsBlanks" dxfId="411" priority="27">
      <formula>LEN(TRIM(D24))=0</formula>
    </cfRule>
  </conditionalFormatting>
  <conditionalFormatting sqref="D37:J37">
    <cfRule type="notContainsErrors" dxfId="410" priority="24">
      <formula>NOT(ISERROR(D37))</formula>
    </cfRule>
    <cfRule type="containsBlanks" dxfId="409" priority="23">
      <formula>LEN(TRIM(D37))=0</formula>
    </cfRule>
  </conditionalFormatting>
  <conditionalFormatting sqref="D40:J40">
    <cfRule type="notContainsErrors" dxfId="408" priority="22">
      <formula>NOT(ISERROR(D40))</formula>
    </cfRule>
    <cfRule type="containsBlanks" dxfId="407" priority="21">
      <formula>LEN(TRIM(D40))=0</formula>
    </cfRule>
  </conditionalFormatting>
  <conditionalFormatting sqref="D43:J43 K66:L66">
    <cfRule type="notContainsErrors" dxfId="406" priority="52">
      <formula>NOT(ISERROR(D43))</formula>
    </cfRule>
    <cfRule type="containsBlanks" dxfId="405" priority="51">
      <formula>LEN(TRIM(D43))=0</formula>
    </cfRule>
  </conditionalFormatting>
  <conditionalFormatting sqref="D46:J54">
    <cfRule type="cellIs" dxfId="404" priority="9" operator="equal">
      <formula>"NO CUMPLE"</formula>
    </cfRule>
    <cfRule type="cellIs" dxfId="403" priority="10" operator="equal">
      <formula>"CUMPLE"</formula>
    </cfRule>
    <cfRule type="containsBlanks" dxfId="402" priority="11">
      <formula>LEN(TRIM(D46))=0</formula>
    </cfRule>
    <cfRule type="notContainsErrors" dxfId="401" priority="12">
      <formula>NOT(ISERROR(D46))</formula>
    </cfRule>
  </conditionalFormatting>
  <conditionalFormatting sqref="D55:J55">
    <cfRule type="cellIs" dxfId="400" priority="20" operator="equal">
      <formula>"""CUMPLE"""</formula>
    </cfRule>
    <cfRule type="cellIs" dxfId="399" priority="17" operator="equal">
      <formula>"N/A"</formula>
    </cfRule>
    <cfRule type="cellIs" dxfId="398" priority="18" operator="equal">
      <formula>"CUMPLE"</formula>
    </cfRule>
    <cfRule type="cellIs" dxfId="397" priority="19" operator="equal">
      <formula>"NO CUMPLE"</formula>
    </cfRule>
  </conditionalFormatting>
  <conditionalFormatting sqref="D56:J65">
    <cfRule type="cellIs" dxfId="396" priority="6" operator="equal">
      <formula>"CUMPLE"</formula>
    </cfRule>
    <cfRule type="notContainsErrors" dxfId="395" priority="8">
      <formula>NOT(ISERROR(D56))</formula>
    </cfRule>
    <cfRule type="containsBlanks" dxfId="394" priority="7">
      <formula>LEN(TRIM(D56))=0</formula>
    </cfRule>
    <cfRule type="cellIs" dxfId="393" priority="5" operator="equal">
      <formula>"NO CUMPLE"</formula>
    </cfRule>
  </conditionalFormatting>
  <conditionalFormatting sqref="D66:J66">
    <cfRule type="cellIs" dxfId="392" priority="16" operator="equal">
      <formula>"""CUMPLE"""</formula>
    </cfRule>
    <cfRule type="cellIs" dxfId="391" priority="15" operator="equal">
      <formula>"NO CUMPLE"</formula>
    </cfRule>
    <cfRule type="cellIs" dxfId="390" priority="14" operator="equal">
      <formula>"CUMPLE"</formula>
    </cfRule>
    <cfRule type="cellIs" dxfId="389" priority="13" operator="equal">
      <formula>"N/A"</formula>
    </cfRule>
  </conditionalFormatting>
  <conditionalFormatting sqref="D67:J67">
    <cfRule type="cellIs" dxfId="388" priority="1" operator="equal">
      <formula>"NO CUMPLE"</formula>
    </cfRule>
    <cfRule type="cellIs" dxfId="387" priority="2" operator="equal">
      <formula>"CUMPLE"</formula>
    </cfRule>
  </conditionalFormatting>
  <conditionalFormatting sqref="D24:K24 D34:J34">
    <cfRule type="notContainsErrors" dxfId="386" priority="28">
      <formula>NOT(ISERROR(D24))</formula>
    </cfRule>
  </conditionalFormatting>
  <conditionalFormatting sqref="D67:K67">
    <cfRule type="notContainsErrors" dxfId="385" priority="4">
      <formula>NOT(ISERROR(D67))</formula>
    </cfRule>
    <cfRule type="containsBlanks" dxfId="384" priority="3">
      <formula>LEN(TRIM(D67))=0</formula>
    </cfRule>
  </conditionalFormatting>
  <conditionalFormatting sqref="F20:H20">
    <cfRule type="cellIs" dxfId="383" priority="67" operator="equal">
      <formula>"CUMPLE"</formula>
    </cfRule>
    <cfRule type="cellIs" dxfId="382" priority="68" operator="equal">
      <formula>"NO CUMPLE"</formula>
    </cfRule>
    <cfRule type="cellIs" dxfId="381" priority="69" operator="equal">
      <formula>"""CUMPLE"""</formula>
    </cfRule>
  </conditionalFormatting>
  <conditionalFormatting sqref="I11">
    <cfRule type="containsText" dxfId="380" priority="70" operator="containsText" text="INHABILITADO">
      <formula>NOT(ISERROR(SEARCH("INHABILITADO",I11)))</formula>
    </cfRule>
    <cfRule type="containsText" dxfId="379" priority="71" operator="containsText" text="HABILITADO">
      <formula>NOT(ISERROR(SEARCH("HABILITADO",I11)))</formula>
    </cfRule>
    <cfRule type="containsText" dxfId="378" priority="72" operator="containsText" text="HABILITADO">
      <formula>NOT(ISERROR(SEARCH("HABILITADO",I11)))</formula>
    </cfRule>
    <cfRule type="containsText" dxfId="377" priority="73" operator="containsText" text="NO CUMPLE">
      <formula>NOT(ISERROR(SEARCH("NO CUMPLE",I11)))</formula>
    </cfRule>
  </conditionalFormatting>
  <conditionalFormatting sqref="K19">
    <cfRule type="cellIs" dxfId="376" priority="58" operator="equal">
      <formula>"CUMPLE"</formula>
    </cfRule>
    <cfRule type="cellIs" dxfId="375" priority="59" operator="equal">
      <formula>"NO CUMPLE"</formula>
    </cfRule>
    <cfRule type="cellIs" dxfId="374" priority="60" operator="equal">
      <formula>"""CUMPLE"""</formula>
    </cfRule>
  </conditionalFormatting>
  <conditionalFormatting sqref="K25:K65">
    <cfRule type="containsBlanks" dxfId="373" priority="49">
      <formula>LEN(TRIM(K25))=0</formula>
    </cfRule>
    <cfRule type="notContainsErrors" dxfId="372" priority="50">
      <formula>NOT(ISERROR(K25))</formula>
    </cfRule>
  </conditionalFormatting>
  <conditionalFormatting sqref="L15">
    <cfRule type="cellIs" dxfId="371" priority="64" operator="equal">
      <formula>"CUMPLE"</formula>
    </cfRule>
    <cfRule type="cellIs" dxfId="370" priority="65" operator="equal">
      <formula>"NO CUMPLE"</formula>
    </cfRule>
    <cfRule type="cellIs" dxfId="369" priority="66" operator="equal">
      <formula>"""CUMPLE"""</formula>
    </cfRule>
  </conditionalFormatting>
  <dataValidations count="3">
    <dataValidation type="list" allowBlank="1" showInputMessage="1" showErrorMessage="1" sqref="L58:L66" xr:uid="{C4537651-E12A-44B8-A36F-57D211F4AF84}">
      <formula1>"0,1,2,3,4,5,6"</formula1>
    </dataValidation>
    <dataValidation type="list" allowBlank="1" showInputMessage="1" showErrorMessage="1" sqref="D24:J26" xr:uid="{2DD93C54-7247-4C62-A27D-6508C86DB0CD}">
      <formula1>$C$15:$C$19</formula1>
    </dataValidation>
    <dataValidation type="list" allowBlank="1" showInputMessage="1" showErrorMessage="1" sqref="D67:I67" xr:uid="{183676D7-E3DE-4156-8A81-D7326855EFC2}">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A07FDD4D-7CEC-495F-8997-5E3713E82632}">
          <x14:formula1>
            <xm:f>'DATOS INICIALES'!$C$48:$C$49</xm:f>
          </x14:formula1>
          <xm:sqref>J47:J52 H47:I54</xm:sqref>
        </x14:dataValidation>
        <x14:dataValidation type="list" allowBlank="1" showInputMessage="1" showErrorMessage="1" xr:uid="{EAA9A0D8-E6A4-4AEA-AD03-9BAE3011DF8D}">
          <x14:formula1>
            <xm:f>'DATOS INICIALES'!$A$53:$A$55</xm:f>
          </x14:formula1>
          <xm:sqref>H59:J65 H46:J46 J56:J57 H56:I58</xm:sqref>
        </x14:dataValidation>
        <x14:dataValidation type="list" allowBlank="1" showInputMessage="1" showErrorMessage="1" xr:uid="{CE46D120-E69E-471F-BBE1-1613C7C94057}">
          <x14:formula1>
            <xm:f>'DATOS INICIALES'!$A$57:$A$62</xm:f>
          </x14:formula1>
          <xm:sqref>D23:I23</xm:sqref>
        </x14:dataValidation>
        <x14:dataValidation type="list" allowBlank="1" showInputMessage="1" showErrorMessage="1" xr:uid="{365E94D5-9EF7-4B28-8B9E-BBE52DEB80C0}">
          <x14:formula1>
            <xm:f>'DATOS INICIALES'!$D$22:$D$26</xm:f>
          </x14:formula1>
          <xm:sqref>M47:M55</xm:sqref>
        </x14:dataValidation>
        <x14:dataValidation type="list" allowBlank="1" showInputMessage="1" showErrorMessage="1" xr:uid="{4E4DB940-EB99-4B40-8F64-0445C700A3CE}">
          <x14:formula1>
            <xm:f>'DATOS INICIALES'!$A$13:$A$44</xm:f>
          </x14:formula1>
          <xm:sqref>H31:I31</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955F4-FA79-490E-81B9-514FD75D2CBC}">
  <sheetPr>
    <tabColor rgb="FF92D050"/>
  </sheetPr>
  <dimension ref="B1:N82"/>
  <sheetViews>
    <sheetView view="pageBreakPreview" zoomScale="55" zoomScaleNormal="55" zoomScaleSheetLayoutView="55" workbookViewId="0">
      <pane ySplit="11" topLeftCell="A57" activePane="bottomLeft" state="frozenSplit"/>
      <selection activeCell="C11" sqref="C11:G11"/>
      <selection pane="bottomLeft" activeCell="C11" sqref="C11:G11"/>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+PROPONENTES!B35</f>
        <v>ARCO CONSTRUCTORES SAS</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ARCO CONSTRUCTORES SAS</v>
      </c>
      <c r="D15" s="101">
        <f>IF(VLOOKUP(C11,PROPONENTES!B10:N44,3,FALSE)=0,"",VLOOKUP(C11,PROPONENTES!B10:N44,3,FALSE))</f>
        <v>1</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32054.2258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4</v>
      </c>
      <c r="J15" s="264">
        <f>IF(AND(I15&gt;=1,I15&lt;=2),L8,IF(AND(I15&gt;=3,I15&lt;=4),L9,IF(AND(I15&gt;=5,I15&lt;=7),L10)))</f>
        <v>18919.917519692306</v>
      </c>
      <c r="K15" s="264">
        <f>+E20</f>
        <v>32054.2258</v>
      </c>
      <c r="L15" s="265" t="str">
        <f>IF(K15&gt;=J15,"CUMPLE","NO CUMPLE")</f>
        <v>CUMPLE</v>
      </c>
    </row>
    <row r="16" spans="2:12" ht="33.75" customHeight="1" x14ac:dyDescent="0.2">
      <c r="B16" s="273"/>
      <c r="C16" s="100" t="str">
        <f>IF(VLOOKUP(C11,PROPONENTES!B10:N44,4,FALSE)=0,"",VLOOKUP(C11,PROPONENTES!B10:N44,4,FALSE))</f>
        <v/>
      </c>
      <c r="D16" s="101" t="str">
        <f>IF(VLOOKUP(C11,PROPONENTES!B10:N44,5,FALSE)=0,"",VLOOKUP(C11,PROPONENTES!B10:N44,5,FALSE))</f>
        <v/>
      </c>
      <c r="E16" s="102" t="str">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
      </c>
      <c r="F16" s="103" t="str">
        <f t="shared" si="1"/>
        <v/>
      </c>
      <c r="G16" s="104" t="str">
        <f t="shared" si="2"/>
        <v/>
      </c>
      <c r="H16" s="104" t="str">
        <f>IF(C16="","",IF(AND(G16="NO APORTA EXPERIENCIA",D16&lt;=10%),"SI",IF(G16="SI","NO APLICA","NO - PORCENTAJE MAYOR AL 10%")))</f>
        <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32054.2258</v>
      </c>
      <c r="J19" s="355">
        <f>IF(I15="","",VLOOKUP(I15,$D$76:$E$82,2,FALSE))</f>
        <v>18919.917519692306</v>
      </c>
      <c r="K19" s="249" t="str">
        <f>IF(I19&gt;=J19,"CUMPLE","NO CUMPLE")</f>
        <v>CUMPLE</v>
      </c>
      <c r="L19" s="250"/>
    </row>
    <row r="20" spans="2:14" ht="84.75" customHeight="1" x14ac:dyDescent="0.2">
      <c r="B20" s="31" t="s">
        <v>61</v>
      </c>
      <c r="C20" s="25">
        <f>+VLOOKUP(C11,PROPONENTES!B10:N44,12,FALSE)</f>
        <v>1</v>
      </c>
      <c r="D20" s="101">
        <f>+VLOOKUP(C11,PROPONENTES!B10:N44,13,FALSE)</f>
        <v>1</v>
      </c>
      <c r="E20" s="36">
        <f>SUM(E15:E19)</f>
        <v>32054.2258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224</v>
      </c>
      <c r="E24" s="91" t="s">
        <v>224</v>
      </c>
      <c r="F24" s="91" t="s">
        <v>224</v>
      </c>
      <c r="G24" s="91" t="s">
        <v>224</v>
      </c>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636</v>
      </c>
      <c r="E27" s="92" t="s">
        <v>637</v>
      </c>
      <c r="F27" s="92" t="s">
        <v>638</v>
      </c>
      <c r="G27" s="92" t="s">
        <v>639</v>
      </c>
      <c r="H27" s="92"/>
      <c r="I27" s="92"/>
      <c r="J27" s="92"/>
      <c r="K27" s="247"/>
      <c r="L27" s="248"/>
    </row>
    <row r="28" spans="2:14" ht="156.75" customHeight="1" x14ac:dyDescent="0.2">
      <c r="B28" s="277"/>
      <c r="C28" s="26" t="s">
        <v>36</v>
      </c>
      <c r="D28" s="92" t="s">
        <v>640</v>
      </c>
      <c r="E28" s="92" t="s">
        <v>641</v>
      </c>
      <c r="F28" s="92" t="s">
        <v>642</v>
      </c>
      <c r="G28" s="92" t="s">
        <v>643</v>
      </c>
      <c r="H28" s="92"/>
      <c r="I28" s="92"/>
      <c r="J28" s="92"/>
      <c r="K28" s="247"/>
      <c r="L28" s="248"/>
    </row>
    <row r="29" spans="2:14" ht="52.5" customHeight="1" x14ac:dyDescent="0.2">
      <c r="B29" s="277"/>
      <c r="C29" s="26" t="s">
        <v>172</v>
      </c>
      <c r="D29" s="96">
        <v>40239</v>
      </c>
      <c r="E29" s="96">
        <v>41263</v>
      </c>
      <c r="F29" s="96">
        <v>42762</v>
      </c>
      <c r="G29" s="96">
        <v>42907</v>
      </c>
      <c r="H29" s="96"/>
      <c r="I29" s="96"/>
      <c r="J29" s="96"/>
      <c r="K29" s="247"/>
      <c r="L29" s="248"/>
    </row>
    <row r="30" spans="2:14" ht="54.75" customHeight="1" x14ac:dyDescent="0.2">
      <c r="B30" s="277"/>
      <c r="C30" s="26" t="s">
        <v>40</v>
      </c>
      <c r="D30" s="96">
        <v>40756</v>
      </c>
      <c r="E30" s="96">
        <v>41531</v>
      </c>
      <c r="F30" s="96">
        <v>43098</v>
      </c>
      <c r="G30" s="96">
        <v>43817</v>
      </c>
      <c r="H30" s="96"/>
      <c r="I30" s="96"/>
      <c r="J30" s="96"/>
      <c r="K30" s="247"/>
      <c r="L30" s="248"/>
    </row>
    <row r="31" spans="2:14" ht="41.25" customHeight="1" x14ac:dyDescent="0.2">
      <c r="B31" s="277"/>
      <c r="C31" s="26" t="s">
        <v>37</v>
      </c>
      <c r="D31" s="93">
        <v>2011</v>
      </c>
      <c r="E31" s="93">
        <v>2013</v>
      </c>
      <c r="F31" s="93">
        <v>2017</v>
      </c>
      <c r="G31" s="93">
        <v>2019</v>
      </c>
      <c r="H31" s="93"/>
      <c r="I31" s="93"/>
      <c r="J31" s="93"/>
      <c r="K31" s="247"/>
      <c r="L31" s="248"/>
    </row>
    <row r="32" spans="2:14" ht="63" customHeight="1" x14ac:dyDescent="0.2">
      <c r="B32" s="277"/>
      <c r="C32" s="26" t="s">
        <v>38</v>
      </c>
      <c r="D32" s="92" t="s">
        <v>644</v>
      </c>
      <c r="E32" s="92" t="s">
        <v>645</v>
      </c>
      <c r="F32" s="92" t="s">
        <v>645</v>
      </c>
      <c r="G32" s="92" t="s">
        <v>646</v>
      </c>
      <c r="H32" s="92"/>
      <c r="I32" s="92"/>
      <c r="J32" s="92"/>
      <c r="K32" s="247"/>
      <c r="L32" s="248"/>
    </row>
    <row r="33" spans="2:12" ht="46.5" customHeight="1" x14ac:dyDescent="0.2">
      <c r="B33" s="277"/>
      <c r="C33" s="26" t="s">
        <v>39</v>
      </c>
      <c r="D33" s="92" t="s">
        <v>647</v>
      </c>
      <c r="E33" s="92" t="s">
        <v>648</v>
      </c>
      <c r="F33" s="92" t="s">
        <v>649</v>
      </c>
      <c r="G33" s="92" t="s">
        <v>650</v>
      </c>
      <c r="H33" s="92"/>
      <c r="I33" s="92"/>
      <c r="J33" s="92"/>
      <c r="K33" s="247"/>
      <c r="L33" s="248"/>
    </row>
    <row r="34" spans="2:12" ht="27.75" customHeight="1" x14ac:dyDescent="0.2">
      <c r="B34" s="277"/>
      <c r="C34" s="28" t="s">
        <v>33</v>
      </c>
      <c r="D34" s="97">
        <v>6</v>
      </c>
      <c r="E34" s="97">
        <v>7</v>
      </c>
      <c r="F34" s="97">
        <v>43</v>
      </c>
      <c r="G34" s="98">
        <v>55</v>
      </c>
      <c r="H34" s="98"/>
      <c r="I34" s="98"/>
      <c r="J34" s="98"/>
      <c r="K34" s="247"/>
      <c r="L34" s="248"/>
    </row>
    <row r="35" spans="2:12" ht="102.75" customHeight="1" x14ac:dyDescent="0.2">
      <c r="B35" s="277"/>
      <c r="C35" s="26" t="s">
        <v>118</v>
      </c>
      <c r="D35" s="94">
        <v>9908.0499999999993</v>
      </c>
      <c r="E35" s="94">
        <v>8428.94</v>
      </c>
      <c r="F35" s="94">
        <v>15049.82</v>
      </c>
      <c r="G35" s="94">
        <v>3054.67</v>
      </c>
      <c r="H35" s="94"/>
      <c r="I35" s="94"/>
      <c r="J35" s="94"/>
      <c r="K35" s="279"/>
      <c r="L35" s="280"/>
    </row>
    <row r="36" spans="2:12" ht="48" customHeight="1" x14ac:dyDescent="0.2">
      <c r="B36" s="277"/>
      <c r="C36" s="26" t="s">
        <v>74</v>
      </c>
      <c r="D36" s="105">
        <f>IFERROR(D35*VLOOKUP(D31,'DATOS INICIALES'!$A$12:$B$44,2,0),"0")</f>
        <v>5306751580</v>
      </c>
      <c r="E36" s="105">
        <f>IFERROR(E35*VLOOKUP(E31,'DATOS INICIALES'!$A$12:$B$44,2,0),"0")</f>
        <v>4968860130</v>
      </c>
      <c r="F36" s="105">
        <f>IFERROR(F35*VLOOKUP(F31,'DATOS INICIALES'!$A$12:$B$44,2,0),"0")</f>
        <v>11102508060.940001</v>
      </c>
      <c r="G36" s="105">
        <f>IFERROR(G35*VLOOKUP(G31,'DATOS INICIALES'!$A$12:$B$44,2,0),"0")</f>
        <v>2529621101.7200003</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0.7</v>
      </c>
      <c r="E37" s="95">
        <v>0.85</v>
      </c>
      <c r="F37" s="95">
        <v>0.99</v>
      </c>
      <c r="G37" s="95">
        <v>1</v>
      </c>
      <c r="H37" s="95"/>
      <c r="I37" s="95"/>
      <c r="J37" s="95"/>
      <c r="K37" s="247"/>
      <c r="L37" s="248"/>
    </row>
    <row r="38" spans="2:12" ht="48.75" customHeight="1" x14ac:dyDescent="0.2">
      <c r="B38" s="277"/>
      <c r="C38" s="26" t="s">
        <v>125</v>
      </c>
      <c r="D38" s="105">
        <f t="shared" ref="D38:J38" si="3">IF(D24="","0",D37*D36)</f>
        <v>3714726106</v>
      </c>
      <c r="E38" s="105">
        <f t="shared" si="3"/>
        <v>4223531110.5</v>
      </c>
      <c r="F38" s="105">
        <f t="shared" si="3"/>
        <v>10991482980.330601</v>
      </c>
      <c r="G38" s="105">
        <f t="shared" si="3"/>
        <v>2529621101.7200003</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6935.6349999999993</v>
      </c>
      <c r="E39" s="106">
        <f t="shared" si="4"/>
        <v>7164.5990000000002</v>
      </c>
      <c r="F39" s="106">
        <f t="shared" si="4"/>
        <v>14899.3218</v>
      </c>
      <c r="G39" s="106">
        <f t="shared" si="4"/>
        <v>3054.67</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c r="I46" s="91"/>
      <c r="J46" s="91"/>
      <c r="K46" s="247"/>
      <c r="L46" s="248"/>
    </row>
    <row r="47" spans="2:12" ht="24.75" customHeight="1" x14ac:dyDescent="0.2">
      <c r="B47" s="284" t="s">
        <v>34</v>
      </c>
      <c r="C47" s="29">
        <f>+'DATOS INICIALES'!D22</f>
        <v>721033</v>
      </c>
      <c r="D47" s="97" t="s">
        <v>77</v>
      </c>
      <c r="E47" s="97" t="s">
        <v>77</v>
      </c>
      <c r="F47" s="97" t="s">
        <v>77</v>
      </c>
      <c r="G47" s="97" t="s">
        <v>77</v>
      </c>
      <c r="H47" s="97"/>
      <c r="I47" s="97"/>
      <c r="J47" s="98"/>
      <c r="K47" s="247"/>
      <c r="L47" s="248"/>
    </row>
    <row r="48" spans="2:12" ht="24.75" customHeight="1" x14ac:dyDescent="0.2">
      <c r="B48" s="285"/>
      <c r="C48" s="29">
        <f>+'DATOS INICIALES'!D23</f>
        <v>721410</v>
      </c>
      <c r="D48" s="97" t="s">
        <v>77</v>
      </c>
      <c r="E48" s="97" t="s">
        <v>77</v>
      </c>
      <c r="F48" s="97" t="s">
        <v>77</v>
      </c>
      <c r="G48" s="97" t="s">
        <v>77</v>
      </c>
      <c r="H48" s="97"/>
      <c r="I48" s="97"/>
      <c r="J48" s="98"/>
      <c r="K48" s="247"/>
      <c r="L48" s="248"/>
    </row>
    <row r="49" spans="2:12" ht="24.75" customHeight="1" x14ac:dyDescent="0.2">
      <c r="B49" s="285"/>
      <c r="C49" s="29">
        <f>+'DATOS INICIALES'!D24</f>
        <v>721411</v>
      </c>
      <c r="D49" s="97" t="s">
        <v>77</v>
      </c>
      <c r="E49" s="97" t="s">
        <v>77</v>
      </c>
      <c r="F49" s="97" t="s">
        <v>77</v>
      </c>
      <c r="G49" s="97" t="s">
        <v>77</v>
      </c>
      <c r="H49" s="97"/>
      <c r="I49" s="97"/>
      <c r="J49" s="98"/>
      <c r="K49" s="247"/>
      <c r="L49" s="248"/>
    </row>
    <row r="50" spans="2:12" ht="24.75" customHeight="1" x14ac:dyDescent="0.2">
      <c r="B50" s="285"/>
      <c r="C50" s="29">
        <f>+'DATOS INICIALES'!D25</f>
        <v>721416</v>
      </c>
      <c r="D50" s="97" t="s">
        <v>77</v>
      </c>
      <c r="E50" s="97" t="s">
        <v>77</v>
      </c>
      <c r="F50" s="97" t="s">
        <v>77</v>
      </c>
      <c r="G50" s="97" t="s">
        <v>77</v>
      </c>
      <c r="H50" s="97"/>
      <c r="I50" s="97"/>
      <c r="J50" s="98"/>
      <c r="K50" s="247"/>
      <c r="L50" s="248"/>
    </row>
    <row r="51" spans="2:12" ht="24.75" customHeight="1" x14ac:dyDescent="0.2">
      <c r="B51" s="285"/>
      <c r="C51" s="29">
        <f>+'DATOS INICIALES'!D26</f>
        <v>721527</v>
      </c>
      <c r="D51" s="97" t="s">
        <v>77</v>
      </c>
      <c r="E51" s="97" t="s">
        <v>77</v>
      </c>
      <c r="F51" s="97" t="s">
        <v>77</v>
      </c>
      <c r="G51" s="97" t="s">
        <v>77</v>
      </c>
      <c r="H51" s="97"/>
      <c r="I51" s="97"/>
      <c r="J51" s="98"/>
      <c r="K51" s="247"/>
      <c r="L51" s="248"/>
    </row>
    <row r="52" spans="2:12" ht="24.75" customHeight="1" x14ac:dyDescent="0.2">
      <c r="B52" s="285"/>
      <c r="C52" s="29">
        <f>+'DATOS INICIALES'!D27</f>
        <v>721539</v>
      </c>
      <c r="D52" s="97" t="s">
        <v>77</v>
      </c>
      <c r="E52" s="97" t="s">
        <v>77</v>
      </c>
      <c r="F52" s="97" t="s">
        <v>77</v>
      </c>
      <c r="G52" s="97" t="s">
        <v>77</v>
      </c>
      <c r="H52" s="97"/>
      <c r="I52" s="97"/>
      <c r="J52" s="98"/>
      <c r="K52" s="247"/>
      <c r="L52" s="248"/>
    </row>
    <row r="53" spans="2:12" ht="24.75" customHeight="1" x14ac:dyDescent="0.2">
      <c r="B53" s="285"/>
      <c r="C53" s="29">
        <f>+'DATOS INICIALES'!D28</f>
        <v>951115</v>
      </c>
      <c r="D53" s="97" t="s">
        <v>77</v>
      </c>
      <c r="E53" s="97" t="s">
        <v>77</v>
      </c>
      <c r="F53" s="97" t="s">
        <v>77</v>
      </c>
      <c r="G53" s="97" t="s">
        <v>77</v>
      </c>
      <c r="H53" s="97"/>
      <c r="I53" s="97"/>
      <c r="J53" s="97"/>
      <c r="K53" s="247"/>
      <c r="L53" s="248"/>
    </row>
    <row r="54" spans="2:12" ht="24.75" customHeight="1" x14ac:dyDescent="0.2">
      <c r="B54" s="285"/>
      <c r="C54" s="29">
        <f>+'DATOS INICIALES'!D29</f>
        <v>721033</v>
      </c>
      <c r="D54" s="97" t="s">
        <v>77</v>
      </c>
      <c r="E54" s="97" t="s">
        <v>77</v>
      </c>
      <c r="F54" s="97" t="s">
        <v>77</v>
      </c>
      <c r="G54" s="97" t="s">
        <v>77</v>
      </c>
      <c r="H54" s="97"/>
      <c r="I54" s="97"/>
      <c r="J54" s="97"/>
      <c r="K54" s="247"/>
      <c r="L54" s="248"/>
    </row>
    <row r="55" spans="2:12" ht="60.75" customHeight="1" x14ac:dyDescent="0.2">
      <c r="B55" s="286"/>
      <c r="C55" s="18" t="s">
        <v>57</v>
      </c>
      <c r="D55" s="18" t="str">
        <f t="shared" ref="D55:G55" si="9">IF(D24="","N/A",IF(D47="SI","CUMPLE",IF(D48="SI","CUMPLE",IF(D49="SI","CUMPLE",IF(D50="SI","CUMPLE",IF(D51="SI","CUMPLE",IF(D52="SI","CUMPLE",IF(D54="SI","CUMPLE","NO CUMPLE"))))))))</f>
        <v>CUMPLE</v>
      </c>
      <c r="E55" s="18" t="str">
        <f t="shared" si="9"/>
        <v>CUMPLE</v>
      </c>
      <c r="F55" s="18" t="str">
        <f>IF(F24="","N/A",IF(F47="SI","CUMPLE",IF(F48="SI","CUMPLE",IF(F49="SI","CUMPLE",IF(F50="SI","CUMPLE",IF(F51="SI","CUMPLE",IF(F52="SI","CUMPLE",IF(F54="SI","CUMPLE","NO CUMPLE"))))))))</f>
        <v>CUMPLE</v>
      </c>
      <c r="G55" s="18" t="str">
        <f t="shared" si="9"/>
        <v>CUMPLE</v>
      </c>
      <c r="H55" s="18" t="str">
        <f t="shared" ref="H55:J55" si="10">IF(H24="","N/A",IF(H47="SI","CUMPLE",IF(H48="SI","CUMPLE",IF(H49="SI","CUMPLE",IF(H50="SI","CUMPLE",IF(H51="SI","CUMPLE",IF(H52="SI","CUMPLE",IF(H54="SI","CUMPLE","NO CUMPLE"))))))))</f>
        <v>N/A</v>
      </c>
      <c r="I55" s="18" t="str">
        <f t="shared" si="10"/>
        <v>N/A</v>
      </c>
      <c r="J55" s="18" t="str">
        <f t="shared" si="10"/>
        <v>N/A</v>
      </c>
      <c r="K55" s="247"/>
      <c r="L55" s="248"/>
    </row>
    <row r="56" spans="2:12" ht="147.5" customHeight="1" x14ac:dyDescent="0.2">
      <c r="B56" s="287" t="s">
        <v>189</v>
      </c>
      <c r="C56" s="288"/>
      <c r="D56" s="91" t="s">
        <v>13</v>
      </c>
      <c r="E56" s="91" t="s">
        <v>13</v>
      </c>
      <c r="F56" s="91" t="s">
        <v>13</v>
      </c>
      <c r="G56" s="91" t="s">
        <v>13</v>
      </c>
      <c r="H56" s="91"/>
      <c r="I56" s="91"/>
      <c r="J56" s="91"/>
      <c r="K56" s="257"/>
      <c r="L56" s="258"/>
    </row>
    <row r="57" spans="2:12" ht="103.25" customHeight="1" x14ac:dyDescent="0.2">
      <c r="B57" s="287" t="s">
        <v>190</v>
      </c>
      <c r="C57" s="288"/>
      <c r="D57" s="91" t="s">
        <v>13</v>
      </c>
      <c r="E57" s="91" t="s">
        <v>13</v>
      </c>
      <c r="F57" s="91" t="s">
        <v>13</v>
      </c>
      <c r="G57" s="91" t="s">
        <v>13</v>
      </c>
      <c r="H57" s="91"/>
      <c r="I57" s="91"/>
      <c r="J57" s="91"/>
      <c r="K57" s="257"/>
      <c r="L57" s="258"/>
    </row>
    <row r="58" spans="2:12" ht="72" customHeight="1" x14ac:dyDescent="0.2">
      <c r="B58" s="281" t="s">
        <v>191</v>
      </c>
      <c r="C58" s="282"/>
      <c r="D58" s="91" t="s">
        <v>13</v>
      </c>
      <c r="E58" s="91" t="s">
        <v>13</v>
      </c>
      <c r="F58" s="91" t="s">
        <v>13</v>
      </c>
      <c r="G58" s="91" t="s">
        <v>13</v>
      </c>
      <c r="H58" s="91"/>
      <c r="I58" s="91"/>
      <c r="J58" s="91"/>
      <c r="K58" s="247"/>
      <c r="L58" s="248"/>
    </row>
    <row r="59" spans="2:12" ht="42.5" customHeight="1" x14ac:dyDescent="0.2">
      <c r="B59" s="281" t="s">
        <v>192</v>
      </c>
      <c r="C59" s="282"/>
      <c r="D59" s="91" t="s">
        <v>13</v>
      </c>
      <c r="E59" s="91" t="s">
        <v>13</v>
      </c>
      <c r="F59" s="91" t="s">
        <v>13</v>
      </c>
      <c r="G59" s="91" t="s">
        <v>13</v>
      </c>
      <c r="H59" s="91"/>
      <c r="I59" s="91"/>
      <c r="J59" s="91"/>
      <c r="K59" s="247"/>
      <c r="L59" s="248"/>
    </row>
    <row r="60" spans="2:12" ht="36" customHeight="1" x14ac:dyDescent="0.2">
      <c r="B60" s="281" t="s">
        <v>193</v>
      </c>
      <c r="C60" s="282"/>
      <c r="D60" s="91" t="s">
        <v>13</v>
      </c>
      <c r="E60" s="91" t="s">
        <v>13</v>
      </c>
      <c r="F60" s="91" t="s">
        <v>13</v>
      </c>
      <c r="G60" s="91" t="s">
        <v>13</v>
      </c>
      <c r="H60" s="91"/>
      <c r="I60" s="91"/>
      <c r="J60" s="91"/>
      <c r="K60" s="247"/>
      <c r="L60" s="248"/>
    </row>
    <row r="61" spans="2:12" ht="160.75" customHeight="1" x14ac:dyDescent="0.2">
      <c r="B61" s="281" t="s">
        <v>194</v>
      </c>
      <c r="C61" s="282"/>
      <c r="D61" s="91" t="s">
        <v>12</v>
      </c>
      <c r="E61" s="91" t="s">
        <v>12</v>
      </c>
      <c r="F61" s="91" t="s">
        <v>12</v>
      </c>
      <c r="G61" s="91" t="s">
        <v>12</v>
      </c>
      <c r="H61" s="91"/>
      <c r="I61" s="91"/>
      <c r="J61" s="91"/>
      <c r="K61" s="247"/>
      <c r="L61" s="248"/>
    </row>
    <row r="62" spans="2:12" ht="409.25" customHeight="1" x14ac:dyDescent="0.2">
      <c r="B62" s="261" t="s">
        <v>195</v>
      </c>
      <c r="C62" s="261"/>
      <c r="D62" s="91" t="s">
        <v>13</v>
      </c>
      <c r="E62" s="91" t="s">
        <v>13</v>
      </c>
      <c r="F62" s="91" t="s">
        <v>13</v>
      </c>
      <c r="G62" s="91" t="s">
        <v>13</v>
      </c>
      <c r="H62" s="91"/>
      <c r="I62" s="91"/>
      <c r="J62" s="91"/>
      <c r="K62" s="279"/>
      <c r="L62" s="280"/>
    </row>
    <row r="63" spans="2:12" ht="301.75" customHeight="1" x14ac:dyDescent="0.2">
      <c r="B63" s="262" t="s">
        <v>196</v>
      </c>
      <c r="C63" s="263"/>
      <c r="D63" s="91" t="s">
        <v>13</v>
      </c>
      <c r="E63" s="91" t="s">
        <v>13</v>
      </c>
      <c r="F63" s="91" t="s">
        <v>13</v>
      </c>
      <c r="G63" s="91" t="s">
        <v>12</v>
      </c>
      <c r="H63" s="91"/>
      <c r="I63" s="91"/>
      <c r="J63" s="91"/>
      <c r="K63" s="247"/>
      <c r="L63" s="248"/>
    </row>
    <row r="64" spans="2:12" ht="253.75" customHeight="1" x14ac:dyDescent="0.2">
      <c r="B64" s="283" t="s">
        <v>197</v>
      </c>
      <c r="C64" s="283"/>
      <c r="D64" s="91" t="s">
        <v>12</v>
      </c>
      <c r="E64" s="91" t="s">
        <v>12</v>
      </c>
      <c r="F64" s="91" t="s">
        <v>12</v>
      </c>
      <c r="G64" s="91" t="s">
        <v>12</v>
      </c>
      <c r="H64" s="91"/>
      <c r="I64" s="91"/>
      <c r="J64" s="91"/>
      <c r="K64" s="247"/>
      <c r="L64" s="248"/>
    </row>
    <row r="65" spans="2:12" ht="243.5" customHeight="1" x14ac:dyDescent="0.2">
      <c r="B65" s="261" t="s">
        <v>198</v>
      </c>
      <c r="C65" s="261"/>
      <c r="D65" s="91" t="s">
        <v>13</v>
      </c>
      <c r="E65" s="91" t="s">
        <v>13</v>
      </c>
      <c r="F65" s="91" t="s">
        <v>13</v>
      </c>
      <c r="G65" s="91" t="s">
        <v>13</v>
      </c>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IF(F24="","N/A",IF(AND(F46="CUMPLE",F55="CUMPLE",F56="CUMPLE",F57="CUMPLE",F58="CUMPLE",F59="CUMPLE",OR(F61="CUMPLE",F61="N/A"),F62="CUMPLE",OR(F63="CUMPLE",F63="N/A"),F65="CUMPLE",OR(F64="CUMPLE",F64="N/A")),"CUMPLE","NO CUMPLE"))</f>
        <v>CUMPLE</v>
      </c>
      <c r="G66" s="18" t="str">
        <f t="shared" ref="G66" si="11">IF(G24="","N/A",IF(AND(G46="CUMPLE",G55="CUMPLE",G56="CUMPLE",G57="CUMPLE",G58="CUMPLE",G59="CUMPLE",OR(G61="CUMPLE",G61="N/A"),G62="CUMPLE",OR(G63="CUMPLE",G63="N/A"),G65="CUMPLE",OR(G64="CUMPLE",G64="N/A")),"CUMPLE","NO CUMPLE"))</f>
        <v>CUMPLE</v>
      </c>
      <c r="H66" s="18" t="str">
        <f t="shared" ref="H66:J66" si="12">IF(H24="","N/A",IF(AND(H46="CUMPLE",H55="CUMPLE",H56="CUMPLE",H57="CUMPLE",H58="CUMPLE",H59="CUMPLE",OR(H61="CUMPLE",H61="N/A"),H62="CUMPLE",OR(H63="CUMPLE",H63="N/A"),H65="CUMPLE",OR(H64="CUMPLE",H64="N/A")),"CUMPLE","NO CUMPLE"))</f>
        <v>N/A</v>
      </c>
      <c r="I66" s="18" t="str">
        <f t="shared" si="12"/>
        <v>N/A</v>
      </c>
      <c r="J66" s="18" t="str">
        <f t="shared" si="12"/>
        <v>N/A</v>
      </c>
      <c r="K66" s="147"/>
      <c r="L66" s="148"/>
    </row>
    <row r="67" spans="2:12" ht="54.5" customHeight="1" x14ac:dyDescent="0.2">
      <c r="B67" s="261" t="s">
        <v>188</v>
      </c>
      <c r="C67" s="261"/>
      <c r="D67" s="91" t="s">
        <v>13</v>
      </c>
      <c r="E67" s="91" t="s">
        <v>13</v>
      </c>
      <c r="F67" s="91" t="s">
        <v>13</v>
      </c>
      <c r="G67" s="91" t="s">
        <v>13</v>
      </c>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368" priority="24">
      <formula>NOT(ISERROR(D25))</formula>
    </cfRule>
    <cfRule type="containsBlanks" dxfId="367" priority="23">
      <formula>LEN(TRIM(D25))=0</formula>
    </cfRule>
  </conditionalFormatting>
  <conditionalFormatting sqref="D34:J34 D24:K24">
    <cfRule type="containsBlanks" dxfId="366" priority="25">
      <formula>LEN(TRIM(D24))=0</formula>
    </cfRule>
  </conditionalFormatting>
  <conditionalFormatting sqref="D37:J37">
    <cfRule type="notContainsErrors" dxfId="365" priority="22">
      <formula>NOT(ISERROR(D37))</formula>
    </cfRule>
    <cfRule type="containsBlanks" dxfId="364" priority="21">
      <formula>LEN(TRIM(D37))=0</formula>
    </cfRule>
  </conditionalFormatting>
  <conditionalFormatting sqref="D40:J40">
    <cfRule type="containsBlanks" dxfId="363" priority="39">
      <formula>LEN(TRIM(D40))=0</formula>
    </cfRule>
    <cfRule type="notContainsErrors" dxfId="362" priority="40">
      <formula>NOT(ISERROR(D40))</formula>
    </cfRule>
  </conditionalFormatting>
  <conditionalFormatting sqref="D43:J43 K66:L66">
    <cfRule type="containsBlanks" dxfId="361" priority="49">
      <formula>LEN(TRIM(D43))=0</formula>
    </cfRule>
    <cfRule type="notContainsErrors" dxfId="360" priority="50">
      <formula>NOT(ISERROR(D43))</formula>
    </cfRule>
  </conditionalFormatting>
  <conditionalFormatting sqref="D46:J54">
    <cfRule type="cellIs" dxfId="359" priority="9" operator="equal">
      <formula>"NO CUMPLE"</formula>
    </cfRule>
    <cfRule type="cellIs" dxfId="358" priority="10" operator="equal">
      <formula>"CUMPLE"</formula>
    </cfRule>
    <cfRule type="containsBlanks" dxfId="357" priority="11">
      <formula>LEN(TRIM(D46))=0</formula>
    </cfRule>
    <cfRule type="notContainsErrors" dxfId="356" priority="12">
      <formula>NOT(ISERROR(D46))</formula>
    </cfRule>
  </conditionalFormatting>
  <conditionalFormatting sqref="D55:J55">
    <cfRule type="cellIs" dxfId="355" priority="17" operator="equal">
      <formula>"N/A"</formula>
    </cfRule>
    <cfRule type="cellIs" dxfId="354" priority="18" operator="equal">
      <formula>"CUMPLE"</formula>
    </cfRule>
    <cfRule type="cellIs" dxfId="353" priority="19" operator="equal">
      <formula>"NO CUMPLE"</formula>
    </cfRule>
    <cfRule type="cellIs" dxfId="352" priority="20" operator="equal">
      <formula>"""CUMPLE"""</formula>
    </cfRule>
  </conditionalFormatting>
  <conditionalFormatting sqref="D56:J65">
    <cfRule type="containsBlanks" dxfId="351" priority="7">
      <formula>LEN(TRIM(D56))=0</formula>
    </cfRule>
    <cfRule type="notContainsErrors" dxfId="350" priority="8">
      <formula>NOT(ISERROR(D56))</formula>
    </cfRule>
    <cfRule type="cellIs" dxfId="349" priority="6" operator="equal">
      <formula>"CUMPLE"</formula>
    </cfRule>
    <cfRule type="cellIs" dxfId="348" priority="5" operator="equal">
      <formula>"NO CUMPLE"</formula>
    </cfRule>
  </conditionalFormatting>
  <conditionalFormatting sqref="D66:J66">
    <cfRule type="cellIs" dxfId="347" priority="14" operator="equal">
      <formula>"CUMPLE"</formula>
    </cfRule>
    <cfRule type="cellIs" dxfId="346" priority="15" operator="equal">
      <formula>"NO CUMPLE"</formula>
    </cfRule>
    <cfRule type="cellIs" dxfId="345" priority="16" operator="equal">
      <formula>"""CUMPLE"""</formula>
    </cfRule>
    <cfRule type="cellIs" dxfId="344" priority="13" operator="equal">
      <formula>"N/A"</formula>
    </cfRule>
  </conditionalFormatting>
  <conditionalFormatting sqref="D67:J67">
    <cfRule type="cellIs" dxfId="343" priority="1" operator="equal">
      <formula>"NO CUMPLE"</formula>
    </cfRule>
    <cfRule type="cellIs" dxfId="342" priority="2" operator="equal">
      <formula>"CUMPLE"</formula>
    </cfRule>
  </conditionalFormatting>
  <conditionalFormatting sqref="D24:K24 D34:J34">
    <cfRule type="notContainsErrors" dxfId="341" priority="26">
      <formula>NOT(ISERROR(D24))</formula>
    </cfRule>
  </conditionalFormatting>
  <conditionalFormatting sqref="D67:K67">
    <cfRule type="notContainsErrors" dxfId="340" priority="4">
      <formula>NOT(ISERROR(D67))</formula>
    </cfRule>
    <cfRule type="containsBlanks" dxfId="339" priority="3">
      <formula>LEN(TRIM(D67))=0</formula>
    </cfRule>
  </conditionalFormatting>
  <conditionalFormatting sqref="F20:H20">
    <cfRule type="cellIs" dxfId="338" priority="65" operator="equal">
      <formula>"CUMPLE"</formula>
    </cfRule>
    <cfRule type="cellIs" dxfId="337" priority="66" operator="equal">
      <formula>"NO CUMPLE"</formula>
    </cfRule>
    <cfRule type="cellIs" dxfId="336" priority="67" operator="equal">
      <formula>"""CUMPLE"""</formula>
    </cfRule>
  </conditionalFormatting>
  <conditionalFormatting sqref="I11">
    <cfRule type="containsText" dxfId="335" priority="68" operator="containsText" text="INHABILITADO">
      <formula>NOT(ISERROR(SEARCH("INHABILITADO",I11)))</formula>
    </cfRule>
    <cfRule type="containsText" dxfId="334" priority="69" operator="containsText" text="HABILITADO">
      <formula>NOT(ISERROR(SEARCH("HABILITADO",I11)))</formula>
    </cfRule>
    <cfRule type="containsText" dxfId="333" priority="70" operator="containsText" text="HABILITADO">
      <formula>NOT(ISERROR(SEARCH("HABILITADO",I11)))</formula>
    </cfRule>
    <cfRule type="containsText" dxfId="332" priority="71" operator="containsText" text="NO CUMPLE">
      <formula>NOT(ISERROR(SEARCH("NO CUMPLE",I11)))</formula>
    </cfRule>
  </conditionalFormatting>
  <conditionalFormatting sqref="K19">
    <cfRule type="cellIs" dxfId="331" priority="56" operator="equal">
      <formula>"CUMPLE"</formula>
    </cfRule>
    <cfRule type="cellIs" dxfId="330" priority="57" operator="equal">
      <formula>"NO CUMPLE"</formula>
    </cfRule>
    <cfRule type="cellIs" dxfId="329" priority="58" operator="equal">
      <formula>"""CUMPLE"""</formula>
    </cfRule>
  </conditionalFormatting>
  <conditionalFormatting sqref="K25:K65">
    <cfRule type="containsBlanks" dxfId="328" priority="47">
      <formula>LEN(TRIM(K25))=0</formula>
    </cfRule>
    <cfRule type="notContainsErrors" dxfId="327" priority="48">
      <formula>NOT(ISERROR(K25))</formula>
    </cfRule>
  </conditionalFormatting>
  <conditionalFormatting sqref="L15">
    <cfRule type="cellIs" dxfId="326" priority="62" operator="equal">
      <formula>"CUMPLE"</formula>
    </cfRule>
    <cfRule type="cellIs" dxfId="325" priority="63" operator="equal">
      <formula>"NO CUMPLE"</formula>
    </cfRule>
    <cfRule type="cellIs" dxfId="324" priority="64" operator="equal">
      <formula>"""CUMPLE"""</formula>
    </cfRule>
  </conditionalFormatting>
  <dataValidations count="3">
    <dataValidation type="list" allowBlank="1" showInputMessage="1" showErrorMessage="1" sqref="D67:I67" xr:uid="{BB86DDAA-0A95-47E9-833D-0F89647CEFA1}">
      <formula1>"CUMPLE,NO CUMPLE"</formula1>
    </dataValidation>
    <dataValidation type="list" allowBlank="1" showInputMessage="1" showErrorMessage="1" sqref="D24:J26" xr:uid="{7ED6A52A-E30A-462A-AB79-868958DA19BE}">
      <formula1>$C$15:$C$19</formula1>
    </dataValidation>
    <dataValidation type="list" allowBlank="1" showInputMessage="1" showErrorMessage="1" sqref="L58:L66" xr:uid="{23A9E377-E97E-40DA-9E8B-FAFD2BDCC53A}">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B4307DD8-D993-4BDE-8630-71F405C8B958}">
          <x14:formula1>
            <xm:f>'DATOS INICIALES'!$A$13:$A$44</xm:f>
          </x14:formula1>
          <xm:sqref>H31:I31</xm:sqref>
        </x14:dataValidation>
        <x14:dataValidation type="list" allowBlank="1" showInputMessage="1" showErrorMessage="1" xr:uid="{1C89A19B-53B8-47E7-800F-098B5F82C87D}">
          <x14:formula1>
            <xm:f>'DATOS INICIALES'!$D$22:$D$26</xm:f>
          </x14:formula1>
          <xm:sqref>M47:M55</xm:sqref>
        </x14:dataValidation>
        <x14:dataValidation type="list" allowBlank="1" showInputMessage="1" showErrorMessage="1" xr:uid="{173D274D-9CF2-43A1-B1BF-D2710EBFDD17}">
          <x14:formula1>
            <xm:f>'DATOS INICIALES'!$A$57:$A$62</xm:f>
          </x14:formula1>
          <xm:sqref>D23:I23</xm:sqref>
        </x14:dataValidation>
        <x14:dataValidation type="list" allowBlank="1" showInputMessage="1" showErrorMessage="1" xr:uid="{77E131AF-29E1-4B10-8633-913796EE493A}">
          <x14:formula1>
            <xm:f>'DATOS INICIALES'!$A$53:$A$55</xm:f>
          </x14:formula1>
          <xm:sqref>H59:J65 H46:J46 J56:J57 H56:I58</xm:sqref>
        </x14:dataValidation>
        <x14:dataValidation type="list" allowBlank="1" showInputMessage="1" showErrorMessage="1" xr:uid="{25F67F57-F71B-4E93-B6F8-ADB096B30471}">
          <x14:formula1>
            <xm:f>'DATOS INICIALES'!$C$48:$C$49</xm:f>
          </x14:formula1>
          <xm:sqref>J47:J52 H47:I54</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3898C-7706-4AEC-AC9B-B8CE9893A43C}">
  <sheetPr>
    <tabColor rgb="FF92D050"/>
  </sheetPr>
  <dimension ref="B1:N82"/>
  <sheetViews>
    <sheetView view="pageBreakPreview" zoomScale="55" zoomScaleNormal="55" zoomScaleSheetLayoutView="55" workbookViewId="0">
      <pane ySplit="11" topLeftCell="A21" activePane="bottomLeft" state="frozenSplit"/>
      <selection activeCell="C11" sqref="C11:G11"/>
      <selection pane="bottomLeft" activeCell="K25" sqref="K25:L25"/>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+PROPONENTES!B36</f>
        <v>OCCIDENTAL DE COLOMBIA SAS</v>
      </c>
      <c r="D11" s="315"/>
      <c r="E11" s="315"/>
      <c r="F11" s="315"/>
      <c r="G11" s="315"/>
      <c r="H11" s="129" t="s">
        <v>174</v>
      </c>
      <c r="I11" s="309" t="str">
        <f>IF(AND(F20="CUMPLE",G20="CUMPLE",H20="CUMPLE",L15="CUMPLE",K19="CUMPLE"),"CUMPLE","NO CUMPLE")</f>
        <v>NO 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OCCIDENTAL DE COLOMBIA SAS</v>
      </c>
      <c r="D15" s="101">
        <f>IF(VLOOKUP(C11,PROPONENTES!B10:N44,3,FALSE)=0,"",VLOOKUP(C11,PROPONENTES!B10:N44,3,FALSE))</f>
        <v>1</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0</v>
      </c>
      <c r="F15" s="103" t="str">
        <f t="shared" ref="F15:F18" si="1">IF(C15="","",IF(E15&gt;=$J$15*0.5,"SI","NO"))</f>
        <v>NO</v>
      </c>
      <c r="G15" s="104" t="str">
        <f t="shared" ref="G15:G17" si="2">IF(C15="","",IF(E15&gt;=$J$15*0.05,"SI",IF(E15=0,"NO APORTA EXPERIENCIA",)))</f>
        <v>NO APORTA EXPERIENCIA</v>
      </c>
      <c r="H15" s="103" t="str">
        <f>IF(C15="","",IF(AND(G15="NO APORTA EXPERIENCIA",D15&lt;=10%),"SI",IF(G15="SI","NO APLICA","NO - PORCENTAJE MAYOR AL 10%")))</f>
        <v>NO - PORCENTAJE MAYOR AL 10%</v>
      </c>
      <c r="I15" s="316">
        <v>1</v>
      </c>
      <c r="J15" s="264">
        <f>IF(AND(I15&gt;=1,I15&lt;=2),L8,IF(AND(I15&gt;=3,I15&lt;=4),L9,IF(AND(I15&gt;=5,I15&lt;=7),L10)))</f>
        <v>11824.948449807693</v>
      </c>
      <c r="K15" s="264">
        <f>+E20</f>
        <v>0</v>
      </c>
      <c r="L15" s="265" t="str">
        <f>IF(K15&gt;=J15,"CUMPLE","NO CUMPLE")</f>
        <v>NO CUMPLE</v>
      </c>
    </row>
    <row r="16" spans="2:12" ht="33.75" customHeight="1" x14ac:dyDescent="0.2">
      <c r="B16" s="273"/>
      <c r="C16" s="100" t="str">
        <f>IF(VLOOKUP(C11,PROPONENTES!B10:N44,4,FALSE)=0,"",VLOOKUP(C11,PROPONENTES!B10:N44,4,FALSE))</f>
        <v/>
      </c>
      <c r="D16" s="101" t="str">
        <f>IF(VLOOKUP(C11,PROPONENTES!B10:N44,5,FALSE)=0,"",VLOOKUP(C11,PROPONENTES!B10:N44,5,FALSE))</f>
        <v/>
      </c>
      <c r="E16" s="102" t="str">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
      </c>
      <c r="F16" s="103" t="str">
        <f t="shared" si="1"/>
        <v/>
      </c>
      <c r="G16" s="104" t="str">
        <f t="shared" si="2"/>
        <v/>
      </c>
      <c r="H16" s="104" t="str">
        <f>IF(C16="","",IF(AND(G16="NO APORTA EXPERIENCIA",D16&lt;=10%),"SI",IF(G16="SI","NO APLICA","NO - PORCENTAJE MAYOR AL 10%")))</f>
        <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24823.47</v>
      </c>
      <c r="J19" s="355">
        <f>IF(I15="","",VLOOKUP(I15,$D$76:$E$82,2,FALSE))</f>
        <v>11824.948449807693</v>
      </c>
      <c r="K19" s="249" t="str">
        <f>IF(I19&gt;=J19,"CUMPLE","NO CUMPLE")</f>
        <v>CUMPLE</v>
      </c>
      <c r="L19" s="250"/>
    </row>
    <row r="20" spans="2:14" ht="84.75" customHeight="1" x14ac:dyDescent="0.2">
      <c r="B20" s="31" t="s">
        <v>61</v>
      </c>
      <c r="C20" s="25">
        <f>+VLOOKUP(C11,PROPONENTES!B10:N44,12,FALSE)</f>
        <v>1</v>
      </c>
      <c r="D20" s="101">
        <f>+VLOOKUP(C11,PROPONENTES!B10:N44,13,FALSE)</f>
        <v>1</v>
      </c>
      <c r="E20" s="36">
        <f>SUM(E15:E19)</f>
        <v>0</v>
      </c>
      <c r="F20" s="18" t="str">
        <f>IF(F15="SI","CUMPLE",IF(F16="SI","CUMPLE",IF(F17="SI","CUMPLE",IF(F18="SI","CUMPLE",IF(F19="SI","CUMPLE","NO CUMPLE")))))</f>
        <v>NO 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NO 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287</v>
      </c>
      <c r="E24" s="91"/>
      <c r="F24" s="91"/>
      <c r="G24" s="91"/>
      <c r="H24" s="91"/>
      <c r="I24" s="91"/>
      <c r="J24" s="91"/>
      <c r="K24" s="362" t="s">
        <v>655</v>
      </c>
      <c r="L24" s="363"/>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651</v>
      </c>
      <c r="E27" s="92"/>
      <c r="F27" s="92"/>
      <c r="G27" s="92"/>
      <c r="H27" s="92"/>
      <c r="I27" s="92"/>
      <c r="J27" s="92"/>
      <c r="K27" s="247"/>
      <c r="L27" s="248"/>
    </row>
    <row r="28" spans="2:14" ht="156.75" customHeight="1" x14ac:dyDescent="0.2">
      <c r="B28" s="277"/>
      <c r="C28" s="26" t="s">
        <v>36</v>
      </c>
      <c r="D28" s="92" t="s">
        <v>652</v>
      </c>
      <c r="E28" s="92"/>
      <c r="F28" s="92"/>
      <c r="G28" s="92"/>
      <c r="H28" s="92"/>
      <c r="I28" s="92"/>
      <c r="J28" s="92"/>
      <c r="K28" s="247"/>
      <c r="L28" s="248"/>
    </row>
    <row r="29" spans="2:14" ht="52.5" customHeight="1" x14ac:dyDescent="0.2">
      <c r="B29" s="277"/>
      <c r="C29" s="26" t="s">
        <v>172</v>
      </c>
      <c r="D29" s="96">
        <v>40455</v>
      </c>
      <c r="E29" s="96"/>
      <c r="F29" s="96"/>
      <c r="G29" s="96"/>
      <c r="H29" s="96"/>
      <c r="I29" s="96"/>
      <c r="J29" s="96"/>
      <c r="K29" s="247"/>
      <c r="L29" s="248"/>
    </row>
    <row r="30" spans="2:14" ht="54.75" customHeight="1" x14ac:dyDescent="0.2">
      <c r="B30" s="277"/>
      <c r="C30" s="26" t="s">
        <v>40</v>
      </c>
      <c r="D30" s="96">
        <v>40539</v>
      </c>
      <c r="E30" s="96"/>
      <c r="F30" s="96"/>
      <c r="G30" s="96"/>
      <c r="H30" s="96"/>
      <c r="I30" s="96"/>
      <c r="J30" s="96"/>
      <c r="K30" s="247"/>
      <c r="L30" s="248"/>
    </row>
    <row r="31" spans="2:14" ht="41.25" customHeight="1" x14ac:dyDescent="0.2">
      <c r="B31" s="277"/>
      <c r="C31" s="26" t="s">
        <v>37</v>
      </c>
      <c r="D31" s="93">
        <v>2010</v>
      </c>
      <c r="E31" s="93"/>
      <c r="F31" s="93"/>
      <c r="G31" s="93"/>
      <c r="H31" s="93"/>
      <c r="I31" s="93"/>
      <c r="J31" s="93"/>
      <c r="K31" s="247"/>
      <c r="L31" s="248"/>
    </row>
    <row r="32" spans="2:14" ht="63" customHeight="1" x14ac:dyDescent="0.2">
      <c r="B32" s="277"/>
      <c r="C32" s="26" t="s">
        <v>38</v>
      </c>
      <c r="D32" s="92" t="s">
        <v>653</v>
      </c>
      <c r="E32" s="92"/>
      <c r="F32" s="92"/>
      <c r="G32" s="92"/>
      <c r="H32" s="92"/>
      <c r="I32" s="92"/>
      <c r="J32" s="92"/>
      <c r="K32" s="247"/>
      <c r="L32" s="248"/>
    </row>
    <row r="33" spans="2:12" ht="46.5" customHeight="1" x14ac:dyDescent="0.2">
      <c r="B33" s="277"/>
      <c r="C33" s="26" t="s">
        <v>39</v>
      </c>
      <c r="D33" s="92" t="s">
        <v>654</v>
      </c>
      <c r="E33" s="92"/>
      <c r="F33" s="92"/>
      <c r="G33" s="92"/>
      <c r="H33" s="92"/>
      <c r="I33" s="92"/>
      <c r="J33" s="92"/>
      <c r="K33" s="247"/>
      <c r="L33" s="248"/>
    </row>
    <row r="34" spans="2:12" ht="27.75" customHeight="1" x14ac:dyDescent="0.2">
      <c r="B34" s="277"/>
      <c r="C34" s="28" t="s">
        <v>33</v>
      </c>
      <c r="D34" s="97">
        <v>40</v>
      </c>
      <c r="E34" s="97"/>
      <c r="F34" s="97"/>
      <c r="G34" s="98"/>
      <c r="H34" s="98"/>
      <c r="I34" s="98"/>
      <c r="J34" s="98"/>
      <c r="K34" s="247"/>
      <c r="L34" s="248"/>
    </row>
    <row r="35" spans="2:12" ht="102.75" customHeight="1" x14ac:dyDescent="0.2">
      <c r="B35" s="277"/>
      <c r="C35" s="26" t="s">
        <v>118</v>
      </c>
      <c r="D35" s="94">
        <v>24823.47</v>
      </c>
      <c r="E35" s="94"/>
      <c r="F35" s="94"/>
      <c r="G35" s="94"/>
      <c r="H35" s="94"/>
      <c r="I35" s="94"/>
      <c r="J35" s="94"/>
      <c r="K35" s="279"/>
      <c r="L35" s="280"/>
    </row>
    <row r="36" spans="2:12" ht="48" customHeight="1" x14ac:dyDescent="0.2">
      <c r="B36" s="277"/>
      <c r="C36" s="26" t="s">
        <v>74</v>
      </c>
      <c r="D36" s="105">
        <f>IFERROR(D35*VLOOKUP(D31,'DATOS INICIALES'!$A$12:$B$44,2,0),"0")</f>
        <v>12784087050</v>
      </c>
      <c r="E36" s="105" t="str">
        <f>IFERROR(E35*VLOOKUP(E31,'DATOS INICIALES'!$A$12:$B$44,2,0),"0")</f>
        <v>0</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1</v>
      </c>
      <c r="E37" s="95"/>
      <c r="F37" s="95"/>
      <c r="G37" s="95"/>
      <c r="H37" s="95"/>
      <c r="I37" s="95"/>
      <c r="J37" s="95"/>
      <c r="K37" s="247"/>
      <c r="L37" s="248"/>
    </row>
    <row r="38" spans="2:12" ht="48.75" customHeight="1" x14ac:dyDescent="0.2">
      <c r="B38" s="277"/>
      <c r="C38" s="26" t="s">
        <v>125</v>
      </c>
      <c r="D38" s="105">
        <f t="shared" ref="D38:J38" si="3">IF(D24="","0",D37*D36)</f>
        <v>12784087050</v>
      </c>
      <c r="E38" s="105" t="str">
        <f t="shared" si="3"/>
        <v>0</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24823.47</v>
      </c>
      <c r="E39" s="106">
        <f t="shared" si="4"/>
        <v>0</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c r="F46" s="91"/>
      <c r="G46" s="91"/>
      <c r="H46" s="91"/>
      <c r="I46" s="91"/>
      <c r="J46" s="91"/>
      <c r="K46" s="247"/>
      <c r="L46" s="248"/>
    </row>
    <row r="47" spans="2:12" ht="24.75" customHeight="1" x14ac:dyDescent="0.2">
      <c r="B47" s="284" t="s">
        <v>34</v>
      </c>
      <c r="C47" s="29">
        <f>+'DATOS INICIALES'!D22</f>
        <v>721033</v>
      </c>
      <c r="D47" s="97" t="s">
        <v>77</v>
      </c>
      <c r="E47" s="97"/>
      <c r="F47" s="97"/>
      <c r="G47" s="97"/>
      <c r="H47" s="97"/>
      <c r="I47" s="97"/>
      <c r="J47" s="98"/>
      <c r="K47" s="247"/>
      <c r="L47" s="248"/>
    </row>
    <row r="48" spans="2:12" ht="24.75" customHeight="1" x14ac:dyDescent="0.2">
      <c r="B48" s="285"/>
      <c r="C48" s="29">
        <f>+'DATOS INICIALES'!D23</f>
        <v>721410</v>
      </c>
      <c r="D48" s="97" t="s">
        <v>77</v>
      </c>
      <c r="E48" s="97"/>
      <c r="F48" s="97"/>
      <c r="G48" s="97"/>
      <c r="H48" s="97"/>
      <c r="I48" s="97"/>
      <c r="J48" s="98"/>
      <c r="K48" s="247"/>
      <c r="L48" s="248"/>
    </row>
    <row r="49" spans="2:12" ht="24.75" customHeight="1" x14ac:dyDescent="0.2">
      <c r="B49" s="285"/>
      <c r="C49" s="29">
        <f>+'DATOS INICIALES'!D24</f>
        <v>721411</v>
      </c>
      <c r="D49" s="97" t="s">
        <v>77</v>
      </c>
      <c r="E49" s="97"/>
      <c r="F49" s="97"/>
      <c r="G49" s="97"/>
      <c r="H49" s="97"/>
      <c r="I49" s="97"/>
      <c r="J49" s="98"/>
      <c r="K49" s="247"/>
      <c r="L49" s="248"/>
    </row>
    <row r="50" spans="2:12" ht="24.75" customHeight="1" x14ac:dyDescent="0.2">
      <c r="B50" s="285"/>
      <c r="C50" s="29">
        <f>+'DATOS INICIALES'!D25</f>
        <v>721416</v>
      </c>
      <c r="D50" s="97" t="s">
        <v>77</v>
      </c>
      <c r="E50" s="97"/>
      <c r="F50" s="97"/>
      <c r="G50" s="97"/>
      <c r="H50" s="97"/>
      <c r="I50" s="97"/>
      <c r="J50" s="98"/>
      <c r="K50" s="247"/>
      <c r="L50" s="248"/>
    </row>
    <row r="51" spans="2:12" ht="24.75" customHeight="1" x14ac:dyDescent="0.2">
      <c r="B51" s="285"/>
      <c r="C51" s="29">
        <f>+'DATOS INICIALES'!D26</f>
        <v>721527</v>
      </c>
      <c r="D51" s="97" t="s">
        <v>77</v>
      </c>
      <c r="E51" s="97"/>
      <c r="F51" s="97"/>
      <c r="G51" s="97"/>
      <c r="H51" s="97"/>
      <c r="I51" s="97"/>
      <c r="J51" s="98"/>
      <c r="K51" s="247"/>
      <c r="L51" s="248"/>
    </row>
    <row r="52" spans="2:12" ht="24.75" customHeight="1" x14ac:dyDescent="0.2">
      <c r="B52" s="285"/>
      <c r="C52" s="29">
        <f>+'DATOS INICIALES'!D27</f>
        <v>721539</v>
      </c>
      <c r="D52" s="97" t="s">
        <v>75</v>
      </c>
      <c r="E52" s="97"/>
      <c r="F52" s="97"/>
      <c r="G52" s="97"/>
      <c r="H52" s="97"/>
      <c r="I52" s="97"/>
      <c r="J52" s="98"/>
      <c r="K52" s="247"/>
      <c r="L52" s="248"/>
    </row>
    <row r="53" spans="2:12" ht="24.75" customHeight="1" x14ac:dyDescent="0.2">
      <c r="B53" s="285"/>
      <c r="C53" s="29">
        <f>+'DATOS INICIALES'!D28</f>
        <v>951115</v>
      </c>
      <c r="D53" s="97" t="s">
        <v>77</v>
      </c>
      <c r="E53" s="97"/>
      <c r="F53" s="97"/>
      <c r="G53" s="97"/>
      <c r="H53" s="97"/>
      <c r="I53" s="97"/>
      <c r="J53" s="97"/>
      <c r="K53" s="247"/>
      <c r="L53" s="248"/>
    </row>
    <row r="54" spans="2:12" ht="24.75" customHeight="1" x14ac:dyDescent="0.2">
      <c r="B54" s="285"/>
      <c r="C54" s="29">
        <f>+'DATOS INICIALES'!D29</f>
        <v>721033</v>
      </c>
      <c r="D54" s="97" t="s">
        <v>77</v>
      </c>
      <c r="E54" s="97"/>
      <c r="F54" s="97"/>
      <c r="G54" s="97"/>
      <c r="H54" s="97"/>
      <c r="I54" s="97"/>
      <c r="J54" s="97"/>
      <c r="K54" s="247"/>
      <c r="L54" s="248"/>
    </row>
    <row r="55" spans="2:12" ht="60.75" customHeight="1" x14ac:dyDescent="0.2">
      <c r="B55" s="286"/>
      <c r="C55" s="18" t="s">
        <v>57</v>
      </c>
      <c r="D55" s="18" t="str">
        <f t="shared" ref="D55" si="9">IF(D24="","N/A",IF(D47="SI","CUMPLE",IF(D48="SI","CUMPLE",IF(D49="SI","CUMPLE",IF(D50="SI","CUMPLE",IF(D51="SI","CUMPLE",IF(D52="SI","CUMPLE",IF(D54="SI","CUMPLE","NO CUMPLE"))))))))</f>
        <v>CUMPLE</v>
      </c>
      <c r="E55" s="18" t="str">
        <f t="shared" ref="E55:J55" si="10">IF(E24="","N/A",IF(E47="SI","CUMPLE",IF(E48="SI","CUMPLE",IF(E49="SI","CUMPLE",IF(E50="SI","CUMPLE",IF(E51="SI","CUMPLE",IF(E52="SI","CUMPLE",IF(E54="SI","CUMPLE","NO CUMPLE"))))))))</f>
        <v>N/A</v>
      </c>
      <c r="F55" s="18" t="str">
        <f t="shared" si="10"/>
        <v>N/A</v>
      </c>
      <c r="G55" s="18" t="str">
        <f t="shared" si="10"/>
        <v>N/A</v>
      </c>
      <c r="H55" s="18" t="str">
        <f t="shared" si="10"/>
        <v>N/A</v>
      </c>
      <c r="I55" s="18" t="str">
        <f t="shared" si="10"/>
        <v>N/A</v>
      </c>
      <c r="J55" s="18" t="str">
        <f t="shared" si="10"/>
        <v>N/A</v>
      </c>
      <c r="K55" s="247"/>
      <c r="L55" s="248"/>
    </row>
    <row r="56" spans="2:12" ht="147.5" customHeight="1" x14ac:dyDescent="0.2">
      <c r="B56" s="287" t="s">
        <v>189</v>
      </c>
      <c r="C56" s="288"/>
      <c r="D56" s="91" t="s">
        <v>14</v>
      </c>
      <c r="E56" s="91"/>
      <c r="F56" s="91"/>
      <c r="G56" s="91"/>
      <c r="H56" s="91"/>
      <c r="I56" s="91"/>
      <c r="J56" s="91"/>
      <c r="K56" s="257"/>
      <c r="L56" s="258"/>
    </row>
    <row r="57" spans="2:12" ht="103.25" customHeight="1" x14ac:dyDescent="0.2">
      <c r="B57" s="287" t="s">
        <v>190</v>
      </c>
      <c r="C57" s="288"/>
      <c r="D57" s="91" t="s">
        <v>13</v>
      </c>
      <c r="E57" s="91"/>
      <c r="F57" s="91"/>
      <c r="G57" s="91"/>
      <c r="H57" s="91"/>
      <c r="I57" s="91"/>
      <c r="J57" s="91"/>
      <c r="K57" s="257"/>
      <c r="L57" s="258"/>
    </row>
    <row r="58" spans="2:12" ht="72" customHeight="1" x14ac:dyDescent="0.2">
      <c r="B58" s="281" t="s">
        <v>191</v>
      </c>
      <c r="C58" s="282"/>
      <c r="D58" s="91" t="s">
        <v>13</v>
      </c>
      <c r="E58" s="91"/>
      <c r="F58" s="91"/>
      <c r="G58" s="91"/>
      <c r="H58" s="91"/>
      <c r="I58" s="91"/>
      <c r="J58" s="91"/>
      <c r="K58" s="247"/>
      <c r="L58" s="248"/>
    </row>
    <row r="59" spans="2:12" ht="42.5" customHeight="1" x14ac:dyDescent="0.2">
      <c r="B59" s="281" t="s">
        <v>192</v>
      </c>
      <c r="C59" s="282"/>
      <c r="D59" s="91" t="s">
        <v>13</v>
      </c>
      <c r="E59" s="91"/>
      <c r="F59" s="91"/>
      <c r="G59" s="91"/>
      <c r="H59" s="91"/>
      <c r="I59" s="91"/>
      <c r="J59" s="91"/>
      <c r="K59" s="247"/>
      <c r="L59" s="248"/>
    </row>
    <row r="60" spans="2:12" ht="36" customHeight="1" x14ac:dyDescent="0.2">
      <c r="B60" s="281" t="s">
        <v>193</v>
      </c>
      <c r="C60" s="282"/>
      <c r="D60" s="91" t="s">
        <v>13</v>
      </c>
      <c r="E60" s="91"/>
      <c r="F60" s="91"/>
      <c r="G60" s="91"/>
      <c r="H60" s="91"/>
      <c r="I60" s="91"/>
      <c r="J60" s="91"/>
      <c r="K60" s="247"/>
      <c r="L60" s="248"/>
    </row>
    <row r="61" spans="2:12" ht="160.75" customHeight="1" x14ac:dyDescent="0.2">
      <c r="B61" s="281" t="s">
        <v>194</v>
      </c>
      <c r="C61" s="282"/>
      <c r="D61" s="91" t="s">
        <v>12</v>
      </c>
      <c r="E61" s="91"/>
      <c r="F61" s="91"/>
      <c r="G61" s="91"/>
      <c r="H61" s="91"/>
      <c r="I61" s="91"/>
      <c r="J61" s="91"/>
      <c r="K61" s="247"/>
      <c r="L61" s="248"/>
    </row>
    <row r="62" spans="2:12" ht="409.25" customHeight="1" x14ac:dyDescent="0.2">
      <c r="B62" s="261" t="s">
        <v>195</v>
      </c>
      <c r="C62" s="261"/>
      <c r="D62" s="91" t="s">
        <v>13</v>
      </c>
      <c r="E62" s="91"/>
      <c r="F62" s="91"/>
      <c r="G62" s="91"/>
      <c r="H62" s="91"/>
      <c r="I62" s="91"/>
      <c r="J62" s="91"/>
      <c r="K62" s="279"/>
      <c r="L62" s="280"/>
    </row>
    <row r="63" spans="2:12" ht="301.75" customHeight="1" x14ac:dyDescent="0.2">
      <c r="B63" s="262" t="s">
        <v>196</v>
      </c>
      <c r="C63" s="263"/>
      <c r="D63" s="91" t="s">
        <v>12</v>
      </c>
      <c r="E63" s="91"/>
      <c r="F63" s="91"/>
      <c r="G63" s="91"/>
      <c r="H63" s="91"/>
      <c r="I63" s="91"/>
      <c r="J63" s="91"/>
      <c r="K63" s="247"/>
      <c r="L63" s="248"/>
    </row>
    <row r="64" spans="2:12" ht="253.75" customHeight="1" x14ac:dyDescent="0.2">
      <c r="B64" s="283" t="s">
        <v>197</v>
      </c>
      <c r="C64" s="283"/>
      <c r="D64" s="91" t="s">
        <v>12</v>
      </c>
      <c r="E64" s="91"/>
      <c r="F64" s="91"/>
      <c r="G64" s="91"/>
      <c r="H64" s="91"/>
      <c r="I64" s="91"/>
      <c r="J64" s="91"/>
      <c r="K64" s="247"/>
      <c r="L64" s="248"/>
    </row>
    <row r="65" spans="2:12" ht="243.5" customHeight="1" x14ac:dyDescent="0.2">
      <c r="B65" s="261" t="s">
        <v>198</v>
      </c>
      <c r="C65" s="261"/>
      <c r="D65" s="91" t="s">
        <v>14</v>
      </c>
      <c r="E65" s="91"/>
      <c r="F65" s="91"/>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NO CUMPLE</v>
      </c>
      <c r="E66" s="18" t="str">
        <f>IF(E24="","N/A",IF(AND(E46="CUMPLE",E55="CUMPLE",E56="CUMPLE",E57="CUMPLE",E58="CUMPLE",E59="CUMPLE",OR(E61="CUMPLE",E61="N/A"),E62="CUMPLE",OR(E63="CUMPLE",E63="N/A"),E65="CUMPLE",OR(E64="CUMPLE",E64="N/A")),"CUMPLE","NO CUMPLE"))</f>
        <v>N/A</v>
      </c>
      <c r="F66" s="18" t="str">
        <f t="shared" ref="F66:J66" si="11">IF(F24="","N/A",IF(AND(F46="CUMPLE",F55="CUMPLE",F56="CUMPLE",F57="CUMPLE",F58="CUMPLE",F59="CUMPLE",OR(F61="CUMPLE",F61="N/A"),F62="CUMPLE",OR(F63="CUMPLE",F63="N/A"),F65="CUMPLE",OR(F64="CUMPLE",F64="N/A")),"CUMPLE","NO CUMPLE"))</f>
        <v>N/A</v>
      </c>
      <c r="G66" s="18" t="str">
        <f t="shared" si="11"/>
        <v>N/A</v>
      </c>
      <c r="H66" s="18" t="str">
        <f t="shared" si="11"/>
        <v>N/A</v>
      </c>
      <c r="I66" s="18" t="str">
        <f t="shared" si="11"/>
        <v>N/A</v>
      </c>
      <c r="J66" s="18" t="str">
        <f t="shared" si="11"/>
        <v>N/A</v>
      </c>
      <c r="K66" s="147"/>
      <c r="L66" s="148"/>
    </row>
    <row r="67" spans="2:12" ht="54.5" customHeight="1" x14ac:dyDescent="0.2">
      <c r="B67" s="261" t="s">
        <v>188</v>
      </c>
      <c r="C67" s="261"/>
      <c r="D67" s="91" t="s">
        <v>13</v>
      </c>
      <c r="E67" s="91"/>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323" priority="24">
      <formula>NOT(ISERROR(D25))</formula>
    </cfRule>
    <cfRule type="containsBlanks" dxfId="322" priority="23">
      <formula>LEN(TRIM(D25))=0</formula>
    </cfRule>
  </conditionalFormatting>
  <conditionalFormatting sqref="D34:J34 D24:K24">
    <cfRule type="containsBlanks" dxfId="321" priority="25">
      <formula>LEN(TRIM(D24))=0</formula>
    </cfRule>
  </conditionalFormatting>
  <conditionalFormatting sqref="D37:J37">
    <cfRule type="notContainsErrors" dxfId="320" priority="22">
      <formula>NOT(ISERROR(D37))</formula>
    </cfRule>
    <cfRule type="containsBlanks" dxfId="319" priority="21">
      <formula>LEN(TRIM(D37))=0</formula>
    </cfRule>
  </conditionalFormatting>
  <conditionalFormatting sqref="D40:J40">
    <cfRule type="containsBlanks" dxfId="318" priority="39">
      <formula>LEN(TRIM(D40))=0</formula>
    </cfRule>
    <cfRule type="notContainsErrors" dxfId="317" priority="40">
      <formula>NOT(ISERROR(D40))</formula>
    </cfRule>
  </conditionalFormatting>
  <conditionalFormatting sqref="D43:J43 K66:L66">
    <cfRule type="containsBlanks" dxfId="316" priority="49">
      <formula>LEN(TRIM(D43))=0</formula>
    </cfRule>
    <cfRule type="notContainsErrors" dxfId="315" priority="50">
      <formula>NOT(ISERROR(D43))</formula>
    </cfRule>
  </conditionalFormatting>
  <conditionalFormatting sqref="D46:J54">
    <cfRule type="cellIs" dxfId="314" priority="9" operator="equal">
      <formula>"NO CUMPLE"</formula>
    </cfRule>
    <cfRule type="cellIs" dxfId="313" priority="10" operator="equal">
      <formula>"CUMPLE"</formula>
    </cfRule>
    <cfRule type="containsBlanks" dxfId="312" priority="11">
      <formula>LEN(TRIM(D46))=0</formula>
    </cfRule>
    <cfRule type="notContainsErrors" dxfId="311" priority="12">
      <formula>NOT(ISERROR(D46))</formula>
    </cfRule>
  </conditionalFormatting>
  <conditionalFormatting sqref="D55:J55">
    <cfRule type="cellIs" dxfId="310" priority="17" operator="equal">
      <formula>"N/A"</formula>
    </cfRule>
    <cfRule type="cellIs" dxfId="309" priority="18" operator="equal">
      <formula>"CUMPLE"</formula>
    </cfRule>
    <cfRule type="cellIs" dxfId="308" priority="19" operator="equal">
      <formula>"NO CUMPLE"</formula>
    </cfRule>
    <cfRule type="cellIs" dxfId="307" priority="20" operator="equal">
      <formula>"""CUMPLE"""</formula>
    </cfRule>
  </conditionalFormatting>
  <conditionalFormatting sqref="D56:J65">
    <cfRule type="containsBlanks" dxfId="306" priority="7">
      <formula>LEN(TRIM(D56))=0</formula>
    </cfRule>
    <cfRule type="notContainsErrors" dxfId="305" priority="8">
      <formula>NOT(ISERROR(D56))</formula>
    </cfRule>
    <cfRule type="cellIs" dxfId="304" priority="6" operator="equal">
      <formula>"CUMPLE"</formula>
    </cfRule>
    <cfRule type="cellIs" dxfId="303" priority="5" operator="equal">
      <formula>"NO CUMPLE"</formula>
    </cfRule>
  </conditionalFormatting>
  <conditionalFormatting sqref="D66:J66">
    <cfRule type="cellIs" dxfId="302" priority="14" operator="equal">
      <formula>"CUMPLE"</formula>
    </cfRule>
    <cfRule type="cellIs" dxfId="301" priority="15" operator="equal">
      <formula>"NO CUMPLE"</formula>
    </cfRule>
    <cfRule type="cellIs" dxfId="300" priority="16" operator="equal">
      <formula>"""CUMPLE"""</formula>
    </cfRule>
    <cfRule type="cellIs" dxfId="299" priority="13" operator="equal">
      <formula>"N/A"</formula>
    </cfRule>
  </conditionalFormatting>
  <conditionalFormatting sqref="D67:J67">
    <cfRule type="cellIs" dxfId="298" priority="1" operator="equal">
      <formula>"NO CUMPLE"</formula>
    </cfRule>
    <cfRule type="cellIs" dxfId="297" priority="2" operator="equal">
      <formula>"CUMPLE"</formula>
    </cfRule>
  </conditionalFormatting>
  <conditionalFormatting sqref="D24:K24 D34:J34">
    <cfRule type="notContainsErrors" dxfId="296" priority="26">
      <formula>NOT(ISERROR(D24))</formula>
    </cfRule>
  </conditionalFormatting>
  <conditionalFormatting sqref="D67:K67">
    <cfRule type="notContainsErrors" dxfId="295" priority="4">
      <formula>NOT(ISERROR(D67))</formula>
    </cfRule>
    <cfRule type="containsBlanks" dxfId="294" priority="3">
      <formula>LEN(TRIM(D67))=0</formula>
    </cfRule>
  </conditionalFormatting>
  <conditionalFormatting sqref="F20:H20">
    <cfRule type="cellIs" dxfId="293" priority="65" operator="equal">
      <formula>"CUMPLE"</formula>
    </cfRule>
    <cfRule type="cellIs" dxfId="292" priority="66" operator="equal">
      <formula>"NO CUMPLE"</formula>
    </cfRule>
    <cfRule type="cellIs" dxfId="291" priority="67" operator="equal">
      <formula>"""CUMPLE"""</formula>
    </cfRule>
  </conditionalFormatting>
  <conditionalFormatting sqref="I11">
    <cfRule type="containsText" dxfId="290" priority="68" operator="containsText" text="INHABILITADO">
      <formula>NOT(ISERROR(SEARCH("INHABILITADO",I11)))</formula>
    </cfRule>
    <cfRule type="containsText" dxfId="289" priority="69" operator="containsText" text="HABILITADO">
      <formula>NOT(ISERROR(SEARCH("HABILITADO",I11)))</formula>
    </cfRule>
    <cfRule type="containsText" dxfId="288" priority="70" operator="containsText" text="HABILITADO">
      <formula>NOT(ISERROR(SEARCH("HABILITADO",I11)))</formula>
    </cfRule>
    <cfRule type="containsText" dxfId="287" priority="71" operator="containsText" text="NO CUMPLE">
      <formula>NOT(ISERROR(SEARCH("NO CUMPLE",I11)))</formula>
    </cfRule>
  </conditionalFormatting>
  <conditionalFormatting sqref="K19">
    <cfRule type="cellIs" dxfId="286" priority="56" operator="equal">
      <formula>"CUMPLE"</formula>
    </cfRule>
    <cfRule type="cellIs" dxfId="285" priority="57" operator="equal">
      <formula>"NO CUMPLE"</formula>
    </cfRule>
    <cfRule type="cellIs" dxfId="284" priority="58" operator="equal">
      <formula>"""CUMPLE"""</formula>
    </cfRule>
  </conditionalFormatting>
  <conditionalFormatting sqref="K25:K65">
    <cfRule type="containsBlanks" dxfId="283" priority="47">
      <formula>LEN(TRIM(K25))=0</formula>
    </cfRule>
    <cfRule type="notContainsErrors" dxfId="282" priority="48">
      <formula>NOT(ISERROR(K25))</formula>
    </cfRule>
  </conditionalFormatting>
  <conditionalFormatting sqref="L15">
    <cfRule type="cellIs" dxfId="281" priority="62" operator="equal">
      <formula>"CUMPLE"</formula>
    </cfRule>
    <cfRule type="cellIs" dxfId="280" priority="63" operator="equal">
      <formula>"NO CUMPLE"</formula>
    </cfRule>
    <cfRule type="cellIs" dxfId="279" priority="64" operator="equal">
      <formula>"""CUMPLE"""</formula>
    </cfRule>
  </conditionalFormatting>
  <dataValidations count="3">
    <dataValidation type="list" allowBlank="1" showInputMessage="1" showErrorMessage="1" sqref="L58:L66" xr:uid="{A07ABA90-B548-4BC9-BA52-F2E190D74D26}">
      <formula1>"0,1,2,3,4,5,6"</formula1>
    </dataValidation>
    <dataValidation type="list" allowBlank="1" showInputMessage="1" showErrorMessage="1" sqref="D24:J26" xr:uid="{65EBFF84-414D-44BD-9CBF-C5C8D5C79E1B}">
      <formula1>$C$15:$C$19</formula1>
    </dataValidation>
    <dataValidation type="list" allowBlank="1" showInputMessage="1" showErrorMessage="1" sqref="D67:I67" xr:uid="{ABBDD1E5-824A-4DFA-8739-E70E91228F7C}">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D8F34F5B-D696-4ABD-BC09-5DFB7FE39559}">
          <x14:formula1>
            <xm:f>'DATOS INICIALES'!$C$48:$C$49</xm:f>
          </x14:formula1>
          <xm:sqref>J47:J52 E47:I54</xm:sqref>
        </x14:dataValidation>
        <x14:dataValidation type="list" allowBlank="1" showInputMessage="1" showErrorMessage="1" xr:uid="{FC2FA870-995E-42C9-BF00-3D981A5DF32F}">
          <x14:formula1>
            <xm:f>'DATOS INICIALES'!$A$53:$A$55</xm:f>
          </x14:formula1>
          <xm:sqref>E59:J65 E46:J46 J56:J57 E56:I58</xm:sqref>
        </x14:dataValidation>
        <x14:dataValidation type="list" allowBlank="1" showInputMessage="1" showErrorMessage="1" xr:uid="{9AF874A0-2BE6-482D-B72D-C17C1B65000B}">
          <x14:formula1>
            <xm:f>'DATOS INICIALES'!$A$57:$A$62</xm:f>
          </x14:formula1>
          <xm:sqref>D23:I23</xm:sqref>
        </x14:dataValidation>
        <x14:dataValidation type="list" allowBlank="1" showInputMessage="1" showErrorMessage="1" xr:uid="{4659CA8A-6346-4C05-BECA-5B4B1E09CDB5}">
          <x14:formula1>
            <xm:f>'DATOS INICIALES'!$D$22:$D$26</xm:f>
          </x14:formula1>
          <xm:sqref>M47:M55</xm:sqref>
        </x14:dataValidation>
        <x14:dataValidation type="list" allowBlank="1" showInputMessage="1" showErrorMessage="1" xr:uid="{F73DDD06-7CF5-41CE-965C-39ECF2DDE95F}">
          <x14:formula1>
            <xm:f>'DATOS INICIALES'!$A$13:$A$44</xm:f>
          </x14:formula1>
          <xm:sqref>E31:I31</xm:sqref>
        </x14:dataValidation>
      </x14:dataValidation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9D2DF-D8EB-464F-B363-11AA073133CB}">
  <sheetPr>
    <tabColor rgb="FF92D050"/>
  </sheetPr>
  <dimension ref="B1:N82"/>
  <sheetViews>
    <sheetView view="pageBreakPreview" zoomScale="55" zoomScaleNormal="55" zoomScaleSheetLayoutView="55" workbookViewId="0">
      <pane ySplit="11" topLeftCell="A27" activePane="bottomLeft" state="frozenSplit"/>
      <selection activeCell="C11" sqref="C11:G11"/>
      <selection pane="bottomLeft" activeCell="G56" sqref="G56"/>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+PROPONENTES!B37</f>
        <v>CONSORCIO BELZCON - USAQUEN</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BELZCON SAS </v>
      </c>
      <c r="D15" s="101">
        <f>IF(VLOOKUP(C11,PROPONENTES!B10:N44,3,FALSE)=0,"",VLOOKUP(C11,PROPONENTES!B10:N44,3,FALSE))</f>
        <v>0.9</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87876.15849999999</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3</v>
      </c>
      <c r="J15" s="264">
        <f>IF(AND(I15&gt;=1,I15&lt;=2),L8,IF(AND(I15&gt;=3,I15&lt;=4),L9,IF(AND(I15&gt;=5,I15&lt;=7),L10)))</f>
        <v>18919.917519692306</v>
      </c>
      <c r="K15" s="264">
        <f>+E20</f>
        <v>87876.15849999999</v>
      </c>
      <c r="L15" s="265" t="str">
        <f>IF(K15&gt;=J15,"CUMPLE","NO CUMPLE")</f>
        <v>CUMPLE</v>
      </c>
    </row>
    <row r="16" spans="2:12" ht="58.25" customHeight="1" x14ac:dyDescent="0.2">
      <c r="B16" s="273"/>
      <c r="C16" s="100" t="str">
        <f>IF(VLOOKUP(C11,PROPONENTES!B10:N44,4,FALSE)=0,"",VLOOKUP(C11,PROPONENTES!B10:N44,4,FALSE))</f>
        <v>INGENIEROS ELECTICISTAS
Y CIVILES ASOCIADOS
INGELAS SAS</v>
      </c>
      <c r="D16" s="101">
        <f>IF(VLOOKUP(C11,PROPONENTES!B10:N44,5,FALSE)=0,"",VLOOKUP(C11,PROPONENTES!B10:N44,5,FALSE))</f>
        <v>0.1</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0</v>
      </c>
      <c r="F16" s="103" t="str">
        <f t="shared" si="1"/>
        <v>NO</v>
      </c>
      <c r="G16" s="104" t="str">
        <f t="shared" si="2"/>
        <v>NO APORTA EXPERIENCIA</v>
      </c>
      <c r="H16" s="104" t="str">
        <f>IF(C16="","",IF(AND(G16="NO APORTA EXPERIENCIA",D16&lt;=10%),"SI",IF(G16="SI","NO APLICA","NO - PORCENTAJE MAYOR AL 10%")))</f>
        <v>SI</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87876.15849999999</v>
      </c>
      <c r="J19" s="355">
        <f>IF(I15="","",VLOOKUP(I15,$D$76:$E$82,2,FALSE))</f>
        <v>18919.917519692306</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87876.15849999999</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288</v>
      </c>
      <c r="E24" s="91" t="s">
        <v>288</v>
      </c>
      <c r="F24" s="91" t="s">
        <v>288</v>
      </c>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656</v>
      </c>
      <c r="E27" s="92" t="s">
        <v>657</v>
      </c>
      <c r="F27" s="92" t="s">
        <v>658</v>
      </c>
      <c r="G27" s="92"/>
      <c r="H27" s="92"/>
      <c r="I27" s="92"/>
      <c r="J27" s="92"/>
      <c r="K27" s="247"/>
      <c r="L27" s="248"/>
    </row>
    <row r="28" spans="2:14" ht="156.75" customHeight="1" x14ac:dyDescent="0.2">
      <c r="B28" s="277"/>
      <c r="C28" s="26" t="s">
        <v>36</v>
      </c>
      <c r="D28" s="92" t="s">
        <v>659</v>
      </c>
      <c r="E28" s="92" t="s">
        <v>660</v>
      </c>
      <c r="F28" s="92" t="s">
        <v>661</v>
      </c>
      <c r="G28" s="92"/>
      <c r="H28" s="92"/>
      <c r="I28" s="92"/>
      <c r="J28" s="92"/>
      <c r="K28" s="247"/>
      <c r="L28" s="248"/>
    </row>
    <row r="29" spans="2:14" ht="52.5" customHeight="1" x14ac:dyDescent="0.2">
      <c r="B29" s="277"/>
      <c r="C29" s="26" t="s">
        <v>172</v>
      </c>
      <c r="D29" s="96">
        <v>37314</v>
      </c>
      <c r="E29" s="96">
        <v>35601</v>
      </c>
      <c r="F29" s="96">
        <v>35025</v>
      </c>
      <c r="G29" s="96"/>
      <c r="H29" s="96"/>
      <c r="I29" s="96"/>
      <c r="J29" s="96"/>
      <c r="K29" s="247"/>
      <c r="L29" s="248"/>
    </row>
    <row r="30" spans="2:14" ht="54.75" customHeight="1" x14ac:dyDescent="0.2">
      <c r="B30" s="277"/>
      <c r="C30" s="26" t="s">
        <v>40</v>
      </c>
      <c r="D30" s="96">
        <v>37707</v>
      </c>
      <c r="E30" s="96">
        <v>35934</v>
      </c>
      <c r="F30" s="96">
        <v>35826</v>
      </c>
      <c r="G30" s="96"/>
      <c r="H30" s="96"/>
      <c r="I30" s="96"/>
      <c r="J30" s="96"/>
      <c r="K30" s="247"/>
      <c r="L30" s="248"/>
    </row>
    <row r="31" spans="2:14" ht="41.25" customHeight="1" x14ac:dyDescent="0.2">
      <c r="B31" s="277"/>
      <c r="C31" s="26" t="s">
        <v>37</v>
      </c>
      <c r="D31" s="93">
        <v>2003</v>
      </c>
      <c r="E31" s="93">
        <v>1998</v>
      </c>
      <c r="F31" s="93">
        <v>1998</v>
      </c>
      <c r="G31" s="93"/>
      <c r="H31" s="93"/>
      <c r="I31" s="93"/>
      <c r="J31" s="93"/>
      <c r="K31" s="247"/>
      <c r="L31" s="248"/>
    </row>
    <row r="32" spans="2:14" ht="63" customHeight="1" x14ac:dyDescent="0.2">
      <c r="B32" s="277"/>
      <c r="C32" s="26" t="s">
        <v>38</v>
      </c>
      <c r="D32" s="92" t="s">
        <v>524</v>
      </c>
      <c r="E32" s="92" t="s">
        <v>662</v>
      </c>
      <c r="F32" s="92" t="s">
        <v>663</v>
      </c>
      <c r="G32" s="92"/>
      <c r="H32" s="92"/>
      <c r="I32" s="92"/>
      <c r="J32" s="92"/>
      <c r="K32" s="247"/>
      <c r="L32" s="248"/>
    </row>
    <row r="33" spans="2:12" ht="46.5" customHeight="1" x14ac:dyDescent="0.2">
      <c r="B33" s="277"/>
      <c r="C33" s="26" t="s">
        <v>39</v>
      </c>
      <c r="D33" s="92" t="s">
        <v>664</v>
      </c>
      <c r="E33" s="92" t="s">
        <v>665</v>
      </c>
      <c r="F33" s="92" t="s">
        <v>666</v>
      </c>
      <c r="G33" s="92"/>
      <c r="H33" s="92"/>
      <c r="I33" s="92"/>
      <c r="J33" s="92"/>
      <c r="K33" s="247"/>
      <c r="L33" s="248"/>
    </row>
    <row r="34" spans="2:12" ht="27.75" customHeight="1" x14ac:dyDescent="0.2">
      <c r="B34" s="277"/>
      <c r="C34" s="28" t="s">
        <v>33</v>
      </c>
      <c r="D34" s="97">
        <v>36</v>
      </c>
      <c r="E34" s="97">
        <v>66</v>
      </c>
      <c r="F34" s="97">
        <v>31</v>
      </c>
      <c r="G34" s="98"/>
      <c r="H34" s="98"/>
      <c r="I34" s="98"/>
      <c r="J34" s="98"/>
      <c r="K34" s="247"/>
      <c r="L34" s="248"/>
    </row>
    <row r="35" spans="2:12" ht="102.75" customHeight="1" x14ac:dyDescent="0.2">
      <c r="B35" s="277"/>
      <c r="C35" s="26" t="s">
        <v>118</v>
      </c>
      <c r="D35" s="94">
        <v>13389.62</v>
      </c>
      <c r="E35" s="94">
        <v>19191.830000000002</v>
      </c>
      <c r="F35" s="94">
        <v>75937.06</v>
      </c>
      <c r="G35" s="94"/>
      <c r="H35" s="94"/>
      <c r="I35" s="94"/>
      <c r="J35" s="94"/>
      <c r="K35" s="279"/>
      <c r="L35" s="280"/>
    </row>
    <row r="36" spans="2:12" ht="48" customHeight="1" x14ac:dyDescent="0.2">
      <c r="B36" s="277"/>
      <c r="C36" s="26" t="s">
        <v>74</v>
      </c>
      <c r="D36" s="105">
        <f>IFERROR(D35*VLOOKUP(D31,'DATOS INICIALES'!$A$12:$B$44,2,0),"0")</f>
        <v>4445353840</v>
      </c>
      <c r="E36" s="105">
        <f>IFERROR(E35*VLOOKUP(E31,'DATOS INICIALES'!$A$12:$B$44,2,0),"0")</f>
        <v>3911793941.5800004</v>
      </c>
      <c r="F36" s="105">
        <f>IFERROR(F35*VLOOKUP(F31,'DATOS INICIALES'!$A$12:$B$44,2,0),"0")</f>
        <v>15477947191.559999</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0.17499999999999999</v>
      </c>
      <c r="E37" s="95">
        <v>0.5</v>
      </c>
      <c r="F37" s="95">
        <v>1</v>
      </c>
      <c r="G37" s="95"/>
      <c r="H37" s="95"/>
      <c r="I37" s="95"/>
      <c r="J37" s="95"/>
      <c r="K37" s="247"/>
      <c r="L37" s="248"/>
    </row>
    <row r="38" spans="2:12" ht="48.75" customHeight="1" x14ac:dyDescent="0.2">
      <c r="B38" s="277"/>
      <c r="C38" s="26" t="s">
        <v>125</v>
      </c>
      <c r="D38" s="105">
        <f t="shared" ref="D38:J38" si="3">IF(D24="","0",D37*D36)</f>
        <v>777936922</v>
      </c>
      <c r="E38" s="105">
        <f t="shared" si="3"/>
        <v>1955896970.7900002</v>
      </c>
      <c r="F38" s="105">
        <f t="shared" si="3"/>
        <v>15477947191.559999</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2343.1835000000001</v>
      </c>
      <c r="E39" s="106">
        <f t="shared" si="4"/>
        <v>9595.9150000000009</v>
      </c>
      <c r="F39" s="106">
        <f t="shared" si="4"/>
        <v>75937.06</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c r="H46" s="91"/>
      <c r="I46" s="91"/>
      <c r="J46" s="91"/>
      <c r="K46" s="247"/>
      <c r="L46" s="248"/>
    </row>
    <row r="47" spans="2:12" ht="24.75" customHeight="1" x14ac:dyDescent="0.2">
      <c r="B47" s="284" t="s">
        <v>34</v>
      </c>
      <c r="C47" s="29">
        <f>+'DATOS INICIALES'!D22</f>
        <v>721033</v>
      </c>
      <c r="D47" s="97" t="s">
        <v>77</v>
      </c>
      <c r="E47" s="97" t="s">
        <v>77</v>
      </c>
      <c r="F47" s="97" t="s">
        <v>77</v>
      </c>
      <c r="G47" s="97"/>
      <c r="H47" s="97"/>
      <c r="I47" s="97"/>
      <c r="J47" s="98"/>
      <c r="K47" s="247"/>
      <c r="L47" s="248"/>
    </row>
    <row r="48" spans="2:12" ht="24.75" customHeight="1" x14ac:dyDescent="0.2">
      <c r="B48" s="285"/>
      <c r="C48" s="29">
        <f>+'DATOS INICIALES'!D23</f>
        <v>721410</v>
      </c>
      <c r="D48" s="97" t="s">
        <v>77</v>
      </c>
      <c r="E48" s="97" t="s">
        <v>77</v>
      </c>
      <c r="F48" s="97" t="s">
        <v>77</v>
      </c>
      <c r="G48" s="97"/>
      <c r="H48" s="97"/>
      <c r="I48" s="97"/>
      <c r="J48" s="98"/>
      <c r="K48" s="247"/>
      <c r="L48" s="248"/>
    </row>
    <row r="49" spans="2:12" ht="24.75" customHeight="1" x14ac:dyDescent="0.2">
      <c r="B49" s="285"/>
      <c r="C49" s="29">
        <f>+'DATOS INICIALES'!D24</f>
        <v>721411</v>
      </c>
      <c r="D49" s="97" t="s">
        <v>77</v>
      </c>
      <c r="E49" s="97" t="s">
        <v>77</v>
      </c>
      <c r="F49" s="97" t="s">
        <v>77</v>
      </c>
      <c r="G49" s="97"/>
      <c r="H49" s="97"/>
      <c r="I49" s="97"/>
      <c r="J49" s="98"/>
      <c r="K49" s="247"/>
      <c r="L49" s="248"/>
    </row>
    <row r="50" spans="2:12" ht="24.75" customHeight="1" x14ac:dyDescent="0.2">
      <c r="B50" s="285"/>
      <c r="C50" s="29">
        <f>+'DATOS INICIALES'!D25</f>
        <v>721416</v>
      </c>
      <c r="D50" s="97" t="s">
        <v>77</v>
      </c>
      <c r="E50" s="97" t="s">
        <v>77</v>
      </c>
      <c r="F50" s="97" t="s">
        <v>77</v>
      </c>
      <c r="G50" s="97"/>
      <c r="H50" s="97"/>
      <c r="I50" s="97"/>
      <c r="J50" s="98"/>
      <c r="K50" s="247"/>
      <c r="L50" s="248"/>
    </row>
    <row r="51" spans="2:12" ht="24.75" customHeight="1" x14ac:dyDescent="0.2">
      <c r="B51" s="285"/>
      <c r="C51" s="29">
        <f>+'DATOS INICIALES'!D26</f>
        <v>721527</v>
      </c>
      <c r="D51" s="97" t="s">
        <v>77</v>
      </c>
      <c r="E51" s="97" t="s">
        <v>77</v>
      </c>
      <c r="F51" s="97" t="s">
        <v>77</v>
      </c>
      <c r="G51" s="97"/>
      <c r="H51" s="97"/>
      <c r="I51" s="97"/>
      <c r="J51" s="98"/>
      <c r="K51" s="247"/>
      <c r="L51" s="248"/>
    </row>
    <row r="52" spans="2:12" ht="24.75" customHeight="1" x14ac:dyDescent="0.2">
      <c r="B52" s="285"/>
      <c r="C52" s="29">
        <f>+'DATOS INICIALES'!D27</f>
        <v>721539</v>
      </c>
      <c r="D52" s="97" t="s">
        <v>77</v>
      </c>
      <c r="E52" s="97" t="s">
        <v>77</v>
      </c>
      <c r="F52" s="97" t="s">
        <v>77</v>
      </c>
      <c r="G52" s="97"/>
      <c r="H52" s="97"/>
      <c r="I52" s="97"/>
      <c r="J52" s="98"/>
      <c r="K52" s="247"/>
      <c r="L52" s="248"/>
    </row>
    <row r="53" spans="2:12" ht="24.75" customHeight="1" x14ac:dyDescent="0.2">
      <c r="B53" s="285"/>
      <c r="C53" s="29">
        <f>+'DATOS INICIALES'!D28</f>
        <v>951115</v>
      </c>
      <c r="D53" s="97" t="s">
        <v>77</v>
      </c>
      <c r="E53" s="97" t="s">
        <v>77</v>
      </c>
      <c r="F53" s="97" t="s">
        <v>77</v>
      </c>
      <c r="G53" s="97"/>
      <c r="H53" s="97"/>
      <c r="I53" s="97"/>
      <c r="J53" s="97"/>
      <c r="K53" s="247"/>
      <c r="L53" s="248"/>
    </row>
    <row r="54" spans="2:12" ht="24.75" customHeight="1" x14ac:dyDescent="0.2">
      <c r="B54" s="285"/>
      <c r="C54" s="29">
        <f>+'DATOS INICIALES'!D29</f>
        <v>721033</v>
      </c>
      <c r="D54" s="97" t="s">
        <v>77</v>
      </c>
      <c r="E54" s="97" t="s">
        <v>77</v>
      </c>
      <c r="F54" s="97" t="s">
        <v>77</v>
      </c>
      <c r="G54" s="97"/>
      <c r="H54" s="97"/>
      <c r="I54" s="97"/>
      <c r="J54" s="97"/>
      <c r="K54" s="247"/>
      <c r="L54" s="248"/>
    </row>
    <row r="55" spans="2:12" ht="60.75" customHeight="1" x14ac:dyDescent="0.2">
      <c r="B55" s="286"/>
      <c r="C55" s="18" t="s">
        <v>57</v>
      </c>
      <c r="D55" s="18" t="str">
        <f t="shared" ref="D55:E55" si="9">IF(D24="","N/A",IF(D47="SI","CUMPLE",IF(D48="SI","CUMPLE",IF(D49="SI","CUMPLE",IF(D50="SI","CUMPLE",IF(D51="SI","CUMPLE",IF(D52="SI","CUMPLE",IF(D54="SI","CUMPLE","NO CUMPLE"))))))))</f>
        <v>CUMPLE</v>
      </c>
      <c r="E55" s="18" t="str">
        <f t="shared" si="9"/>
        <v>CUMPLE</v>
      </c>
      <c r="F55" s="18" t="str">
        <f>IF(F24="","N/A",IF(F47="SI","CUMPLE",IF(F48="SI","CUMPLE",IF(F49="SI","CUMPLE",IF(F50="SI","CUMPLE",IF(F51="SI","CUMPLE",IF(F52="SI","CUMPLE",IF(F54="SI","CUMPLE","NO CUMPLE"))))))))</f>
        <v>CUMPLE</v>
      </c>
      <c r="G55" s="18" t="str">
        <f>IF(G24="","N/A",IF(G47="SI","CUMPLE",IF(G48="SI","CUMPLE",IF(G49="SI","CUMPLE",IF(G50="SI","CUMPLE",IF(G51="SI","CUMPLE",IF(G52="SI","CUMPLE",IF(G54="SI","CUMPLE","NO CUMPLE"))))))))</f>
        <v>N/A</v>
      </c>
      <c r="H55" s="18" t="str">
        <f t="shared" ref="H55:J55" si="10">IF(H24="","N/A",IF(H47="SI","CUMPLE",IF(H48="SI","CUMPLE",IF(H49="SI","CUMPLE",IF(H50="SI","CUMPLE",IF(H51="SI","CUMPLE",IF(H52="SI","CUMPLE",IF(H54="SI","CUMPLE","NO CUMPLE"))))))))</f>
        <v>N/A</v>
      </c>
      <c r="I55" s="18" t="str">
        <f t="shared" si="10"/>
        <v>N/A</v>
      </c>
      <c r="J55" s="18" t="str">
        <f t="shared" si="10"/>
        <v>N/A</v>
      </c>
      <c r="K55" s="247"/>
      <c r="L55" s="248"/>
    </row>
    <row r="56" spans="2:12" ht="147.5" customHeight="1" x14ac:dyDescent="0.2">
      <c r="B56" s="287" t="s">
        <v>189</v>
      </c>
      <c r="C56" s="288"/>
      <c r="D56" s="91" t="s">
        <v>13</v>
      </c>
      <c r="E56" s="91" t="s">
        <v>13</v>
      </c>
      <c r="F56" s="91" t="s">
        <v>13</v>
      </c>
      <c r="G56" s="91"/>
      <c r="H56" s="91"/>
      <c r="I56" s="91"/>
      <c r="J56" s="91"/>
      <c r="K56" s="257"/>
      <c r="L56" s="258"/>
    </row>
    <row r="57" spans="2:12" ht="103.25" customHeight="1" x14ac:dyDescent="0.2">
      <c r="B57" s="287" t="s">
        <v>190</v>
      </c>
      <c r="C57" s="288"/>
      <c r="D57" s="91" t="s">
        <v>13</v>
      </c>
      <c r="E57" s="91" t="s">
        <v>13</v>
      </c>
      <c r="F57" s="91" t="s">
        <v>13</v>
      </c>
      <c r="G57" s="91"/>
      <c r="H57" s="91"/>
      <c r="I57" s="91"/>
      <c r="J57" s="91"/>
      <c r="K57" s="257"/>
      <c r="L57" s="258"/>
    </row>
    <row r="58" spans="2:12" ht="72" customHeight="1" x14ac:dyDescent="0.2">
      <c r="B58" s="281" t="s">
        <v>191</v>
      </c>
      <c r="C58" s="282"/>
      <c r="D58" s="91" t="s">
        <v>13</v>
      </c>
      <c r="E58" s="91" t="s">
        <v>13</v>
      </c>
      <c r="F58" s="91" t="s">
        <v>13</v>
      </c>
      <c r="G58" s="91"/>
      <c r="H58" s="91"/>
      <c r="I58" s="91"/>
      <c r="J58" s="91"/>
      <c r="K58" s="247"/>
      <c r="L58" s="248"/>
    </row>
    <row r="59" spans="2:12" ht="42.5" customHeight="1" x14ac:dyDescent="0.2">
      <c r="B59" s="281" t="s">
        <v>192</v>
      </c>
      <c r="C59" s="282"/>
      <c r="D59" s="91" t="s">
        <v>13</v>
      </c>
      <c r="E59" s="91" t="s">
        <v>13</v>
      </c>
      <c r="F59" s="91" t="s">
        <v>13</v>
      </c>
      <c r="G59" s="91"/>
      <c r="H59" s="91"/>
      <c r="I59" s="91"/>
      <c r="J59" s="91"/>
      <c r="K59" s="247"/>
      <c r="L59" s="248"/>
    </row>
    <row r="60" spans="2:12" ht="36" customHeight="1" x14ac:dyDescent="0.2">
      <c r="B60" s="281" t="s">
        <v>193</v>
      </c>
      <c r="C60" s="282"/>
      <c r="D60" s="91" t="s">
        <v>13</v>
      </c>
      <c r="E60" s="91" t="s">
        <v>13</v>
      </c>
      <c r="F60" s="91" t="s">
        <v>13</v>
      </c>
      <c r="G60" s="91"/>
      <c r="H60" s="91"/>
      <c r="I60" s="91"/>
      <c r="J60" s="91"/>
      <c r="K60" s="247"/>
      <c r="L60" s="248"/>
    </row>
    <row r="61" spans="2:12" ht="160.75" customHeight="1" x14ac:dyDescent="0.2">
      <c r="B61" s="281" t="s">
        <v>194</v>
      </c>
      <c r="C61" s="282"/>
      <c r="D61" s="91" t="s">
        <v>13</v>
      </c>
      <c r="E61" s="91" t="s">
        <v>13</v>
      </c>
      <c r="F61" s="91" t="s">
        <v>13</v>
      </c>
      <c r="G61" s="91"/>
      <c r="H61" s="91"/>
      <c r="I61" s="91"/>
      <c r="J61" s="91"/>
      <c r="K61" s="247"/>
      <c r="L61" s="248"/>
    </row>
    <row r="62" spans="2:12" ht="409.25" customHeight="1" x14ac:dyDescent="0.2">
      <c r="B62" s="261" t="s">
        <v>195</v>
      </c>
      <c r="C62" s="261"/>
      <c r="D62" s="91" t="s">
        <v>13</v>
      </c>
      <c r="E62" s="91" t="s">
        <v>13</v>
      </c>
      <c r="F62" s="91" t="s">
        <v>13</v>
      </c>
      <c r="G62" s="91"/>
      <c r="H62" s="91"/>
      <c r="I62" s="91"/>
      <c r="J62" s="91"/>
      <c r="K62" s="279"/>
      <c r="L62" s="280"/>
    </row>
    <row r="63" spans="2:12" ht="301.75" customHeight="1" x14ac:dyDescent="0.2">
      <c r="B63" s="262" t="s">
        <v>196</v>
      </c>
      <c r="C63" s="263"/>
      <c r="D63" s="91" t="s">
        <v>13</v>
      </c>
      <c r="E63" s="91" t="s">
        <v>13</v>
      </c>
      <c r="F63" s="91" t="s">
        <v>13</v>
      </c>
      <c r="G63" s="91"/>
      <c r="H63" s="91"/>
      <c r="I63" s="91"/>
      <c r="J63" s="91"/>
      <c r="K63" s="247"/>
      <c r="L63" s="248"/>
    </row>
    <row r="64" spans="2:12" ht="253.75" customHeight="1" x14ac:dyDescent="0.2">
      <c r="B64" s="283" t="s">
        <v>197</v>
      </c>
      <c r="C64" s="283"/>
      <c r="D64" s="91" t="s">
        <v>12</v>
      </c>
      <c r="E64" s="91" t="s">
        <v>12</v>
      </c>
      <c r="F64" s="91" t="s">
        <v>12</v>
      </c>
      <c r="G64" s="91"/>
      <c r="H64" s="91"/>
      <c r="I64" s="91"/>
      <c r="J64" s="91"/>
      <c r="K64" s="247"/>
      <c r="L64" s="248"/>
    </row>
    <row r="65" spans="2:12" ht="243.5" customHeight="1" x14ac:dyDescent="0.2">
      <c r="B65" s="261" t="s">
        <v>198</v>
      </c>
      <c r="C65" s="261"/>
      <c r="D65" s="91" t="s">
        <v>13</v>
      </c>
      <c r="E65" s="91" t="s">
        <v>13</v>
      </c>
      <c r="F65" s="91" t="s">
        <v>13</v>
      </c>
      <c r="G65" s="91"/>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 si="11">IF(F24="","N/A",IF(AND(F46="CUMPLE",F55="CUMPLE",F56="CUMPLE",F57="CUMPLE",F58="CUMPLE",F59="CUMPLE",OR(F61="CUMPLE",F61="N/A"),F62="CUMPLE",OR(F63="CUMPLE",F63="N/A"),F65="CUMPLE",OR(F64="CUMPLE",F64="N/A")),"CUMPLE","NO CUMPLE"))</f>
        <v>CUMPLE</v>
      </c>
      <c r="G66" s="18" t="str">
        <f t="shared" ref="G66:J66" si="12">IF(G24="","N/A",IF(AND(G46="CUMPLE",G55="CUMPLE",G56="CUMPLE",G57="CUMPLE",G58="CUMPLE",G59="CUMPLE",OR(G61="CUMPLE",G61="N/A"),G62="CUMPLE",OR(G63="CUMPLE",G63="N/A"),G65="CUMPLE",OR(G64="CUMPLE",G64="N/A")),"CUMPLE","NO CUMPLE"))</f>
        <v>N/A</v>
      </c>
      <c r="H66" s="18" t="str">
        <f t="shared" si="12"/>
        <v>N/A</v>
      </c>
      <c r="I66" s="18" t="str">
        <f t="shared" si="12"/>
        <v>N/A</v>
      </c>
      <c r="J66" s="18" t="str">
        <f t="shared" si="12"/>
        <v>N/A</v>
      </c>
      <c r="K66" s="147"/>
      <c r="L66" s="148"/>
    </row>
    <row r="67" spans="2:12" ht="54.5" customHeight="1" x14ac:dyDescent="0.2">
      <c r="B67" s="261" t="s">
        <v>188</v>
      </c>
      <c r="C67" s="261"/>
      <c r="D67" s="91" t="s">
        <v>13</v>
      </c>
      <c r="E67" s="91" t="s">
        <v>13</v>
      </c>
      <c r="F67" s="91" t="s">
        <v>13</v>
      </c>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278" priority="24">
      <formula>NOT(ISERROR(D25))</formula>
    </cfRule>
    <cfRule type="containsBlanks" dxfId="277" priority="23">
      <formula>LEN(TRIM(D25))=0</formula>
    </cfRule>
  </conditionalFormatting>
  <conditionalFormatting sqref="D34:J34 D24:K24">
    <cfRule type="containsBlanks" dxfId="276" priority="25">
      <formula>LEN(TRIM(D24))=0</formula>
    </cfRule>
  </conditionalFormatting>
  <conditionalFormatting sqref="D37:J37">
    <cfRule type="notContainsErrors" dxfId="275" priority="22">
      <formula>NOT(ISERROR(D37))</formula>
    </cfRule>
    <cfRule type="containsBlanks" dxfId="274" priority="21">
      <formula>LEN(TRIM(D37))=0</formula>
    </cfRule>
  </conditionalFormatting>
  <conditionalFormatting sqref="D40:J40">
    <cfRule type="containsBlanks" dxfId="273" priority="39">
      <formula>LEN(TRIM(D40))=0</formula>
    </cfRule>
    <cfRule type="notContainsErrors" dxfId="272" priority="40">
      <formula>NOT(ISERROR(D40))</formula>
    </cfRule>
  </conditionalFormatting>
  <conditionalFormatting sqref="D43:J43 K66:L66">
    <cfRule type="containsBlanks" dxfId="271" priority="49">
      <formula>LEN(TRIM(D43))=0</formula>
    </cfRule>
    <cfRule type="notContainsErrors" dxfId="270" priority="50">
      <formula>NOT(ISERROR(D43))</formula>
    </cfRule>
  </conditionalFormatting>
  <conditionalFormatting sqref="D46:J54">
    <cfRule type="cellIs" dxfId="269" priority="9" operator="equal">
      <formula>"NO CUMPLE"</formula>
    </cfRule>
    <cfRule type="cellIs" dxfId="268" priority="10" operator="equal">
      <formula>"CUMPLE"</formula>
    </cfRule>
    <cfRule type="containsBlanks" dxfId="267" priority="11">
      <formula>LEN(TRIM(D46))=0</formula>
    </cfRule>
    <cfRule type="notContainsErrors" dxfId="266" priority="12">
      <formula>NOT(ISERROR(D46))</formula>
    </cfRule>
  </conditionalFormatting>
  <conditionalFormatting sqref="D55:J55">
    <cfRule type="cellIs" dxfId="265" priority="17" operator="equal">
      <formula>"N/A"</formula>
    </cfRule>
    <cfRule type="cellIs" dxfId="264" priority="18" operator="equal">
      <formula>"CUMPLE"</formula>
    </cfRule>
    <cfRule type="cellIs" dxfId="263" priority="19" operator="equal">
      <formula>"NO CUMPLE"</formula>
    </cfRule>
    <cfRule type="cellIs" dxfId="262" priority="20" operator="equal">
      <formula>"""CUMPLE"""</formula>
    </cfRule>
  </conditionalFormatting>
  <conditionalFormatting sqref="D56:J65">
    <cfRule type="containsBlanks" dxfId="261" priority="7">
      <formula>LEN(TRIM(D56))=0</formula>
    </cfRule>
    <cfRule type="notContainsErrors" dxfId="260" priority="8">
      <formula>NOT(ISERROR(D56))</formula>
    </cfRule>
    <cfRule type="cellIs" dxfId="259" priority="6" operator="equal">
      <formula>"CUMPLE"</formula>
    </cfRule>
    <cfRule type="cellIs" dxfId="258" priority="5" operator="equal">
      <formula>"NO CUMPLE"</formula>
    </cfRule>
  </conditionalFormatting>
  <conditionalFormatting sqref="D66:J66">
    <cfRule type="cellIs" dxfId="257" priority="14" operator="equal">
      <formula>"CUMPLE"</formula>
    </cfRule>
    <cfRule type="cellIs" dxfId="256" priority="15" operator="equal">
      <formula>"NO CUMPLE"</formula>
    </cfRule>
    <cfRule type="cellIs" dxfId="255" priority="16" operator="equal">
      <formula>"""CUMPLE"""</formula>
    </cfRule>
    <cfRule type="cellIs" dxfId="254" priority="13" operator="equal">
      <formula>"N/A"</formula>
    </cfRule>
  </conditionalFormatting>
  <conditionalFormatting sqref="D67:J67">
    <cfRule type="cellIs" dxfId="253" priority="1" operator="equal">
      <formula>"NO CUMPLE"</formula>
    </cfRule>
    <cfRule type="cellIs" dxfId="252" priority="2" operator="equal">
      <formula>"CUMPLE"</formula>
    </cfRule>
  </conditionalFormatting>
  <conditionalFormatting sqref="D24:K24 D34:J34">
    <cfRule type="notContainsErrors" dxfId="251" priority="26">
      <formula>NOT(ISERROR(D24))</formula>
    </cfRule>
  </conditionalFormatting>
  <conditionalFormatting sqref="D67:K67">
    <cfRule type="notContainsErrors" dxfId="250" priority="4">
      <formula>NOT(ISERROR(D67))</formula>
    </cfRule>
    <cfRule type="containsBlanks" dxfId="249" priority="3">
      <formula>LEN(TRIM(D67))=0</formula>
    </cfRule>
  </conditionalFormatting>
  <conditionalFormatting sqref="F20:H20">
    <cfRule type="cellIs" dxfId="248" priority="65" operator="equal">
      <formula>"CUMPLE"</formula>
    </cfRule>
    <cfRule type="cellIs" dxfId="247" priority="66" operator="equal">
      <formula>"NO CUMPLE"</formula>
    </cfRule>
    <cfRule type="cellIs" dxfId="246" priority="67" operator="equal">
      <formula>"""CUMPLE"""</formula>
    </cfRule>
  </conditionalFormatting>
  <conditionalFormatting sqref="I11">
    <cfRule type="containsText" dxfId="245" priority="68" operator="containsText" text="INHABILITADO">
      <formula>NOT(ISERROR(SEARCH("INHABILITADO",I11)))</formula>
    </cfRule>
    <cfRule type="containsText" dxfId="244" priority="69" operator="containsText" text="HABILITADO">
      <formula>NOT(ISERROR(SEARCH("HABILITADO",I11)))</formula>
    </cfRule>
    <cfRule type="containsText" dxfId="243" priority="70" operator="containsText" text="HABILITADO">
      <formula>NOT(ISERROR(SEARCH("HABILITADO",I11)))</formula>
    </cfRule>
    <cfRule type="containsText" dxfId="242" priority="71" operator="containsText" text="NO CUMPLE">
      <formula>NOT(ISERROR(SEARCH("NO CUMPLE",I11)))</formula>
    </cfRule>
  </conditionalFormatting>
  <conditionalFormatting sqref="K19">
    <cfRule type="cellIs" dxfId="241" priority="56" operator="equal">
      <formula>"CUMPLE"</formula>
    </cfRule>
    <cfRule type="cellIs" dxfId="240" priority="57" operator="equal">
      <formula>"NO CUMPLE"</formula>
    </cfRule>
    <cfRule type="cellIs" dxfId="239" priority="58" operator="equal">
      <formula>"""CUMPLE"""</formula>
    </cfRule>
  </conditionalFormatting>
  <conditionalFormatting sqref="K25:K65">
    <cfRule type="containsBlanks" dxfId="238" priority="47">
      <formula>LEN(TRIM(K25))=0</formula>
    </cfRule>
    <cfRule type="notContainsErrors" dxfId="237" priority="48">
      <formula>NOT(ISERROR(K25))</formula>
    </cfRule>
  </conditionalFormatting>
  <conditionalFormatting sqref="L15">
    <cfRule type="cellIs" dxfId="236" priority="62" operator="equal">
      <formula>"CUMPLE"</formula>
    </cfRule>
    <cfRule type="cellIs" dxfId="235" priority="63" operator="equal">
      <formula>"NO CUMPLE"</formula>
    </cfRule>
    <cfRule type="cellIs" dxfId="234" priority="64" operator="equal">
      <formula>"""CUMPLE"""</formula>
    </cfRule>
  </conditionalFormatting>
  <dataValidations count="3">
    <dataValidation type="list" allowBlank="1" showInputMessage="1" showErrorMessage="1" sqref="L58:L66" xr:uid="{116F76E3-90CE-4584-A823-17D7F2830BAB}">
      <formula1>"0,1,2,3,4,5,6"</formula1>
    </dataValidation>
    <dataValidation type="list" allowBlank="1" showInputMessage="1" showErrorMessage="1" sqref="D24:J26" xr:uid="{B3DC1EA5-AE89-4B25-A8FC-92E425994767}">
      <formula1>$C$15:$C$19</formula1>
    </dataValidation>
    <dataValidation type="list" allowBlank="1" showInputMessage="1" showErrorMessage="1" sqref="D67:I67" xr:uid="{E2A7A834-6A9B-43AD-9548-AAADFA2DCC14}">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94BD75D-00F4-4FC0-92CB-788CB32F38A6}">
          <x14:formula1>
            <xm:f>'DATOS INICIALES'!$C$48:$C$49</xm:f>
          </x14:formula1>
          <xm:sqref>J47:J52 G47:I54</xm:sqref>
        </x14:dataValidation>
        <x14:dataValidation type="list" allowBlank="1" showInputMessage="1" showErrorMessage="1" xr:uid="{FC7A6B58-5393-4F07-B9BC-383DBD2A8061}">
          <x14:formula1>
            <xm:f>'DATOS INICIALES'!$A$53:$A$55</xm:f>
          </x14:formula1>
          <xm:sqref>G59:J65 G46:J46 J56:J57 G56:I58</xm:sqref>
        </x14:dataValidation>
        <x14:dataValidation type="list" allowBlank="1" showInputMessage="1" showErrorMessage="1" xr:uid="{21E8A4C2-EA98-4F14-AB1B-047991459118}">
          <x14:formula1>
            <xm:f>'DATOS INICIALES'!$A$57:$A$62</xm:f>
          </x14:formula1>
          <xm:sqref>D23:I23</xm:sqref>
        </x14:dataValidation>
        <x14:dataValidation type="list" allowBlank="1" showInputMessage="1" showErrorMessage="1" xr:uid="{027D767A-02A4-4BB9-8540-F1B27EF70B6F}">
          <x14:formula1>
            <xm:f>'DATOS INICIALES'!$D$22:$D$26</xm:f>
          </x14:formula1>
          <xm:sqref>M47:M55</xm:sqref>
        </x14:dataValidation>
        <x14:dataValidation type="list" allowBlank="1" showInputMessage="1" showErrorMessage="1" xr:uid="{FB0D4E53-AFAA-47BB-B9AB-FA3A7E60C132}">
          <x14:formula1>
            <xm:f>'DATOS INICIALES'!$A$13:$A$44</xm:f>
          </x14:formula1>
          <xm:sqref>G31:I31</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CCEF0-AF28-48F8-9FA7-D22B56ECB1C7}">
  <sheetPr>
    <tabColor rgb="FF92D050"/>
  </sheetPr>
  <dimension ref="B1:N82"/>
  <sheetViews>
    <sheetView view="pageBreakPreview" zoomScale="55" zoomScaleNormal="55" zoomScaleSheetLayoutView="55" workbookViewId="0">
      <pane ySplit="11" topLeftCell="A24" activePane="bottomLeft" state="frozenSplit"/>
      <selection activeCell="C11" sqref="C11:G11"/>
      <selection pane="bottomLeft" activeCell="H34" sqref="H34"/>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+PROPONENTES!B38</f>
        <v>CONSORCIO INFRAVIAL 4G</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NCITECO SAS</v>
      </c>
      <c r="D15" s="101">
        <f>IF(VLOOKUP(C11,PROPONENTES!B10:N44,3,FALSE)=0,"",VLOOKUP(C11,PROPONENTES!B10:N44,3,FALSE))</f>
        <v>0.5</v>
      </c>
      <c r="E15" s="102">
        <f>+D39+G39+H39</f>
        <v>33143.422500000001</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5</v>
      </c>
      <c r="J15" s="264">
        <f>IF(AND(I15&gt;=1,I15&lt;=2),L8,IF(AND(I15&gt;=3,I15&lt;=4),L9,IF(AND(I15&gt;=5,I15&lt;=7),L10)))</f>
        <v>23649.896899615385</v>
      </c>
      <c r="K15" s="264">
        <f>+E20</f>
        <v>41453.061499999996</v>
      </c>
      <c r="L15" s="265" t="str">
        <f>IF(K15&gt;=J15,"CUMPLE","NO CUMPLE")</f>
        <v>CUMPLE</v>
      </c>
    </row>
    <row r="16" spans="2:12" ht="33.75" customHeight="1" x14ac:dyDescent="0.2">
      <c r="B16" s="273"/>
      <c r="C16" s="100" t="str">
        <f>IF(VLOOKUP(C11,PROPONENTES!B10:N44,4,FALSE)=0,"",VLOOKUP(C11,PROPONENTES!B10:N44,4,FALSE))</f>
        <v xml:space="preserve">HMR INGENIERIA S.A.S </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8309.6389999999992</v>
      </c>
      <c r="F16" s="103" t="str">
        <f t="shared" si="1"/>
        <v>NO</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41453.061499999996</v>
      </c>
      <c r="J19" s="355">
        <f>IF(I15="","",VLOOKUP(I15,$D$76:$E$82,2,FALSE))</f>
        <v>23649.896899615385</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41453.061499999996</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93" customHeight="1" x14ac:dyDescent="0.25">
      <c r="B24" s="259" t="s">
        <v>115</v>
      </c>
      <c r="C24" s="260"/>
      <c r="D24" s="91" t="s">
        <v>667</v>
      </c>
      <c r="E24" s="91" t="s">
        <v>291</v>
      </c>
      <c r="F24" s="91" t="s">
        <v>291</v>
      </c>
      <c r="G24" s="91" t="s">
        <v>667</v>
      </c>
      <c r="H24" s="91" t="s">
        <v>667</v>
      </c>
      <c r="I24" s="91"/>
      <c r="J24" s="91"/>
      <c r="K24" s="364" t="s">
        <v>687</v>
      </c>
      <c r="L24" s="365"/>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668</v>
      </c>
      <c r="E27" s="92" t="s">
        <v>669</v>
      </c>
      <c r="F27" s="92" t="s">
        <v>670</v>
      </c>
      <c r="G27" s="92" t="s">
        <v>671</v>
      </c>
      <c r="H27" s="92" t="s">
        <v>672</v>
      </c>
      <c r="I27" s="92"/>
      <c r="J27" s="92"/>
      <c r="K27" s="247"/>
      <c r="L27" s="248"/>
    </row>
    <row r="28" spans="2:14" ht="156.75" customHeight="1" x14ac:dyDescent="0.2">
      <c r="B28" s="277"/>
      <c r="C28" s="26" t="s">
        <v>36</v>
      </c>
      <c r="D28" s="92" t="s">
        <v>673</v>
      </c>
      <c r="E28" s="92" t="s">
        <v>674</v>
      </c>
      <c r="F28" s="92" t="s">
        <v>675</v>
      </c>
      <c r="G28" s="92" t="s">
        <v>676</v>
      </c>
      <c r="H28" s="92" t="s">
        <v>677</v>
      </c>
      <c r="I28" s="92"/>
      <c r="J28" s="92"/>
      <c r="K28" s="247"/>
      <c r="L28" s="248"/>
    </row>
    <row r="29" spans="2:14" ht="52.5" customHeight="1" x14ac:dyDescent="0.2">
      <c r="B29" s="277"/>
      <c r="C29" s="26" t="s">
        <v>172</v>
      </c>
      <c r="D29" s="96">
        <v>43516</v>
      </c>
      <c r="E29" s="96">
        <v>44560</v>
      </c>
      <c r="F29" s="96">
        <v>43423</v>
      </c>
      <c r="G29" s="96">
        <v>43892</v>
      </c>
      <c r="H29" s="96">
        <v>42745</v>
      </c>
      <c r="I29" s="96"/>
      <c r="J29" s="96"/>
      <c r="K29" s="247"/>
      <c r="L29" s="248"/>
    </row>
    <row r="30" spans="2:14" ht="54.75" customHeight="1" x14ac:dyDescent="0.2">
      <c r="B30" s="277"/>
      <c r="C30" s="26" t="s">
        <v>40</v>
      </c>
      <c r="D30" s="96">
        <v>44148</v>
      </c>
      <c r="E30" s="96">
        <v>45107</v>
      </c>
      <c r="F30" s="96">
        <v>43774</v>
      </c>
      <c r="G30" s="96">
        <v>44167</v>
      </c>
      <c r="H30" s="96">
        <v>42986</v>
      </c>
      <c r="I30" s="96"/>
      <c r="J30" s="96"/>
      <c r="K30" s="247"/>
      <c r="L30" s="248"/>
    </row>
    <row r="31" spans="2:14" ht="41.25" customHeight="1" x14ac:dyDescent="0.2">
      <c r="B31" s="277"/>
      <c r="C31" s="26" t="s">
        <v>37</v>
      </c>
      <c r="D31" s="93">
        <v>2020</v>
      </c>
      <c r="E31" s="93">
        <v>2023</v>
      </c>
      <c r="F31" s="93">
        <v>2019</v>
      </c>
      <c r="G31" s="93">
        <v>2020</v>
      </c>
      <c r="H31" s="93">
        <v>2017</v>
      </c>
      <c r="I31" s="93"/>
      <c r="J31" s="93"/>
      <c r="K31" s="247"/>
      <c r="L31" s="248"/>
    </row>
    <row r="32" spans="2:14" ht="63" customHeight="1" x14ac:dyDescent="0.2">
      <c r="B32" s="277"/>
      <c r="C32" s="26" t="s">
        <v>38</v>
      </c>
      <c r="D32" s="92" t="s">
        <v>678</v>
      </c>
      <c r="E32" s="92" t="s">
        <v>679</v>
      </c>
      <c r="F32" s="92" t="s">
        <v>680</v>
      </c>
      <c r="G32" s="92" t="s">
        <v>681</v>
      </c>
      <c r="H32" s="92" t="s">
        <v>682</v>
      </c>
      <c r="I32" s="92"/>
      <c r="J32" s="92"/>
      <c r="K32" s="247"/>
      <c r="L32" s="248"/>
    </row>
    <row r="33" spans="2:12" ht="46.5" customHeight="1" x14ac:dyDescent="0.2">
      <c r="B33" s="277"/>
      <c r="C33" s="26" t="s">
        <v>39</v>
      </c>
      <c r="D33" s="92" t="s">
        <v>683</v>
      </c>
      <c r="E33" s="92" t="s">
        <v>684</v>
      </c>
      <c r="F33" s="92" t="s">
        <v>685</v>
      </c>
      <c r="G33" s="92" t="s">
        <v>686</v>
      </c>
      <c r="H33" s="92" t="s">
        <v>683</v>
      </c>
      <c r="I33" s="92"/>
      <c r="J33" s="92"/>
      <c r="K33" s="247"/>
      <c r="L33" s="248"/>
    </row>
    <row r="34" spans="2:12" ht="27.75" customHeight="1" x14ac:dyDescent="0.2">
      <c r="B34" s="277"/>
      <c r="C34" s="28" t="s">
        <v>33</v>
      </c>
      <c r="D34" s="97">
        <v>185</v>
      </c>
      <c r="E34" s="97">
        <v>65</v>
      </c>
      <c r="F34" s="97">
        <v>44</v>
      </c>
      <c r="G34" s="98">
        <v>192</v>
      </c>
      <c r="H34" s="98">
        <v>157</v>
      </c>
      <c r="I34" s="98"/>
      <c r="J34" s="98"/>
      <c r="K34" s="247"/>
      <c r="L34" s="248"/>
    </row>
    <row r="35" spans="2:12" ht="102.75" customHeight="1" x14ac:dyDescent="0.2">
      <c r="B35" s="277"/>
      <c r="C35" s="26" t="s">
        <v>118</v>
      </c>
      <c r="D35" s="94">
        <v>21848.57</v>
      </c>
      <c r="E35" s="94">
        <v>11316.71</v>
      </c>
      <c r="F35" s="94">
        <v>6565.55</v>
      </c>
      <c r="G35" s="94">
        <v>6077.39</v>
      </c>
      <c r="H35" s="94">
        <v>6736.81</v>
      </c>
      <c r="I35" s="94"/>
      <c r="J35" s="94"/>
      <c r="K35" s="279"/>
      <c r="L35" s="280"/>
    </row>
    <row r="36" spans="2:12" ht="48" customHeight="1" x14ac:dyDescent="0.2">
      <c r="B36" s="277"/>
      <c r="C36" s="26" t="s">
        <v>74</v>
      </c>
      <c r="D36" s="105">
        <f>IFERROR(D35*VLOOKUP(D31,'DATOS INICIALES'!$A$12:$B$44,2,0),"0")</f>
        <v>19178740291.709999</v>
      </c>
      <c r="E36" s="105">
        <f>IFERROR(E35*VLOOKUP(E31,'DATOS INICIALES'!$A$12:$B$44,2,0),"0")</f>
        <v>13127383599.999998</v>
      </c>
      <c r="F36" s="105">
        <f>IFERROR(F35*VLOOKUP(F31,'DATOS INICIALES'!$A$12:$B$44,2,0),"0")</f>
        <v>5437037003.8000002</v>
      </c>
      <c r="G36" s="105">
        <f>IFERROR(G35*VLOOKUP(G31,'DATOS INICIALES'!$A$12:$B$44,2,0),"0")</f>
        <v>5334751174.1700001</v>
      </c>
      <c r="H36" s="105">
        <f>IFERROR(H35*VLOOKUP(H31,'DATOS INICIALES'!$A$12:$B$44,2,0),"0")</f>
        <v>4969859262.7700005</v>
      </c>
      <c r="I36" s="105" t="str">
        <f>IFERROR(I35*VLOOKUP(I31,'DATOS INICIALES'!$A$12:$B$44,2,0),"0")</f>
        <v>0</v>
      </c>
      <c r="J36" s="105" t="str">
        <f>IFERROR(J35*VLOOKUP(J31,'DATOS INICIALES'!$A$12:$B$44,2,0),"0")</f>
        <v>0</v>
      </c>
      <c r="K36" s="247"/>
      <c r="L36" s="248"/>
    </row>
    <row r="37" spans="2:12" ht="33.75" customHeight="1" x14ac:dyDescent="0.2">
      <c r="B37" s="277"/>
      <c r="C37" s="26" t="s">
        <v>119</v>
      </c>
      <c r="D37" s="95">
        <v>1</v>
      </c>
      <c r="E37" s="95">
        <v>0.45</v>
      </c>
      <c r="F37" s="95">
        <v>0.49</v>
      </c>
      <c r="G37" s="95">
        <v>0.75</v>
      </c>
      <c r="H37" s="95">
        <v>1</v>
      </c>
      <c r="I37" s="95"/>
      <c r="J37" s="95"/>
      <c r="K37" s="247"/>
      <c r="L37" s="248"/>
    </row>
    <row r="38" spans="2:12" ht="48.75" customHeight="1" x14ac:dyDescent="0.2">
      <c r="B38" s="277"/>
      <c r="C38" s="26" t="s">
        <v>125</v>
      </c>
      <c r="D38" s="105">
        <f t="shared" ref="D38:J38" si="3">IF(D24="","0",D37*D36)</f>
        <v>19178740291.709999</v>
      </c>
      <c r="E38" s="105">
        <f t="shared" si="3"/>
        <v>5907322619.999999</v>
      </c>
      <c r="F38" s="105">
        <f t="shared" si="3"/>
        <v>2664148131.862</v>
      </c>
      <c r="G38" s="105">
        <f t="shared" si="3"/>
        <v>4001063380.6275001</v>
      </c>
      <c r="H38" s="105">
        <f t="shared" si="3"/>
        <v>4969859262.7700005</v>
      </c>
      <c r="I38" s="105" t="str">
        <f t="shared" si="3"/>
        <v>0</v>
      </c>
      <c r="J38" s="105" t="str">
        <f t="shared" si="3"/>
        <v>0</v>
      </c>
      <c r="K38" s="247"/>
      <c r="L38" s="248"/>
    </row>
    <row r="39" spans="2:12" ht="65.25" customHeight="1" x14ac:dyDescent="0.2">
      <c r="B39" s="277"/>
      <c r="C39" s="26" t="s">
        <v>120</v>
      </c>
      <c r="D39" s="106">
        <f t="shared" ref="D39:J39" si="4">IFERROR(D35*D37,"0")</f>
        <v>21848.57</v>
      </c>
      <c r="E39" s="106">
        <f t="shared" si="4"/>
        <v>5092.5194999999994</v>
      </c>
      <c r="F39" s="106">
        <f t="shared" si="4"/>
        <v>3217.1195000000002</v>
      </c>
      <c r="G39" s="106">
        <f t="shared" si="4"/>
        <v>4558.0425000000005</v>
      </c>
      <c r="H39" s="106">
        <f t="shared" si="4"/>
        <v>6736.81</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t="s">
        <v>13</v>
      </c>
      <c r="I46" s="91"/>
      <c r="J46" s="91"/>
      <c r="K46" s="247"/>
      <c r="L46" s="248"/>
    </row>
    <row r="47" spans="2:12" ht="24.75" customHeight="1" x14ac:dyDescent="0.2">
      <c r="B47" s="284" t="s">
        <v>34</v>
      </c>
      <c r="C47" s="29">
        <f>+'DATOS INICIALES'!D22</f>
        <v>721033</v>
      </c>
      <c r="D47" s="97" t="s">
        <v>77</v>
      </c>
      <c r="E47" s="97" t="s">
        <v>77</v>
      </c>
      <c r="F47" s="97" t="s">
        <v>77</v>
      </c>
      <c r="G47" s="97" t="s">
        <v>75</v>
      </c>
      <c r="H47" s="97" t="s">
        <v>77</v>
      </c>
      <c r="I47" s="97"/>
      <c r="J47" s="98"/>
      <c r="K47" s="247"/>
      <c r="L47" s="248"/>
    </row>
    <row r="48" spans="2:12" ht="24.75" customHeight="1" x14ac:dyDescent="0.2">
      <c r="B48" s="285"/>
      <c r="C48" s="29">
        <f>+'DATOS INICIALES'!D23</f>
        <v>721410</v>
      </c>
      <c r="D48" s="97" t="s">
        <v>77</v>
      </c>
      <c r="E48" s="97" t="s">
        <v>77</v>
      </c>
      <c r="F48" s="97" t="s">
        <v>77</v>
      </c>
      <c r="G48" s="97" t="s">
        <v>77</v>
      </c>
      <c r="H48" s="97" t="s">
        <v>77</v>
      </c>
      <c r="I48" s="97"/>
      <c r="J48" s="98"/>
      <c r="K48" s="247"/>
      <c r="L48" s="248"/>
    </row>
    <row r="49" spans="2:12" ht="24.75" customHeight="1" x14ac:dyDescent="0.2">
      <c r="B49" s="285"/>
      <c r="C49" s="29">
        <f>+'DATOS INICIALES'!D24</f>
        <v>721411</v>
      </c>
      <c r="D49" s="97" t="s">
        <v>77</v>
      </c>
      <c r="E49" s="97" t="s">
        <v>77</v>
      </c>
      <c r="F49" s="97" t="s">
        <v>77</v>
      </c>
      <c r="G49" s="97" t="s">
        <v>77</v>
      </c>
      <c r="H49" s="97" t="s">
        <v>77</v>
      </c>
      <c r="I49" s="97"/>
      <c r="J49" s="98"/>
      <c r="K49" s="247"/>
      <c r="L49" s="248"/>
    </row>
    <row r="50" spans="2:12" ht="24.75" customHeight="1" x14ac:dyDescent="0.2">
      <c r="B50" s="285"/>
      <c r="C50" s="29">
        <f>+'DATOS INICIALES'!D25</f>
        <v>721416</v>
      </c>
      <c r="D50" s="97" t="s">
        <v>77</v>
      </c>
      <c r="E50" s="97" t="s">
        <v>77</v>
      </c>
      <c r="F50" s="97" t="s">
        <v>77</v>
      </c>
      <c r="G50" s="97" t="s">
        <v>75</v>
      </c>
      <c r="H50" s="97" t="s">
        <v>77</v>
      </c>
      <c r="I50" s="97"/>
      <c r="J50" s="98"/>
      <c r="K50" s="247"/>
      <c r="L50" s="248"/>
    </row>
    <row r="51" spans="2:12" ht="24.75" customHeight="1" x14ac:dyDescent="0.2">
      <c r="B51" s="285"/>
      <c r="C51" s="29">
        <f>+'DATOS INICIALES'!D26</f>
        <v>721527</v>
      </c>
      <c r="D51" s="97" t="s">
        <v>77</v>
      </c>
      <c r="E51" s="97" t="s">
        <v>77</v>
      </c>
      <c r="F51" s="97" t="s">
        <v>77</v>
      </c>
      <c r="G51" s="97" t="s">
        <v>77</v>
      </c>
      <c r="H51" s="97" t="s">
        <v>77</v>
      </c>
      <c r="I51" s="97"/>
      <c r="J51" s="98"/>
      <c r="K51" s="247"/>
      <c r="L51" s="248"/>
    </row>
    <row r="52" spans="2:12" ht="24.75" customHeight="1" x14ac:dyDescent="0.2">
      <c r="B52" s="285"/>
      <c r="C52" s="29">
        <f>+'DATOS INICIALES'!D27</f>
        <v>721539</v>
      </c>
      <c r="D52" s="97" t="s">
        <v>75</v>
      </c>
      <c r="E52" s="97" t="s">
        <v>77</v>
      </c>
      <c r="F52" s="97" t="s">
        <v>77</v>
      </c>
      <c r="G52" s="97" t="s">
        <v>77</v>
      </c>
      <c r="H52" s="97" t="s">
        <v>75</v>
      </c>
      <c r="I52" s="97"/>
      <c r="J52" s="98"/>
      <c r="K52" s="247"/>
      <c r="L52" s="248"/>
    </row>
    <row r="53" spans="2:12" ht="24.75" customHeight="1" x14ac:dyDescent="0.2">
      <c r="B53" s="285"/>
      <c r="C53" s="29">
        <f>+'DATOS INICIALES'!D28</f>
        <v>951115</v>
      </c>
      <c r="D53" s="97" t="s">
        <v>77</v>
      </c>
      <c r="E53" s="97" t="s">
        <v>77</v>
      </c>
      <c r="F53" s="97" t="s">
        <v>77</v>
      </c>
      <c r="G53" s="97" t="s">
        <v>77</v>
      </c>
      <c r="H53" s="97" t="s">
        <v>77</v>
      </c>
      <c r="I53" s="97"/>
      <c r="J53" s="97"/>
      <c r="K53" s="247"/>
      <c r="L53" s="248"/>
    </row>
    <row r="54" spans="2:12" ht="24.75" customHeight="1" x14ac:dyDescent="0.2">
      <c r="B54" s="285"/>
      <c r="C54" s="29">
        <f>+'DATOS INICIALES'!D29</f>
        <v>721033</v>
      </c>
      <c r="D54" s="97" t="s">
        <v>77</v>
      </c>
      <c r="E54" s="97" t="s">
        <v>77</v>
      </c>
      <c r="F54" s="97" t="s">
        <v>77</v>
      </c>
      <c r="G54" s="97" t="s">
        <v>75</v>
      </c>
      <c r="H54" s="97" t="s">
        <v>77</v>
      </c>
      <c r="I54" s="97"/>
      <c r="J54" s="97"/>
      <c r="K54" s="247"/>
      <c r="L54" s="248"/>
    </row>
    <row r="55" spans="2:12" ht="60.75" customHeight="1" x14ac:dyDescent="0.2">
      <c r="B55" s="286"/>
      <c r="C55" s="18" t="s">
        <v>57</v>
      </c>
      <c r="D55" s="18" t="str">
        <f t="shared" ref="D55:H55" si="9">IF(D24="","N/A",IF(D47="SI","CUMPLE",IF(D48="SI","CUMPLE",IF(D49="SI","CUMPLE",IF(D50="SI","CUMPLE",IF(D51="SI","CUMPLE",IF(D52="SI","CUMPLE",IF(D54="SI","CUMPLE","NO CUMPLE"))))))))</f>
        <v>CUMPLE</v>
      </c>
      <c r="E55" s="18" t="str">
        <f t="shared" si="9"/>
        <v>CUMPLE</v>
      </c>
      <c r="F55" s="18" t="str">
        <f t="shared" si="9"/>
        <v>CUMPLE</v>
      </c>
      <c r="G55" s="18" t="str">
        <f t="shared" si="9"/>
        <v>CUMPLE</v>
      </c>
      <c r="H55" s="18" t="str">
        <f t="shared" si="9"/>
        <v>CUMPLE</v>
      </c>
      <c r="I55" s="18" t="str">
        <f t="shared" ref="I55:J55" si="10">IF(I24="","N/A",IF(I47="SI","CUMPLE",IF(I48="SI","CUMPLE",IF(I49="SI","CUMPLE",IF(I50="SI","CUMPLE",IF(I51="SI","CUMPLE",IF(I52="SI","CUMPLE",IF(I54="SI","CUMPLE","NO CUMPLE"))))))))</f>
        <v>N/A</v>
      </c>
      <c r="J55" s="18" t="str">
        <f t="shared" si="10"/>
        <v>N/A</v>
      </c>
      <c r="K55" s="247"/>
      <c r="L55" s="248"/>
    </row>
    <row r="56" spans="2:12" ht="147.5" customHeight="1" x14ac:dyDescent="0.2">
      <c r="B56" s="287" t="s">
        <v>189</v>
      </c>
      <c r="C56" s="288"/>
      <c r="D56" s="91" t="s">
        <v>13</v>
      </c>
      <c r="E56" s="91" t="s">
        <v>13</v>
      </c>
      <c r="F56" s="91" t="s">
        <v>13</v>
      </c>
      <c r="G56" s="91" t="s">
        <v>13</v>
      </c>
      <c r="H56" s="91" t="s">
        <v>13</v>
      </c>
      <c r="I56" s="91"/>
      <c r="J56" s="91"/>
      <c r="K56" s="257"/>
      <c r="L56" s="258"/>
    </row>
    <row r="57" spans="2:12" ht="103.25" customHeight="1" x14ac:dyDescent="0.2">
      <c r="B57" s="287" t="s">
        <v>190</v>
      </c>
      <c r="C57" s="288"/>
      <c r="D57" s="91" t="s">
        <v>13</v>
      </c>
      <c r="E57" s="91" t="s">
        <v>13</v>
      </c>
      <c r="F57" s="91" t="s">
        <v>13</v>
      </c>
      <c r="G57" s="91" t="s">
        <v>13</v>
      </c>
      <c r="H57" s="91" t="s">
        <v>13</v>
      </c>
      <c r="I57" s="91"/>
      <c r="J57" s="91"/>
      <c r="K57" s="257"/>
      <c r="L57" s="258"/>
    </row>
    <row r="58" spans="2:12" ht="72" customHeight="1" x14ac:dyDescent="0.2">
      <c r="B58" s="281" t="s">
        <v>191</v>
      </c>
      <c r="C58" s="282"/>
      <c r="D58" s="91" t="s">
        <v>13</v>
      </c>
      <c r="E58" s="91" t="s">
        <v>13</v>
      </c>
      <c r="F58" s="91" t="s">
        <v>13</v>
      </c>
      <c r="G58" s="91" t="s">
        <v>13</v>
      </c>
      <c r="H58" s="91" t="s">
        <v>13</v>
      </c>
      <c r="I58" s="91"/>
      <c r="J58" s="91"/>
      <c r="K58" s="247"/>
      <c r="L58" s="248"/>
    </row>
    <row r="59" spans="2:12" ht="42.5" customHeight="1" x14ac:dyDescent="0.2">
      <c r="B59" s="281" t="s">
        <v>192</v>
      </c>
      <c r="C59" s="282"/>
      <c r="D59" s="91" t="s">
        <v>13</v>
      </c>
      <c r="E59" s="91" t="s">
        <v>13</v>
      </c>
      <c r="F59" s="91" t="s">
        <v>13</v>
      </c>
      <c r="G59" s="91" t="s">
        <v>13</v>
      </c>
      <c r="H59" s="91" t="s">
        <v>13</v>
      </c>
      <c r="I59" s="91"/>
      <c r="J59" s="91"/>
      <c r="K59" s="247"/>
      <c r="L59" s="248"/>
    </row>
    <row r="60" spans="2:12" ht="36" customHeight="1" x14ac:dyDescent="0.2">
      <c r="B60" s="281" t="s">
        <v>193</v>
      </c>
      <c r="C60" s="282"/>
      <c r="D60" s="91" t="s">
        <v>13</v>
      </c>
      <c r="E60" s="91" t="s">
        <v>13</v>
      </c>
      <c r="F60" s="91" t="s">
        <v>13</v>
      </c>
      <c r="G60" s="91" t="s">
        <v>13</v>
      </c>
      <c r="H60" s="91" t="s">
        <v>13</v>
      </c>
      <c r="I60" s="91"/>
      <c r="J60" s="91"/>
      <c r="K60" s="247"/>
      <c r="L60" s="248"/>
    </row>
    <row r="61" spans="2:12" ht="160.75" customHeight="1" x14ac:dyDescent="0.2">
      <c r="B61" s="281" t="s">
        <v>194</v>
      </c>
      <c r="C61" s="282"/>
      <c r="D61" s="91" t="s">
        <v>13</v>
      </c>
      <c r="E61" s="91" t="s">
        <v>13</v>
      </c>
      <c r="F61" s="91" t="s">
        <v>13</v>
      </c>
      <c r="G61" s="91" t="s">
        <v>13</v>
      </c>
      <c r="H61" s="91" t="s">
        <v>13</v>
      </c>
      <c r="I61" s="91"/>
      <c r="J61" s="91"/>
      <c r="K61" s="247"/>
      <c r="L61" s="248"/>
    </row>
    <row r="62" spans="2:12" ht="409.25" customHeight="1" x14ac:dyDescent="0.2">
      <c r="B62" s="261" t="s">
        <v>195</v>
      </c>
      <c r="C62" s="261"/>
      <c r="D62" s="91" t="s">
        <v>13</v>
      </c>
      <c r="E62" s="91" t="s">
        <v>13</v>
      </c>
      <c r="F62" s="91" t="s">
        <v>13</v>
      </c>
      <c r="G62" s="91" t="s">
        <v>13</v>
      </c>
      <c r="H62" s="91" t="s">
        <v>13</v>
      </c>
      <c r="I62" s="91"/>
      <c r="J62" s="91"/>
      <c r="K62" s="279"/>
      <c r="L62" s="280"/>
    </row>
    <row r="63" spans="2:12" ht="301.75" customHeight="1" x14ac:dyDescent="0.2">
      <c r="B63" s="262" t="s">
        <v>196</v>
      </c>
      <c r="C63" s="263"/>
      <c r="D63" s="91" t="s">
        <v>13</v>
      </c>
      <c r="E63" s="91" t="s">
        <v>13</v>
      </c>
      <c r="F63" s="91" t="s">
        <v>13</v>
      </c>
      <c r="G63" s="91" t="s">
        <v>13</v>
      </c>
      <c r="H63" s="91" t="s">
        <v>13</v>
      </c>
      <c r="I63" s="91"/>
      <c r="J63" s="91"/>
      <c r="K63" s="247"/>
      <c r="L63" s="248"/>
    </row>
    <row r="64" spans="2:12" ht="253.75" customHeight="1" x14ac:dyDescent="0.2">
      <c r="B64" s="283" t="s">
        <v>197</v>
      </c>
      <c r="C64" s="283"/>
      <c r="D64" s="91" t="s">
        <v>13</v>
      </c>
      <c r="E64" s="91" t="s">
        <v>13</v>
      </c>
      <c r="F64" s="91" t="s">
        <v>13</v>
      </c>
      <c r="G64" s="91" t="s">
        <v>13</v>
      </c>
      <c r="H64" s="91" t="s">
        <v>13</v>
      </c>
      <c r="I64" s="91"/>
      <c r="J64" s="91"/>
      <c r="K64" s="247"/>
      <c r="L64" s="248"/>
    </row>
    <row r="65" spans="2:12" ht="243.5" customHeight="1" x14ac:dyDescent="0.2">
      <c r="B65" s="261" t="s">
        <v>198</v>
      </c>
      <c r="C65" s="261"/>
      <c r="D65" s="91" t="s">
        <v>13</v>
      </c>
      <c r="E65" s="91" t="s">
        <v>13</v>
      </c>
      <c r="F65" s="91" t="s">
        <v>13</v>
      </c>
      <c r="G65" s="91" t="s">
        <v>13</v>
      </c>
      <c r="H65" s="91" t="s">
        <v>13</v>
      </c>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H66" si="11">IF(F24="","N/A",IF(AND(F46="CUMPLE",F55="CUMPLE",F56="CUMPLE",F57="CUMPLE",F58="CUMPLE",F59="CUMPLE",OR(F61="CUMPLE",F61="N/A"),F62="CUMPLE",OR(F63="CUMPLE",F63="N/A"),F65="CUMPLE",OR(F64="CUMPLE",F64="N/A")),"CUMPLE","NO CUMPLE"))</f>
        <v>CUMPLE</v>
      </c>
      <c r="G66" s="18" t="str">
        <f t="shared" si="11"/>
        <v>CUMPLE</v>
      </c>
      <c r="H66" s="18" t="str">
        <f t="shared" si="11"/>
        <v>CUMPLE</v>
      </c>
      <c r="I66" s="18" t="str">
        <f t="shared" ref="I66:J66" si="12">IF(I24="","N/A",IF(AND(I46="CUMPLE",I55="CUMPLE",I56="CUMPLE",I57="CUMPLE",I58="CUMPLE",I59="CUMPLE",OR(I61="CUMPLE",I61="N/A"),I62="CUMPLE",OR(I63="CUMPLE",I63="N/A"),I65="CUMPLE",OR(I64="CUMPLE",I64="N/A")),"CUMPLE","NO CUMPLE"))</f>
        <v>N/A</v>
      </c>
      <c r="J66" s="18" t="str">
        <f t="shared" si="12"/>
        <v>N/A</v>
      </c>
      <c r="K66" s="147"/>
      <c r="L66" s="148"/>
    </row>
    <row r="67" spans="2:12" ht="54.5" customHeight="1" x14ac:dyDescent="0.2">
      <c r="B67" s="261" t="s">
        <v>188</v>
      </c>
      <c r="C67" s="261"/>
      <c r="D67" s="91" t="s">
        <v>13</v>
      </c>
      <c r="E67" s="91" t="s">
        <v>13</v>
      </c>
      <c r="F67" s="91" t="s">
        <v>13</v>
      </c>
      <c r="G67" s="91" t="s">
        <v>13</v>
      </c>
      <c r="H67" s="91" t="s">
        <v>13</v>
      </c>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233" priority="28">
      <formula>NOT(ISERROR(D25))</formula>
    </cfRule>
    <cfRule type="containsBlanks" dxfId="232" priority="27">
      <formula>LEN(TRIM(D25))=0</formula>
    </cfRule>
  </conditionalFormatting>
  <conditionalFormatting sqref="D34:J34 D24:K24">
    <cfRule type="containsBlanks" dxfId="231" priority="29">
      <formula>LEN(TRIM(D24))=0</formula>
    </cfRule>
  </conditionalFormatting>
  <conditionalFormatting sqref="D37:J37">
    <cfRule type="notContainsErrors" dxfId="230" priority="26">
      <formula>NOT(ISERROR(D37))</formula>
    </cfRule>
    <cfRule type="containsBlanks" dxfId="229" priority="25">
      <formula>LEN(TRIM(D37))=0</formula>
    </cfRule>
  </conditionalFormatting>
  <conditionalFormatting sqref="D40:J40">
    <cfRule type="notContainsErrors" dxfId="228" priority="44">
      <formula>NOT(ISERROR(D40))</formula>
    </cfRule>
    <cfRule type="containsBlanks" dxfId="227" priority="43">
      <formula>LEN(TRIM(D40))=0</formula>
    </cfRule>
  </conditionalFormatting>
  <conditionalFormatting sqref="D43:J43 K66:L66">
    <cfRule type="notContainsErrors" dxfId="226" priority="54">
      <formula>NOT(ISERROR(D43))</formula>
    </cfRule>
    <cfRule type="containsBlanks" dxfId="225" priority="53">
      <formula>LEN(TRIM(D43))=0</formula>
    </cfRule>
  </conditionalFormatting>
  <conditionalFormatting sqref="D46:J54">
    <cfRule type="cellIs" dxfId="224" priority="13" operator="equal">
      <formula>"NO CUMPLE"</formula>
    </cfRule>
    <cfRule type="cellIs" dxfId="223" priority="14" operator="equal">
      <formula>"CUMPLE"</formula>
    </cfRule>
    <cfRule type="containsBlanks" dxfId="222" priority="15">
      <formula>LEN(TRIM(D46))=0</formula>
    </cfRule>
    <cfRule type="notContainsErrors" dxfId="221" priority="16">
      <formula>NOT(ISERROR(D46))</formula>
    </cfRule>
  </conditionalFormatting>
  <conditionalFormatting sqref="D55:J55">
    <cfRule type="cellIs" dxfId="220" priority="22" operator="equal">
      <formula>"CUMPLE"</formula>
    </cfRule>
    <cfRule type="cellIs" dxfId="219" priority="24" operator="equal">
      <formula>"""CUMPLE"""</formula>
    </cfRule>
    <cfRule type="cellIs" dxfId="218" priority="23" operator="equal">
      <formula>"NO CUMPLE"</formula>
    </cfRule>
    <cfRule type="cellIs" dxfId="217" priority="21" operator="equal">
      <formula>"N/A"</formula>
    </cfRule>
  </conditionalFormatting>
  <conditionalFormatting sqref="D56:J65">
    <cfRule type="cellIs" dxfId="216" priority="1" operator="equal">
      <formula>"NO CUMPLE"</formula>
    </cfRule>
    <cfRule type="notContainsErrors" dxfId="215" priority="4">
      <formula>NOT(ISERROR(D56))</formula>
    </cfRule>
    <cfRule type="cellIs" dxfId="214" priority="2" operator="equal">
      <formula>"CUMPLE"</formula>
    </cfRule>
    <cfRule type="containsBlanks" dxfId="213" priority="3">
      <formula>LEN(TRIM(D56))=0</formula>
    </cfRule>
  </conditionalFormatting>
  <conditionalFormatting sqref="D66:J66">
    <cfRule type="cellIs" dxfId="212" priority="20" operator="equal">
      <formula>"""CUMPLE"""</formula>
    </cfRule>
    <cfRule type="cellIs" dxfId="211" priority="17" operator="equal">
      <formula>"N/A"</formula>
    </cfRule>
    <cfRule type="cellIs" dxfId="210" priority="18" operator="equal">
      <formula>"CUMPLE"</formula>
    </cfRule>
    <cfRule type="cellIs" dxfId="209" priority="19" operator="equal">
      <formula>"NO CUMPLE"</formula>
    </cfRule>
  </conditionalFormatting>
  <conditionalFormatting sqref="D67:J67">
    <cfRule type="cellIs" dxfId="208" priority="6" operator="equal">
      <formula>"CUMPLE"</formula>
    </cfRule>
    <cfRule type="cellIs" dxfId="207" priority="5" operator="equal">
      <formula>"NO CUMPLE"</formula>
    </cfRule>
  </conditionalFormatting>
  <conditionalFormatting sqref="D24:K24 D34:J34">
    <cfRule type="notContainsErrors" dxfId="206" priority="30">
      <formula>NOT(ISERROR(D24))</formula>
    </cfRule>
  </conditionalFormatting>
  <conditionalFormatting sqref="D67:K67">
    <cfRule type="notContainsErrors" dxfId="205" priority="8">
      <formula>NOT(ISERROR(D67))</formula>
    </cfRule>
    <cfRule type="containsBlanks" dxfId="204" priority="7">
      <formula>LEN(TRIM(D67))=0</formula>
    </cfRule>
  </conditionalFormatting>
  <conditionalFormatting sqref="F20:H20">
    <cfRule type="cellIs" dxfId="203" priority="69" operator="equal">
      <formula>"CUMPLE"</formula>
    </cfRule>
    <cfRule type="cellIs" dxfId="202" priority="70" operator="equal">
      <formula>"NO CUMPLE"</formula>
    </cfRule>
    <cfRule type="cellIs" dxfId="201" priority="71" operator="equal">
      <formula>"""CUMPLE"""</formula>
    </cfRule>
  </conditionalFormatting>
  <conditionalFormatting sqref="I11">
    <cfRule type="containsText" dxfId="200" priority="72" operator="containsText" text="INHABILITADO">
      <formula>NOT(ISERROR(SEARCH("INHABILITADO",I11)))</formula>
    </cfRule>
    <cfRule type="containsText" dxfId="199" priority="73" operator="containsText" text="HABILITADO">
      <formula>NOT(ISERROR(SEARCH("HABILITADO",I11)))</formula>
    </cfRule>
    <cfRule type="containsText" dxfId="198" priority="74" operator="containsText" text="HABILITADO">
      <formula>NOT(ISERROR(SEARCH("HABILITADO",I11)))</formula>
    </cfRule>
    <cfRule type="containsText" dxfId="197" priority="75" operator="containsText" text="NO CUMPLE">
      <formula>NOT(ISERROR(SEARCH("NO CUMPLE",I11)))</formula>
    </cfRule>
  </conditionalFormatting>
  <conditionalFormatting sqref="K19">
    <cfRule type="cellIs" dxfId="196" priority="60" operator="equal">
      <formula>"CUMPLE"</formula>
    </cfRule>
    <cfRule type="cellIs" dxfId="195" priority="61" operator="equal">
      <formula>"NO CUMPLE"</formula>
    </cfRule>
    <cfRule type="cellIs" dxfId="194" priority="62" operator="equal">
      <formula>"""CUMPLE"""</formula>
    </cfRule>
  </conditionalFormatting>
  <conditionalFormatting sqref="K25:K65">
    <cfRule type="containsBlanks" dxfId="193" priority="51">
      <formula>LEN(TRIM(K25))=0</formula>
    </cfRule>
    <cfRule type="notContainsErrors" dxfId="192" priority="52">
      <formula>NOT(ISERROR(K25))</formula>
    </cfRule>
  </conditionalFormatting>
  <conditionalFormatting sqref="L15">
    <cfRule type="cellIs" dxfId="191" priority="66" operator="equal">
      <formula>"CUMPLE"</formula>
    </cfRule>
    <cfRule type="cellIs" dxfId="190" priority="67" operator="equal">
      <formula>"NO CUMPLE"</formula>
    </cfRule>
    <cfRule type="cellIs" dxfId="189" priority="68" operator="equal">
      <formula>"""CUMPLE"""</formula>
    </cfRule>
  </conditionalFormatting>
  <dataValidations disablePrompts="1" count="3">
    <dataValidation type="list" allowBlank="1" showInputMessage="1" showErrorMessage="1" sqref="D67:I67" xr:uid="{B26C64B0-A4E2-4496-959B-CFF59483CBB2}">
      <formula1>"CUMPLE,NO CUMPLE"</formula1>
    </dataValidation>
    <dataValidation type="list" allowBlank="1" showInputMessage="1" showErrorMessage="1" sqref="D24:J26" xr:uid="{1FDFF22A-275D-41C8-B040-DE91428929EF}">
      <formula1>$C$15:$C$19</formula1>
    </dataValidation>
    <dataValidation type="list" allowBlank="1" showInputMessage="1" showErrorMessage="1" sqref="L58:L66" xr:uid="{976A2A61-6C34-40E6-9B4E-066DDDE436FC}">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C4E58831-AEDE-4703-A5A3-E71692649807}">
          <x14:formula1>
            <xm:f>'DATOS INICIALES'!$A$13:$A$44</xm:f>
          </x14:formula1>
          <xm:sqref>I31</xm:sqref>
        </x14:dataValidation>
        <x14:dataValidation type="list" allowBlank="1" showInputMessage="1" showErrorMessage="1" xr:uid="{F6411B83-494C-43C4-83E0-A16DE3CFA681}">
          <x14:formula1>
            <xm:f>'DATOS INICIALES'!$D$22:$D$26</xm:f>
          </x14:formula1>
          <xm:sqref>M47:M55</xm:sqref>
        </x14:dataValidation>
        <x14:dataValidation type="list" allowBlank="1" showInputMessage="1" showErrorMessage="1" xr:uid="{5C374FE1-6308-4DAD-96AB-DFE32450A707}">
          <x14:formula1>
            <xm:f>'DATOS INICIALES'!$A$57:$A$62</xm:f>
          </x14:formula1>
          <xm:sqref>D23:I23</xm:sqref>
        </x14:dataValidation>
        <x14:dataValidation type="list" allowBlank="1" showInputMessage="1" showErrorMessage="1" xr:uid="{F7638C51-1BB8-40C1-AA6B-F7A1B24C0942}">
          <x14:formula1>
            <xm:f>'DATOS INICIALES'!$A$53:$A$55</xm:f>
          </x14:formula1>
          <xm:sqref>I59:J65 I46:J46 J56:J57 I56:I58 D56:H65</xm:sqref>
        </x14:dataValidation>
        <x14:dataValidation type="list" allowBlank="1" showInputMessage="1" showErrorMessage="1" xr:uid="{54A69C22-741B-4A59-9380-248961461F93}">
          <x14:formula1>
            <xm:f>'DATOS INICIALES'!$C$48:$C$49</xm:f>
          </x14:formula1>
          <xm:sqref>J47:J52 I47:I54</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FCF68-55DC-4FC8-A21A-D4D6DD1BCC71}">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F19" sqref="F19"/>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+PROPONENTES!B39</f>
        <v>CONSORCIO VIAS PRO BOGOTA</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PA COLOMBIA S.A.S. </v>
      </c>
      <c r="D15" s="101">
        <f>IF(VLOOKUP(C11,PROPONENTES!B10:N44,3,FALSE)=0,"",VLOOKUP(C11,PROPONENTES!B10:N44,3,FALSE))</f>
        <v>0.9</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16854.436999999998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2</v>
      </c>
      <c r="J15" s="264">
        <f>IF(AND(I15&gt;=1,I15&lt;=2),L8,IF(AND(I15&gt;=3,I15&lt;=4),L9,IF(AND(I15&gt;=5,I15&lt;=7),L10)))</f>
        <v>11824.948449807693</v>
      </c>
      <c r="K15" s="264">
        <f>+E20</f>
        <v>16854.436999999998</v>
      </c>
      <c r="L15" s="265" t="str">
        <f>IF(K15&gt;=J15,"CUMPLE","NO CUMPLE")</f>
        <v>CUMPLE</v>
      </c>
    </row>
    <row r="16" spans="2:12" ht="33.75" customHeight="1" x14ac:dyDescent="0.2">
      <c r="B16" s="273"/>
      <c r="C16" s="100" t="str">
        <f>IF(VLOOKUP(C11,PROPONENTES!B10:N44,4,FALSE)=0,"",VLOOKUP(C11,PROPONENTES!B10:N44,4,FALSE))</f>
        <v>PERFORACIONES E
INGENIERÍA S.A.S</v>
      </c>
      <c r="D16" s="101">
        <f>IF(VLOOKUP(C11,PROPONENTES!B10:N44,5,FALSE)=0,"",VLOOKUP(C11,PROPONENTES!B10:N44,5,FALSE))</f>
        <v>0.1</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0</v>
      </c>
      <c r="F16" s="103" t="str">
        <f t="shared" si="1"/>
        <v>NO</v>
      </c>
      <c r="G16" s="104" t="str">
        <f t="shared" si="2"/>
        <v>NO APORTA EXPERIENCIA</v>
      </c>
      <c r="H16" s="104" t="str">
        <f>IF(C16="","",IF(AND(G16="NO APORTA EXPERIENCIA",D16&lt;=10%),"SI",IF(G16="SI","NO APLICA","NO - PORCENTAJE MAYOR AL 10%")))</f>
        <v>SI</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16854.436999999998</v>
      </c>
      <c r="J19" s="355">
        <f>IF(I15="","",VLOOKUP(I15,$D$76:$E$82,2,FALSE))</f>
        <v>11824.948449807693</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16854.436999999998</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292</v>
      </c>
      <c r="E24" s="91" t="s">
        <v>292</v>
      </c>
      <c r="F24" s="91"/>
      <c r="G24" s="91"/>
      <c r="H24" s="91"/>
      <c r="I24" s="91"/>
      <c r="J24" s="91"/>
      <c r="K24" s="247"/>
      <c r="L24" s="248"/>
    </row>
    <row r="25" spans="2:14" ht="39.75" customHeight="1" x14ac:dyDescent="0.2">
      <c r="B25" s="259" t="s">
        <v>116</v>
      </c>
      <c r="C25" s="260"/>
      <c r="D25" s="91"/>
      <c r="E25" s="91"/>
      <c r="F25" s="91"/>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688</v>
      </c>
      <c r="E27" s="92" t="s">
        <v>689</v>
      </c>
      <c r="F27" s="92"/>
      <c r="G27" s="92"/>
      <c r="H27" s="92"/>
      <c r="I27" s="92"/>
      <c r="J27" s="92"/>
      <c r="K27" s="247"/>
      <c r="L27" s="248"/>
    </row>
    <row r="28" spans="2:14" ht="156.75" customHeight="1" x14ac:dyDescent="0.2">
      <c r="B28" s="277"/>
      <c r="C28" s="26" t="s">
        <v>36</v>
      </c>
      <c r="D28" s="92" t="s">
        <v>690</v>
      </c>
      <c r="E28" s="92" t="s">
        <v>691</v>
      </c>
      <c r="F28" s="92"/>
      <c r="G28" s="92"/>
      <c r="H28" s="92"/>
      <c r="I28" s="92"/>
      <c r="J28" s="92"/>
      <c r="K28" s="247"/>
      <c r="L28" s="248"/>
    </row>
    <row r="29" spans="2:14" ht="52.5" customHeight="1" x14ac:dyDescent="0.2">
      <c r="B29" s="277"/>
      <c r="C29" s="26" t="s">
        <v>172</v>
      </c>
      <c r="D29" s="96">
        <v>44575</v>
      </c>
      <c r="E29" s="96" t="s">
        <v>692</v>
      </c>
      <c r="F29" s="96"/>
      <c r="G29" s="96"/>
      <c r="H29" s="96"/>
      <c r="I29" s="96"/>
      <c r="J29" s="96"/>
      <c r="K29" s="247"/>
      <c r="L29" s="248"/>
    </row>
    <row r="30" spans="2:14" ht="54.75" customHeight="1" x14ac:dyDescent="0.2">
      <c r="B30" s="277"/>
      <c r="C30" s="26" t="s">
        <v>40</v>
      </c>
      <c r="D30" s="96" t="s">
        <v>693</v>
      </c>
      <c r="E30" s="96" t="s">
        <v>694</v>
      </c>
      <c r="F30" s="96"/>
      <c r="G30" s="96"/>
      <c r="H30" s="96"/>
      <c r="I30" s="96"/>
      <c r="J30" s="96"/>
      <c r="K30" s="247"/>
      <c r="L30" s="248"/>
    </row>
    <row r="31" spans="2:14" ht="41.25" customHeight="1" x14ac:dyDescent="0.2">
      <c r="B31" s="277"/>
      <c r="C31" s="26" t="s">
        <v>37</v>
      </c>
      <c r="D31" s="93">
        <v>2023</v>
      </c>
      <c r="E31" s="93">
        <v>2019</v>
      </c>
      <c r="F31" s="93"/>
      <c r="G31" s="93"/>
      <c r="H31" s="93"/>
      <c r="I31" s="93"/>
      <c r="J31" s="93"/>
      <c r="K31" s="247"/>
      <c r="L31" s="248"/>
    </row>
    <row r="32" spans="2:14" ht="63" customHeight="1" x14ac:dyDescent="0.2">
      <c r="B32" s="277"/>
      <c r="C32" s="26" t="s">
        <v>38</v>
      </c>
      <c r="D32" s="92" t="s">
        <v>695</v>
      </c>
      <c r="E32" s="92" t="s">
        <v>696</v>
      </c>
      <c r="F32" s="92"/>
      <c r="G32" s="92"/>
      <c r="H32" s="92"/>
      <c r="I32" s="92"/>
      <c r="J32" s="92"/>
      <c r="K32" s="247"/>
      <c r="L32" s="248"/>
    </row>
    <row r="33" spans="2:12" ht="46.5" customHeight="1" x14ac:dyDescent="0.2">
      <c r="B33" s="277"/>
      <c r="C33" s="26" t="s">
        <v>39</v>
      </c>
      <c r="D33" s="92" t="s">
        <v>697</v>
      </c>
      <c r="E33" s="92" t="s">
        <v>698</v>
      </c>
      <c r="F33" s="92"/>
      <c r="G33" s="92"/>
      <c r="H33" s="92"/>
      <c r="I33" s="92"/>
      <c r="J33" s="92"/>
      <c r="K33" s="247"/>
      <c r="L33" s="248"/>
    </row>
    <row r="34" spans="2:12" ht="27.75" customHeight="1" x14ac:dyDescent="0.2">
      <c r="B34" s="277"/>
      <c r="C34" s="28" t="s">
        <v>33</v>
      </c>
      <c r="D34" s="97">
        <v>60</v>
      </c>
      <c r="E34" s="97">
        <v>34</v>
      </c>
      <c r="F34" s="97"/>
      <c r="G34" s="98"/>
      <c r="H34" s="98"/>
      <c r="I34" s="98"/>
      <c r="J34" s="98"/>
      <c r="K34" s="247"/>
      <c r="L34" s="248"/>
    </row>
    <row r="35" spans="2:12" ht="102.75" customHeight="1" x14ac:dyDescent="0.2">
      <c r="B35" s="277"/>
      <c r="C35" s="26" t="s">
        <v>118</v>
      </c>
      <c r="D35" s="94">
        <v>8957.94</v>
      </c>
      <c r="E35" s="94">
        <v>16115.3</v>
      </c>
      <c r="F35" s="94"/>
      <c r="G35" s="94"/>
      <c r="H35" s="94"/>
      <c r="I35" s="94"/>
      <c r="J35" s="94"/>
      <c r="K35" s="279"/>
      <c r="L35" s="280"/>
    </row>
    <row r="36" spans="2:12" ht="48" customHeight="1" x14ac:dyDescent="0.2">
      <c r="B36" s="277"/>
      <c r="C36" s="26" t="s">
        <v>74</v>
      </c>
      <c r="D36" s="105">
        <f>IFERROR(D35*VLOOKUP(D31,'DATOS INICIALES'!$A$12:$B$44,2,0),"0")</f>
        <v>10391210400</v>
      </c>
      <c r="E36" s="105">
        <f>IFERROR(E35*VLOOKUP(E31,'DATOS INICIALES'!$A$12:$B$44,2,0),"0")</f>
        <v>13345337774.799999</v>
      </c>
      <c r="F36" s="105" t="str">
        <f>IFERROR(F35*VLOOKUP(F31,'DATOS INICIALES'!$A$12:$B$44,2,0),"0")</f>
        <v>0</v>
      </c>
      <c r="G36" s="105" t="str">
        <f>IFERROR(G35*VLOOKUP(G31,'DATOS INICIALES'!$A$12:$B$44,2,0),"0")</f>
        <v>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1</v>
      </c>
      <c r="E37" s="95">
        <v>0.49</v>
      </c>
      <c r="F37" s="95"/>
      <c r="G37" s="95"/>
      <c r="H37" s="95"/>
      <c r="I37" s="95"/>
      <c r="J37" s="95"/>
      <c r="K37" s="247"/>
      <c r="L37" s="248"/>
    </row>
    <row r="38" spans="2:12" ht="48.75" customHeight="1" x14ac:dyDescent="0.2">
      <c r="B38" s="277"/>
      <c r="C38" s="26" t="s">
        <v>125</v>
      </c>
      <c r="D38" s="105">
        <f t="shared" ref="D38:J38" si="3">IF(D24="","0",D37*D36)</f>
        <v>10391210400</v>
      </c>
      <c r="E38" s="105">
        <f t="shared" si="3"/>
        <v>6539215509.6519995</v>
      </c>
      <c r="F38" s="105" t="str">
        <f t="shared" si="3"/>
        <v>0</v>
      </c>
      <c r="G38" s="105" t="str">
        <f t="shared" si="3"/>
        <v>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8957.94</v>
      </c>
      <c r="E39" s="106">
        <f t="shared" si="4"/>
        <v>7896.4969999999994</v>
      </c>
      <c r="F39" s="106">
        <f t="shared" si="4"/>
        <v>0</v>
      </c>
      <c r="G39" s="106">
        <f t="shared" si="4"/>
        <v>0</v>
      </c>
      <c r="H39" s="106">
        <f t="shared" si="4"/>
        <v>0</v>
      </c>
      <c r="I39" s="106">
        <f t="shared" si="4"/>
        <v>0</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c r="G46" s="91"/>
      <c r="H46" s="91"/>
      <c r="I46" s="91"/>
      <c r="J46" s="91"/>
      <c r="K46" s="247"/>
      <c r="L46" s="248"/>
    </row>
    <row r="47" spans="2:12" ht="24.75" customHeight="1" x14ac:dyDescent="0.2">
      <c r="B47" s="284" t="s">
        <v>34</v>
      </c>
      <c r="C47" s="29">
        <f>+'DATOS INICIALES'!D22</f>
        <v>721033</v>
      </c>
      <c r="D47" s="97" t="s">
        <v>77</v>
      </c>
      <c r="E47" s="97" t="s">
        <v>75</v>
      </c>
      <c r="F47" s="97"/>
      <c r="G47" s="97"/>
      <c r="H47" s="97"/>
      <c r="I47" s="97"/>
      <c r="J47" s="98"/>
      <c r="K47" s="247"/>
      <c r="L47" s="248"/>
    </row>
    <row r="48" spans="2:12" ht="24.75" customHeight="1" x14ac:dyDescent="0.2">
      <c r="B48" s="285"/>
      <c r="C48" s="29">
        <f>+'DATOS INICIALES'!D23</f>
        <v>721410</v>
      </c>
      <c r="D48" s="97" t="s">
        <v>77</v>
      </c>
      <c r="E48" s="97" t="s">
        <v>75</v>
      </c>
      <c r="F48" s="97"/>
      <c r="G48" s="97"/>
      <c r="H48" s="97"/>
      <c r="I48" s="97"/>
      <c r="J48" s="98"/>
      <c r="K48" s="247"/>
      <c r="L48" s="248"/>
    </row>
    <row r="49" spans="2:12" ht="24.75" customHeight="1" x14ac:dyDescent="0.2">
      <c r="B49" s="285"/>
      <c r="C49" s="29">
        <f>+'DATOS INICIALES'!D24</f>
        <v>721411</v>
      </c>
      <c r="D49" s="97" t="s">
        <v>75</v>
      </c>
      <c r="E49" s="97" t="s">
        <v>77</v>
      </c>
      <c r="F49" s="97"/>
      <c r="G49" s="97"/>
      <c r="H49" s="97"/>
      <c r="I49" s="97"/>
      <c r="J49" s="98"/>
      <c r="K49" s="247"/>
      <c r="L49" s="248"/>
    </row>
    <row r="50" spans="2:12" ht="24.75" customHeight="1" x14ac:dyDescent="0.2">
      <c r="B50" s="285"/>
      <c r="C50" s="29">
        <f>+'DATOS INICIALES'!D25</f>
        <v>721416</v>
      </c>
      <c r="D50" s="97" t="s">
        <v>75</v>
      </c>
      <c r="E50" s="97" t="s">
        <v>77</v>
      </c>
      <c r="F50" s="97"/>
      <c r="G50" s="97"/>
      <c r="H50" s="97"/>
      <c r="I50" s="97"/>
      <c r="J50" s="98"/>
      <c r="K50" s="247"/>
      <c r="L50" s="248"/>
    </row>
    <row r="51" spans="2:12" ht="24.75" customHeight="1" x14ac:dyDescent="0.2">
      <c r="B51" s="285"/>
      <c r="C51" s="29">
        <f>+'DATOS INICIALES'!D26</f>
        <v>721527</v>
      </c>
      <c r="D51" s="97" t="s">
        <v>75</v>
      </c>
      <c r="E51" s="97" t="s">
        <v>77</v>
      </c>
      <c r="F51" s="97"/>
      <c r="G51" s="97"/>
      <c r="H51" s="97"/>
      <c r="I51" s="97"/>
      <c r="J51" s="98"/>
      <c r="K51" s="247"/>
      <c r="L51" s="248"/>
    </row>
    <row r="52" spans="2:12" ht="24.75" customHeight="1" x14ac:dyDescent="0.2">
      <c r="B52" s="285"/>
      <c r="C52" s="29">
        <f>+'DATOS INICIALES'!D27</f>
        <v>721539</v>
      </c>
      <c r="D52" s="97" t="s">
        <v>75</v>
      </c>
      <c r="E52" s="97" t="s">
        <v>75</v>
      </c>
      <c r="F52" s="97"/>
      <c r="G52" s="97"/>
      <c r="H52" s="97"/>
      <c r="I52" s="97"/>
      <c r="J52" s="98"/>
      <c r="K52" s="247"/>
      <c r="L52" s="248"/>
    </row>
    <row r="53" spans="2:12" ht="24.75" customHeight="1" x14ac:dyDescent="0.2">
      <c r="B53" s="285"/>
      <c r="C53" s="29">
        <f>+'DATOS INICIALES'!D28</f>
        <v>951115</v>
      </c>
      <c r="D53" s="97" t="s">
        <v>77</v>
      </c>
      <c r="E53" s="97" t="s">
        <v>75</v>
      </c>
      <c r="F53" s="97"/>
      <c r="G53" s="97"/>
      <c r="H53" s="97"/>
      <c r="I53" s="97"/>
      <c r="J53" s="97"/>
      <c r="K53" s="247"/>
      <c r="L53" s="248"/>
    </row>
    <row r="54" spans="2:12" ht="24.75" customHeight="1" x14ac:dyDescent="0.2">
      <c r="B54" s="285"/>
      <c r="C54" s="29">
        <f>+'DATOS INICIALES'!D29</f>
        <v>721033</v>
      </c>
      <c r="D54" s="97" t="s">
        <v>75</v>
      </c>
      <c r="E54" s="97" t="s">
        <v>75</v>
      </c>
      <c r="F54" s="97"/>
      <c r="G54" s="97"/>
      <c r="H54" s="97"/>
      <c r="I54" s="97"/>
      <c r="J54" s="97"/>
      <c r="K54" s="247"/>
      <c r="L54" s="248"/>
    </row>
    <row r="55" spans="2:12" ht="60.75" customHeight="1" x14ac:dyDescent="0.2">
      <c r="B55" s="286"/>
      <c r="C55" s="18" t="s">
        <v>57</v>
      </c>
      <c r="D55" s="18" t="str">
        <f t="shared" ref="D55:E55" si="9">IF(D24="","N/A",IF(D47="SI","CUMPLE",IF(D48="SI","CUMPLE",IF(D49="SI","CUMPLE",IF(D50="SI","CUMPLE",IF(D51="SI","CUMPLE",IF(D52="SI","CUMPLE",IF(D54="SI","CUMPLE","NO CUMPLE"))))))))</f>
        <v>CUMPLE</v>
      </c>
      <c r="E55" s="18" t="str">
        <f t="shared" si="9"/>
        <v>CUMPLE</v>
      </c>
      <c r="F55" s="18" t="str">
        <f t="shared" ref="F55:J55" si="10">IF(F24="","N/A",IF(F47="SI","CUMPLE",IF(F48="SI","CUMPLE",IF(F49="SI","CUMPLE",IF(F50="SI","CUMPLE",IF(F51="SI","CUMPLE",IF(F52="SI","CUMPLE",IF(F54="SI","CUMPLE","NO CUMPLE"))))))))</f>
        <v>N/A</v>
      </c>
      <c r="G55" s="18" t="str">
        <f t="shared" si="10"/>
        <v>N/A</v>
      </c>
      <c r="H55" s="18" t="str">
        <f t="shared" si="10"/>
        <v>N/A</v>
      </c>
      <c r="I55" s="18" t="str">
        <f t="shared" si="10"/>
        <v>N/A</v>
      </c>
      <c r="J55" s="18" t="str">
        <f t="shared" si="10"/>
        <v>N/A</v>
      </c>
      <c r="K55" s="247"/>
      <c r="L55" s="248"/>
    </row>
    <row r="56" spans="2:12" ht="147.5" customHeight="1" x14ac:dyDescent="0.2">
      <c r="B56" s="287" t="s">
        <v>189</v>
      </c>
      <c r="C56" s="288"/>
      <c r="D56" s="91" t="s">
        <v>13</v>
      </c>
      <c r="E56" s="91" t="s">
        <v>13</v>
      </c>
      <c r="F56" s="91"/>
      <c r="G56" s="91"/>
      <c r="H56" s="91"/>
      <c r="I56" s="91"/>
      <c r="J56" s="91"/>
      <c r="K56" s="257"/>
      <c r="L56" s="258"/>
    </row>
    <row r="57" spans="2:12" ht="103.25" customHeight="1" x14ac:dyDescent="0.2">
      <c r="B57" s="287" t="s">
        <v>190</v>
      </c>
      <c r="C57" s="288"/>
      <c r="D57" s="91" t="s">
        <v>13</v>
      </c>
      <c r="E57" s="91" t="s">
        <v>13</v>
      </c>
      <c r="F57" s="91"/>
      <c r="G57" s="91"/>
      <c r="H57" s="91"/>
      <c r="I57" s="91"/>
      <c r="J57" s="91"/>
      <c r="K57" s="257"/>
      <c r="L57" s="258"/>
    </row>
    <row r="58" spans="2:12" ht="72" customHeight="1" x14ac:dyDescent="0.2">
      <c r="B58" s="281" t="s">
        <v>191</v>
      </c>
      <c r="C58" s="282"/>
      <c r="D58" s="91" t="s">
        <v>13</v>
      </c>
      <c r="E58" s="91" t="s">
        <v>13</v>
      </c>
      <c r="F58" s="91"/>
      <c r="G58" s="91"/>
      <c r="H58" s="91"/>
      <c r="I58" s="91"/>
      <c r="J58" s="91"/>
      <c r="K58" s="247"/>
      <c r="L58" s="248"/>
    </row>
    <row r="59" spans="2:12" ht="42.5" customHeight="1" x14ac:dyDescent="0.2">
      <c r="B59" s="281" t="s">
        <v>192</v>
      </c>
      <c r="C59" s="282"/>
      <c r="D59" s="91" t="s">
        <v>13</v>
      </c>
      <c r="E59" s="91" t="s">
        <v>13</v>
      </c>
      <c r="F59" s="91"/>
      <c r="G59" s="91"/>
      <c r="H59" s="91"/>
      <c r="I59" s="91"/>
      <c r="J59" s="91"/>
      <c r="K59" s="247"/>
      <c r="L59" s="248"/>
    </row>
    <row r="60" spans="2:12" ht="36" customHeight="1" x14ac:dyDescent="0.2">
      <c r="B60" s="281" t="s">
        <v>193</v>
      </c>
      <c r="C60" s="282"/>
      <c r="D60" s="91" t="s">
        <v>13</v>
      </c>
      <c r="E60" s="91" t="s">
        <v>13</v>
      </c>
      <c r="F60" s="91"/>
      <c r="G60" s="91"/>
      <c r="H60" s="91"/>
      <c r="I60" s="91"/>
      <c r="J60" s="91"/>
      <c r="K60" s="247"/>
      <c r="L60" s="248"/>
    </row>
    <row r="61" spans="2:12" ht="160.75" customHeight="1" x14ac:dyDescent="0.2">
      <c r="B61" s="281" t="s">
        <v>194</v>
      </c>
      <c r="C61" s="282"/>
      <c r="D61" s="91" t="s">
        <v>13</v>
      </c>
      <c r="E61" s="91" t="s">
        <v>13</v>
      </c>
      <c r="F61" s="91"/>
      <c r="G61" s="91"/>
      <c r="H61" s="91"/>
      <c r="I61" s="91"/>
      <c r="J61" s="91"/>
      <c r="K61" s="247"/>
      <c r="L61" s="248"/>
    </row>
    <row r="62" spans="2:12" ht="409.25" customHeight="1" x14ac:dyDescent="0.2">
      <c r="B62" s="261" t="s">
        <v>195</v>
      </c>
      <c r="C62" s="261"/>
      <c r="D62" s="91" t="s">
        <v>13</v>
      </c>
      <c r="E62" s="91" t="s">
        <v>13</v>
      </c>
      <c r="F62" s="91"/>
      <c r="G62" s="91"/>
      <c r="H62" s="91"/>
      <c r="I62" s="91"/>
      <c r="J62" s="91"/>
      <c r="K62" s="279"/>
      <c r="L62" s="280"/>
    </row>
    <row r="63" spans="2:12" ht="301.75" customHeight="1" x14ac:dyDescent="0.2">
      <c r="B63" s="262" t="s">
        <v>196</v>
      </c>
      <c r="C63" s="263"/>
      <c r="D63" s="91" t="s">
        <v>13</v>
      </c>
      <c r="E63" s="91" t="s">
        <v>13</v>
      </c>
      <c r="F63" s="91"/>
      <c r="G63" s="91"/>
      <c r="H63" s="91"/>
      <c r="I63" s="91"/>
      <c r="J63" s="91"/>
      <c r="K63" s="247"/>
      <c r="L63" s="248"/>
    </row>
    <row r="64" spans="2:12" ht="253.75" customHeight="1" x14ac:dyDescent="0.2">
      <c r="B64" s="283" t="s">
        <v>197</v>
      </c>
      <c r="C64" s="283"/>
      <c r="D64" s="91" t="s">
        <v>13</v>
      </c>
      <c r="E64" s="91" t="s">
        <v>13</v>
      </c>
      <c r="F64" s="91"/>
      <c r="G64" s="91"/>
      <c r="H64" s="91"/>
      <c r="I64" s="91"/>
      <c r="J64" s="91"/>
      <c r="K64" s="247"/>
      <c r="L64" s="248"/>
    </row>
    <row r="65" spans="2:12" ht="243.5" customHeight="1" x14ac:dyDescent="0.2">
      <c r="B65" s="261" t="s">
        <v>198</v>
      </c>
      <c r="C65" s="261"/>
      <c r="D65" s="91" t="s">
        <v>13</v>
      </c>
      <c r="E65" s="91" t="s">
        <v>13</v>
      </c>
      <c r="F65" s="91"/>
      <c r="G65" s="91"/>
      <c r="H65" s="91"/>
      <c r="I65" s="91"/>
      <c r="J65" s="91"/>
      <c r="K65" s="247"/>
      <c r="L65" s="248"/>
    </row>
    <row r="66" spans="2:12" ht="70.5" customHeight="1" x14ac:dyDescent="0.2">
      <c r="B66" s="289" t="s">
        <v>78</v>
      </c>
      <c r="C66" s="289"/>
      <c r="D66" s="18" t="str">
        <f t="shared" ref="D66:E66" si="11">IF(D24="","N/A",IF(AND(D46="CUMPLE",D55="CUMPLE",D56="CUMPLE",D57="CUMPLE",D58="CUMPLE",D59="CUMPLE",OR(D61="CUMPLE",D61="N/A"),D62="CUMPLE",OR(D63="CUMPLE",D63="N/A"),D65="CUMPLE",OR(D64="CUMPLE",D64="N/A")),"CUMPLE","NO CUMPLE"))</f>
        <v>CUMPLE</v>
      </c>
      <c r="E66" s="18" t="str">
        <f t="shared" si="11"/>
        <v>CUMPLE</v>
      </c>
      <c r="F66" s="18" t="str">
        <f t="shared" ref="F66:J66" si="12">IF(F24="","N/A",IF(AND(F46="CUMPLE",F55="CUMPLE",F56="CUMPLE",F57="CUMPLE",F58="CUMPLE",F59="CUMPLE",OR(F61="CUMPLE",F61="N/A"),F62="CUMPLE",OR(F63="CUMPLE",F63="N/A"),F65="CUMPLE",OR(F64="CUMPLE",F64="N/A")),"CUMPLE","NO CUMPLE"))</f>
        <v>N/A</v>
      </c>
      <c r="G66" s="18" t="str">
        <f t="shared" si="12"/>
        <v>N/A</v>
      </c>
      <c r="H66" s="18" t="str">
        <f t="shared" si="12"/>
        <v>N/A</v>
      </c>
      <c r="I66" s="18" t="str">
        <f t="shared" si="12"/>
        <v>N/A</v>
      </c>
      <c r="J66" s="18" t="str">
        <f t="shared" si="12"/>
        <v>N/A</v>
      </c>
      <c r="K66" s="147"/>
      <c r="L66" s="148"/>
    </row>
    <row r="67" spans="2:12" ht="54.5" customHeight="1" x14ac:dyDescent="0.2">
      <c r="B67" s="261" t="s">
        <v>188</v>
      </c>
      <c r="C67" s="261"/>
      <c r="D67" s="91" t="s">
        <v>13</v>
      </c>
      <c r="E67" s="91" t="s">
        <v>13</v>
      </c>
      <c r="F67" s="91"/>
      <c r="G67" s="91"/>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188" priority="24">
      <formula>NOT(ISERROR(D25))</formula>
    </cfRule>
    <cfRule type="containsBlanks" dxfId="187" priority="23">
      <formula>LEN(TRIM(D25))=0</formula>
    </cfRule>
  </conditionalFormatting>
  <conditionalFormatting sqref="D34:J34 D24:K24">
    <cfRule type="containsBlanks" dxfId="186" priority="25">
      <formula>LEN(TRIM(D24))=0</formula>
    </cfRule>
  </conditionalFormatting>
  <conditionalFormatting sqref="D37:J37">
    <cfRule type="notContainsErrors" dxfId="185" priority="22">
      <formula>NOT(ISERROR(D37))</formula>
    </cfRule>
    <cfRule type="containsBlanks" dxfId="184" priority="21">
      <formula>LEN(TRIM(D37))=0</formula>
    </cfRule>
  </conditionalFormatting>
  <conditionalFormatting sqref="D40:J40">
    <cfRule type="containsBlanks" dxfId="183" priority="39">
      <formula>LEN(TRIM(D40))=0</formula>
    </cfRule>
    <cfRule type="notContainsErrors" dxfId="182" priority="40">
      <formula>NOT(ISERROR(D40))</formula>
    </cfRule>
  </conditionalFormatting>
  <conditionalFormatting sqref="D43:J43 K66:L66">
    <cfRule type="containsBlanks" dxfId="181" priority="49">
      <formula>LEN(TRIM(D43))=0</formula>
    </cfRule>
    <cfRule type="notContainsErrors" dxfId="180" priority="50">
      <formula>NOT(ISERROR(D43))</formula>
    </cfRule>
  </conditionalFormatting>
  <conditionalFormatting sqref="D46:J54">
    <cfRule type="cellIs" dxfId="179" priority="9" operator="equal">
      <formula>"NO CUMPLE"</formula>
    </cfRule>
    <cfRule type="cellIs" dxfId="178" priority="10" operator="equal">
      <formula>"CUMPLE"</formula>
    </cfRule>
    <cfRule type="containsBlanks" dxfId="177" priority="11">
      <formula>LEN(TRIM(D46))=0</formula>
    </cfRule>
    <cfRule type="notContainsErrors" dxfId="176" priority="12">
      <formula>NOT(ISERROR(D46))</formula>
    </cfRule>
  </conditionalFormatting>
  <conditionalFormatting sqref="D55:J55">
    <cfRule type="cellIs" dxfId="175" priority="17" operator="equal">
      <formula>"N/A"</formula>
    </cfRule>
    <cfRule type="cellIs" dxfId="174" priority="18" operator="equal">
      <formula>"CUMPLE"</formula>
    </cfRule>
    <cfRule type="cellIs" dxfId="173" priority="19" operator="equal">
      <formula>"NO CUMPLE"</formula>
    </cfRule>
    <cfRule type="cellIs" dxfId="172" priority="20" operator="equal">
      <formula>"""CUMPLE"""</formula>
    </cfRule>
  </conditionalFormatting>
  <conditionalFormatting sqref="D56:J65">
    <cfRule type="containsBlanks" dxfId="171" priority="7">
      <formula>LEN(TRIM(D56))=0</formula>
    </cfRule>
    <cfRule type="notContainsErrors" dxfId="170" priority="8">
      <formula>NOT(ISERROR(D56))</formula>
    </cfRule>
    <cfRule type="cellIs" dxfId="169" priority="6" operator="equal">
      <formula>"CUMPLE"</formula>
    </cfRule>
    <cfRule type="cellIs" dxfId="168" priority="5" operator="equal">
      <formula>"NO CUMPLE"</formula>
    </cfRule>
  </conditionalFormatting>
  <conditionalFormatting sqref="D66:J66">
    <cfRule type="cellIs" dxfId="167" priority="14" operator="equal">
      <formula>"CUMPLE"</formula>
    </cfRule>
    <cfRule type="cellIs" dxfId="166" priority="15" operator="equal">
      <formula>"NO CUMPLE"</formula>
    </cfRule>
    <cfRule type="cellIs" dxfId="165" priority="16" operator="equal">
      <formula>"""CUMPLE"""</formula>
    </cfRule>
    <cfRule type="cellIs" dxfId="164" priority="13" operator="equal">
      <formula>"N/A"</formula>
    </cfRule>
  </conditionalFormatting>
  <conditionalFormatting sqref="D67:J67">
    <cfRule type="cellIs" dxfId="163" priority="1" operator="equal">
      <formula>"NO CUMPLE"</formula>
    </cfRule>
    <cfRule type="cellIs" dxfId="162" priority="2" operator="equal">
      <formula>"CUMPLE"</formula>
    </cfRule>
  </conditionalFormatting>
  <conditionalFormatting sqref="D24:K24 D34:J34">
    <cfRule type="notContainsErrors" dxfId="161" priority="26">
      <formula>NOT(ISERROR(D24))</formula>
    </cfRule>
  </conditionalFormatting>
  <conditionalFormatting sqref="D67:K67">
    <cfRule type="notContainsErrors" dxfId="160" priority="4">
      <formula>NOT(ISERROR(D67))</formula>
    </cfRule>
    <cfRule type="containsBlanks" dxfId="159" priority="3">
      <formula>LEN(TRIM(D67))=0</formula>
    </cfRule>
  </conditionalFormatting>
  <conditionalFormatting sqref="F20:H20">
    <cfRule type="cellIs" dxfId="158" priority="65" operator="equal">
      <formula>"CUMPLE"</formula>
    </cfRule>
    <cfRule type="cellIs" dxfId="157" priority="66" operator="equal">
      <formula>"NO CUMPLE"</formula>
    </cfRule>
    <cfRule type="cellIs" dxfId="156" priority="67" operator="equal">
      <formula>"""CUMPLE"""</formula>
    </cfRule>
  </conditionalFormatting>
  <conditionalFormatting sqref="I11">
    <cfRule type="containsText" dxfId="155" priority="68" operator="containsText" text="INHABILITADO">
      <formula>NOT(ISERROR(SEARCH("INHABILITADO",I11)))</formula>
    </cfRule>
    <cfRule type="containsText" dxfId="154" priority="69" operator="containsText" text="HABILITADO">
      <formula>NOT(ISERROR(SEARCH("HABILITADO",I11)))</formula>
    </cfRule>
    <cfRule type="containsText" dxfId="153" priority="70" operator="containsText" text="HABILITADO">
      <formula>NOT(ISERROR(SEARCH("HABILITADO",I11)))</formula>
    </cfRule>
    <cfRule type="containsText" dxfId="152" priority="71" operator="containsText" text="NO CUMPLE">
      <formula>NOT(ISERROR(SEARCH("NO CUMPLE",I11)))</formula>
    </cfRule>
  </conditionalFormatting>
  <conditionalFormatting sqref="K19">
    <cfRule type="cellIs" dxfId="151" priority="56" operator="equal">
      <formula>"CUMPLE"</formula>
    </cfRule>
    <cfRule type="cellIs" dxfId="150" priority="57" operator="equal">
      <formula>"NO CUMPLE"</formula>
    </cfRule>
    <cfRule type="cellIs" dxfId="149" priority="58" operator="equal">
      <formula>"""CUMPLE"""</formula>
    </cfRule>
  </conditionalFormatting>
  <conditionalFormatting sqref="K25:K65">
    <cfRule type="containsBlanks" dxfId="148" priority="47">
      <formula>LEN(TRIM(K25))=0</formula>
    </cfRule>
    <cfRule type="notContainsErrors" dxfId="147" priority="48">
      <formula>NOT(ISERROR(K25))</formula>
    </cfRule>
  </conditionalFormatting>
  <conditionalFormatting sqref="L15">
    <cfRule type="cellIs" dxfId="146" priority="62" operator="equal">
      <formula>"CUMPLE"</formula>
    </cfRule>
    <cfRule type="cellIs" dxfId="145" priority="63" operator="equal">
      <formula>"NO CUMPLE"</formula>
    </cfRule>
    <cfRule type="cellIs" dxfId="144" priority="64" operator="equal">
      <formula>"""CUMPLE"""</formula>
    </cfRule>
  </conditionalFormatting>
  <dataValidations count="3">
    <dataValidation type="list" allowBlank="1" showInputMessage="1" showErrorMessage="1" sqref="L58:L66" xr:uid="{E9DD4717-09FE-4278-81AE-230A94026281}">
      <formula1>"0,1,2,3,4,5,6"</formula1>
    </dataValidation>
    <dataValidation type="list" allowBlank="1" showInputMessage="1" showErrorMessage="1" sqref="D24:J26" xr:uid="{CCE7708C-3B85-4A40-8A2A-7DFE366813E2}">
      <formula1>$C$15:$C$19</formula1>
    </dataValidation>
    <dataValidation type="list" allowBlank="1" showInputMessage="1" showErrorMessage="1" sqref="D67:I67" xr:uid="{0BF2FB8B-0E3A-4024-97B8-607E0092FC87}">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CEC4C670-721B-45FA-9168-06B911728969}">
          <x14:formula1>
            <xm:f>'DATOS INICIALES'!$C$48:$C$49</xm:f>
          </x14:formula1>
          <xm:sqref>J47:J52 F47:I54</xm:sqref>
        </x14:dataValidation>
        <x14:dataValidation type="list" allowBlank="1" showInputMessage="1" showErrorMessage="1" xr:uid="{1BCC5F4D-9E16-4910-92FC-F60174D7C461}">
          <x14:formula1>
            <xm:f>'DATOS INICIALES'!$A$53:$A$55</xm:f>
          </x14:formula1>
          <xm:sqref>F59:J65 F46:J46 J56:J57 F56:I58</xm:sqref>
        </x14:dataValidation>
        <x14:dataValidation type="list" allowBlank="1" showInputMessage="1" showErrorMessage="1" xr:uid="{F451F8C4-2DFE-40EB-82FD-067046195BD6}">
          <x14:formula1>
            <xm:f>'DATOS INICIALES'!$A$57:$A$62</xm:f>
          </x14:formula1>
          <xm:sqref>D23:I23</xm:sqref>
        </x14:dataValidation>
        <x14:dataValidation type="list" allowBlank="1" showInputMessage="1" showErrorMessage="1" xr:uid="{B5A8743F-1502-4E6E-AD61-FA0B996ADF91}">
          <x14:formula1>
            <xm:f>'DATOS INICIALES'!$D$22:$D$26</xm:f>
          </x14:formula1>
          <xm:sqref>M47:M55</xm:sqref>
        </x14:dataValidation>
        <x14:dataValidation type="list" allowBlank="1" showInputMessage="1" showErrorMessage="1" xr:uid="{FE3B3A6E-8CC1-49A2-8C14-E05082C9A35A}">
          <x14:formula1>
            <xm:f>'DATOS INICIALES'!$A$13:$A$44</xm:f>
          </x14:formula1>
          <xm:sqref>F31:I31</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04BE4-9BC2-4E72-89A1-AAD09182FC02}">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J26" sqref="J26"/>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+PROPONENTES!B40</f>
        <v>CONSORCIO BP VIAS USAQUEN</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 xml:space="preserve">BHR CONSTRUCTORES S.A.S </v>
      </c>
      <c r="D15" s="101">
        <f>IF(VLOOKUP(C11,PROPONENTES!B10:N44,3,FALSE)=0,"",VLOOKUP(C11,PROPONENTES!B10:N44,3,FALSE))</f>
        <v>0.5</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28478.967047552138</v>
      </c>
      <c r="F15" s="103" t="str">
        <f t="shared" ref="F15:F18" si="1">IF(C15="","",IF(E15&gt;=$J$15*0.5,"SI","NO"))</f>
        <v>SI</v>
      </c>
      <c r="G15" s="104" t="str">
        <f t="shared" ref="G15:G17" si="2">IF(C15="","",IF(E15&gt;=$J$15*0.05,"SI",IF(E15=0,"NO APORTA EXPERIENCIA",)))</f>
        <v>SI</v>
      </c>
      <c r="H15" s="103" t="str">
        <f>IF(C15="","",IF(AND(G15="NO APORTA EXPERIENCIA",D15&lt;=10%),"SI",IF(G15="SI","NO APLICA","NO - PORCENTAJE MAYOR AL 10%")))</f>
        <v>NO APLICA</v>
      </c>
      <c r="I15" s="316">
        <v>6</v>
      </c>
      <c r="J15" s="264">
        <f>IF(AND(I15&gt;=1,I15&lt;=2),L8,IF(AND(I15&gt;=3,I15&lt;=4),L9,IF(AND(I15&gt;=5,I15&lt;=7),L10)))</f>
        <v>23649.896899615385</v>
      </c>
      <c r="K15" s="264">
        <f>+E20</f>
        <v>47100.796202552141</v>
      </c>
      <c r="L15" s="265" t="str">
        <f>IF(K15&gt;=J15,"CUMPLE","NO CUMPLE")</f>
        <v>CUMPLE</v>
      </c>
    </row>
    <row r="16" spans="2:12" ht="33.75" customHeight="1" x14ac:dyDescent="0.2">
      <c r="B16" s="273"/>
      <c r="C16" s="100" t="str">
        <f>IF(VLOOKUP(C11,PROPONENTES!B10:N44,4,FALSE)=0,"",VLOOKUP(C11,PROPONENTES!B10:N44,4,FALSE))</f>
        <v xml:space="preserve">PICO CONSTRUCCIONES S.A.S </v>
      </c>
      <c r="D16" s="101">
        <f>IF(VLOOKUP(C11,PROPONENTES!B10:N44,5,FALSE)=0,"",VLOOKUP(C11,PROPONENTES!B10:N44,5,FALSE))</f>
        <v>0.5</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18621.829154999999</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
      </c>
      <c r="D17" s="101" t="str">
        <f>IF(VLOOKUP(C11,PROPONENTES!B10:N44,7,FALSE)=0,"",VLOOKUP(C11,PROPONENTES!B10:N44,7,FALSE))</f>
        <v/>
      </c>
      <c r="E17" s="102" t="str">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
      </c>
      <c r="F17" s="103" t="str">
        <f t="shared" si="1"/>
        <v/>
      </c>
      <c r="G17" s="104" t="str">
        <f t="shared" si="2"/>
        <v/>
      </c>
      <c r="H17" s="103" t="str">
        <f>IF(C17="","",IF(AND(G17="NO APORTA EXPERIENCIA",D17&lt;=10%),"SI",IF(G17="SI","NO APLICA","NO - PORCENTAJE MAYOR AL 10%")))</f>
        <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47100.796202552134</v>
      </c>
      <c r="J19" s="355">
        <f>IF(I15="","",VLOOKUP(I15,$D$76:$E$82,2,FALSE))</f>
        <v>23649.896899615385</v>
      </c>
      <c r="K19" s="249" t="str">
        <f>IF(I19&gt;=J19,"CUMPLE","NO CUMPLE")</f>
        <v>CUMPLE</v>
      </c>
      <c r="L19" s="250"/>
    </row>
    <row r="20" spans="2:14" ht="84.75" customHeight="1" x14ac:dyDescent="0.2">
      <c r="B20" s="31" t="s">
        <v>61</v>
      </c>
      <c r="C20" s="25">
        <f>+VLOOKUP(C11,PROPONENTES!B10:N44,12,FALSE)</f>
        <v>2</v>
      </c>
      <c r="D20" s="101">
        <f>+VLOOKUP(C11,PROPONENTES!B10:N44,13,FALSE)</f>
        <v>1</v>
      </c>
      <c r="E20" s="36">
        <f>SUM(E15:E19)</f>
        <v>47100.796202552141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294</v>
      </c>
      <c r="E24" s="91" t="s">
        <v>294</v>
      </c>
      <c r="F24" s="91" t="s">
        <v>294</v>
      </c>
      <c r="G24" s="91" t="s">
        <v>294</v>
      </c>
      <c r="H24" s="91" t="s">
        <v>295</v>
      </c>
      <c r="I24" s="91" t="s">
        <v>295</v>
      </c>
      <c r="J24" s="91"/>
      <c r="K24" s="247"/>
      <c r="L24" s="248"/>
    </row>
    <row r="25" spans="2:14" ht="39.75" customHeight="1" x14ac:dyDescent="0.2">
      <c r="B25" s="259" t="s">
        <v>116</v>
      </c>
      <c r="C25" s="260"/>
      <c r="D25" s="91"/>
      <c r="E25" s="91"/>
      <c r="F25" s="91"/>
      <c r="G25" s="91" t="s">
        <v>481</v>
      </c>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699</v>
      </c>
      <c r="E27" s="92" t="s">
        <v>700</v>
      </c>
      <c r="F27" s="92" t="s">
        <v>701</v>
      </c>
      <c r="G27" s="92" t="s">
        <v>702</v>
      </c>
      <c r="H27" s="92" t="s">
        <v>703</v>
      </c>
      <c r="I27" s="92" t="s">
        <v>704</v>
      </c>
      <c r="J27" s="92"/>
      <c r="K27" s="247"/>
      <c r="L27" s="248"/>
    </row>
    <row r="28" spans="2:14" ht="156.75" customHeight="1" x14ac:dyDescent="0.2">
      <c r="B28" s="277"/>
      <c r="C28" s="26" t="s">
        <v>36</v>
      </c>
      <c r="D28" s="92" t="s">
        <v>705</v>
      </c>
      <c r="E28" s="92" t="s">
        <v>706</v>
      </c>
      <c r="F28" s="92" t="s">
        <v>707</v>
      </c>
      <c r="G28" s="92" t="s">
        <v>708</v>
      </c>
      <c r="H28" s="92" t="s">
        <v>709</v>
      </c>
      <c r="I28" s="92" t="s">
        <v>710</v>
      </c>
      <c r="J28" s="92"/>
      <c r="K28" s="247"/>
      <c r="L28" s="248"/>
    </row>
    <row r="29" spans="2:14" ht="52.5" customHeight="1" x14ac:dyDescent="0.2">
      <c r="B29" s="277"/>
      <c r="C29" s="26" t="s">
        <v>172</v>
      </c>
      <c r="D29" s="96">
        <v>41659</v>
      </c>
      <c r="E29" s="96">
        <v>42395</v>
      </c>
      <c r="F29" s="96">
        <v>43432</v>
      </c>
      <c r="G29" s="96">
        <v>43140</v>
      </c>
      <c r="H29" s="96">
        <v>42429</v>
      </c>
      <c r="I29" s="96">
        <v>44454</v>
      </c>
      <c r="J29" s="96"/>
      <c r="K29" s="247"/>
      <c r="L29" s="248"/>
    </row>
    <row r="30" spans="2:14" ht="54.75" customHeight="1" x14ac:dyDescent="0.2">
      <c r="B30" s="277"/>
      <c r="C30" s="26" t="s">
        <v>40</v>
      </c>
      <c r="D30" s="96">
        <v>42186</v>
      </c>
      <c r="E30" s="96">
        <v>42668</v>
      </c>
      <c r="F30" s="96">
        <v>43815</v>
      </c>
      <c r="G30" s="96">
        <v>43562</v>
      </c>
      <c r="H30" s="96">
        <v>42985</v>
      </c>
      <c r="I30" s="96">
        <v>44773</v>
      </c>
      <c r="J30" s="96"/>
      <c r="K30" s="247"/>
      <c r="L30" s="248"/>
    </row>
    <row r="31" spans="2:14" ht="41.25" customHeight="1" x14ac:dyDescent="0.2">
      <c r="B31" s="277"/>
      <c r="C31" s="26" t="s">
        <v>37</v>
      </c>
      <c r="D31" s="93">
        <v>2015</v>
      </c>
      <c r="E31" s="93">
        <v>2016</v>
      </c>
      <c r="F31" s="93">
        <v>2019</v>
      </c>
      <c r="G31" s="93">
        <v>2019</v>
      </c>
      <c r="H31" s="93">
        <v>2017</v>
      </c>
      <c r="I31" s="93">
        <v>2022</v>
      </c>
      <c r="J31" s="93"/>
      <c r="K31" s="247"/>
      <c r="L31" s="248"/>
    </row>
    <row r="32" spans="2:14" ht="63" customHeight="1" x14ac:dyDescent="0.2">
      <c r="B32" s="277"/>
      <c r="C32" s="26" t="s">
        <v>38</v>
      </c>
      <c r="D32" s="92" t="s">
        <v>711</v>
      </c>
      <c r="E32" s="92" t="s">
        <v>524</v>
      </c>
      <c r="F32" s="92" t="s">
        <v>572</v>
      </c>
      <c r="G32" s="92" t="s">
        <v>617</v>
      </c>
      <c r="H32" s="92" t="s">
        <v>712</v>
      </c>
      <c r="I32" s="92" t="s">
        <v>338</v>
      </c>
      <c r="J32" s="92"/>
      <c r="K32" s="247"/>
      <c r="L32" s="248"/>
    </row>
    <row r="33" spans="2:12" ht="46.5" customHeight="1" x14ac:dyDescent="0.2">
      <c r="B33" s="277"/>
      <c r="C33" s="26" t="s">
        <v>39</v>
      </c>
      <c r="D33" s="92" t="s">
        <v>713</v>
      </c>
      <c r="E33" s="92" t="s">
        <v>714</v>
      </c>
      <c r="F33" s="92" t="s">
        <v>715</v>
      </c>
      <c r="G33" s="92" t="s">
        <v>716</v>
      </c>
      <c r="H33" s="92" t="s">
        <v>717</v>
      </c>
      <c r="I33" s="92" t="s">
        <v>718</v>
      </c>
      <c r="J33" s="92"/>
      <c r="K33" s="247"/>
      <c r="L33" s="248"/>
    </row>
    <row r="34" spans="2:12" ht="27.75" customHeight="1" x14ac:dyDescent="0.2">
      <c r="B34" s="277"/>
      <c r="C34" s="28" t="s">
        <v>33</v>
      </c>
      <c r="D34" s="97">
        <v>29</v>
      </c>
      <c r="E34" s="97">
        <v>32</v>
      </c>
      <c r="F34" s="97">
        <v>41</v>
      </c>
      <c r="G34" s="98">
        <v>43</v>
      </c>
      <c r="H34" s="98">
        <v>30</v>
      </c>
      <c r="I34" s="98">
        <v>42</v>
      </c>
      <c r="J34" s="98"/>
      <c r="K34" s="247"/>
      <c r="L34" s="248"/>
    </row>
    <row r="35" spans="2:12" ht="102.75" customHeight="1" thickBot="1" x14ac:dyDescent="0.25">
      <c r="B35" s="277"/>
      <c r="C35" s="26" t="s">
        <v>118</v>
      </c>
      <c r="D35" s="94">
        <v>10883.081809575542</v>
      </c>
      <c r="E35" s="94">
        <v>14045.800452531348</v>
      </c>
      <c r="F35" s="94">
        <v>15348.08</v>
      </c>
      <c r="G35" s="94">
        <v>12466.185234918779</v>
      </c>
      <c r="H35" s="94">
        <v>10256.98</v>
      </c>
      <c r="I35" s="223">
        <v>8877.698155</v>
      </c>
      <c r="J35" s="94"/>
      <c r="K35" s="279"/>
      <c r="L35" s="280"/>
    </row>
    <row r="36" spans="2:12" ht="48" customHeight="1" x14ac:dyDescent="0.2">
      <c r="B36" s="277"/>
      <c r="C36" s="26" t="s">
        <v>74</v>
      </c>
      <c r="D36" s="105">
        <f>IFERROR(D35*VLOOKUP(D31,'DATOS INICIALES'!$A$12:$B$44,2,0),"0")</f>
        <v>7012513764.000001</v>
      </c>
      <c r="E36" s="105">
        <f>IFERROR(E35*VLOOKUP(E31,'DATOS INICIALES'!$A$12:$B$44,2,0),"0")</f>
        <v>9683947351</v>
      </c>
      <c r="F36" s="105">
        <f>IFERROR(F35*VLOOKUP(F31,'DATOS INICIALES'!$A$12:$B$44,2,0),"0")</f>
        <v>12709990617.280001</v>
      </c>
      <c r="G36" s="105">
        <f>IFERROR(G35*VLOOKUP(G31,'DATOS INICIALES'!$A$12:$B$44,2,0),"0")</f>
        <v>10323447452</v>
      </c>
      <c r="H36" s="105">
        <f>IFERROR(H35*VLOOKUP(H31,'DATOS INICIALES'!$A$12:$B$44,2,0),"0")</f>
        <v>7566748514.6599998</v>
      </c>
      <c r="I36" s="105">
        <f>IFERROR(I35*VLOOKUP(I31,'DATOS INICIALES'!$A$12:$B$44,2,0),"0")</f>
        <v>8877698155</v>
      </c>
      <c r="J36" s="105" t="str">
        <f>IFERROR(J35*VLOOKUP(J31,'DATOS INICIALES'!$A$12:$B$44,2,0),"0")</f>
        <v>0</v>
      </c>
      <c r="K36" s="247"/>
      <c r="L36" s="248"/>
    </row>
    <row r="37" spans="2:12" ht="33.75" customHeight="1" x14ac:dyDescent="0.2">
      <c r="B37" s="277"/>
      <c r="C37" s="26" t="s">
        <v>119</v>
      </c>
      <c r="D37" s="95">
        <v>0.35</v>
      </c>
      <c r="E37" s="95">
        <v>0.5</v>
      </c>
      <c r="F37" s="95">
        <v>0.5</v>
      </c>
      <c r="G37" s="95">
        <v>0.8</v>
      </c>
      <c r="H37" s="95">
        <v>0.95</v>
      </c>
      <c r="I37" s="95">
        <v>1</v>
      </c>
      <c r="J37" s="95"/>
      <c r="K37" s="247"/>
      <c r="L37" s="248"/>
    </row>
    <row r="38" spans="2:12" ht="48.75" customHeight="1" x14ac:dyDescent="0.2">
      <c r="B38" s="277"/>
      <c r="C38" s="26" t="s">
        <v>125</v>
      </c>
      <c r="D38" s="105">
        <f t="shared" ref="D38:J38" si="3">IF(D24="","0",D37*D36)</f>
        <v>2454379817.4000001</v>
      </c>
      <c r="E38" s="105">
        <f t="shared" si="3"/>
        <v>4841973675.5</v>
      </c>
      <c r="F38" s="105">
        <f t="shared" si="3"/>
        <v>6354995308.6400003</v>
      </c>
      <c r="G38" s="105">
        <f t="shared" si="3"/>
        <v>8258757961.6000004</v>
      </c>
      <c r="H38" s="105">
        <f t="shared" si="3"/>
        <v>7188411088.9269991</v>
      </c>
      <c r="I38" s="105">
        <f t="shared" si="3"/>
        <v>8877698155</v>
      </c>
      <c r="J38" s="105" t="str">
        <f t="shared" si="3"/>
        <v>0</v>
      </c>
      <c r="K38" s="247"/>
      <c r="L38" s="248"/>
    </row>
    <row r="39" spans="2:12" ht="65.25" customHeight="1" x14ac:dyDescent="0.2">
      <c r="B39" s="277"/>
      <c r="C39" s="26" t="s">
        <v>120</v>
      </c>
      <c r="D39" s="106">
        <f t="shared" ref="D39:J39" si="4">IFERROR(D35*D37,"0")</f>
        <v>3809.0786333514393</v>
      </c>
      <c r="E39" s="106">
        <f t="shared" si="4"/>
        <v>7022.9002262656741</v>
      </c>
      <c r="F39" s="106">
        <f t="shared" si="4"/>
        <v>7674.04</v>
      </c>
      <c r="G39" s="106">
        <f t="shared" si="4"/>
        <v>9972.9481879350242</v>
      </c>
      <c r="H39" s="106">
        <f t="shared" si="4"/>
        <v>9744.1309999999994</v>
      </c>
      <c r="I39" s="106">
        <f t="shared" si="4"/>
        <v>8877.698155</v>
      </c>
      <c r="J39" s="106">
        <f t="shared" si="4"/>
        <v>0</v>
      </c>
      <c r="K39" s="247"/>
      <c r="L39" s="248"/>
    </row>
    <row r="40" spans="2:12" ht="65.25" customHeight="1" x14ac:dyDescent="0.2">
      <c r="B40" s="277"/>
      <c r="C40" s="26" t="s">
        <v>121</v>
      </c>
      <c r="D40" s="95"/>
      <c r="E40" s="95"/>
      <c r="F40" s="95"/>
      <c r="G40" s="95"/>
      <c r="H40" s="95"/>
      <c r="I40" s="95"/>
      <c r="J40" s="95"/>
      <c r="K40" s="247"/>
      <c r="L40" s="248"/>
    </row>
    <row r="41" spans="2:12" ht="65.25" customHeight="1" x14ac:dyDescent="0.2">
      <c r="B41" s="277"/>
      <c r="C41" s="26" t="s">
        <v>126</v>
      </c>
      <c r="D41" s="107" t="str">
        <f t="shared" ref="D41:J41" si="5">IF(D25="","0",D40*D36)</f>
        <v>0</v>
      </c>
      <c r="E41" s="107" t="str">
        <f t="shared" si="5"/>
        <v>0</v>
      </c>
      <c r="F41" s="107" t="str">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0</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t="s">
        <v>13</v>
      </c>
      <c r="I46" s="91" t="s">
        <v>13</v>
      </c>
      <c r="J46" s="91"/>
      <c r="K46" s="247"/>
      <c r="L46" s="248"/>
    </row>
    <row r="47" spans="2:12" ht="24.75" customHeight="1" x14ac:dyDescent="0.2">
      <c r="B47" s="284" t="s">
        <v>34</v>
      </c>
      <c r="C47" s="29">
        <f>+'DATOS INICIALES'!D22</f>
        <v>721033</v>
      </c>
      <c r="D47" s="97" t="s">
        <v>77</v>
      </c>
      <c r="E47" s="97" t="s">
        <v>77</v>
      </c>
      <c r="F47" s="97" t="s">
        <v>77</v>
      </c>
      <c r="G47" s="97" t="s">
        <v>77</v>
      </c>
      <c r="H47" s="97" t="s">
        <v>77</v>
      </c>
      <c r="I47" s="97" t="s">
        <v>77</v>
      </c>
      <c r="J47" s="98"/>
      <c r="K47" s="247"/>
      <c r="L47" s="248"/>
    </row>
    <row r="48" spans="2:12" ht="24.75" customHeight="1" x14ac:dyDescent="0.2">
      <c r="B48" s="285"/>
      <c r="C48" s="29">
        <f>+'DATOS INICIALES'!D23</f>
        <v>721410</v>
      </c>
      <c r="D48" s="97" t="s">
        <v>77</v>
      </c>
      <c r="E48" s="97" t="s">
        <v>77</v>
      </c>
      <c r="F48" s="97" t="s">
        <v>77</v>
      </c>
      <c r="G48" s="97" t="s">
        <v>77</v>
      </c>
      <c r="H48" s="97" t="s">
        <v>77</v>
      </c>
      <c r="I48" s="97" t="s">
        <v>77</v>
      </c>
      <c r="J48" s="98"/>
      <c r="K48" s="247"/>
      <c r="L48" s="248"/>
    </row>
    <row r="49" spans="2:12" ht="24.75" customHeight="1" x14ac:dyDescent="0.2">
      <c r="B49" s="285"/>
      <c r="C49" s="29">
        <f>+'DATOS INICIALES'!D24</f>
        <v>721411</v>
      </c>
      <c r="D49" s="97" t="s">
        <v>77</v>
      </c>
      <c r="E49" s="97" t="s">
        <v>77</v>
      </c>
      <c r="F49" s="97" t="s">
        <v>77</v>
      </c>
      <c r="G49" s="97" t="s">
        <v>77</v>
      </c>
      <c r="H49" s="97" t="s">
        <v>77</v>
      </c>
      <c r="I49" s="97" t="s">
        <v>77</v>
      </c>
      <c r="J49" s="98"/>
      <c r="K49" s="247"/>
      <c r="L49" s="248"/>
    </row>
    <row r="50" spans="2:12" ht="24.75" customHeight="1" x14ac:dyDescent="0.2">
      <c r="B50" s="285"/>
      <c r="C50" s="29">
        <f>+'DATOS INICIALES'!D25</f>
        <v>721416</v>
      </c>
      <c r="D50" s="97" t="s">
        <v>77</v>
      </c>
      <c r="E50" s="97" t="s">
        <v>77</v>
      </c>
      <c r="F50" s="97" t="s">
        <v>77</v>
      </c>
      <c r="G50" s="97" t="s">
        <v>77</v>
      </c>
      <c r="H50" s="97" t="s">
        <v>77</v>
      </c>
      <c r="I50" s="97" t="s">
        <v>77</v>
      </c>
      <c r="J50" s="98"/>
      <c r="K50" s="247"/>
      <c r="L50" s="248"/>
    </row>
    <row r="51" spans="2:12" ht="24.75" customHeight="1" x14ac:dyDescent="0.2">
      <c r="B51" s="285"/>
      <c r="C51" s="29">
        <f>+'DATOS INICIALES'!D26</f>
        <v>721527</v>
      </c>
      <c r="D51" s="97" t="s">
        <v>77</v>
      </c>
      <c r="E51" s="97" t="s">
        <v>77</v>
      </c>
      <c r="F51" s="97" t="s">
        <v>75</v>
      </c>
      <c r="G51" s="97" t="s">
        <v>77</v>
      </c>
      <c r="H51" s="97" t="s">
        <v>77</v>
      </c>
      <c r="I51" s="97" t="s">
        <v>77</v>
      </c>
      <c r="J51" s="98"/>
      <c r="K51" s="247"/>
      <c r="L51" s="248"/>
    </row>
    <row r="52" spans="2:12" ht="24.75" customHeight="1" x14ac:dyDescent="0.2">
      <c r="B52" s="285"/>
      <c r="C52" s="29">
        <f>+'DATOS INICIALES'!D27</f>
        <v>721539</v>
      </c>
      <c r="D52" s="97" t="s">
        <v>77</v>
      </c>
      <c r="E52" s="97" t="s">
        <v>77</v>
      </c>
      <c r="F52" s="97" t="s">
        <v>77</v>
      </c>
      <c r="G52" s="97" t="s">
        <v>77</v>
      </c>
      <c r="H52" s="97" t="s">
        <v>75</v>
      </c>
      <c r="I52" s="97" t="s">
        <v>75</v>
      </c>
      <c r="J52" s="98"/>
      <c r="K52" s="247"/>
      <c r="L52" s="248"/>
    </row>
    <row r="53" spans="2:12" ht="24.75" customHeight="1" x14ac:dyDescent="0.2">
      <c r="B53" s="285"/>
      <c r="C53" s="29">
        <f>+'DATOS INICIALES'!D28</f>
        <v>951115</v>
      </c>
      <c r="D53" s="97" t="s">
        <v>77</v>
      </c>
      <c r="E53" s="97" t="s">
        <v>75</v>
      </c>
      <c r="F53" s="97" t="s">
        <v>75</v>
      </c>
      <c r="G53" s="97" t="s">
        <v>77</v>
      </c>
      <c r="H53" s="97" t="s">
        <v>77</v>
      </c>
      <c r="I53" s="97" t="s">
        <v>77</v>
      </c>
      <c r="J53" s="97"/>
      <c r="K53" s="247"/>
      <c r="L53" s="248"/>
    </row>
    <row r="54" spans="2:12" ht="24.75" customHeight="1" x14ac:dyDescent="0.2">
      <c r="B54" s="285"/>
      <c r="C54" s="29">
        <f>+'DATOS INICIALES'!D29</f>
        <v>721033</v>
      </c>
      <c r="D54" s="97" t="s">
        <v>77</v>
      </c>
      <c r="E54" s="97" t="s">
        <v>77</v>
      </c>
      <c r="F54" s="97" t="s">
        <v>77</v>
      </c>
      <c r="G54" s="97" t="s">
        <v>77</v>
      </c>
      <c r="H54" s="97" t="s">
        <v>77</v>
      </c>
      <c r="I54" s="97" t="s">
        <v>77</v>
      </c>
      <c r="J54" s="97"/>
      <c r="K54" s="247"/>
      <c r="L54" s="248"/>
    </row>
    <row r="55" spans="2:12" ht="60.75" customHeight="1" x14ac:dyDescent="0.2">
      <c r="B55" s="286"/>
      <c r="C55" s="18" t="s">
        <v>57</v>
      </c>
      <c r="D55" s="18" t="str">
        <f t="shared" ref="D55:I55" si="9">IF(D24="","N/A",IF(D47="SI","CUMPLE",IF(D48="SI","CUMPLE",IF(D49="SI","CUMPLE",IF(D50="SI","CUMPLE",IF(D51="SI","CUMPLE",IF(D52="SI","CUMPLE",IF(D54="SI","CUMPLE","NO CUMPLE"))))))))</f>
        <v>CUMPLE</v>
      </c>
      <c r="E55" s="18" t="str">
        <f t="shared" si="9"/>
        <v>CUMPLE</v>
      </c>
      <c r="F55" s="18" t="str">
        <f t="shared" si="9"/>
        <v>CUMPLE</v>
      </c>
      <c r="G55" s="18" t="str">
        <f t="shared" si="9"/>
        <v>CUMPLE</v>
      </c>
      <c r="H55" s="18" t="str">
        <f t="shared" si="9"/>
        <v>CUMPLE</v>
      </c>
      <c r="I55" s="18" t="str">
        <f t="shared" si="9"/>
        <v>CUMPLE</v>
      </c>
      <c r="J55" s="18" t="str">
        <f t="shared" ref="J55" si="10">IF(J24="","N/A",IF(J47="SI","CUMPLE",IF(J48="SI","CUMPLE",IF(J49="SI","CUMPLE",IF(J50="SI","CUMPLE",IF(J51="SI","CUMPLE",IF(J52="SI","CUMPLE",IF(J54="SI","CUMPLE","NO CUMPLE"))))))))</f>
        <v>N/A</v>
      </c>
      <c r="K55" s="247"/>
      <c r="L55" s="248"/>
    </row>
    <row r="56" spans="2:12" ht="147.5" customHeight="1" x14ac:dyDescent="0.2">
      <c r="B56" s="287" t="s">
        <v>189</v>
      </c>
      <c r="C56" s="288"/>
      <c r="D56" s="91" t="s">
        <v>13</v>
      </c>
      <c r="E56" s="91" t="s">
        <v>13</v>
      </c>
      <c r="F56" s="91" t="s">
        <v>13</v>
      </c>
      <c r="G56" s="91" t="s">
        <v>13</v>
      </c>
      <c r="H56" s="91" t="s">
        <v>13</v>
      </c>
      <c r="I56" s="91" t="s">
        <v>13</v>
      </c>
      <c r="J56" s="91"/>
      <c r="K56" s="257"/>
      <c r="L56" s="258"/>
    </row>
    <row r="57" spans="2:12" ht="103.25" customHeight="1" x14ac:dyDescent="0.2">
      <c r="B57" s="287" t="s">
        <v>190</v>
      </c>
      <c r="C57" s="288"/>
      <c r="D57" s="91" t="s">
        <v>13</v>
      </c>
      <c r="E57" s="91" t="s">
        <v>13</v>
      </c>
      <c r="F57" s="91" t="s">
        <v>13</v>
      </c>
      <c r="G57" s="91" t="s">
        <v>13</v>
      </c>
      <c r="H57" s="91" t="s">
        <v>13</v>
      </c>
      <c r="I57" s="91" t="s">
        <v>13</v>
      </c>
      <c r="J57" s="91"/>
      <c r="K57" s="257"/>
      <c r="L57" s="258"/>
    </row>
    <row r="58" spans="2:12" ht="72" customHeight="1" x14ac:dyDescent="0.2">
      <c r="B58" s="281" t="s">
        <v>191</v>
      </c>
      <c r="C58" s="282"/>
      <c r="D58" s="91" t="s">
        <v>13</v>
      </c>
      <c r="E58" s="91" t="s">
        <v>13</v>
      </c>
      <c r="F58" s="91" t="s">
        <v>13</v>
      </c>
      <c r="G58" s="91" t="s">
        <v>13</v>
      </c>
      <c r="H58" s="91" t="s">
        <v>13</v>
      </c>
      <c r="I58" s="91" t="s">
        <v>13</v>
      </c>
      <c r="J58" s="91"/>
      <c r="K58" s="247"/>
      <c r="L58" s="248"/>
    </row>
    <row r="59" spans="2:12" ht="42.5" customHeight="1" x14ac:dyDescent="0.2">
      <c r="B59" s="281" t="s">
        <v>192</v>
      </c>
      <c r="C59" s="282"/>
      <c r="D59" s="91" t="s">
        <v>13</v>
      </c>
      <c r="E59" s="91" t="s">
        <v>13</v>
      </c>
      <c r="F59" s="91" t="s">
        <v>13</v>
      </c>
      <c r="G59" s="91" t="s">
        <v>13</v>
      </c>
      <c r="H59" s="91" t="s">
        <v>13</v>
      </c>
      <c r="I59" s="91" t="s">
        <v>13</v>
      </c>
      <c r="J59" s="91"/>
      <c r="K59" s="247"/>
      <c r="L59" s="248"/>
    </row>
    <row r="60" spans="2:12" ht="36" customHeight="1" x14ac:dyDescent="0.2">
      <c r="B60" s="281" t="s">
        <v>193</v>
      </c>
      <c r="C60" s="282"/>
      <c r="D60" s="91" t="s">
        <v>13</v>
      </c>
      <c r="E60" s="91" t="s">
        <v>13</v>
      </c>
      <c r="F60" s="91" t="s">
        <v>13</v>
      </c>
      <c r="G60" s="91" t="s">
        <v>13</v>
      </c>
      <c r="H60" s="91" t="s">
        <v>13</v>
      </c>
      <c r="I60" s="91" t="s">
        <v>13</v>
      </c>
      <c r="J60" s="91"/>
      <c r="K60" s="247"/>
      <c r="L60" s="248"/>
    </row>
    <row r="61" spans="2:12" ht="160.75" customHeight="1" x14ac:dyDescent="0.2">
      <c r="B61" s="281" t="s">
        <v>194</v>
      </c>
      <c r="C61" s="282"/>
      <c r="D61" s="91" t="s">
        <v>13</v>
      </c>
      <c r="E61" s="91" t="s">
        <v>13</v>
      </c>
      <c r="F61" s="91" t="s">
        <v>13</v>
      </c>
      <c r="G61" s="91" t="s">
        <v>13</v>
      </c>
      <c r="H61" s="91" t="s">
        <v>13</v>
      </c>
      <c r="I61" s="91" t="s">
        <v>13</v>
      </c>
      <c r="J61" s="91"/>
      <c r="K61" s="247"/>
      <c r="L61" s="248"/>
    </row>
    <row r="62" spans="2:12" ht="409.25" customHeight="1" x14ac:dyDescent="0.2">
      <c r="B62" s="261" t="s">
        <v>195</v>
      </c>
      <c r="C62" s="261"/>
      <c r="D62" s="91" t="s">
        <v>13</v>
      </c>
      <c r="E62" s="91" t="s">
        <v>13</v>
      </c>
      <c r="F62" s="91" t="s">
        <v>13</v>
      </c>
      <c r="G62" s="91" t="s">
        <v>13</v>
      </c>
      <c r="H62" s="91" t="s">
        <v>13</v>
      </c>
      <c r="I62" s="91" t="s">
        <v>13</v>
      </c>
      <c r="J62" s="91"/>
      <c r="K62" s="279"/>
      <c r="L62" s="280"/>
    </row>
    <row r="63" spans="2:12" ht="301.75" customHeight="1" x14ac:dyDescent="0.2">
      <c r="B63" s="262" t="s">
        <v>196</v>
      </c>
      <c r="C63" s="263"/>
      <c r="D63" s="91" t="s">
        <v>13</v>
      </c>
      <c r="E63" s="91" t="s">
        <v>13</v>
      </c>
      <c r="F63" s="91" t="s">
        <v>13</v>
      </c>
      <c r="G63" s="91" t="s">
        <v>13</v>
      </c>
      <c r="H63" s="91" t="s">
        <v>13</v>
      </c>
      <c r="I63" s="91" t="s">
        <v>13</v>
      </c>
      <c r="J63" s="91"/>
      <c r="K63" s="247"/>
      <c r="L63" s="248"/>
    </row>
    <row r="64" spans="2:12" ht="253.75" customHeight="1" x14ac:dyDescent="0.2">
      <c r="B64" s="283" t="s">
        <v>197</v>
      </c>
      <c r="C64" s="283"/>
      <c r="D64" s="91" t="s">
        <v>13</v>
      </c>
      <c r="E64" s="91" t="s">
        <v>13</v>
      </c>
      <c r="F64" s="91" t="s">
        <v>13</v>
      </c>
      <c r="G64" s="91" t="s">
        <v>13</v>
      </c>
      <c r="H64" s="91" t="s">
        <v>13</v>
      </c>
      <c r="I64" s="91" t="s">
        <v>13</v>
      </c>
      <c r="J64" s="91"/>
      <c r="K64" s="247"/>
      <c r="L64" s="248"/>
    </row>
    <row r="65" spans="2:12" ht="243.5" customHeight="1" x14ac:dyDescent="0.2">
      <c r="B65" s="261" t="s">
        <v>198</v>
      </c>
      <c r="C65" s="261"/>
      <c r="D65" s="91" t="s">
        <v>13</v>
      </c>
      <c r="E65" s="91" t="s">
        <v>13</v>
      </c>
      <c r="F65" s="91" t="s">
        <v>13</v>
      </c>
      <c r="G65" s="91" t="s">
        <v>13</v>
      </c>
      <c r="H65" s="91" t="s">
        <v>13</v>
      </c>
      <c r="I65" s="91" t="s">
        <v>13</v>
      </c>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I66" si="11">IF(F24="","N/A",IF(AND(F46="CUMPLE",F55="CUMPLE",F56="CUMPLE",F57="CUMPLE",F58="CUMPLE",F59="CUMPLE",OR(F61="CUMPLE",F61="N/A"),F62="CUMPLE",OR(F63="CUMPLE",F63="N/A"),F65="CUMPLE",OR(F64="CUMPLE",F64="N/A")),"CUMPLE","NO CUMPLE"))</f>
        <v>CUMPLE</v>
      </c>
      <c r="G66" s="18" t="str">
        <f t="shared" si="11"/>
        <v>CUMPLE</v>
      </c>
      <c r="H66" s="18" t="str">
        <f t="shared" si="11"/>
        <v>CUMPLE</v>
      </c>
      <c r="I66" s="18" t="str">
        <f t="shared" si="11"/>
        <v>CUMPLE</v>
      </c>
      <c r="J66" s="18" t="str">
        <f t="shared" ref="J66" si="12">IF(J24="","N/A",IF(AND(J46="CUMPLE",J55="CUMPLE",J56="CUMPLE",J57="CUMPLE",J58="CUMPLE",J59="CUMPLE",OR(J61="CUMPLE",J61="N/A"),J62="CUMPLE",OR(J63="CUMPLE",J63="N/A"),J65="CUMPLE",OR(J64="CUMPLE",J64="N/A")),"CUMPLE","NO CUMPLE"))</f>
        <v>N/A</v>
      </c>
      <c r="K66" s="147"/>
      <c r="L66" s="148"/>
    </row>
    <row r="67" spans="2:12" ht="54.5" customHeight="1" x14ac:dyDescent="0.2">
      <c r="B67" s="261" t="s">
        <v>188</v>
      </c>
      <c r="C67" s="261"/>
      <c r="D67" s="91" t="s">
        <v>13</v>
      </c>
      <c r="E67" s="91" t="s">
        <v>13</v>
      </c>
      <c r="F67" s="91" t="s">
        <v>13</v>
      </c>
      <c r="G67" s="91" t="s">
        <v>13</v>
      </c>
      <c r="H67" s="91" t="s">
        <v>13</v>
      </c>
      <c r="I67" s="91" t="s">
        <v>13</v>
      </c>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143" priority="24">
      <formula>NOT(ISERROR(D25))</formula>
    </cfRule>
    <cfRule type="containsBlanks" dxfId="142" priority="23">
      <formula>LEN(TRIM(D25))=0</formula>
    </cfRule>
  </conditionalFormatting>
  <conditionalFormatting sqref="D34:J34 D24:K24">
    <cfRule type="containsBlanks" dxfId="141" priority="25">
      <formula>LEN(TRIM(D24))=0</formula>
    </cfRule>
  </conditionalFormatting>
  <conditionalFormatting sqref="D37:J37">
    <cfRule type="notContainsErrors" dxfId="140" priority="22">
      <formula>NOT(ISERROR(D37))</formula>
    </cfRule>
    <cfRule type="containsBlanks" dxfId="139" priority="21">
      <formula>LEN(TRIM(D37))=0</formula>
    </cfRule>
  </conditionalFormatting>
  <conditionalFormatting sqref="D40:J40">
    <cfRule type="containsBlanks" dxfId="138" priority="39">
      <formula>LEN(TRIM(D40))=0</formula>
    </cfRule>
    <cfRule type="notContainsErrors" dxfId="137" priority="40">
      <formula>NOT(ISERROR(D40))</formula>
    </cfRule>
  </conditionalFormatting>
  <conditionalFormatting sqref="D43:J43 K66:L66">
    <cfRule type="containsBlanks" dxfId="136" priority="49">
      <formula>LEN(TRIM(D43))=0</formula>
    </cfRule>
    <cfRule type="notContainsErrors" dxfId="135" priority="50">
      <formula>NOT(ISERROR(D43))</formula>
    </cfRule>
  </conditionalFormatting>
  <conditionalFormatting sqref="D46:J54">
    <cfRule type="cellIs" dxfId="134" priority="9" operator="equal">
      <formula>"NO CUMPLE"</formula>
    </cfRule>
    <cfRule type="cellIs" dxfId="133" priority="10" operator="equal">
      <formula>"CUMPLE"</formula>
    </cfRule>
    <cfRule type="containsBlanks" dxfId="132" priority="11">
      <formula>LEN(TRIM(D46))=0</formula>
    </cfRule>
    <cfRule type="notContainsErrors" dxfId="131" priority="12">
      <formula>NOT(ISERROR(D46))</formula>
    </cfRule>
  </conditionalFormatting>
  <conditionalFormatting sqref="D55:J55">
    <cfRule type="cellIs" dxfId="130" priority="17" operator="equal">
      <formula>"N/A"</formula>
    </cfRule>
    <cfRule type="cellIs" dxfId="129" priority="18" operator="equal">
      <formula>"CUMPLE"</formula>
    </cfRule>
    <cfRule type="cellIs" dxfId="128" priority="19" operator="equal">
      <formula>"NO CUMPLE"</formula>
    </cfRule>
    <cfRule type="cellIs" dxfId="127" priority="20" operator="equal">
      <formula>"""CUMPLE"""</formula>
    </cfRule>
  </conditionalFormatting>
  <conditionalFormatting sqref="D56:J65">
    <cfRule type="containsBlanks" dxfId="126" priority="7">
      <formula>LEN(TRIM(D56))=0</formula>
    </cfRule>
    <cfRule type="notContainsErrors" dxfId="125" priority="8">
      <formula>NOT(ISERROR(D56))</formula>
    </cfRule>
    <cfRule type="cellIs" dxfId="124" priority="6" operator="equal">
      <formula>"CUMPLE"</formula>
    </cfRule>
    <cfRule type="cellIs" dxfId="123" priority="5" operator="equal">
      <formula>"NO CUMPLE"</formula>
    </cfRule>
  </conditionalFormatting>
  <conditionalFormatting sqref="D66:J66">
    <cfRule type="cellIs" dxfId="122" priority="14" operator="equal">
      <formula>"CUMPLE"</formula>
    </cfRule>
    <cfRule type="cellIs" dxfId="121" priority="15" operator="equal">
      <formula>"NO CUMPLE"</formula>
    </cfRule>
    <cfRule type="cellIs" dxfId="120" priority="16" operator="equal">
      <formula>"""CUMPLE"""</formula>
    </cfRule>
    <cfRule type="cellIs" dxfId="119" priority="13" operator="equal">
      <formula>"N/A"</formula>
    </cfRule>
  </conditionalFormatting>
  <conditionalFormatting sqref="D67:J67">
    <cfRule type="cellIs" dxfId="118" priority="1" operator="equal">
      <formula>"NO CUMPLE"</formula>
    </cfRule>
    <cfRule type="cellIs" dxfId="117" priority="2" operator="equal">
      <formula>"CUMPLE"</formula>
    </cfRule>
  </conditionalFormatting>
  <conditionalFormatting sqref="D24:K24 D34:J34">
    <cfRule type="notContainsErrors" dxfId="116" priority="26">
      <formula>NOT(ISERROR(D24))</formula>
    </cfRule>
  </conditionalFormatting>
  <conditionalFormatting sqref="D67:K67">
    <cfRule type="notContainsErrors" dxfId="115" priority="4">
      <formula>NOT(ISERROR(D67))</formula>
    </cfRule>
    <cfRule type="containsBlanks" dxfId="114" priority="3">
      <formula>LEN(TRIM(D67))=0</formula>
    </cfRule>
  </conditionalFormatting>
  <conditionalFormatting sqref="F20:H20">
    <cfRule type="cellIs" dxfId="113" priority="65" operator="equal">
      <formula>"CUMPLE"</formula>
    </cfRule>
    <cfRule type="cellIs" dxfId="112" priority="66" operator="equal">
      <formula>"NO CUMPLE"</formula>
    </cfRule>
    <cfRule type="cellIs" dxfId="111" priority="67" operator="equal">
      <formula>"""CUMPLE"""</formula>
    </cfRule>
  </conditionalFormatting>
  <conditionalFormatting sqref="I11">
    <cfRule type="containsText" dxfId="110" priority="68" operator="containsText" text="INHABILITADO">
      <formula>NOT(ISERROR(SEARCH("INHABILITADO",I11)))</formula>
    </cfRule>
    <cfRule type="containsText" dxfId="109" priority="69" operator="containsText" text="HABILITADO">
      <formula>NOT(ISERROR(SEARCH("HABILITADO",I11)))</formula>
    </cfRule>
    <cfRule type="containsText" dxfId="108" priority="70" operator="containsText" text="HABILITADO">
      <formula>NOT(ISERROR(SEARCH("HABILITADO",I11)))</formula>
    </cfRule>
    <cfRule type="containsText" dxfId="107" priority="71" operator="containsText" text="NO CUMPLE">
      <formula>NOT(ISERROR(SEARCH("NO CUMPLE",I11)))</formula>
    </cfRule>
  </conditionalFormatting>
  <conditionalFormatting sqref="K19">
    <cfRule type="cellIs" dxfId="106" priority="56" operator="equal">
      <formula>"CUMPLE"</formula>
    </cfRule>
    <cfRule type="cellIs" dxfId="105" priority="57" operator="equal">
      <formula>"NO CUMPLE"</formula>
    </cfRule>
    <cfRule type="cellIs" dxfId="104" priority="58" operator="equal">
      <formula>"""CUMPLE"""</formula>
    </cfRule>
  </conditionalFormatting>
  <conditionalFormatting sqref="K25:K65">
    <cfRule type="containsBlanks" dxfId="103" priority="47">
      <formula>LEN(TRIM(K25))=0</formula>
    </cfRule>
    <cfRule type="notContainsErrors" dxfId="102" priority="48">
      <formula>NOT(ISERROR(K25))</formula>
    </cfRule>
  </conditionalFormatting>
  <conditionalFormatting sqref="L15">
    <cfRule type="cellIs" dxfId="101" priority="62" operator="equal">
      <formula>"CUMPLE"</formula>
    </cfRule>
    <cfRule type="cellIs" dxfId="100" priority="63" operator="equal">
      <formula>"NO CUMPLE"</formula>
    </cfRule>
    <cfRule type="cellIs" dxfId="99" priority="64" operator="equal">
      <formula>"""CUMPLE"""</formula>
    </cfRule>
  </conditionalFormatting>
  <dataValidations count="2">
    <dataValidation type="list" allowBlank="1" showInputMessage="1" showErrorMessage="1" sqref="D24:J26" xr:uid="{9B520161-F5DA-4067-87EF-D294314C0D5C}">
      <formula1>$C$15:$C$19</formula1>
    </dataValidation>
    <dataValidation type="list" allowBlank="1" showInputMessage="1" showErrorMessage="1" sqref="L58:L66" xr:uid="{E56A7F43-F061-4912-8A9E-2C5AE93949D1}">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86FFE79-EE75-4A59-92FD-E6E05A54900A}">
          <x14:formula1>
            <xm:f>'DATOS INICIALES'!$D$22:$D$26</xm:f>
          </x14:formula1>
          <xm:sqref>M47:M55</xm:sqref>
        </x14:dataValidation>
        <x14:dataValidation type="list" allowBlank="1" showInputMessage="1" showErrorMessage="1" xr:uid="{1293A5F2-AFFB-4A75-9731-509CE6BEF3CA}">
          <x14:formula1>
            <xm:f>'DATOS INICIALES'!$A$57:$A$62</xm:f>
          </x14:formula1>
          <xm:sqref>D23:I23</xm:sqref>
        </x14:dataValidation>
        <x14:dataValidation type="list" allowBlank="1" showInputMessage="1" showErrorMessage="1" xr:uid="{4F12CEC0-FDA1-4CFB-ABDE-86A9AE22F926}">
          <x14:formula1>
            <xm:f>'DATOS INICIALES'!$A$53:$A$55</xm:f>
          </x14:formula1>
          <xm:sqref>J59:J65 J46 J56:J57</xm:sqref>
        </x14:dataValidation>
        <x14:dataValidation type="list" allowBlank="1" showInputMessage="1" showErrorMessage="1" xr:uid="{E5ABE161-483D-49FA-B92A-C58D58E00301}">
          <x14:formula1>
            <xm:f>'DATOS INICIALES'!$C$48:$C$49</xm:f>
          </x14:formula1>
          <xm:sqref>J47:J52</xm:sqref>
        </x14:dataValidation>
      </x14:dataValidation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C248B-22F9-4849-B61E-57BF2F8A0355}">
  <sheetPr>
    <tabColor rgb="FF92D050"/>
  </sheetPr>
  <dimension ref="B1:N82"/>
  <sheetViews>
    <sheetView view="pageBreakPreview" zoomScale="55" zoomScaleNormal="55" zoomScaleSheetLayoutView="55" workbookViewId="0">
      <pane ySplit="11" topLeftCell="A12" activePane="bottomLeft" state="frozenSplit"/>
      <selection activeCell="C11" sqref="C11:G11"/>
      <selection pane="bottomLeft" activeCell="F37" sqref="F37"/>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+PROPONENTES!B41</f>
        <v>CONSORCIO MALLA VIAL U</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RAFAEL EDUARDO MONTES NAVAS</v>
      </c>
      <c r="D15" s="101">
        <f>IF(VLOOKUP(C11,PROPONENTES!B10:N44,3,FALSE)=0,"",VLOOKUP(C11,PROPONENTES!B10:N44,3,FALSE))</f>
        <v>0.2</v>
      </c>
      <c r="E15" s="102">
        <f>IF(C15="","",IF($D$66="CUMPLE",IF(C15=$D$24,$D$39)+IF(C15=$D$25,$D$42)+IF(C15=$D$26,$D$45))+IF($E$66="CUMPLE",IF(C15=$E$24,$E$39)+IF(C15=$E$25,$E$42)+IF(C15=$E$26,$E$45))+IF($F$66="CUMPLE",IF(C15=$F$24,$F$39)+IF(C15=$F$25,$F$42)+IF(C15=$F$26,$F$45))+IF($G$66="CUMPLE",IF(C15=$G$24,$G$39)+IF(C15=$G$25,$G$42)+IF(C15=$G$26,$G$45))+IF($H$66="CUMPLE",IF(C15=$H$24,$H$39)+IF(C15=$H$25,$H$42)+IF(C15=$H$26,$H$45))+IF($I$66="CUMPLE",IF(C15=$I$24,$I$39)+IF(C15=$I$25,$I$42)+IF(C15=$I$26,$I$45))+IF($J$66="CUMPLE",IF(C15=$J$24,$J$39)+IF(C15=$J$25,$J$42)+IF(C15=$J$26,$J$45)))</f>
        <v>3555.3559999999998</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316">
        <v>4</v>
      </c>
      <c r="J15" s="264">
        <f>IF(AND(I15&gt;=1,I15&lt;=2),L8,IF(AND(I15&gt;=3,I15&lt;=4),L9,IF(AND(I15&gt;=5,I15&lt;=7),L10)))</f>
        <v>18919.917519692306</v>
      </c>
      <c r="K15" s="264">
        <f>+E20</f>
        <v>20676.735000000001</v>
      </c>
      <c r="L15" s="265" t="str">
        <f>IF(K15&gt;=J15,"CUMPLE","NO CUMPLE")</f>
        <v>CUMPLE</v>
      </c>
    </row>
    <row r="16" spans="2:12" ht="33.75" customHeight="1" x14ac:dyDescent="0.2">
      <c r="B16" s="273"/>
      <c r="C16" s="100" t="str">
        <f>IF(VLOOKUP(C11,PROPONENTES!B10:N44,4,FALSE)=0,"",VLOOKUP(C11,PROPONENTES!B10:N44,4,FALSE))</f>
        <v xml:space="preserve">MIRAFLOREZ CIVILES S.A.S. </v>
      </c>
      <c r="D16" s="101">
        <f>IF(VLOOKUP(C11,PROPONENTES!B10:N44,5,FALSE)=0,"",VLOOKUP(C11,PROPONENTES!B10:N44,5,FALSE))</f>
        <v>0.4</v>
      </c>
      <c r="E16" s="102">
        <f>IF(C16="","",IF($D$66="CUMPLE",IF(C16=$D$24,$D$39)+IF(C16=$D$25,$D$42)+IF(C16=$D$26,$D$45))+IF($E$66="CUMPLE",IF(C16=$E$24,$E$39)+IF(C16=$E$25,$E$42)+IF(C16=$E$26,$E$45))+IF($F$66="CUMPLE",IF(C16=$F$24,$F$39)+IF(C16=$F$25,$F$42)+IF(C16=$F$26,$F$45))+IF($G$66="CUMPLE",IF(C16=$G$24,$G$39)+IF(C16=$G$25,$G$42)+IF(C16=$G$26,$G$45))+IF($H$66="CUMPLE",IF(C16=$H$24,$H$39)+IF(C16=$H$25,$H$42)+IF(C16=$H$26,$H$45))+IF($I$66="CUMPLE",IF(C16=$I$24,$I$39)+IF(C16=$I$25,$I$42)+IF(C16=$I$26,$I$45))+IF($J$66="CUMPLE",IF(C16=$J$24,$J$39)+IF(C16=$J$25,$J$42)+IF(C16=$J$26,$J$45)))</f>
        <v>13420.989000000001</v>
      </c>
      <c r="F16" s="103" t="str">
        <f t="shared" si="1"/>
        <v>SI</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VIBAR INGENIERIA S.A.S</v>
      </c>
      <c r="D17" s="101">
        <f>IF(VLOOKUP(C11,PROPONENTES!B10:N44,7,FALSE)=0,"",VLOOKUP(C11,PROPONENTES!B10:N44,7,FALSE))</f>
        <v>0.4</v>
      </c>
      <c r="E17" s="102">
        <f>IF(C17="","",IF($D$66="CUMPLE",IF(C17=$D$24,$D$39)+IF(C17=$D$25,$D$42)+IF(C17=$D$26,$D$45))+IF($E$66="CUMPLE",IF(C17=$E$24,$E$39)+IF(C17=$E$25,$E$42)+IF(C17=$E$26,$E$45))+IF($F$66="CUMPLE",IF(C17=$F$24,$F$39)+IF(C17=$F$25,$F$42)+IF(C17=$F$26,$F$45))+IF($G$66="CUMPLE",IF(C17=$G$24,$G$39)+IF(C17=$G$25,$G$42)+IF(C17=$G$26,$G$45))+IF($H$66="CUMPLE",IF(C17=$H$24,$H$39)+IF(C17=$H$25,$H$42)+IF(C17=$H$26,$H$45))+IF($I$66="CUMPLE",IF(C17=$I$24,$I$39)+IF(C17=$I$25,$I$42)+IF(C17=$I$26,$I$45))+IF($J$66="CUMPLE",IF(C17=$J$24,$J$39)+IF(C17=$J$25,$J$42)+IF(C17=$J$26,$J$45)))</f>
        <v>3700.39</v>
      </c>
      <c r="F17" s="103" t="str">
        <f t="shared" si="1"/>
        <v>NO</v>
      </c>
      <c r="G17" s="104" t="str">
        <f t="shared" si="2"/>
        <v>SI</v>
      </c>
      <c r="H17" s="103" t="str">
        <f>IF(C17="","",IF(AND(G17="NO APORTA EXPERIENCIA",D17&lt;=10%),"SI",IF(G17="SI","NO APLICA","NO - PORCENTAJE MAYOR AL 10%")))</f>
        <v>NO APLICA</v>
      </c>
      <c r="I17" s="316"/>
      <c r="J17" s="264"/>
      <c r="K17" s="264"/>
      <c r="L17" s="265"/>
    </row>
    <row r="18" spans="2:14" ht="50.25" customHeight="1" x14ac:dyDescent="0.2">
      <c r="B18" s="273"/>
      <c r="C18" s="100" t="str">
        <f>IF(VLOOKUP(C11,PROPONENTES!B10:N44,8,FALSE)=0,"",VLOOKUP(C11,PROPONENTES!B10:N44,8,FALSE))</f>
        <v/>
      </c>
      <c r="D18" s="101" t="str">
        <f>IF(VLOOKUP(C11,PROPONENTES!B10:N44,9,FALSE)=0,"",VLOOKUP(C11,PROPONENTES!B10:N44,9,FALSE))</f>
        <v/>
      </c>
      <c r="E18" s="102" t="str">
        <f>IF(C18="","",IF($D$66="CUMPLE",IF(C18=$D$24,$D$39)+IF(C18=$D$25,$D$42)+IF(C18=$D$26,$D$45))+IF($E$66="CUMPLE",IF(C18=$E$24,$E$39)+IF(C18=$E$25,$E$42)+IF(C18=$E$26,$E$45))+IF($F$66="CUMPLE",IF(C18=$F$24,$F$39)+IF(C18=$F$25,$F$42)+IF(C18=$F$26,$F$45))+IF($G$66="CUMPLE",IF(C18=$G$24,$G$39)+IF(C18=$G$25,$G$42)+IF(C18=$G$26,$G$45))+IF($H$66="CUMPLE",IF(C18=$H$24,$H$39)+IF(C18=$H$25,$H$42)+IF(C18=$H$26,$H$45))+IF($I$66="CUMPLE",IF(C18=$I$24,$I$39)+IF(C18=$I$25,$I$42)+IF(C18=$I$26,$I$45))+IF($J$66="CUMPLE",IF(C18=$J$24,$J$39)+IF(C18=$J$25,$J$42)+IF(C18=$J$26,$J$45)))</f>
        <v/>
      </c>
      <c r="F18" s="103" t="str">
        <f t="shared" si="1"/>
        <v/>
      </c>
      <c r="G18" s="104" t="str">
        <f>IF(C18="","",IF(E18&gt;=$J$15*0.05,"SI",IF(E18=0,"NO APORTA EXPERIENCIA",)))</f>
        <v/>
      </c>
      <c r="H18" s="103" t="str">
        <f>IF(C18="","",IF(AND(G18="NO APORTA EXPERIENCIA",D18&lt;=10%),"SI",IF(G18="SI","NO APLICA","NO - PORCENTAJE MAYOR AL 10%")))</f>
        <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$66="CUMPLE",IF(C19=$D$24,$D$39)+IF(C19=$D$25,$D$42)+IF(C19=$D$26,$D$45))+IF($E$66="CUMPLE",IF(C19=$E$24,$E$39)+IF(C19=$E$25,$E$42)+IF(C19=$E$26,$E$45))+IF($F$66="CUMPLE",IF(C19=$F$24,$F$39)+IF(C19=$F$25,$F$42)+IF(C19=$F$26,$F$45))+IF($G$66="CUMPLE",IF(C19=$G$24,$G$39)+IF(C19=$G$25,$G$42)+IF(C19=$G$26,$G$45))+IF($H$66="CUMPLE",IF(C19=$H$24,$H$39)+IF(C19=$H$25,$H$42)+IF(C19=$H$26,$H$45))+IF($I$66="CUMPLE",IF(C19=$I$24,$I$39)+IF(C19=$I$25,$I$42)+IF(C19=$I$26,$I$45))+IF($J$66="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SUMIF(D67:J67,"CUMPLE",D39:J39)+SUMIF(D67:J67,"CUMPLE",D42:J42)+SUMIF(D67:J67,"CUMPLE",D45:J45)</f>
        <v>20676.734999999997</v>
      </c>
      <c r="J19" s="355">
        <f>IF(I15="","",VLOOKUP(I15,$D$76:$E$82,2,FALSE))</f>
        <v>18919.917519692306</v>
      </c>
      <c r="K19" s="249" t="str">
        <f>IF(I19&gt;=J19,"CUMPLE","NO CUMPLE")</f>
        <v>CUMPLE</v>
      </c>
      <c r="L19" s="250"/>
    </row>
    <row r="20" spans="2:14" ht="84.75" customHeight="1" x14ac:dyDescent="0.2">
      <c r="B20" s="31" t="s">
        <v>61</v>
      </c>
      <c r="C20" s="25">
        <f>+VLOOKUP(C11,PROPONENTES!B10:N44,12,FALSE)</f>
        <v>3</v>
      </c>
      <c r="D20" s="101">
        <f>+VLOOKUP(C11,PROPONENTES!B10:N44,13,FALSE)</f>
        <v>1</v>
      </c>
      <c r="E20" s="36">
        <f>SUM(E15:E19)</f>
        <v>20676.735000000001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296</v>
      </c>
      <c r="E24" s="91" t="s">
        <v>297</v>
      </c>
      <c r="F24" s="91" t="s">
        <v>297</v>
      </c>
      <c r="G24" s="91" t="s">
        <v>297</v>
      </c>
      <c r="H24" s="91"/>
      <c r="I24" s="91"/>
      <c r="J24" s="91"/>
      <c r="K24" s="247"/>
      <c r="L24" s="248"/>
    </row>
    <row r="25" spans="2:14" ht="39.75" customHeight="1" x14ac:dyDescent="0.2">
      <c r="B25" s="259" t="s">
        <v>116</v>
      </c>
      <c r="C25" s="260"/>
      <c r="D25" s="91"/>
      <c r="E25" s="91" t="s">
        <v>298</v>
      </c>
      <c r="F25" s="91" t="s">
        <v>298</v>
      </c>
      <c r="G25" s="91"/>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719</v>
      </c>
      <c r="E27" s="92" t="s">
        <v>720</v>
      </c>
      <c r="F27" s="92" t="s">
        <v>721</v>
      </c>
      <c r="G27" s="92" t="s">
        <v>722</v>
      </c>
      <c r="H27" s="92"/>
      <c r="I27" s="92"/>
      <c r="J27" s="92"/>
      <c r="K27" s="247"/>
      <c r="L27" s="248"/>
    </row>
    <row r="28" spans="2:14" ht="156.75" customHeight="1" x14ac:dyDescent="0.2">
      <c r="B28" s="277"/>
      <c r="C28" s="26" t="s">
        <v>36</v>
      </c>
      <c r="D28" s="92" t="s">
        <v>723</v>
      </c>
      <c r="E28" s="92" t="s">
        <v>724</v>
      </c>
      <c r="F28" s="92" t="s">
        <v>775</v>
      </c>
      <c r="G28" s="92" t="s">
        <v>725</v>
      </c>
      <c r="H28" s="92"/>
      <c r="I28" s="92"/>
      <c r="J28" s="92"/>
      <c r="K28" s="247"/>
      <c r="L28" s="248"/>
    </row>
    <row r="29" spans="2:14" ht="52.5" customHeight="1" x14ac:dyDescent="0.2">
      <c r="B29" s="277"/>
      <c r="C29" s="26" t="s">
        <v>172</v>
      </c>
      <c r="D29" s="96" t="s">
        <v>726</v>
      </c>
      <c r="E29" s="96" t="s">
        <v>727</v>
      </c>
      <c r="F29" s="96" t="s">
        <v>728</v>
      </c>
      <c r="G29" s="96">
        <v>44454</v>
      </c>
      <c r="H29" s="96"/>
      <c r="I29" s="96"/>
      <c r="J29" s="96"/>
      <c r="K29" s="247"/>
      <c r="L29" s="248"/>
    </row>
    <row r="30" spans="2:14" ht="54.75" customHeight="1" x14ac:dyDescent="0.2">
      <c r="B30" s="277"/>
      <c r="C30" s="26" t="s">
        <v>40</v>
      </c>
      <c r="D30" s="96" t="s">
        <v>729</v>
      </c>
      <c r="E30" s="96">
        <v>44196</v>
      </c>
      <c r="F30" s="96">
        <v>45261</v>
      </c>
      <c r="G30" s="96" t="s">
        <v>730</v>
      </c>
      <c r="H30" s="96"/>
      <c r="I30" s="96"/>
      <c r="J30" s="96"/>
      <c r="K30" s="247"/>
      <c r="L30" s="248"/>
    </row>
    <row r="31" spans="2:14" ht="41.25" customHeight="1" x14ac:dyDescent="0.2">
      <c r="B31" s="277"/>
      <c r="C31" s="26" t="s">
        <v>37</v>
      </c>
      <c r="D31" s="93">
        <v>2016</v>
      </c>
      <c r="E31" s="93">
        <v>2020</v>
      </c>
      <c r="F31" s="93">
        <v>2023</v>
      </c>
      <c r="G31" s="93">
        <v>2022</v>
      </c>
      <c r="H31" s="93"/>
      <c r="I31" s="93"/>
      <c r="J31" s="93"/>
      <c r="K31" s="247"/>
      <c r="L31" s="248"/>
    </row>
    <row r="32" spans="2:14" ht="63" customHeight="1" x14ac:dyDescent="0.2">
      <c r="B32" s="277"/>
      <c r="C32" s="26" t="s">
        <v>38</v>
      </c>
      <c r="D32" s="92" t="s">
        <v>731</v>
      </c>
      <c r="E32" s="92" t="s">
        <v>731</v>
      </c>
      <c r="F32" s="92" t="s">
        <v>732</v>
      </c>
      <c r="G32" s="92" t="s">
        <v>733</v>
      </c>
      <c r="H32" s="92"/>
      <c r="I32" s="92"/>
      <c r="J32" s="92"/>
      <c r="K32" s="247"/>
      <c r="L32" s="248"/>
    </row>
    <row r="33" spans="2:12" ht="58.25" customHeight="1" x14ac:dyDescent="0.2">
      <c r="B33" s="277"/>
      <c r="C33" s="26" t="s">
        <v>39</v>
      </c>
      <c r="D33" s="92" t="s">
        <v>734</v>
      </c>
      <c r="E33" s="92" t="s">
        <v>735</v>
      </c>
      <c r="F33" s="92" t="s">
        <v>776</v>
      </c>
      <c r="G33" s="92" t="s">
        <v>736</v>
      </c>
      <c r="H33" s="92"/>
      <c r="I33" s="92"/>
      <c r="J33" s="92"/>
      <c r="K33" s="247"/>
      <c r="L33" s="248"/>
    </row>
    <row r="34" spans="2:12" ht="27.75" customHeight="1" x14ac:dyDescent="0.2">
      <c r="B34" s="277"/>
      <c r="C34" s="28" t="s">
        <v>33</v>
      </c>
      <c r="D34" s="97">
        <v>8</v>
      </c>
      <c r="E34" s="97" t="s">
        <v>737</v>
      </c>
      <c r="F34" s="97" t="s">
        <v>777</v>
      </c>
      <c r="G34" s="98">
        <v>101</v>
      </c>
      <c r="H34" s="98"/>
      <c r="I34" s="98"/>
      <c r="J34" s="98"/>
      <c r="K34" s="247"/>
      <c r="L34" s="248"/>
    </row>
    <row r="35" spans="2:12" ht="102.75" customHeight="1" x14ac:dyDescent="0.2">
      <c r="B35" s="277"/>
      <c r="C35" s="26" t="s">
        <v>118</v>
      </c>
      <c r="D35" s="94">
        <v>5079.08</v>
      </c>
      <c r="E35" s="94">
        <v>7400.78</v>
      </c>
      <c r="F35" s="94">
        <v>6075.14</v>
      </c>
      <c r="G35" s="94">
        <v>4050.51</v>
      </c>
      <c r="H35" s="94"/>
      <c r="I35" s="94"/>
      <c r="J35" s="94"/>
      <c r="K35" s="279"/>
      <c r="L35" s="280"/>
    </row>
    <row r="36" spans="2:12" ht="48" customHeight="1" x14ac:dyDescent="0.2">
      <c r="B36" s="277"/>
      <c r="C36" s="26" t="s">
        <v>74</v>
      </c>
      <c r="D36" s="105">
        <f>IFERROR(D35*VLOOKUP(D31,'DATOS INICIALES'!$A$12:$B$44,2,0),"0")</f>
        <v>3501797101.4000001</v>
      </c>
      <c r="E36" s="105">
        <f>IFERROR(E35*VLOOKUP(E31,'DATOS INICIALES'!$A$12:$B$44,2,0),"0")</f>
        <v>6496426886.3400002</v>
      </c>
      <c r="F36" s="105">
        <f>IFERROR(F35*VLOOKUP(F31,'DATOS INICIALES'!$A$12:$B$44,2,0),"0")</f>
        <v>7047162400</v>
      </c>
      <c r="G36" s="105">
        <f>IFERROR(G35*VLOOKUP(G31,'DATOS INICIALES'!$A$12:$B$44,2,0),"0")</f>
        <v>4050510000</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0.7</v>
      </c>
      <c r="E37" s="95">
        <v>0.5</v>
      </c>
      <c r="F37" s="95">
        <v>1</v>
      </c>
      <c r="G37" s="95">
        <v>0.9</v>
      </c>
      <c r="H37" s="95"/>
      <c r="I37" s="95"/>
      <c r="J37" s="95"/>
      <c r="K37" s="247"/>
      <c r="L37" s="248"/>
    </row>
    <row r="38" spans="2:12" ht="48.75" customHeight="1" x14ac:dyDescent="0.2">
      <c r="B38" s="277"/>
      <c r="C38" s="26" t="s">
        <v>125</v>
      </c>
      <c r="D38" s="105">
        <f t="shared" ref="D38:J38" si="3">IF(D24="","0",D37*D36)</f>
        <v>2451257970.98</v>
      </c>
      <c r="E38" s="105">
        <f t="shared" si="3"/>
        <v>3248213443.1700001</v>
      </c>
      <c r="F38" s="105">
        <f t="shared" si="3"/>
        <v>7047162400</v>
      </c>
      <c r="G38" s="105">
        <f t="shared" si="3"/>
        <v>3645459000</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3555.3559999999998</v>
      </c>
      <c r="E39" s="106">
        <f t="shared" si="4"/>
        <v>3700.39</v>
      </c>
      <c r="F39" s="106">
        <f t="shared" si="4"/>
        <v>6075.14</v>
      </c>
      <c r="G39" s="106">
        <f t="shared" si="4"/>
        <v>3645.4590000000003</v>
      </c>
      <c r="H39" s="106">
        <f t="shared" si="4"/>
        <v>0</v>
      </c>
      <c r="I39" s="106">
        <f t="shared" si="4"/>
        <v>0</v>
      </c>
      <c r="J39" s="106">
        <f t="shared" si="4"/>
        <v>0</v>
      </c>
      <c r="K39" s="247"/>
      <c r="L39" s="248"/>
    </row>
    <row r="40" spans="2:12" ht="65.25" customHeight="1" x14ac:dyDescent="0.2">
      <c r="B40" s="277"/>
      <c r="C40" s="26" t="s">
        <v>121</v>
      </c>
      <c r="D40" s="95"/>
      <c r="E40" s="95">
        <v>0.5</v>
      </c>
      <c r="F40" s="95"/>
      <c r="G40" s="95"/>
      <c r="H40" s="95"/>
      <c r="I40" s="95"/>
      <c r="J40" s="95"/>
      <c r="K40" s="247"/>
      <c r="L40" s="248"/>
    </row>
    <row r="41" spans="2:12" ht="65.25" customHeight="1" x14ac:dyDescent="0.2">
      <c r="B41" s="277"/>
      <c r="C41" s="26" t="s">
        <v>126</v>
      </c>
      <c r="D41" s="107" t="str">
        <f t="shared" ref="D41:J41" si="5">IF(D25="","0",D40*D36)</f>
        <v>0</v>
      </c>
      <c r="E41" s="107">
        <f t="shared" si="5"/>
        <v>3248213443.1700001</v>
      </c>
      <c r="F41" s="107">
        <f t="shared" si="5"/>
        <v>0</v>
      </c>
      <c r="G41" s="107" t="str">
        <f t="shared" si="5"/>
        <v>0</v>
      </c>
      <c r="H41" s="107" t="str">
        <f t="shared" si="5"/>
        <v>0</v>
      </c>
      <c r="I41" s="107" t="str">
        <f t="shared" si="5"/>
        <v>0</v>
      </c>
      <c r="J41" s="107" t="str">
        <f t="shared" si="5"/>
        <v>0</v>
      </c>
      <c r="K41" s="247"/>
      <c r="L41" s="248"/>
    </row>
    <row r="42" spans="2:12" ht="65.25" customHeight="1" x14ac:dyDescent="0.2">
      <c r="B42" s="277"/>
      <c r="C42" s="26" t="s">
        <v>122</v>
      </c>
      <c r="D42" s="106">
        <f>IF(D25="",0,D35*D40)</f>
        <v>0</v>
      </c>
      <c r="E42" s="106">
        <f t="shared" ref="E42:J42" si="6">IF(E25="",0,E35*E40)</f>
        <v>3700.39</v>
      </c>
      <c r="F42" s="106">
        <f t="shared" si="6"/>
        <v>0</v>
      </c>
      <c r="G42" s="106">
        <f t="shared" si="6"/>
        <v>0</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39.75" customHeight="1" x14ac:dyDescent="0.2">
      <c r="B46" s="156" t="s">
        <v>55</v>
      </c>
      <c r="C46" s="30" t="s">
        <v>56</v>
      </c>
      <c r="D46" s="91" t="s">
        <v>13</v>
      </c>
      <c r="E46" s="91" t="s">
        <v>13</v>
      </c>
      <c r="F46" s="91" t="s">
        <v>13</v>
      </c>
      <c r="G46" s="91" t="s">
        <v>13</v>
      </c>
      <c r="H46" s="91"/>
      <c r="I46" s="91"/>
      <c r="J46" s="91"/>
      <c r="K46" s="247"/>
      <c r="L46" s="248"/>
    </row>
    <row r="47" spans="2:12" ht="24.75" customHeight="1" x14ac:dyDescent="0.2">
      <c r="B47" s="284" t="s">
        <v>34</v>
      </c>
      <c r="C47" s="29">
        <f>+'DATOS INICIALES'!D22</f>
        <v>721033</v>
      </c>
      <c r="D47" s="97" t="s">
        <v>77</v>
      </c>
      <c r="E47" s="97" t="s">
        <v>77</v>
      </c>
      <c r="F47" s="97" t="s">
        <v>77</v>
      </c>
      <c r="G47" s="97" t="s">
        <v>77</v>
      </c>
      <c r="H47" s="97"/>
      <c r="I47" s="97"/>
      <c r="J47" s="98"/>
      <c r="K47" s="247"/>
      <c r="L47" s="248"/>
    </row>
    <row r="48" spans="2:12" ht="24.75" customHeight="1" x14ac:dyDescent="0.2">
      <c r="B48" s="285"/>
      <c r="C48" s="29">
        <f>+'DATOS INICIALES'!D23</f>
        <v>721410</v>
      </c>
      <c r="D48" s="97" t="s">
        <v>77</v>
      </c>
      <c r="E48" s="97" t="s">
        <v>77</v>
      </c>
      <c r="F48" s="97" t="s">
        <v>77</v>
      </c>
      <c r="G48" s="97" t="s">
        <v>77</v>
      </c>
      <c r="H48" s="97"/>
      <c r="I48" s="97"/>
      <c r="J48" s="98"/>
      <c r="K48" s="247"/>
      <c r="L48" s="248"/>
    </row>
    <row r="49" spans="2:12" ht="24.75" customHeight="1" x14ac:dyDescent="0.2">
      <c r="B49" s="285"/>
      <c r="C49" s="29">
        <f>+'DATOS INICIALES'!D24</f>
        <v>721411</v>
      </c>
      <c r="D49" s="97" t="s">
        <v>77</v>
      </c>
      <c r="E49" s="97" t="s">
        <v>77</v>
      </c>
      <c r="F49" s="97" t="s">
        <v>77</v>
      </c>
      <c r="G49" s="97" t="s">
        <v>77</v>
      </c>
      <c r="H49" s="97"/>
      <c r="I49" s="97"/>
      <c r="J49" s="98"/>
      <c r="K49" s="247"/>
      <c r="L49" s="248"/>
    </row>
    <row r="50" spans="2:12" ht="24.75" customHeight="1" x14ac:dyDescent="0.2">
      <c r="B50" s="285"/>
      <c r="C50" s="29">
        <f>+'DATOS INICIALES'!D25</f>
        <v>721416</v>
      </c>
      <c r="D50" s="97" t="s">
        <v>77</v>
      </c>
      <c r="E50" s="97" t="s">
        <v>77</v>
      </c>
      <c r="F50" s="97" t="s">
        <v>77</v>
      </c>
      <c r="G50" s="97" t="s">
        <v>77</v>
      </c>
      <c r="H50" s="97"/>
      <c r="I50" s="97"/>
      <c r="J50" s="98"/>
      <c r="K50" s="247"/>
      <c r="L50" s="248"/>
    </row>
    <row r="51" spans="2:12" ht="24.75" customHeight="1" x14ac:dyDescent="0.2">
      <c r="B51" s="285"/>
      <c r="C51" s="29">
        <f>+'DATOS INICIALES'!D26</f>
        <v>721527</v>
      </c>
      <c r="D51" s="97" t="s">
        <v>77</v>
      </c>
      <c r="E51" s="97" t="s">
        <v>77</v>
      </c>
      <c r="F51" s="97" t="s">
        <v>77</v>
      </c>
      <c r="G51" s="97" t="s">
        <v>77</v>
      </c>
      <c r="H51" s="97"/>
      <c r="I51" s="97"/>
      <c r="J51" s="98"/>
      <c r="K51" s="247"/>
      <c r="L51" s="248"/>
    </row>
    <row r="52" spans="2:12" ht="24.75" customHeight="1" x14ac:dyDescent="0.2">
      <c r="B52" s="285"/>
      <c r="C52" s="29">
        <f>+'DATOS INICIALES'!D27</f>
        <v>721539</v>
      </c>
      <c r="D52" s="97" t="s">
        <v>77</v>
      </c>
      <c r="E52" s="97" t="s">
        <v>77</v>
      </c>
      <c r="F52" s="97" t="s">
        <v>77</v>
      </c>
      <c r="G52" s="97" t="s">
        <v>77</v>
      </c>
      <c r="H52" s="97"/>
      <c r="I52" s="97"/>
      <c r="J52" s="98"/>
      <c r="K52" s="247"/>
      <c r="L52" s="248"/>
    </row>
    <row r="53" spans="2:12" ht="24.75" customHeight="1" x14ac:dyDescent="0.2">
      <c r="B53" s="285"/>
      <c r="C53" s="29">
        <f>+'DATOS INICIALES'!D28</f>
        <v>951115</v>
      </c>
      <c r="D53" s="97" t="s">
        <v>77</v>
      </c>
      <c r="E53" s="97" t="s">
        <v>77</v>
      </c>
      <c r="F53" s="97" t="s">
        <v>77</v>
      </c>
      <c r="G53" s="97" t="s">
        <v>77</v>
      </c>
      <c r="H53" s="97"/>
      <c r="I53" s="97"/>
      <c r="J53" s="97"/>
      <c r="K53" s="247"/>
      <c r="L53" s="248"/>
    </row>
    <row r="54" spans="2:12" ht="24.75" customHeight="1" x14ac:dyDescent="0.2">
      <c r="B54" s="285"/>
      <c r="C54" s="29">
        <f>+'DATOS INICIALES'!D29</f>
        <v>721033</v>
      </c>
      <c r="D54" s="97" t="s">
        <v>77</v>
      </c>
      <c r="E54" s="97" t="s">
        <v>77</v>
      </c>
      <c r="F54" s="97" t="s">
        <v>77</v>
      </c>
      <c r="G54" s="97" t="s">
        <v>77</v>
      </c>
      <c r="H54" s="97"/>
      <c r="I54" s="97"/>
      <c r="J54" s="97"/>
      <c r="K54" s="247"/>
      <c r="L54" s="248"/>
    </row>
    <row r="55" spans="2:12" ht="60.75" customHeight="1" x14ac:dyDescent="0.2">
      <c r="B55" s="286"/>
      <c r="C55" s="18" t="s">
        <v>57</v>
      </c>
      <c r="D55" s="18" t="str">
        <f t="shared" ref="D55:G55" si="9">IF(D24="","N/A",IF(D47="SI","CUMPLE",IF(D48="SI","CUMPLE",IF(D49="SI","CUMPLE",IF(D50="SI","CUMPLE",IF(D51="SI","CUMPLE",IF(D52="SI","CUMPLE",IF(D54="SI","CUMPLE","NO CUMPLE"))))))))</f>
        <v>CUMPLE</v>
      </c>
      <c r="E55" s="18" t="str">
        <f t="shared" si="9"/>
        <v>CUMPLE</v>
      </c>
      <c r="F55" s="18" t="str">
        <f t="shared" si="9"/>
        <v>CUMPLE</v>
      </c>
      <c r="G55" s="18" t="str">
        <f t="shared" si="9"/>
        <v>CUMPLE</v>
      </c>
      <c r="H55" s="18" t="str">
        <f t="shared" ref="H55:J55" si="10">IF(H24="","N/A",IF(H47="SI","CUMPLE",IF(H48="SI","CUMPLE",IF(H49="SI","CUMPLE",IF(H50="SI","CUMPLE",IF(H51="SI","CUMPLE",IF(H52="SI","CUMPLE",IF(H54="SI","CUMPLE","NO CUMPLE"))))))))</f>
        <v>N/A</v>
      </c>
      <c r="I55" s="18" t="str">
        <f t="shared" si="10"/>
        <v>N/A</v>
      </c>
      <c r="J55" s="18" t="str">
        <f t="shared" si="10"/>
        <v>N/A</v>
      </c>
      <c r="K55" s="247"/>
      <c r="L55" s="248"/>
    </row>
    <row r="56" spans="2:12" ht="147.5" customHeight="1" x14ac:dyDescent="0.2">
      <c r="B56" s="287" t="s">
        <v>189</v>
      </c>
      <c r="C56" s="288"/>
      <c r="D56" s="91" t="s">
        <v>13</v>
      </c>
      <c r="E56" s="91" t="s">
        <v>13</v>
      </c>
      <c r="F56" s="91" t="s">
        <v>13</v>
      </c>
      <c r="G56" s="91" t="s">
        <v>13</v>
      </c>
      <c r="H56" s="91"/>
      <c r="I56" s="91"/>
      <c r="J56" s="91"/>
      <c r="K56" s="257"/>
      <c r="L56" s="258"/>
    </row>
    <row r="57" spans="2:12" ht="103.25" customHeight="1" x14ac:dyDescent="0.2">
      <c r="B57" s="287" t="s">
        <v>190</v>
      </c>
      <c r="C57" s="288"/>
      <c r="D57" s="91" t="s">
        <v>13</v>
      </c>
      <c r="E57" s="91" t="s">
        <v>13</v>
      </c>
      <c r="F57" s="91" t="s">
        <v>13</v>
      </c>
      <c r="G57" s="91" t="s">
        <v>13</v>
      </c>
      <c r="H57" s="91"/>
      <c r="I57" s="91"/>
      <c r="J57" s="91"/>
      <c r="K57" s="257"/>
      <c r="L57" s="258"/>
    </row>
    <row r="58" spans="2:12" ht="72" customHeight="1" x14ac:dyDescent="0.2">
      <c r="B58" s="281" t="s">
        <v>191</v>
      </c>
      <c r="C58" s="282"/>
      <c r="D58" s="91" t="s">
        <v>13</v>
      </c>
      <c r="E58" s="91" t="s">
        <v>13</v>
      </c>
      <c r="F58" s="91" t="s">
        <v>13</v>
      </c>
      <c r="G58" s="91" t="s">
        <v>13</v>
      </c>
      <c r="H58" s="91"/>
      <c r="I58" s="91"/>
      <c r="J58" s="91"/>
      <c r="K58" s="247"/>
      <c r="L58" s="248"/>
    </row>
    <row r="59" spans="2:12" ht="42.5" customHeight="1" x14ac:dyDescent="0.2">
      <c r="B59" s="281" t="s">
        <v>192</v>
      </c>
      <c r="C59" s="282"/>
      <c r="D59" s="91" t="s">
        <v>13</v>
      </c>
      <c r="E59" s="91" t="s">
        <v>13</v>
      </c>
      <c r="F59" s="91" t="s">
        <v>13</v>
      </c>
      <c r="G59" s="91" t="s">
        <v>13</v>
      </c>
      <c r="H59" s="91"/>
      <c r="I59" s="91"/>
      <c r="J59" s="91"/>
      <c r="K59" s="247"/>
      <c r="L59" s="248"/>
    </row>
    <row r="60" spans="2:12" ht="36" customHeight="1" x14ac:dyDescent="0.2">
      <c r="B60" s="281" t="s">
        <v>193</v>
      </c>
      <c r="C60" s="282"/>
      <c r="D60" s="91" t="s">
        <v>13</v>
      </c>
      <c r="E60" s="91" t="s">
        <v>13</v>
      </c>
      <c r="F60" s="91" t="s">
        <v>13</v>
      </c>
      <c r="G60" s="91" t="s">
        <v>13</v>
      </c>
      <c r="H60" s="91"/>
      <c r="I60" s="91"/>
      <c r="J60" s="91"/>
      <c r="K60" s="247"/>
      <c r="L60" s="248"/>
    </row>
    <row r="61" spans="2:12" ht="160.75" customHeight="1" x14ac:dyDescent="0.2">
      <c r="B61" s="281" t="s">
        <v>194</v>
      </c>
      <c r="C61" s="282"/>
      <c r="D61" s="91" t="s">
        <v>13</v>
      </c>
      <c r="E61" s="91" t="s">
        <v>13</v>
      </c>
      <c r="F61" s="91" t="s">
        <v>13</v>
      </c>
      <c r="G61" s="91" t="s">
        <v>13</v>
      </c>
      <c r="H61" s="91"/>
      <c r="I61" s="91"/>
      <c r="J61" s="91"/>
      <c r="K61" s="247"/>
      <c r="L61" s="248"/>
    </row>
    <row r="62" spans="2:12" ht="409.25" customHeight="1" x14ac:dyDescent="0.2">
      <c r="B62" s="261" t="s">
        <v>195</v>
      </c>
      <c r="C62" s="261"/>
      <c r="D62" s="91" t="s">
        <v>13</v>
      </c>
      <c r="E62" s="91" t="s">
        <v>13</v>
      </c>
      <c r="F62" s="91" t="s">
        <v>13</v>
      </c>
      <c r="G62" s="91" t="s">
        <v>13</v>
      </c>
      <c r="H62" s="91"/>
      <c r="I62" s="91"/>
      <c r="J62" s="91"/>
      <c r="K62" s="279"/>
      <c r="L62" s="280"/>
    </row>
    <row r="63" spans="2:12" ht="301.75" customHeight="1" x14ac:dyDescent="0.2">
      <c r="B63" s="262" t="s">
        <v>196</v>
      </c>
      <c r="C63" s="263"/>
      <c r="D63" s="91" t="s">
        <v>13</v>
      </c>
      <c r="E63" s="91" t="s">
        <v>13</v>
      </c>
      <c r="F63" s="91" t="s">
        <v>13</v>
      </c>
      <c r="G63" s="91" t="s">
        <v>13</v>
      </c>
      <c r="H63" s="91"/>
      <c r="I63" s="91"/>
      <c r="J63" s="91"/>
      <c r="K63" s="247"/>
      <c r="L63" s="248"/>
    </row>
    <row r="64" spans="2:12" ht="253.75" customHeight="1" x14ac:dyDescent="0.2">
      <c r="B64" s="283" t="s">
        <v>197</v>
      </c>
      <c r="C64" s="283"/>
      <c r="D64" s="91" t="s">
        <v>12</v>
      </c>
      <c r="E64" s="91" t="s">
        <v>12</v>
      </c>
      <c r="F64" s="91" t="s">
        <v>13</v>
      </c>
      <c r="G64" s="91" t="s">
        <v>12</v>
      </c>
      <c r="H64" s="91"/>
      <c r="I64" s="91"/>
      <c r="J64" s="91"/>
      <c r="K64" s="247"/>
      <c r="L64" s="248"/>
    </row>
    <row r="65" spans="2:12" ht="243.5" customHeight="1" x14ac:dyDescent="0.2">
      <c r="B65" s="261" t="s">
        <v>198</v>
      </c>
      <c r="C65" s="261"/>
      <c r="D65" s="91" t="s">
        <v>13</v>
      </c>
      <c r="E65" s="91" t="s">
        <v>13</v>
      </c>
      <c r="F65" s="91" t="s">
        <v>13</v>
      </c>
      <c r="G65" s="91" t="s">
        <v>13</v>
      </c>
      <c r="H65" s="91"/>
      <c r="I65" s="91"/>
      <c r="J65" s="91"/>
      <c r="K65" s="247"/>
      <c r="L65" s="248"/>
    </row>
    <row r="66" spans="2:12" ht="70.5" customHeight="1" x14ac:dyDescent="0.2">
      <c r="B66" s="289" t="s">
        <v>78</v>
      </c>
      <c r="C66" s="289"/>
      <c r="D66" s="18" t="str">
        <f>IF(D24="","N/A",IF(AND(D46="CUMPLE",D55="CUMPLE",D56="CUMPLE",D57="CUMPLE",D58="CUMPLE",D59="CUMPLE",OR(D61="CUMPLE",D61="N/A"),D62="CUMPLE",OR(D63="CUMPLE",D63="N/A"),D65="CUMPLE",OR(D64="CUMPLE",D64="N/A")),"CUMPLE","NO CUMPLE"))</f>
        <v>CUMPLE</v>
      </c>
      <c r="E66" s="18" t="str">
        <f>IF(E24="","N/A",IF(AND(E46="CUMPLE",E55="CUMPLE",E56="CUMPLE",E57="CUMPLE",E58="CUMPLE",E59="CUMPLE",OR(E61="CUMPLE",E61="N/A"),E62="CUMPLE",OR(E63="CUMPLE",E63="N/A"),E65="CUMPLE",OR(E64="CUMPLE",E64="N/A")),"CUMPLE","NO CUMPLE"))</f>
        <v>CUMPLE</v>
      </c>
      <c r="F66" s="18" t="str">
        <f t="shared" ref="F66:G66" si="11">IF(F24="","N/A",IF(AND(F46="CUMPLE",F55="CUMPLE",F56="CUMPLE",F57="CUMPLE",F58="CUMPLE",F59="CUMPLE",OR(F61="CUMPLE",F61="N/A"),F62="CUMPLE",OR(F63="CUMPLE",F63="N/A"),F65="CUMPLE",OR(F64="CUMPLE",F64="N/A")),"CUMPLE","NO CUMPLE"))</f>
        <v>CUMPLE</v>
      </c>
      <c r="G66" s="18" t="str">
        <f t="shared" si="11"/>
        <v>CUMPLE</v>
      </c>
      <c r="H66" s="18" t="str">
        <f t="shared" ref="H66:J66" si="12">IF(H24="","N/A",IF(AND(H46="CUMPLE",H55="CUMPLE",H56="CUMPLE",H57="CUMPLE",H58="CUMPLE",H59="CUMPLE",OR(H61="CUMPLE",H61="N/A"),H62="CUMPLE",OR(H63="CUMPLE",H63="N/A"),H65="CUMPLE",OR(H64="CUMPLE",H64="N/A")),"CUMPLE","NO CUMPLE"))</f>
        <v>N/A</v>
      </c>
      <c r="I66" s="18" t="str">
        <f t="shared" si="12"/>
        <v>N/A</v>
      </c>
      <c r="J66" s="18" t="str">
        <f t="shared" si="12"/>
        <v>N/A</v>
      </c>
      <c r="K66" s="147"/>
      <c r="L66" s="148"/>
    </row>
    <row r="67" spans="2:12" ht="54.5" customHeight="1" x14ac:dyDescent="0.2">
      <c r="B67" s="261" t="s">
        <v>188</v>
      </c>
      <c r="C67" s="261"/>
      <c r="D67" s="91" t="s">
        <v>13</v>
      </c>
      <c r="E67" s="91" t="s">
        <v>13</v>
      </c>
      <c r="F67" s="91" t="s">
        <v>13</v>
      </c>
      <c r="G67" s="91" t="s">
        <v>13</v>
      </c>
      <c r="H67" s="91"/>
      <c r="I67" s="91"/>
      <c r="J67" s="91"/>
      <c r="K67" s="247"/>
      <c r="L67" s="248"/>
    </row>
    <row r="74" spans="2:12" ht="16" thickBot="1" x14ac:dyDescent="0.25"/>
    <row r="75" spans="2:12" ht="61" thickBot="1" x14ac:dyDescent="0.25">
      <c r="D75" s="173" t="s">
        <v>199</v>
      </c>
      <c r="E75" s="174" t="s">
        <v>200</v>
      </c>
      <c r="F75" s="174" t="s">
        <v>200</v>
      </c>
    </row>
    <row r="76" spans="2:12" x14ac:dyDescent="0.2">
      <c r="D76" s="175">
        <v>1</v>
      </c>
      <c r="E76" s="183">
        <f>+L8</f>
        <v>11824.948449807693</v>
      </c>
      <c r="F76" s="176">
        <v>0.75</v>
      </c>
    </row>
    <row r="77" spans="2:12" x14ac:dyDescent="0.2">
      <c r="D77" s="177">
        <v>2</v>
      </c>
      <c r="E77" s="184">
        <f>+L8</f>
        <v>11824.948449807693</v>
      </c>
      <c r="F77" s="178">
        <v>0.75</v>
      </c>
    </row>
    <row r="78" spans="2:12" x14ac:dyDescent="0.2">
      <c r="D78" s="177">
        <v>3</v>
      </c>
      <c r="E78" s="184">
        <f>+L9</f>
        <v>18919.917519692306</v>
      </c>
      <c r="F78" s="178">
        <v>1.2</v>
      </c>
    </row>
    <row r="79" spans="2:12" x14ac:dyDescent="0.2">
      <c r="D79" s="177">
        <v>4</v>
      </c>
      <c r="E79" s="184">
        <f>+L9</f>
        <v>18919.917519692306</v>
      </c>
      <c r="F79" s="178">
        <v>1.2</v>
      </c>
    </row>
    <row r="80" spans="2:12" x14ac:dyDescent="0.2">
      <c r="D80" s="177">
        <v>5</v>
      </c>
      <c r="E80" s="184">
        <f>+L10</f>
        <v>23649.896899615385</v>
      </c>
      <c r="F80" s="178">
        <v>1.5</v>
      </c>
    </row>
    <row r="81" spans="4:6" x14ac:dyDescent="0.2">
      <c r="D81" s="181">
        <v>6</v>
      </c>
      <c r="E81" s="185">
        <f>+L10</f>
        <v>23649.896899615385</v>
      </c>
      <c r="F81" s="182">
        <v>1.5</v>
      </c>
    </row>
    <row r="82" spans="4:6" ht="16" thickBot="1" x14ac:dyDescent="0.25">
      <c r="D82" s="179">
        <v>7</v>
      </c>
      <c r="E82" s="186">
        <f>+L10</f>
        <v>23649.896899615385</v>
      </c>
      <c r="F82" s="180">
        <v>1.5</v>
      </c>
    </row>
  </sheetData>
  <sheetProtection formatCells="0" formatColumns="0" formatRows="0"/>
  <mergeCells count="85">
    <mergeCell ref="B66:C66"/>
    <mergeCell ref="B67:C67"/>
    <mergeCell ref="K67:L67"/>
    <mergeCell ref="B63:C63"/>
    <mergeCell ref="K63:L63"/>
    <mergeCell ref="B64:C64"/>
    <mergeCell ref="K64:L64"/>
    <mergeCell ref="B65:C65"/>
    <mergeCell ref="K65:L65"/>
    <mergeCell ref="B60:C60"/>
    <mergeCell ref="K60:L60"/>
    <mergeCell ref="B61:C61"/>
    <mergeCell ref="K61:L61"/>
    <mergeCell ref="B62:C62"/>
    <mergeCell ref="K62:L62"/>
    <mergeCell ref="K56:L56"/>
    <mergeCell ref="B57:C57"/>
    <mergeCell ref="K57:L57"/>
    <mergeCell ref="B59:C59"/>
    <mergeCell ref="K59:L59"/>
    <mergeCell ref="K43:L43"/>
    <mergeCell ref="K44:L44"/>
    <mergeCell ref="B58:C58"/>
    <mergeCell ref="K58:L58"/>
    <mergeCell ref="K46:L46"/>
    <mergeCell ref="B47:B55"/>
    <mergeCell ref="K47:L47"/>
    <mergeCell ref="K48:L48"/>
    <mergeCell ref="K49:L49"/>
    <mergeCell ref="K50:L50"/>
    <mergeCell ref="K51:L51"/>
    <mergeCell ref="K52:L52"/>
    <mergeCell ref="K53:L53"/>
    <mergeCell ref="K54:L54"/>
    <mergeCell ref="K55:L55"/>
    <mergeCell ref="B56:C56"/>
    <mergeCell ref="K38:L38"/>
    <mergeCell ref="K39:L39"/>
    <mergeCell ref="K40:L40"/>
    <mergeCell ref="K41:L41"/>
    <mergeCell ref="K42:L42"/>
    <mergeCell ref="K24:L24"/>
    <mergeCell ref="B26:C26"/>
    <mergeCell ref="K26:L26"/>
    <mergeCell ref="B27:B45"/>
    <mergeCell ref="K27:L27"/>
    <mergeCell ref="K28:L28"/>
    <mergeCell ref="K29:L29"/>
    <mergeCell ref="K30:L30"/>
    <mergeCell ref="K31:L31"/>
    <mergeCell ref="K32:L32"/>
    <mergeCell ref="K33:L33"/>
    <mergeCell ref="K45:L45"/>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containsBlanks" dxfId="98" priority="25">
      <formula>LEN(TRIM(D25))=0</formula>
    </cfRule>
    <cfRule type="notContainsErrors" dxfId="97" priority="26">
      <formula>NOT(ISERROR(D25))</formula>
    </cfRule>
  </conditionalFormatting>
  <conditionalFormatting sqref="D34:J34 D24:K24">
    <cfRule type="containsBlanks" dxfId="96" priority="27">
      <formula>LEN(TRIM(D24))=0</formula>
    </cfRule>
  </conditionalFormatting>
  <conditionalFormatting sqref="D37:J37">
    <cfRule type="notContainsErrors" dxfId="95" priority="24">
      <formula>NOT(ISERROR(D37))</formula>
    </cfRule>
    <cfRule type="containsBlanks" dxfId="94" priority="23">
      <formula>LEN(TRIM(D37))=0</formula>
    </cfRule>
  </conditionalFormatting>
  <conditionalFormatting sqref="D40:J40">
    <cfRule type="notContainsErrors" dxfId="93" priority="22">
      <formula>NOT(ISERROR(D40))</formula>
    </cfRule>
    <cfRule type="containsBlanks" dxfId="92" priority="21">
      <formula>LEN(TRIM(D40))=0</formula>
    </cfRule>
  </conditionalFormatting>
  <conditionalFormatting sqref="D43:J43 K66:L66">
    <cfRule type="notContainsErrors" dxfId="91" priority="52">
      <formula>NOT(ISERROR(D43))</formula>
    </cfRule>
    <cfRule type="containsBlanks" dxfId="90" priority="51">
      <formula>LEN(TRIM(D43))=0</formula>
    </cfRule>
  </conditionalFormatting>
  <conditionalFormatting sqref="D46:J54">
    <cfRule type="cellIs" dxfId="89" priority="9" operator="equal">
      <formula>"NO CUMPLE"</formula>
    </cfRule>
    <cfRule type="cellIs" dxfId="88" priority="10" operator="equal">
      <formula>"CUMPLE"</formula>
    </cfRule>
    <cfRule type="containsBlanks" dxfId="87" priority="11">
      <formula>LEN(TRIM(D46))=0</formula>
    </cfRule>
    <cfRule type="notContainsErrors" dxfId="86" priority="12">
      <formula>NOT(ISERROR(D46))</formula>
    </cfRule>
  </conditionalFormatting>
  <conditionalFormatting sqref="D55:J55">
    <cfRule type="cellIs" dxfId="85" priority="20" operator="equal">
      <formula>"""CUMPLE"""</formula>
    </cfRule>
    <cfRule type="cellIs" dxfId="84" priority="17" operator="equal">
      <formula>"N/A"</formula>
    </cfRule>
    <cfRule type="cellIs" dxfId="83" priority="18" operator="equal">
      <formula>"CUMPLE"</formula>
    </cfRule>
    <cfRule type="cellIs" dxfId="82" priority="19" operator="equal">
      <formula>"NO CUMPLE"</formula>
    </cfRule>
  </conditionalFormatting>
  <conditionalFormatting sqref="D56:J65">
    <cfRule type="cellIs" dxfId="81" priority="6" operator="equal">
      <formula>"CUMPLE"</formula>
    </cfRule>
    <cfRule type="notContainsErrors" dxfId="80" priority="8">
      <formula>NOT(ISERROR(D56))</formula>
    </cfRule>
    <cfRule type="containsBlanks" dxfId="79" priority="7">
      <formula>LEN(TRIM(D56))=0</formula>
    </cfRule>
    <cfRule type="cellIs" dxfId="78" priority="5" operator="equal">
      <formula>"NO CUMPLE"</formula>
    </cfRule>
  </conditionalFormatting>
  <conditionalFormatting sqref="D66:J66">
    <cfRule type="cellIs" dxfId="77" priority="16" operator="equal">
      <formula>"""CUMPLE"""</formula>
    </cfRule>
    <cfRule type="cellIs" dxfId="76" priority="15" operator="equal">
      <formula>"NO CUMPLE"</formula>
    </cfRule>
    <cfRule type="cellIs" dxfId="75" priority="14" operator="equal">
      <formula>"CUMPLE"</formula>
    </cfRule>
    <cfRule type="cellIs" dxfId="74" priority="13" operator="equal">
      <formula>"N/A"</formula>
    </cfRule>
  </conditionalFormatting>
  <conditionalFormatting sqref="D67:J67">
    <cfRule type="cellIs" dxfId="73" priority="1" operator="equal">
      <formula>"NO CUMPLE"</formula>
    </cfRule>
    <cfRule type="cellIs" dxfId="72" priority="2" operator="equal">
      <formula>"CUMPLE"</formula>
    </cfRule>
  </conditionalFormatting>
  <conditionalFormatting sqref="D24:K24 D34:J34">
    <cfRule type="notContainsErrors" dxfId="71" priority="28">
      <formula>NOT(ISERROR(D24))</formula>
    </cfRule>
  </conditionalFormatting>
  <conditionalFormatting sqref="D67:K67">
    <cfRule type="notContainsErrors" dxfId="70" priority="4">
      <formula>NOT(ISERROR(D67))</formula>
    </cfRule>
    <cfRule type="containsBlanks" dxfId="69" priority="3">
      <formula>LEN(TRIM(D67))=0</formula>
    </cfRule>
  </conditionalFormatting>
  <conditionalFormatting sqref="F20:H20">
    <cfRule type="cellIs" dxfId="68" priority="67" operator="equal">
      <formula>"CUMPLE"</formula>
    </cfRule>
    <cfRule type="cellIs" dxfId="67" priority="68" operator="equal">
      <formula>"NO CUMPLE"</formula>
    </cfRule>
    <cfRule type="cellIs" dxfId="66" priority="69" operator="equal">
      <formula>"""CUMPLE"""</formula>
    </cfRule>
  </conditionalFormatting>
  <conditionalFormatting sqref="I11">
    <cfRule type="containsText" dxfId="65" priority="70" operator="containsText" text="INHABILITADO">
      <formula>NOT(ISERROR(SEARCH("INHABILITADO",I11)))</formula>
    </cfRule>
    <cfRule type="containsText" dxfId="64" priority="71" operator="containsText" text="HABILITADO">
      <formula>NOT(ISERROR(SEARCH("HABILITADO",I11)))</formula>
    </cfRule>
    <cfRule type="containsText" dxfId="63" priority="72" operator="containsText" text="HABILITADO">
      <formula>NOT(ISERROR(SEARCH("HABILITADO",I11)))</formula>
    </cfRule>
    <cfRule type="containsText" dxfId="62" priority="73" operator="containsText" text="NO CUMPLE">
      <formula>NOT(ISERROR(SEARCH("NO CUMPLE",I11)))</formula>
    </cfRule>
  </conditionalFormatting>
  <conditionalFormatting sqref="K19">
    <cfRule type="cellIs" dxfId="61" priority="58" operator="equal">
      <formula>"CUMPLE"</formula>
    </cfRule>
    <cfRule type="cellIs" dxfId="60" priority="59" operator="equal">
      <formula>"NO CUMPLE"</formula>
    </cfRule>
    <cfRule type="cellIs" dxfId="59" priority="60" operator="equal">
      <formula>"""CUMPLE"""</formula>
    </cfRule>
  </conditionalFormatting>
  <conditionalFormatting sqref="K25:K65">
    <cfRule type="containsBlanks" dxfId="58" priority="49">
      <formula>LEN(TRIM(K25))=0</formula>
    </cfRule>
    <cfRule type="notContainsErrors" dxfId="57" priority="50">
      <formula>NOT(ISERROR(K25))</formula>
    </cfRule>
  </conditionalFormatting>
  <conditionalFormatting sqref="L15">
    <cfRule type="cellIs" dxfId="56" priority="64" operator="equal">
      <formula>"CUMPLE"</formula>
    </cfRule>
    <cfRule type="cellIs" dxfId="55" priority="65" operator="equal">
      <formula>"NO CUMPLE"</formula>
    </cfRule>
    <cfRule type="cellIs" dxfId="54" priority="66" operator="equal">
      <formula>"""CUMPLE"""</formula>
    </cfRule>
  </conditionalFormatting>
  <dataValidations count="3">
    <dataValidation type="list" allowBlank="1" showInputMessage="1" showErrorMessage="1" sqref="L58:L66" xr:uid="{AF11DC2D-6B29-49F1-AC0C-1CF4D3BADFBF}">
      <formula1>"0,1,2,3,4,5,6"</formula1>
    </dataValidation>
    <dataValidation type="list" allowBlank="1" showInputMessage="1" showErrorMessage="1" sqref="D24:J26" xr:uid="{D8FA0415-08A1-4F5D-8AA4-0A9B3B45D4EA}">
      <formula1>$C$15:$C$19</formula1>
    </dataValidation>
    <dataValidation type="list" allowBlank="1" showInputMessage="1" showErrorMessage="1" sqref="D67:I67" xr:uid="{47B1FDCF-8174-4065-ADBF-51DA052B777B}">
      <formula1>"CUMPLE,NO CUMPLE"</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FDA20345-0B68-4600-8A1B-34C2BB7114E3}">
          <x14:formula1>
            <xm:f>'DATOS INICIALES'!$C$48:$C$49</xm:f>
          </x14:formula1>
          <xm:sqref>J47:J52 H47:I54</xm:sqref>
        </x14:dataValidation>
        <x14:dataValidation type="list" allowBlank="1" showInputMessage="1" showErrorMessage="1" xr:uid="{342BC8B7-5C9E-4D1A-9DA1-9194D122C0F6}">
          <x14:formula1>
            <xm:f>'DATOS INICIALES'!$A$53:$A$55</xm:f>
          </x14:formula1>
          <xm:sqref>H59:J65 H46:J46 J56:J57 H56:I58</xm:sqref>
        </x14:dataValidation>
        <x14:dataValidation type="list" allowBlank="1" showInputMessage="1" showErrorMessage="1" xr:uid="{1F1279C9-C911-41AF-99D8-0DFA589FCE21}">
          <x14:formula1>
            <xm:f>'DATOS INICIALES'!$A$57:$A$62</xm:f>
          </x14:formula1>
          <xm:sqref>D23:I23</xm:sqref>
        </x14:dataValidation>
        <x14:dataValidation type="list" allowBlank="1" showInputMessage="1" showErrorMessage="1" xr:uid="{DC800EA5-8B28-4611-B5B9-2C06C31BFCC5}">
          <x14:formula1>
            <xm:f>'DATOS INICIALES'!$D$22:$D$26</xm:f>
          </x14:formula1>
          <xm:sqref>M47:M55</xm:sqref>
        </x14:dataValidation>
        <x14:dataValidation type="list" allowBlank="1" showInputMessage="1" showErrorMessage="1" xr:uid="{E5573A5B-8486-4A0E-904B-F409FD42A510}">
          <x14:formula1>
            <xm:f>'DATOS INICIALES'!$A$13:$A$44</xm:f>
          </x14:formula1>
          <xm:sqref>H31:I31</xm:sqref>
        </x14:dataValidation>
      </x14:dataValidations>
    </ext>
  </extLs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FD7F9-1FEA-4F5F-9AA8-708B26CE73C6}">
  <sheetPr>
    <tabColor rgb="FF92D050"/>
  </sheetPr>
  <dimension ref="B1:N85"/>
  <sheetViews>
    <sheetView view="pageBreakPreview" zoomScale="55" zoomScaleNormal="55" zoomScaleSheetLayoutView="55" workbookViewId="0">
      <pane ySplit="11" topLeftCell="A12" activePane="bottomLeft" state="frozenSplit"/>
      <selection activeCell="C11" sqref="C11:G11"/>
      <selection pane="bottomLeft" activeCell="G20" sqref="G20"/>
    </sheetView>
  </sheetViews>
  <sheetFormatPr baseColWidth="10" defaultColWidth="11.5" defaultRowHeight="15" x14ac:dyDescent="0.2"/>
  <cols>
    <col min="1" max="1" width="5.5" customWidth="1"/>
    <col min="2" max="2" width="65" customWidth="1"/>
    <col min="3" max="3" width="96.5" customWidth="1"/>
    <col min="4" max="4" width="37.6640625" customWidth="1"/>
    <col min="5" max="5" width="35" customWidth="1"/>
    <col min="6" max="9" width="26.1640625" customWidth="1"/>
    <col min="10" max="10" width="27.83203125" customWidth="1"/>
    <col min="11" max="11" width="40.83203125" customWidth="1"/>
    <col min="12" max="12" width="48.6640625" customWidth="1"/>
  </cols>
  <sheetData>
    <row r="1" spans="2:12" ht="16" thickBot="1" x14ac:dyDescent="0.25"/>
    <row r="2" spans="2:12" ht="19" x14ac:dyDescent="0.25">
      <c r="B2" s="290" t="s">
        <v>177</v>
      </c>
      <c r="C2" s="291"/>
      <c r="D2" s="291"/>
      <c r="E2" s="291"/>
      <c r="F2" s="291"/>
      <c r="G2" s="291"/>
      <c r="H2" s="291"/>
      <c r="I2" s="291"/>
      <c r="J2" s="291"/>
      <c r="K2" s="291"/>
      <c r="L2" s="292"/>
    </row>
    <row r="3" spans="2:12" ht="4.5" customHeight="1" x14ac:dyDescent="0.2">
      <c r="B3" s="293"/>
      <c r="C3" s="294"/>
      <c r="D3" s="294"/>
      <c r="E3" s="294"/>
      <c r="F3" s="294"/>
      <c r="G3" s="294"/>
      <c r="H3" s="294"/>
      <c r="I3" s="294"/>
      <c r="J3" s="294"/>
      <c r="K3" s="294"/>
      <c r="L3" s="295"/>
    </row>
    <row r="4" spans="2:12" ht="19" x14ac:dyDescent="0.25">
      <c r="B4" s="296" t="str">
        <f>'DATOS INICIALES'!G4</f>
        <v xml:space="preserve">FDLUSA-LP-002-2024 </v>
      </c>
      <c r="C4" s="297"/>
      <c r="D4" s="297"/>
      <c r="E4" s="297"/>
      <c r="F4" s="297"/>
      <c r="G4" s="297"/>
      <c r="H4" s="297"/>
      <c r="I4" s="297"/>
      <c r="J4" s="297"/>
      <c r="K4" s="297"/>
      <c r="L4" s="298"/>
    </row>
    <row r="5" spans="2:12" ht="3.75" customHeight="1" x14ac:dyDescent="0.2">
      <c r="B5" s="293"/>
      <c r="C5" s="294"/>
      <c r="D5" s="294"/>
      <c r="E5" s="294"/>
      <c r="F5" s="294"/>
      <c r="G5" s="294"/>
      <c r="H5" s="294"/>
      <c r="I5" s="294"/>
      <c r="J5" s="294"/>
      <c r="K5" s="294"/>
      <c r="L5" s="295"/>
    </row>
    <row r="6" spans="2:12" x14ac:dyDescent="0.2">
      <c r="B6" s="13" t="s">
        <v>30</v>
      </c>
      <c r="C6" s="73" t="s">
        <v>52</v>
      </c>
      <c r="D6" s="72" t="s">
        <v>68</v>
      </c>
      <c r="E6" s="90">
        <v>45592</v>
      </c>
      <c r="F6" s="65"/>
      <c r="G6" s="72" t="s">
        <v>95</v>
      </c>
      <c r="H6" s="99">
        <v>45590</v>
      </c>
      <c r="I6" s="41"/>
      <c r="J6" s="41"/>
      <c r="K6" s="41"/>
      <c r="L6" s="42"/>
    </row>
    <row r="7" spans="2:12" x14ac:dyDescent="0.2">
      <c r="B7" s="299" t="s">
        <v>87</v>
      </c>
      <c r="C7" s="300"/>
      <c r="D7" s="300"/>
      <c r="E7" s="300"/>
      <c r="F7" s="300"/>
      <c r="G7" s="300"/>
      <c r="H7" s="300"/>
      <c r="I7" s="300"/>
      <c r="J7" s="301" t="s">
        <v>69</v>
      </c>
      <c r="K7" s="300"/>
      <c r="L7" s="302"/>
    </row>
    <row r="8" spans="2:12" ht="36.75" customHeight="1" x14ac:dyDescent="0.2">
      <c r="B8" s="2" t="s">
        <v>22</v>
      </c>
      <c r="C8" s="310"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D8" s="311"/>
      <c r="E8" s="311"/>
      <c r="F8" s="311"/>
      <c r="G8" s="311"/>
      <c r="H8" s="311"/>
      <c r="I8" s="311"/>
      <c r="J8" s="150" t="s">
        <v>64</v>
      </c>
      <c r="K8" s="151">
        <v>0.75</v>
      </c>
      <c r="L8" s="152">
        <f>K8*$C$10</f>
        <v>11824.948449807693</v>
      </c>
    </row>
    <row r="9" spans="2:12" ht="28.5" customHeight="1" x14ac:dyDescent="0.2">
      <c r="B9" s="2" t="s">
        <v>66</v>
      </c>
      <c r="C9" s="312">
        <f>+'DATOS INICIALES'!C5</f>
        <v>20496577313</v>
      </c>
      <c r="D9" s="313"/>
      <c r="E9" s="313"/>
      <c r="F9" s="313"/>
      <c r="G9" s="313"/>
      <c r="H9" s="313"/>
      <c r="I9" s="313"/>
      <c r="J9" s="150" t="s">
        <v>65</v>
      </c>
      <c r="K9" s="151">
        <v>1.2</v>
      </c>
      <c r="L9" s="152">
        <f t="shared" ref="L9:L10" si="0">K9*$C$10</f>
        <v>18919.917519692306</v>
      </c>
    </row>
    <row r="10" spans="2:12" ht="25.5" customHeight="1" x14ac:dyDescent="0.2">
      <c r="B10" s="2" t="s">
        <v>67</v>
      </c>
      <c r="C10" s="312">
        <f>C9/'DATOS INICIALES'!B44</f>
        <v>15766.597933076922</v>
      </c>
      <c r="D10" s="314"/>
      <c r="E10" s="314"/>
      <c r="F10" s="314"/>
      <c r="G10" s="314"/>
      <c r="H10" s="314"/>
      <c r="I10" s="314"/>
      <c r="J10" s="150" t="s">
        <v>173</v>
      </c>
      <c r="K10" s="151">
        <v>1.5</v>
      </c>
      <c r="L10" s="152">
        <f t="shared" si="0"/>
        <v>23649.896899615385</v>
      </c>
    </row>
    <row r="11" spans="2:12" ht="59.25" customHeight="1" x14ac:dyDescent="0.2">
      <c r="B11" s="2" t="s">
        <v>23</v>
      </c>
      <c r="C11" s="315" t="str">
        <f>+PROPONENTES!B42</f>
        <v>CONSORCIO SANTA ANA 2024</v>
      </c>
      <c r="D11" s="315"/>
      <c r="E11" s="315"/>
      <c r="F11" s="315"/>
      <c r="G11" s="315"/>
      <c r="H11" s="129" t="s">
        <v>174</v>
      </c>
      <c r="I11" s="309" t="str">
        <f>IF(AND(F20="CUMPLE",G20="CUMPLE",H20="CUMPLE",L15="CUMPLE",K19="CUMPLE"),"CUMPLE","NO CUMPLE")</f>
        <v>CUMPLE</v>
      </c>
      <c r="J11" s="309"/>
      <c r="K11" s="309"/>
      <c r="L11" s="309"/>
    </row>
    <row r="12" spans="2:12" ht="9.75" customHeight="1" x14ac:dyDescent="0.2">
      <c r="B12" s="303"/>
      <c r="C12" s="304"/>
      <c r="D12" s="304"/>
      <c r="E12" s="304"/>
      <c r="F12" s="304"/>
      <c r="G12" s="304"/>
      <c r="H12" s="304"/>
      <c r="I12" s="304"/>
      <c r="J12" s="304"/>
      <c r="K12" s="304"/>
      <c r="L12" s="305"/>
    </row>
    <row r="13" spans="2:12" s="126" customFormat="1" ht="24" customHeight="1" x14ac:dyDescent="0.2">
      <c r="B13" s="306" t="s">
        <v>76</v>
      </c>
      <c r="C13" s="307"/>
      <c r="D13" s="307"/>
      <c r="E13" s="307"/>
      <c r="F13" s="307"/>
      <c r="G13" s="307"/>
      <c r="H13" s="307"/>
      <c r="I13" s="307"/>
      <c r="J13" s="307"/>
      <c r="K13" s="307"/>
      <c r="L13" s="308"/>
    </row>
    <row r="14" spans="2:12" ht="69" customHeight="1" x14ac:dyDescent="0.2">
      <c r="B14" s="273" t="s">
        <v>31</v>
      </c>
      <c r="C14" s="154" t="s">
        <v>59</v>
      </c>
      <c r="D14" s="154" t="s">
        <v>60</v>
      </c>
      <c r="E14" s="153" t="s">
        <v>63</v>
      </c>
      <c r="F14" s="153" t="s">
        <v>73</v>
      </c>
      <c r="G14" s="153" t="s">
        <v>62</v>
      </c>
      <c r="H14" s="153" t="s">
        <v>171</v>
      </c>
      <c r="I14" s="153" t="s">
        <v>70</v>
      </c>
      <c r="J14" s="153" t="s">
        <v>128</v>
      </c>
      <c r="K14" s="153" t="s">
        <v>129</v>
      </c>
      <c r="L14" s="154" t="s">
        <v>71</v>
      </c>
    </row>
    <row r="15" spans="2:12" ht="33.75" customHeight="1" x14ac:dyDescent="0.2">
      <c r="B15" s="273"/>
      <c r="C15" s="100" t="str">
        <f>IF(VLOOKUP(C11,PROPONENTES!B10:N44,2,FALSE)=0,"",VLOOKUP(C11,PROPONENTES!B10:N44,2,FALSE))</f>
        <v>SOLINGTEC S.A.S</v>
      </c>
      <c r="D15" s="101">
        <f>IF(VLOOKUP(C11,PROPONENTES!B10:N44,3,FALSE)=0,"",VLOOKUP(C11,PROPONENTES!B10:N44,3,FALSE))</f>
        <v>0.25</v>
      </c>
      <c r="E15" s="102">
        <f>IF(C15="","",IF($D$69="CUMPLE",IF(C15=$D$24,$D$39)+IF(C15=$D$25,$D$42)+IF(C15=$D$26,$D$45))+IF($E$69="CUMPLE",IF(C15=$E$24,$E$39)+IF(C15=$E$25,$E$42)+IF(C15=$E$26,$E$45))+IF($F$69="CUMPLE",IF(C15=$F$24,$F$39)+IF(C15=$F$25,$F$42)+IF(C15=$F$26,$F$45))+IF($G$69="CUMPLE",IF(C15=$G$24,$G$39)+IF(C15=$G$25,$G$42)+IF(C15=$G$26,$G$45))+IF($H$69="CUMPLE",IF(C15=$H$24,$H$39)+IF(C15=$H$25,$H$42)+IF(C15=$H$26,$H$45))+IF($I$69="CUMPLE",IF(C15=$I$24,$I$39)+IF(C15=$I$25,$I$42)+IF(C15=$I$26,$I$45))+IF($J$69="CUMPLE",IF(C15=$J$24,$J$39)+IF(C15=$J$25,$J$42)+IF(C15=$J$26,$J$45)))</f>
        <v>1292.1949999999999</v>
      </c>
      <c r="F15" s="103" t="str">
        <f t="shared" ref="F15:F18" si="1">IF(C15="","",IF(E15&gt;=$J$15*0.5,"SI","NO"))</f>
        <v>NO</v>
      </c>
      <c r="G15" s="104" t="str">
        <f t="shared" ref="G15:G17" si="2">IF(C15="","",IF(E15&gt;=$J$15*0.05,"SI",IF(E15=0,"NO APORTA EXPERIENCIA",)))</f>
        <v>SI</v>
      </c>
      <c r="H15" s="103" t="str">
        <f>IF(C15="","",IF(AND(G15="NO APORTA EXPERIENCIA",D15&lt;=10%),"SI",IF(G15="SI","NO APLICA","NO - PORCENTAJE MAYOR AL 10%")))</f>
        <v>NO APLICA</v>
      </c>
      <c r="I15" s="316">
        <v>4</v>
      </c>
      <c r="J15" s="264">
        <f>IF(AND(I15&gt;=1,I15&lt;=2),L8,IF(AND(I15&gt;=3,I15&lt;=4),L9,IF(AND(I15&gt;=5,I15&lt;=7),L10)))</f>
        <v>18919.917519692306</v>
      </c>
      <c r="K15" s="264">
        <f>+E20</f>
        <v>20611.051500000001</v>
      </c>
      <c r="L15" s="265" t="str">
        <f>IF(K15&gt;=J15,"CUMPLE","NO CUMPLE")</f>
        <v>CUMPLE</v>
      </c>
    </row>
    <row r="16" spans="2:12" ht="33.75" customHeight="1" x14ac:dyDescent="0.2">
      <c r="B16" s="273"/>
      <c r="C16" s="100" t="str">
        <f>IF(VLOOKUP(C11,PROPONENTES!B10:N44,4,FALSE)=0,"",VLOOKUP(C11,PROPONENTES!B10:N44,4,FALSE))</f>
        <v>CONSTRUCTORA ZURIA S.A.S.</v>
      </c>
      <c r="D16" s="101">
        <f>IF(VLOOKUP(C11,PROPONENTES!B10:N44,5,FALSE)=0,"",VLOOKUP(C11,PROPONENTES!B10:N44,5,FALSE))</f>
        <v>0.25</v>
      </c>
      <c r="E16" s="102">
        <f>IF(C16="","",IF($D$69="CUMPLE",IF(C16=$D$24,$D$39)+IF(C16=$D$25,$D$42)+IF(C16=$D$26,$D$45))+IF($E$69="CUMPLE",IF(C16=$E$24,$E$39)+IF(C16=$E$25,$E$42)+IF(C16=$E$26,$E$45))+IF($F$69="CUMPLE",IF(C16=$F$24,$F$39)+IF(C16=$F$25,$F$42)+IF(C16=$F$26,$F$45))+IF($G$69="CUMPLE",IF(C16=$G$24,$G$39)+IF(C16=$G$25,$G$42)+IF(C16=$G$26,$G$45))+IF($H$69="CUMPLE",IF(C16=$H$24,$H$39)+IF(C16=$H$25,$H$42)+IF(C16=$H$26,$H$45))+IF($I$69="CUMPLE",IF(C16=$I$24,$I$39)+IF(C16=$I$25,$I$42)+IF(C16=$I$26,$I$45))+IF($J$69="CUMPLE",IF(C16=$J$24,$J$39)+IF(C16=$J$25,$J$42)+IF(C16=$J$26,$J$45)))</f>
        <v>1103.5808</v>
      </c>
      <c r="F16" s="103" t="str">
        <f t="shared" si="1"/>
        <v>NO</v>
      </c>
      <c r="G16" s="104" t="str">
        <f t="shared" si="2"/>
        <v>SI</v>
      </c>
      <c r="H16" s="104" t="str">
        <f>IF(C16="","",IF(AND(G16="NO APORTA EXPERIENCIA",D16&lt;=10%),"SI",IF(G16="SI","NO APLICA","NO - PORCENTAJE MAYOR AL 10%")))</f>
        <v>NO APLICA</v>
      </c>
      <c r="I16" s="316"/>
      <c r="J16" s="264"/>
      <c r="K16" s="264"/>
      <c r="L16" s="265"/>
    </row>
    <row r="17" spans="2:14" ht="33.75" customHeight="1" x14ac:dyDescent="0.2">
      <c r="B17" s="273"/>
      <c r="C17" s="100" t="str">
        <f>IF(VLOOKUP(C11,PROPONENTES!B10:N44,6,FALSE)=0,"",VLOOKUP(C11,PROPONENTES!B10:N44,6,FALSE))</f>
        <v>CARLOS ALFONSO MORENO MUÑOZ</v>
      </c>
      <c r="D17" s="101">
        <f>IF(VLOOKUP(C11,PROPONENTES!B10:N44,7,FALSE)=0,"",VLOOKUP(C11,PROPONENTES!B10:N44,7,FALSE))</f>
        <v>0.25</v>
      </c>
      <c r="E17" s="102">
        <f>IF(C17="","",IF($D$69="CUMPLE",IF(C17=$D$24,$D$39)+IF(C17=$D$25,$D$42)+IF(C17=$D$26,$D$45))+IF($E$69="CUMPLE",IF(C17=$E$24,$E$39)+IF(C17=$E$25,$E$42)+IF(C17=$E$26,$E$45))+IF($F$69="CUMPLE",IF(C17=$F$24,$F$39)+IF(C17=$F$25,$F$42)+IF(C17=$F$26,$F$45))+IF($G$69="CUMPLE",IF(C17=$G$24,$G$39)+IF(C17=$G$25,$G$42)+IF(C17=$G$26,$G$45))+IF($H$69="CUMPLE",IF(C17=$H$24,$H$39)+IF(C17=$H$25,$H$42)+IF(C17=$H$26,$H$45))+IF($I$69="CUMPLE",IF(C17=$I$24,$I$39)+IF(C17=$I$25,$I$42)+IF(C17=$I$26,$I$45))+IF($J$69="CUMPLE",IF(C17=$J$24,$J$39)+IF(C17=$J$25,$J$42)+IF(C17=$J$26,$J$45)))</f>
        <v>10040.9982</v>
      </c>
      <c r="F17" s="103" t="str">
        <f t="shared" si="1"/>
        <v>SI</v>
      </c>
      <c r="G17" s="104" t="str">
        <f t="shared" si="2"/>
        <v>SI</v>
      </c>
      <c r="H17" s="103" t="str">
        <f>IF(C17="","",IF(AND(G17="NO APORTA EXPERIENCIA",D17&lt;=10%),"SI",IF(G17="SI","NO APLICA","NO - PORCENTAJE MAYOR AL 10%")))</f>
        <v>NO APLICA</v>
      </c>
      <c r="I17" s="316"/>
      <c r="J17" s="264"/>
      <c r="K17" s="264"/>
      <c r="L17" s="265"/>
    </row>
    <row r="18" spans="2:14" ht="50.25" customHeight="1" x14ac:dyDescent="0.2">
      <c r="B18" s="273"/>
      <c r="C18" s="100" t="str">
        <f>IF(VLOOKUP(C11,PROPONENTES!B10:N44,8,FALSE)=0,"",VLOOKUP(C11,PROPONENTES!B10:N44,8,FALSE))</f>
        <v>ALFREDO ORTEGÓN PULIDO</v>
      </c>
      <c r="D18" s="101">
        <f>IF(VLOOKUP(C11,PROPONENTES!B10:N44,9,FALSE)=0,"",VLOOKUP(C11,PROPONENTES!B10:N44,9,FALSE))</f>
        <v>0.25</v>
      </c>
      <c r="E18" s="102">
        <f>IF(C18="","",IF($D$69="CUMPLE",IF(C18=$D$24,$D$39)+IF(C18=$D$25,$D$42)+IF(C18=$D$26,$D$45))+IF($E$69="CUMPLE",IF(C18=$E$24,$E$39)+IF(C18=$E$25,$E$42)+IF(C18=$E$26,$E$45))+IF($F$69="CUMPLE",IF(C18=$F$24,$F$39)+IF(C18=$F$25,$F$42)+IF(C18=$F$26,$F$45))+IF($G$69="CUMPLE",IF(C18=$G$24,$G$39)+IF(C18=$G$25,$G$42)+IF(C18=$G$26,$G$45))+IF($H$69="CUMPLE",IF(C18=$H$24,$H$39)+IF(C18=$H$25,$H$42)+IF(C18=$H$26,$H$45))+IF($I$69="CUMPLE",IF(C18=$I$24,$I$39)+IF(C18=$I$25,$I$42)+IF(C18=$I$26,$I$45))+IF($J$69="CUMPLE",IF(C18=$J$24,$J$39)+IF(C18=$J$25,$J$42)+IF(C18=$J$26,$J$45)))</f>
        <v>8174.2775000000001</v>
      </c>
      <c r="F18" s="103" t="str">
        <f t="shared" si="1"/>
        <v>NO</v>
      </c>
      <c r="G18" s="104" t="str">
        <f>IF(C18="","",IF(E18&gt;=$J$15*0.05,"SI",IF(E18=0,"NO APORTA EXPERIENCIA",)))</f>
        <v>SI</v>
      </c>
      <c r="H18" s="103" t="str">
        <f>IF(C18="","",IF(AND(G18="NO APORTA EXPERIENCIA",D18&lt;=10%),"SI",IF(G18="SI","NO APLICA","NO - PORCENTAJE MAYOR AL 10%")))</f>
        <v>NO APLICA</v>
      </c>
      <c r="I18" s="153" t="s">
        <v>176</v>
      </c>
      <c r="J18" s="153" t="s">
        <v>175</v>
      </c>
      <c r="K18" s="233" t="s">
        <v>71</v>
      </c>
      <c r="L18" s="233"/>
    </row>
    <row r="19" spans="2:14" ht="33.75" customHeight="1" x14ac:dyDescent="0.2">
      <c r="B19" s="273"/>
      <c r="C19" s="100" t="str">
        <f>IF(VLOOKUP(C11,PROPONENTES!B10:N44,10,FALSE)=0,"",VLOOKUP(C11,PROPONENTES!B10:N44,10,FALSE))</f>
        <v/>
      </c>
      <c r="D19" s="101" t="str">
        <f>IF(VLOOKUP(C11,PROPONENTES!B10:N44,11,FALSE)=0,"",VLOOKUP(C11,PROPONENTES!B10:N44,11,FALSE))</f>
        <v/>
      </c>
      <c r="E19" s="102" t="str">
        <f>IF(C19="","",IF($D$69="CUMPLE",IF(C19=$D$24,$D$39)+IF(C19=$D$25,$D$42)+IF(C19=$D$26,$D$45))+IF($E$69="CUMPLE",IF(C19=$E$24,$E$39)+IF(C19=$E$25,$E$42)+IF(C19=$E$26,$E$45))+IF($F$69="CUMPLE",IF(C19=$F$24,$F$39)+IF(C19=$F$25,$F$42)+IF(C19=$F$26,$F$45))+IF($G$69="CUMPLE",IF(C19=$G$24,$G$39)+IF(C19=$G$25,$G$42)+IF(C19=$G$26,$G$45))+IF($H$69="CUMPLE",IF(C19=$H$24,$H$39)+IF(C19=$H$25,$H$42)+IF(C19=$H$26,$H$45))+IF($I$69="CUMPLE",IF(C19=$I$24,$I$39)+IF(C19=$I$25,$I$42)+IF(C19=$I$26,$I$45))+IF($J$69="CUMPLE",IF(C19=$J$24,$J$39)+IF(C19=$J$25,$J$42)+IF(C19=$J$26,$J$45)))</f>
        <v/>
      </c>
      <c r="F19" s="103" t="str">
        <f>IF(C19="","",IF(E19&gt;=$J$15*0.5,"SI","NO"))</f>
        <v/>
      </c>
      <c r="G19" s="104" t="str">
        <f>IF(C19="","",IF(E19&gt;=$J$15*0.05,"SI",IF(E19=0,"NO APORTA EXPERIENCIA",)))</f>
        <v/>
      </c>
      <c r="H19" s="103" t="str">
        <f>IF(C19="","",IF(AND(G19="NO APORTA EXPERIENCIA",D19&lt;=10%),"SI",IF(G19="SI","NO APLICA","NO - PORCENTAJE MAYOR AL 10%")))</f>
        <v/>
      </c>
      <c r="I19" s="255">
        <f>SUMIF(D70:J70,"CUMPLE",D39:J39)+SUMIF(D70:J70,"CUMPLE",D42:J42)+SUMIF(D70:J70,"CUMPLE",D45:J45)+SUMIF(D70:J70,"CUMPLE",D48:J48)</f>
        <v>20611.051500000001</v>
      </c>
      <c r="J19" s="355">
        <f>IF(I15="","",VLOOKUP(I15,$D$79:$E$85,2,FALSE))</f>
        <v>18919.917519692306</v>
      </c>
      <c r="K19" s="249" t="str">
        <f>IF(I19&gt;=J19,"CUMPLE","NO CUMPLE")</f>
        <v>CUMPLE</v>
      </c>
      <c r="L19" s="250"/>
    </row>
    <row r="20" spans="2:14" ht="84.75" customHeight="1" x14ac:dyDescent="0.2">
      <c r="B20" s="31" t="s">
        <v>61</v>
      </c>
      <c r="C20" s="25">
        <f>+VLOOKUP(C11,PROPONENTES!B10:N44,12,FALSE)</f>
        <v>4</v>
      </c>
      <c r="D20" s="101">
        <f>+VLOOKUP(C11,PROPONENTES!B10:N44,13,FALSE)</f>
        <v>1</v>
      </c>
      <c r="E20" s="36">
        <f>SUM(E15:E19)</f>
        <v>20611.051500000001</v>
      </c>
      <c r="F20" s="18" t="str">
        <f>IF(F15="SI","CUMPLE",IF(F16="SI","CUMPLE",IF(F17="SI","CUMPLE",IF(F18="SI","CUMPLE",IF(F19="SI","CUMPLE","NO CUMPLE")))))</f>
        <v>CUMPLE</v>
      </c>
      <c r="G20" s="18" t="str">
        <f>+IF(COUNTIF(E15:E19,0)&gt;1,"NO CUMPLE, HAY MAS DE UN (1) INTEGRANTE QUE NO APORTA EXPERIENCIA",IF(AND(OR(G15="NO APORTA EXPERIENCIA",G15="SI",G15=""),OR(G16="NO APORTA EXPERIENCIA",G16="SI",G16=""),OR(G17="NO APORTA EXPERIENCIA",G17="SI",G17=""),OR(G18="NO APORTA EXPERIENCIA",G18="SI",G18=""),OR(G19="NO APORTA EXPERIENCIA",G19="SI",G19="")),"CUMPLE","NO CUMPLE"))</f>
        <v>CUMPLE</v>
      </c>
      <c r="H20" s="18" t="str">
        <f>IF(COUNTIF(E15:E19,0)&gt;1,"NO CUMPLE, HAY MAS DE UN (1) INTEGRANTE QUE NO APORTA EXPERIENCIA",IF(AND(OR(H15="NO APLICA",H15="SI",H15=""),OR(H16="NO APLICA",H16="SI",H16=""),OR(H17="NO APLICA",H17="SI",H17=""),OR(H18="NO APLICA",H18="SI",H18=""),OR(H19="NO APLICA",H19="SI",H19="")),"CUMPLE","NO CUMPLE"))</f>
        <v>CUMPLE</v>
      </c>
      <c r="I20" s="256"/>
      <c r="J20" s="356"/>
      <c r="K20" s="251"/>
      <c r="L20" s="252"/>
      <c r="N20" s="35"/>
    </row>
    <row r="21" spans="2:14" ht="10.5" customHeight="1" thickBot="1" x14ac:dyDescent="0.25">
      <c r="B21" s="266"/>
      <c r="C21" s="267"/>
      <c r="D21" s="267"/>
      <c r="E21" s="267"/>
      <c r="F21" s="267"/>
      <c r="G21" s="267"/>
      <c r="H21" s="267"/>
      <c r="I21" s="267"/>
      <c r="J21" s="267"/>
      <c r="K21" s="267"/>
      <c r="L21" s="268"/>
    </row>
    <row r="22" spans="2:14" ht="54" customHeight="1" thickBot="1" x14ac:dyDescent="0.25">
      <c r="B22" s="269" t="str">
        <f>CONCATENATE("ACREDITACION EXPERIENCIA ",'DATOS INICIALES'!G4)</f>
        <v xml:space="preserve">ACREDITACION EXPERIENCIA FDLUSA-LP-002-2024 </v>
      </c>
      <c r="C22" s="270"/>
      <c r="D22" s="270"/>
      <c r="E22" s="270"/>
      <c r="F22" s="270"/>
      <c r="G22" s="270"/>
      <c r="H22" s="270"/>
      <c r="I22" s="270"/>
      <c r="J22" s="271"/>
      <c r="K22" s="271"/>
      <c r="L22" s="272"/>
    </row>
    <row r="23" spans="2:14" ht="40.5" customHeight="1" x14ac:dyDescent="0.2">
      <c r="B23" s="155" t="s">
        <v>32</v>
      </c>
      <c r="C23" s="26" t="s">
        <v>170</v>
      </c>
      <c r="D23" s="27" t="s">
        <v>15</v>
      </c>
      <c r="E23" s="27" t="s">
        <v>16</v>
      </c>
      <c r="F23" s="27" t="s">
        <v>17</v>
      </c>
      <c r="G23" s="27" t="s">
        <v>18</v>
      </c>
      <c r="H23" s="27" t="s">
        <v>19</v>
      </c>
      <c r="I23" s="27" t="s">
        <v>20</v>
      </c>
      <c r="J23" s="27" t="s">
        <v>169</v>
      </c>
      <c r="K23" s="274" t="s">
        <v>72</v>
      </c>
      <c r="L23" s="275"/>
    </row>
    <row r="24" spans="2:14" ht="39.75" customHeight="1" x14ac:dyDescent="0.2">
      <c r="B24" s="259" t="s">
        <v>115</v>
      </c>
      <c r="C24" s="260"/>
      <c r="D24" s="91" t="s">
        <v>302</v>
      </c>
      <c r="E24" s="91" t="s">
        <v>301</v>
      </c>
      <c r="F24" s="91" t="s">
        <v>302</v>
      </c>
      <c r="G24" s="91" t="s">
        <v>302</v>
      </c>
      <c r="H24" s="91"/>
      <c r="I24" s="91"/>
      <c r="J24" s="91"/>
      <c r="K24" s="247"/>
      <c r="L24" s="248"/>
    </row>
    <row r="25" spans="2:14" ht="39.75" customHeight="1" x14ac:dyDescent="0.2">
      <c r="B25" s="259" t="s">
        <v>116</v>
      </c>
      <c r="C25" s="260"/>
      <c r="D25" s="91" t="s">
        <v>301</v>
      </c>
      <c r="E25" s="91" t="s">
        <v>300</v>
      </c>
      <c r="F25" s="91" t="s">
        <v>301</v>
      </c>
      <c r="G25" s="91" t="s">
        <v>299</v>
      </c>
      <c r="H25" s="91"/>
      <c r="I25" s="91"/>
      <c r="J25" s="91"/>
      <c r="K25" s="247"/>
      <c r="L25" s="248"/>
    </row>
    <row r="26" spans="2:14" ht="39.75" customHeight="1" x14ac:dyDescent="0.2">
      <c r="B26" s="259" t="s">
        <v>117</v>
      </c>
      <c r="C26" s="260"/>
      <c r="D26" s="91"/>
      <c r="E26" s="91"/>
      <c r="F26" s="91"/>
      <c r="G26" s="91"/>
      <c r="H26" s="91"/>
      <c r="I26" s="91"/>
      <c r="J26" s="91"/>
      <c r="K26" s="247"/>
      <c r="L26" s="248"/>
    </row>
    <row r="27" spans="2:14" ht="45.75" customHeight="1" x14ac:dyDescent="0.2">
      <c r="B27" s="276" t="s">
        <v>58</v>
      </c>
      <c r="C27" s="26" t="s">
        <v>35</v>
      </c>
      <c r="D27" s="92" t="s">
        <v>738</v>
      </c>
      <c r="E27" s="92" t="s">
        <v>739</v>
      </c>
      <c r="F27" s="92" t="s">
        <v>740</v>
      </c>
      <c r="G27" s="92" t="s">
        <v>741</v>
      </c>
      <c r="H27" s="92"/>
      <c r="I27" s="92"/>
      <c r="J27" s="92"/>
      <c r="K27" s="247"/>
      <c r="L27" s="248"/>
    </row>
    <row r="28" spans="2:14" ht="156.75" customHeight="1" x14ac:dyDescent="0.2">
      <c r="B28" s="277"/>
      <c r="C28" s="26" t="s">
        <v>36</v>
      </c>
      <c r="D28" s="92" t="s">
        <v>742</v>
      </c>
      <c r="E28" s="92" t="s">
        <v>743</v>
      </c>
      <c r="F28" s="92" t="s">
        <v>744</v>
      </c>
      <c r="G28" s="92" t="s">
        <v>745</v>
      </c>
      <c r="H28" s="92"/>
      <c r="I28" s="92"/>
      <c r="J28" s="92"/>
      <c r="K28" s="247"/>
      <c r="L28" s="248"/>
    </row>
    <row r="29" spans="2:14" ht="52.5" customHeight="1" x14ac:dyDescent="0.2">
      <c r="B29" s="277"/>
      <c r="C29" s="26" t="s">
        <v>172</v>
      </c>
      <c r="D29" s="96" t="s">
        <v>746</v>
      </c>
      <c r="E29" s="96" t="s">
        <v>747</v>
      </c>
      <c r="F29" s="96" t="s">
        <v>748</v>
      </c>
      <c r="G29" s="96" t="s">
        <v>749</v>
      </c>
      <c r="H29" s="96"/>
      <c r="I29" s="96"/>
      <c r="J29" s="96"/>
      <c r="K29" s="247"/>
      <c r="L29" s="248"/>
    </row>
    <row r="30" spans="2:14" ht="54.75" customHeight="1" x14ac:dyDescent="0.2">
      <c r="B30" s="277"/>
      <c r="C30" s="26" t="s">
        <v>40</v>
      </c>
      <c r="D30" s="96" t="s">
        <v>750</v>
      </c>
      <c r="E30" s="96" t="s">
        <v>751</v>
      </c>
      <c r="F30" s="96" t="s">
        <v>752</v>
      </c>
      <c r="G30" s="96" t="s">
        <v>753</v>
      </c>
      <c r="H30" s="96"/>
      <c r="I30" s="96"/>
      <c r="J30" s="96"/>
      <c r="K30" s="247"/>
      <c r="L30" s="248"/>
    </row>
    <row r="31" spans="2:14" ht="41.25" customHeight="1" x14ac:dyDescent="0.2">
      <c r="B31" s="277"/>
      <c r="C31" s="26" t="s">
        <v>37</v>
      </c>
      <c r="D31" s="93">
        <v>2010</v>
      </c>
      <c r="E31" s="93">
        <v>2014</v>
      </c>
      <c r="F31" s="93">
        <v>2017</v>
      </c>
      <c r="G31" s="93">
        <v>2021</v>
      </c>
      <c r="H31" s="93"/>
      <c r="I31" s="93"/>
      <c r="J31" s="93"/>
      <c r="K31" s="247"/>
      <c r="L31" s="248"/>
    </row>
    <row r="32" spans="2:14" ht="63" customHeight="1" x14ac:dyDescent="0.2">
      <c r="B32" s="277"/>
      <c r="C32" s="26" t="s">
        <v>38</v>
      </c>
      <c r="D32" s="92" t="s">
        <v>754</v>
      </c>
      <c r="E32" s="92" t="s">
        <v>755</v>
      </c>
      <c r="F32" s="92" t="s">
        <v>756</v>
      </c>
      <c r="G32" s="92" t="s">
        <v>757</v>
      </c>
      <c r="H32" s="92"/>
      <c r="I32" s="92"/>
      <c r="J32" s="92"/>
      <c r="K32" s="247"/>
      <c r="L32" s="248"/>
    </row>
    <row r="33" spans="2:12" ht="46.5" customHeight="1" x14ac:dyDescent="0.2">
      <c r="B33" s="277"/>
      <c r="C33" s="26" t="s">
        <v>39</v>
      </c>
      <c r="D33" s="92" t="s">
        <v>758</v>
      </c>
      <c r="E33" s="92" t="s">
        <v>759</v>
      </c>
      <c r="F33" s="92" t="s">
        <v>760</v>
      </c>
      <c r="G33" s="92" t="s">
        <v>761</v>
      </c>
      <c r="H33" s="92"/>
      <c r="I33" s="92"/>
      <c r="J33" s="92"/>
      <c r="K33" s="247"/>
      <c r="L33" s="248"/>
    </row>
    <row r="34" spans="2:12" ht="27.75" customHeight="1" x14ac:dyDescent="0.2">
      <c r="B34" s="277"/>
      <c r="C34" s="28" t="s">
        <v>33</v>
      </c>
      <c r="D34" s="187" t="s">
        <v>762</v>
      </c>
      <c r="E34" s="187" t="s">
        <v>763</v>
      </c>
      <c r="F34" s="187" t="s">
        <v>764</v>
      </c>
      <c r="G34" s="187" t="s">
        <v>765</v>
      </c>
      <c r="H34" s="98"/>
      <c r="I34" s="98"/>
      <c r="J34" s="98"/>
      <c r="K34" s="247"/>
      <c r="L34" s="248"/>
    </row>
    <row r="35" spans="2:12" ht="102.75" customHeight="1" x14ac:dyDescent="0.2">
      <c r="B35" s="277"/>
      <c r="C35" s="26" t="s">
        <v>118</v>
      </c>
      <c r="D35" s="94">
        <v>22467.45</v>
      </c>
      <c r="E35" s="94">
        <v>3448.69</v>
      </c>
      <c r="F35" s="94">
        <v>10208.719999999999</v>
      </c>
      <c r="G35" s="94">
        <v>2584.39</v>
      </c>
      <c r="H35" s="94"/>
      <c r="I35" s="94"/>
      <c r="J35" s="94"/>
      <c r="K35" s="279"/>
      <c r="L35" s="280"/>
    </row>
    <row r="36" spans="2:12" ht="48" customHeight="1" x14ac:dyDescent="0.2">
      <c r="B36" s="277"/>
      <c r="C36" s="26" t="s">
        <v>74</v>
      </c>
      <c r="D36" s="105">
        <f>IFERROR(D35*VLOOKUP(D31,'DATOS INICIALES'!$A$12:$B$44,2,0),"0")</f>
        <v>11570736750</v>
      </c>
      <c r="E36" s="105">
        <f>IFERROR(E35*VLOOKUP(E31,'DATOS INICIALES'!$A$12:$B$44,2,0),"0")</f>
        <v>2124393040</v>
      </c>
      <c r="F36" s="105">
        <f>IFERROR(F35*VLOOKUP(F31,'DATOS INICIALES'!$A$12:$B$44,2,0),"0")</f>
        <v>7531146292.2399998</v>
      </c>
      <c r="G36" s="105">
        <f>IFERROR(G35*VLOOKUP(G31,'DATOS INICIALES'!$A$12:$B$44,2,0),"0")</f>
        <v>2347985509.1399999</v>
      </c>
      <c r="H36" s="105" t="str">
        <f>IFERROR(H35*VLOOKUP(H31,'DATOS INICIALES'!$A$12:$B$44,2,0),"0")</f>
        <v>0</v>
      </c>
      <c r="I36" s="105" t="str">
        <f>IFERROR(I35*VLOOKUP(I31,'DATOS INICIALES'!$A$12:$B$44,2,0),"0")</f>
        <v>0</v>
      </c>
      <c r="J36" s="105" t="str">
        <f>IFERROR(J35*VLOOKUP(J31,'DATOS INICIALES'!$A$12:$B$44,2,0),"0")</f>
        <v>0</v>
      </c>
      <c r="K36" s="247"/>
      <c r="L36" s="248"/>
    </row>
    <row r="37" spans="2:12" ht="33.75" customHeight="1" x14ac:dyDescent="0.2">
      <c r="B37" s="277"/>
      <c r="C37" s="26" t="s">
        <v>119</v>
      </c>
      <c r="D37" s="95">
        <v>0.17</v>
      </c>
      <c r="E37" s="95">
        <v>0.35</v>
      </c>
      <c r="F37" s="95">
        <v>0.3</v>
      </c>
      <c r="G37" s="95">
        <v>0.5</v>
      </c>
      <c r="H37" s="95"/>
      <c r="I37" s="95"/>
      <c r="J37" s="95"/>
      <c r="K37" s="247"/>
      <c r="L37" s="248"/>
    </row>
    <row r="38" spans="2:12" ht="48.75" customHeight="1" x14ac:dyDescent="0.2">
      <c r="B38" s="277"/>
      <c r="C38" s="26" t="s">
        <v>125</v>
      </c>
      <c r="D38" s="105">
        <f t="shared" ref="D38:J38" si="3">IF(D24="","0",D37*D36)</f>
        <v>1967025247.5000002</v>
      </c>
      <c r="E38" s="105">
        <f t="shared" si="3"/>
        <v>743537564</v>
      </c>
      <c r="F38" s="105">
        <f t="shared" si="3"/>
        <v>2259343887.6719999</v>
      </c>
      <c r="G38" s="105">
        <f t="shared" si="3"/>
        <v>1173992754.5699999</v>
      </c>
      <c r="H38" s="105" t="str">
        <f t="shared" si="3"/>
        <v>0</v>
      </c>
      <c r="I38" s="105" t="str">
        <f t="shared" si="3"/>
        <v>0</v>
      </c>
      <c r="J38" s="105" t="str">
        <f t="shared" si="3"/>
        <v>0</v>
      </c>
      <c r="K38" s="247"/>
      <c r="L38" s="248"/>
    </row>
    <row r="39" spans="2:12" ht="65.25" customHeight="1" x14ac:dyDescent="0.2">
      <c r="B39" s="277"/>
      <c r="C39" s="26" t="s">
        <v>120</v>
      </c>
      <c r="D39" s="106">
        <f t="shared" ref="D39:J39" si="4">IFERROR(D35*D37,"0")</f>
        <v>3819.4665000000005</v>
      </c>
      <c r="E39" s="106">
        <f t="shared" si="4"/>
        <v>1207.0415</v>
      </c>
      <c r="F39" s="106">
        <f t="shared" si="4"/>
        <v>3062.6159999999995</v>
      </c>
      <c r="G39" s="106">
        <f t="shared" si="4"/>
        <v>1292.1949999999999</v>
      </c>
      <c r="H39" s="106">
        <f t="shared" si="4"/>
        <v>0</v>
      </c>
      <c r="I39" s="106">
        <f t="shared" si="4"/>
        <v>0</v>
      </c>
      <c r="J39" s="106">
        <f t="shared" si="4"/>
        <v>0</v>
      </c>
      <c r="K39" s="247"/>
      <c r="L39" s="248"/>
    </row>
    <row r="40" spans="2:12" ht="65.25" customHeight="1" x14ac:dyDescent="0.2">
      <c r="B40" s="277"/>
      <c r="C40" s="26" t="s">
        <v>121</v>
      </c>
      <c r="D40" s="95">
        <v>0.16600000000000001</v>
      </c>
      <c r="E40" s="95">
        <v>0.32</v>
      </c>
      <c r="F40" s="95">
        <v>0.5</v>
      </c>
      <c r="G40" s="95">
        <v>0.5</v>
      </c>
      <c r="H40" s="95"/>
      <c r="I40" s="95"/>
      <c r="J40" s="95"/>
      <c r="K40" s="247"/>
      <c r="L40" s="248"/>
    </row>
    <row r="41" spans="2:12" ht="65.25" customHeight="1" x14ac:dyDescent="0.2">
      <c r="B41" s="277"/>
      <c r="C41" s="26" t="s">
        <v>126</v>
      </c>
      <c r="D41" s="107">
        <f t="shared" ref="D41:J41" si="5">IF(D25="","0",D40*D36)</f>
        <v>1920742300.5</v>
      </c>
      <c r="E41" s="107">
        <f t="shared" si="5"/>
        <v>679805772.80000007</v>
      </c>
      <c r="F41" s="107">
        <f t="shared" si="5"/>
        <v>3765573146.1199999</v>
      </c>
      <c r="G41" s="107">
        <f t="shared" si="5"/>
        <v>1173992754.5699999</v>
      </c>
      <c r="H41" s="107" t="str">
        <f t="shared" si="5"/>
        <v>0</v>
      </c>
      <c r="I41" s="107" t="str">
        <f t="shared" si="5"/>
        <v>0</v>
      </c>
      <c r="J41" s="107" t="str">
        <f t="shared" si="5"/>
        <v>0</v>
      </c>
      <c r="K41" s="247"/>
      <c r="L41" s="248"/>
    </row>
    <row r="42" spans="2:12" ht="65.25" customHeight="1" x14ac:dyDescent="0.2">
      <c r="B42" s="277"/>
      <c r="C42" s="26" t="s">
        <v>122</v>
      </c>
      <c r="D42" s="106">
        <f>IF(D25="",0,D35*D40)</f>
        <v>3729.5967000000005</v>
      </c>
      <c r="E42" s="106">
        <f t="shared" ref="E42:J42" si="6">IF(E25="",0,E35*E40)</f>
        <v>1103.5808</v>
      </c>
      <c r="F42" s="106">
        <f t="shared" si="6"/>
        <v>5104.3599999999997</v>
      </c>
      <c r="G42" s="106">
        <f t="shared" si="6"/>
        <v>1292.1949999999999</v>
      </c>
      <c r="H42" s="106">
        <f t="shared" si="6"/>
        <v>0</v>
      </c>
      <c r="I42" s="106">
        <f t="shared" si="6"/>
        <v>0</v>
      </c>
      <c r="J42" s="106">
        <f t="shared" si="6"/>
        <v>0</v>
      </c>
      <c r="K42" s="247"/>
      <c r="L42" s="248"/>
    </row>
    <row r="43" spans="2:12" ht="65.25" customHeight="1" x14ac:dyDescent="0.2">
      <c r="B43" s="277"/>
      <c r="C43" s="26" t="s">
        <v>123</v>
      </c>
      <c r="D43" s="95"/>
      <c r="E43" s="95"/>
      <c r="F43" s="95"/>
      <c r="G43" s="95"/>
      <c r="H43" s="95"/>
      <c r="I43" s="95"/>
      <c r="J43" s="95"/>
      <c r="K43" s="247"/>
      <c r="L43" s="248"/>
    </row>
    <row r="44" spans="2:12" ht="65.25" customHeight="1" x14ac:dyDescent="0.2">
      <c r="B44" s="277"/>
      <c r="C44" s="26" t="s">
        <v>127</v>
      </c>
      <c r="D44" s="107" t="str">
        <f>IF(D26="","0",D43*D36)</f>
        <v>0</v>
      </c>
      <c r="E44" s="107" t="str">
        <f t="shared" ref="E44:J44" si="7">IF(E26="","0",E43*E36)</f>
        <v>0</v>
      </c>
      <c r="F44" s="107" t="str">
        <f t="shared" si="7"/>
        <v>0</v>
      </c>
      <c r="G44" s="107" t="str">
        <f t="shared" si="7"/>
        <v>0</v>
      </c>
      <c r="H44" s="107" t="str">
        <f t="shared" si="7"/>
        <v>0</v>
      </c>
      <c r="I44" s="107" t="str">
        <f t="shared" si="7"/>
        <v>0</v>
      </c>
      <c r="J44" s="107" t="str">
        <f t="shared" si="7"/>
        <v>0</v>
      </c>
      <c r="K44" s="247"/>
      <c r="L44" s="248"/>
    </row>
    <row r="45" spans="2:12" ht="65.25" customHeight="1" x14ac:dyDescent="0.2">
      <c r="B45" s="278"/>
      <c r="C45" s="26" t="s">
        <v>124</v>
      </c>
      <c r="D45" s="106">
        <f>IF(D26="",0,D35*D43)</f>
        <v>0</v>
      </c>
      <c r="E45" s="106">
        <f t="shared" ref="E45:J45" si="8">IF(E26="",0,E35*E43)</f>
        <v>0</v>
      </c>
      <c r="F45" s="106">
        <f t="shared" si="8"/>
        <v>0</v>
      </c>
      <c r="G45" s="106">
        <f t="shared" si="8"/>
        <v>0</v>
      </c>
      <c r="H45" s="106">
        <f t="shared" si="8"/>
        <v>0</v>
      </c>
      <c r="I45" s="106">
        <f t="shared" si="8"/>
        <v>0</v>
      </c>
      <c r="J45" s="106">
        <f t="shared" si="8"/>
        <v>0</v>
      </c>
      <c r="K45" s="247"/>
      <c r="L45" s="248"/>
    </row>
    <row r="46" spans="2:12" ht="65.25" customHeight="1" x14ac:dyDescent="0.2">
      <c r="B46" s="157"/>
      <c r="C46" s="26" t="s">
        <v>322</v>
      </c>
      <c r="D46" s="95"/>
      <c r="E46" s="95"/>
      <c r="F46" s="95"/>
      <c r="G46" s="95"/>
      <c r="H46" s="95"/>
      <c r="I46" s="95"/>
      <c r="J46" s="95"/>
      <c r="K46" s="247"/>
      <c r="L46" s="248"/>
    </row>
    <row r="47" spans="2:12" ht="65.25" customHeight="1" x14ac:dyDescent="0.2">
      <c r="B47" s="157"/>
      <c r="C47" s="26" t="s">
        <v>323</v>
      </c>
      <c r="D47" s="107">
        <f>IF(D29="","0",D46*D39)</f>
        <v>0</v>
      </c>
      <c r="E47" s="107">
        <f t="shared" ref="E47:J47" si="9">IF(E29="","0",E46*E39)</f>
        <v>0</v>
      </c>
      <c r="F47" s="107">
        <f t="shared" si="9"/>
        <v>0</v>
      </c>
      <c r="G47" s="107">
        <f t="shared" si="9"/>
        <v>0</v>
      </c>
      <c r="H47" s="107" t="str">
        <f t="shared" si="9"/>
        <v>0</v>
      </c>
      <c r="I47" s="107" t="str">
        <f t="shared" si="9"/>
        <v>0</v>
      </c>
      <c r="J47" s="107" t="str">
        <f t="shared" si="9"/>
        <v>0</v>
      </c>
      <c r="K47" s="247"/>
      <c r="L47" s="248"/>
    </row>
    <row r="48" spans="2:12" ht="65.25" customHeight="1" x14ac:dyDescent="0.2">
      <c r="B48" s="157"/>
      <c r="C48" s="26" t="s">
        <v>324</v>
      </c>
      <c r="D48" s="106">
        <f>IF(D29="",0,D38*D46)</f>
        <v>0</v>
      </c>
      <c r="E48" s="106">
        <f t="shared" ref="E48:J48" si="10">IF(E29="",0,E38*E46)</f>
        <v>0</v>
      </c>
      <c r="F48" s="106">
        <f t="shared" si="10"/>
        <v>0</v>
      </c>
      <c r="G48" s="106">
        <f t="shared" si="10"/>
        <v>0</v>
      </c>
      <c r="H48" s="106">
        <f t="shared" si="10"/>
        <v>0</v>
      </c>
      <c r="I48" s="106">
        <f t="shared" si="10"/>
        <v>0</v>
      </c>
      <c r="J48" s="106">
        <f t="shared" si="10"/>
        <v>0</v>
      </c>
      <c r="K48" s="247"/>
      <c r="L48" s="248"/>
    </row>
    <row r="49" spans="2:12" ht="39.75" customHeight="1" x14ac:dyDescent="0.2">
      <c r="B49" s="156" t="s">
        <v>55</v>
      </c>
      <c r="C49" s="30" t="s">
        <v>56</v>
      </c>
      <c r="D49" s="91" t="s">
        <v>13</v>
      </c>
      <c r="E49" s="91" t="s">
        <v>13</v>
      </c>
      <c r="F49" s="91" t="s">
        <v>13</v>
      </c>
      <c r="G49" s="91" t="s">
        <v>13</v>
      </c>
      <c r="H49" s="91"/>
      <c r="I49" s="91"/>
      <c r="J49" s="91"/>
      <c r="K49" s="247"/>
      <c r="L49" s="248"/>
    </row>
    <row r="50" spans="2:12" ht="24.75" customHeight="1" x14ac:dyDescent="0.2">
      <c r="B50" s="284" t="s">
        <v>34</v>
      </c>
      <c r="C50" s="29">
        <f>+'DATOS INICIALES'!D22</f>
        <v>721033</v>
      </c>
      <c r="D50" s="97" t="s">
        <v>77</v>
      </c>
      <c r="E50" s="97" t="s">
        <v>77</v>
      </c>
      <c r="F50" s="97" t="s">
        <v>77</v>
      </c>
      <c r="G50" s="97" t="s">
        <v>77</v>
      </c>
      <c r="H50" s="97"/>
      <c r="I50" s="97"/>
      <c r="J50" s="98"/>
      <c r="K50" s="247"/>
      <c r="L50" s="248"/>
    </row>
    <row r="51" spans="2:12" ht="24.75" customHeight="1" x14ac:dyDescent="0.2">
      <c r="B51" s="285"/>
      <c r="C51" s="29">
        <f>+'DATOS INICIALES'!D23</f>
        <v>721410</v>
      </c>
      <c r="D51" s="97" t="s">
        <v>77</v>
      </c>
      <c r="E51" s="97" t="s">
        <v>77</v>
      </c>
      <c r="F51" s="97" t="s">
        <v>77</v>
      </c>
      <c r="G51" s="97" t="s">
        <v>77</v>
      </c>
      <c r="H51" s="97"/>
      <c r="I51" s="97"/>
      <c r="J51" s="98"/>
      <c r="K51" s="247"/>
      <c r="L51" s="248"/>
    </row>
    <row r="52" spans="2:12" ht="24.75" customHeight="1" x14ac:dyDescent="0.2">
      <c r="B52" s="285"/>
      <c r="C52" s="29">
        <f>+'DATOS INICIALES'!D24</f>
        <v>721411</v>
      </c>
      <c r="D52" s="97" t="s">
        <v>77</v>
      </c>
      <c r="E52" s="97" t="s">
        <v>77</v>
      </c>
      <c r="F52" s="97" t="s">
        <v>77</v>
      </c>
      <c r="G52" s="97" t="s">
        <v>77</v>
      </c>
      <c r="H52" s="97"/>
      <c r="I52" s="97"/>
      <c r="J52" s="98"/>
      <c r="K52" s="247"/>
      <c r="L52" s="248"/>
    </row>
    <row r="53" spans="2:12" ht="24.75" customHeight="1" x14ac:dyDescent="0.2">
      <c r="B53" s="285"/>
      <c r="C53" s="29">
        <f>+'DATOS INICIALES'!D25</f>
        <v>721416</v>
      </c>
      <c r="D53" s="97" t="s">
        <v>75</v>
      </c>
      <c r="E53" s="97" t="s">
        <v>75</v>
      </c>
      <c r="F53" s="97" t="s">
        <v>75</v>
      </c>
      <c r="G53" s="97" t="s">
        <v>77</v>
      </c>
      <c r="H53" s="97"/>
      <c r="I53" s="97"/>
      <c r="J53" s="98"/>
      <c r="K53" s="247"/>
      <c r="L53" s="248"/>
    </row>
    <row r="54" spans="2:12" ht="24.75" customHeight="1" x14ac:dyDescent="0.2">
      <c r="B54" s="285"/>
      <c r="C54" s="29">
        <f>+'DATOS INICIALES'!D26</f>
        <v>721527</v>
      </c>
      <c r="D54" s="97" t="s">
        <v>77</v>
      </c>
      <c r="E54" s="97" t="s">
        <v>77</v>
      </c>
      <c r="F54" s="97" t="s">
        <v>77</v>
      </c>
      <c r="G54" s="97" t="s">
        <v>77</v>
      </c>
      <c r="H54" s="97"/>
      <c r="I54" s="97"/>
      <c r="J54" s="98"/>
      <c r="K54" s="247"/>
      <c r="L54" s="248"/>
    </row>
    <row r="55" spans="2:12" ht="24.75" customHeight="1" x14ac:dyDescent="0.2">
      <c r="B55" s="285"/>
      <c r="C55" s="29">
        <f>+'DATOS INICIALES'!D27</f>
        <v>721539</v>
      </c>
      <c r="D55" s="97" t="s">
        <v>77</v>
      </c>
      <c r="E55" s="97" t="s">
        <v>77</v>
      </c>
      <c r="F55" s="97" t="s">
        <v>77</v>
      </c>
      <c r="G55" s="97" t="s">
        <v>77</v>
      </c>
      <c r="H55" s="97"/>
      <c r="I55" s="97"/>
      <c r="J55" s="98"/>
      <c r="K55" s="247"/>
      <c r="L55" s="248"/>
    </row>
    <row r="56" spans="2:12" ht="24.75" customHeight="1" x14ac:dyDescent="0.2">
      <c r="B56" s="285"/>
      <c r="C56" s="29">
        <f>+'DATOS INICIALES'!D28</f>
        <v>951115</v>
      </c>
      <c r="D56" s="97" t="s">
        <v>77</v>
      </c>
      <c r="E56" s="97" t="s">
        <v>77</v>
      </c>
      <c r="F56" s="97" t="s">
        <v>77</v>
      </c>
      <c r="G56" s="97" t="s">
        <v>77</v>
      </c>
      <c r="H56" s="97"/>
      <c r="I56" s="97"/>
      <c r="J56" s="97"/>
      <c r="K56" s="247"/>
      <c r="L56" s="248"/>
    </row>
    <row r="57" spans="2:12" ht="24.75" customHeight="1" x14ac:dyDescent="0.2">
      <c r="B57" s="285"/>
      <c r="C57" s="29">
        <f>+'DATOS INICIALES'!D29</f>
        <v>721033</v>
      </c>
      <c r="D57" s="97" t="s">
        <v>77</v>
      </c>
      <c r="E57" s="97" t="s">
        <v>77</v>
      </c>
      <c r="F57" s="97" t="s">
        <v>77</v>
      </c>
      <c r="G57" s="97" t="s">
        <v>77</v>
      </c>
      <c r="H57" s="97"/>
      <c r="I57" s="97"/>
      <c r="J57" s="97"/>
      <c r="K57" s="247"/>
      <c r="L57" s="248"/>
    </row>
    <row r="58" spans="2:12" ht="60.75" customHeight="1" x14ac:dyDescent="0.2">
      <c r="B58" s="286"/>
      <c r="C58" s="18" t="s">
        <v>57</v>
      </c>
      <c r="D58" s="18" t="str">
        <f t="shared" ref="D58:G58" si="11">IF(D24="","N/A",IF(D50="SI","CUMPLE",IF(D51="SI","CUMPLE",IF(D52="SI","CUMPLE",IF(D53="SI","CUMPLE",IF(D54="SI","CUMPLE",IF(D55="SI","CUMPLE",IF(D57="SI","CUMPLE","NO CUMPLE"))))))))</f>
        <v>CUMPLE</v>
      </c>
      <c r="E58" s="18" t="str">
        <f t="shared" si="11"/>
        <v>CUMPLE</v>
      </c>
      <c r="F58" s="18" t="str">
        <f t="shared" si="11"/>
        <v>CUMPLE</v>
      </c>
      <c r="G58" s="18" t="str">
        <f t="shared" si="11"/>
        <v>CUMPLE</v>
      </c>
      <c r="H58" s="18" t="str">
        <f t="shared" ref="H58:J58" si="12">IF(H24="","N/A",IF(H50="SI","CUMPLE",IF(H51="SI","CUMPLE",IF(H52="SI","CUMPLE",IF(H53="SI","CUMPLE",IF(H54="SI","CUMPLE",IF(H55="SI","CUMPLE",IF(H57="SI","CUMPLE","NO CUMPLE"))))))))</f>
        <v>N/A</v>
      </c>
      <c r="I58" s="18" t="str">
        <f t="shared" si="12"/>
        <v>N/A</v>
      </c>
      <c r="J58" s="18" t="str">
        <f t="shared" si="12"/>
        <v>N/A</v>
      </c>
      <c r="K58" s="247"/>
      <c r="L58" s="248"/>
    </row>
    <row r="59" spans="2:12" ht="147.5" customHeight="1" x14ac:dyDescent="0.2">
      <c r="B59" s="287" t="s">
        <v>189</v>
      </c>
      <c r="C59" s="288"/>
      <c r="D59" s="91" t="s">
        <v>13</v>
      </c>
      <c r="E59" s="91" t="s">
        <v>13</v>
      </c>
      <c r="F59" s="91" t="s">
        <v>13</v>
      </c>
      <c r="G59" s="91" t="s">
        <v>13</v>
      </c>
      <c r="H59" s="91"/>
      <c r="I59" s="91"/>
      <c r="J59" s="91"/>
      <c r="K59" s="257"/>
      <c r="L59" s="258"/>
    </row>
    <row r="60" spans="2:12" ht="103.25" customHeight="1" x14ac:dyDescent="0.2">
      <c r="B60" s="287" t="s">
        <v>190</v>
      </c>
      <c r="C60" s="288"/>
      <c r="D60" s="91" t="s">
        <v>13</v>
      </c>
      <c r="E60" s="91" t="s">
        <v>13</v>
      </c>
      <c r="F60" s="91" t="s">
        <v>13</v>
      </c>
      <c r="G60" s="91" t="s">
        <v>13</v>
      </c>
      <c r="H60" s="91"/>
      <c r="I60" s="91"/>
      <c r="J60" s="91"/>
      <c r="K60" s="257"/>
      <c r="L60" s="258"/>
    </row>
    <row r="61" spans="2:12" ht="72" customHeight="1" x14ac:dyDescent="0.2">
      <c r="B61" s="281" t="s">
        <v>191</v>
      </c>
      <c r="C61" s="282"/>
      <c r="D61" s="91" t="s">
        <v>13</v>
      </c>
      <c r="E61" s="91" t="s">
        <v>13</v>
      </c>
      <c r="F61" s="91" t="s">
        <v>13</v>
      </c>
      <c r="G61" s="91" t="s">
        <v>13</v>
      </c>
      <c r="H61" s="91"/>
      <c r="I61" s="91"/>
      <c r="J61" s="91"/>
      <c r="K61" s="247"/>
      <c r="L61" s="248"/>
    </row>
    <row r="62" spans="2:12" ht="42.5" customHeight="1" x14ac:dyDescent="0.2">
      <c r="B62" s="281" t="s">
        <v>192</v>
      </c>
      <c r="C62" s="282"/>
      <c r="D62" s="91" t="s">
        <v>13</v>
      </c>
      <c r="E62" s="91" t="s">
        <v>13</v>
      </c>
      <c r="F62" s="91" t="s">
        <v>13</v>
      </c>
      <c r="G62" s="91" t="s">
        <v>13</v>
      </c>
      <c r="H62" s="91"/>
      <c r="I62" s="91"/>
      <c r="J62" s="91"/>
      <c r="K62" s="247"/>
      <c r="L62" s="248"/>
    </row>
    <row r="63" spans="2:12" ht="36" customHeight="1" x14ac:dyDescent="0.2">
      <c r="B63" s="281" t="s">
        <v>193</v>
      </c>
      <c r="C63" s="282"/>
      <c r="D63" s="91" t="s">
        <v>13</v>
      </c>
      <c r="E63" s="91" t="s">
        <v>13</v>
      </c>
      <c r="F63" s="91" t="s">
        <v>13</v>
      </c>
      <c r="G63" s="91" t="s">
        <v>13</v>
      </c>
      <c r="H63" s="91"/>
      <c r="I63" s="91"/>
      <c r="J63" s="91"/>
      <c r="K63" s="247"/>
      <c r="L63" s="248"/>
    </row>
    <row r="64" spans="2:12" ht="160.75" customHeight="1" x14ac:dyDescent="0.2">
      <c r="B64" s="281" t="s">
        <v>194</v>
      </c>
      <c r="C64" s="282"/>
      <c r="D64" s="91" t="s">
        <v>13</v>
      </c>
      <c r="E64" s="91" t="s">
        <v>13</v>
      </c>
      <c r="F64" s="91" t="s">
        <v>13</v>
      </c>
      <c r="G64" s="91" t="s">
        <v>13</v>
      </c>
      <c r="H64" s="91"/>
      <c r="I64" s="91"/>
      <c r="J64" s="91"/>
      <c r="K64" s="247"/>
      <c r="L64" s="248"/>
    </row>
    <row r="65" spans="2:12" ht="409.25" customHeight="1" x14ac:dyDescent="0.2">
      <c r="B65" s="261" t="s">
        <v>195</v>
      </c>
      <c r="C65" s="261"/>
      <c r="D65" s="91" t="s">
        <v>13</v>
      </c>
      <c r="E65" s="91" t="s">
        <v>13</v>
      </c>
      <c r="F65" s="91" t="s">
        <v>13</v>
      </c>
      <c r="G65" s="91" t="s">
        <v>13</v>
      </c>
      <c r="H65" s="91"/>
      <c r="I65" s="91"/>
      <c r="J65" s="91"/>
      <c r="K65" s="279"/>
      <c r="L65" s="280"/>
    </row>
    <row r="66" spans="2:12" ht="301.75" customHeight="1" x14ac:dyDescent="0.2">
      <c r="B66" s="262" t="s">
        <v>196</v>
      </c>
      <c r="C66" s="263"/>
      <c r="D66" s="91" t="s">
        <v>13</v>
      </c>
      <c r="E66" s="91" t="s">
        <v>13</v>
      </c>
      <c r="F66" s="91" t="s">
        <v>13</v>
      </c>
      <c r="G66" s="91" t="s">
        <v>13</v>
      </c>
      <c r="H66" s="91"/>
      <c r="I66" s="91"/>
      <c r="J66" s="91"/>
      <c r="K66" s="247"/>
      <c r="L66" s="248"/>
    </row>
    <row r="67" spans="2:12" ht="253.75" customHeight="1" x14ac:dyDescent="0.2">
      <c r="B67" s="283" t="s">
        <v>197</v>
      </c>
      <c r="C67" s="283"/>
      <c r="D67" s="91" t="s">
        <v>13</v>
      </c>
      <c r="E67" s="91" t="s">
        <v>13</v>
      </c>
      <c r="F67" s="91" t="s">
        <v>13</v>
      </c>
      <c r="G67" s="91" t="s">
        <v>13</v>
      </c>
      <c r="H67" s="91"/>
      <c r="I67" s="91"/>
      <c r="J67" s="91"/>
      <c r="K67" s="247"/>
      <c r="L67" s="248"/>
    </row>
    <row r="68" spans="2:12" ht="243.5" customHeight="1" x14ac:dyDescent="0.2">
      <c r="B68" s="261" t="s">
        <v>198</v>
      </c>
      <c r="C68" s="261"/>
      <c r="D68" s="91" t="s">
        <v>13</v>
      </c>
      <c r="E68" s="91" t="s">
        <v>13</v>
      </c>
      <c r="F68" s="91" t="s">
        <v>13</v>
      </c>
      <c r="G68" s="91" t="s">
        <v>13</v>
      </c>
      <c r="H68" s="91"/>
      <c r="I68" s="91"/>
      <c r="J68" s="91"/>
      <c r="K68" s="247"/>
      <c r="L68" s="248"/>
    </row>
    <row r="69" spans="2:12" ht="70.5" customHeight="1" x14ac:dyDescent="0.2">
      <c r="B69" s="289" t="s">
        <v>78</v>
      </c>
      <c r="C69" s="289"/>
      <c r="D69" s="18" t="str">
        <f>IF(D24="","N/A",IF(AND(D49="CUMPLE",D58="CUMPLE",D59="CUMPLE",D60="CUMPLE",D61="CUMPLE",D62="CUMPLE",OR(D64="CUMPLE",D64="N/A"),D65="CUMPLE",OR(D66="CUMPLE",D66="N/A"),D68="CUMPLE",OR(D67="CUMPLE",D67="N/A")),"CUMPLE","NO CUMPLE"))</f>
        <v>CUMPLE</v>
      </c>
      <c r="E69" s="18" t="str">
        <f>IF(E24="","N/A",IF(AND(E49="CUMPLE",E58="CUMPLE",E59="CUMPLE",E60="CUMPLE",E61="CUMPLE",E62="CUMPLE",OR(E64="CUMPLE",E64="N/A"),E65="CUMPLE",OR(E66="CUMPLE",E66="N/A"),E68="CUMPLE",OR(E67="CUMPLE",E67="N/A")),"CUMPLE","NO CUMPLE"))</f>
        <v>CUMPLE</v>
      </c>
      <c r="F69" s="18" t="str">
        <f t="shared" ref="F69:G69" si="13">IF(F24="","N/A",IF(AND(F49="CUMPLE",F58="CUMPLE",F59="CUMPLE",F60="CUMPLE",F61="CUMPLE",F62="CUMPLE",OR(F64="CUMPLE",F64="N/A"),F65="CUMPLE",OR(F66="CUMPLE",F66="N/A"),F68="CUMPLE",OR(F67="CUMPLE",F67="N/A")),"CUMPLE","NO CUMPLE"))</f>
        <v>CUMPLE</v>
      </c>
      <c r="G69" s="18" t="str">
        <f t="shared" si="13"/>
        <v>CUMPLE</v>
      </c>
      <c r="H69" s="18" t="str">
        <f t="shared" ref="H69:J69" si="14">IF(H24="","N/A",IF(AND(H49="CUMPLE",H58="CUMPLE",H59="CUMPLE",H60="CUMPLE",H61="CUMPLE",H62="CUMPLE",OR(H64="CUMPLE",H64="N/A"),H65="CUMPLE",OR(H66="CUMPLE",H66="N/A"),H68="CUMPLE",OR(H67="CUMPLE",H67="N/A")),"CUMPLE","NO CUMPLE"))</f>
        <v>N/A</v>
      </c>
      <c r="I69" s="18" t="str">
        <f t="shared" si="14"/>
        <v>N/A</v>
      </c>
      <c r="J69" s="18" t="str">
        <f t="shared" si="14"/>
        <v>N/A</v>
      </c>
      <c r="K69" s="147"/>
      <c r="L69" s="148"/>
    </row>
    <row r="70" spans="2:12" ht="54.5" customHeight="1" x14ac:dyDescent="0.2">
      <c r="B70" s="261" t="s">
        <v>188</v>
      </c>
      <c r="C70" s="261"/>
      <c r="D70" s="91" t="s">
        <v>13</v>
      </c>
      <c r="E70" s="91" t="s">
        <v>13</v>
      </c>
      <c r="F70" s="91" t="s">
        <v>13</v>
      </c>
      <c r="G70" s="91" t="s">
        <v>13</v>
      </c>
      <c r="H70" s="91"/>
      <c r="I70" s="91"/>
      <c r="J70" s="91"/>
      <c r="K70" s="247"/>
      <c r="L70" s="248"/>
    </row>
    <row r="77" spans="2:12" ht="16" thickBot="1" x14ac:dyDescent="0.25"/>
    <row r="78" spans="2:12" ht="61" thickBot="1" x14ac:dyDescent="0.25">
      <c r="D78" s="173" t="s">
        <v>199</v>
      </c>
      <c r="E78" s="174" t="s">
        <v>200</v>
      </c>
      <c r="F78" s="174" t="s">
        <v>200</v>
      </c>
    </row>
    <row r="79" spans="2:12" x14ac:dyDescent="0.2">
      <c r="D79" s="175">
        <v>1</v>
      </c>
      <c r="E79" s="183">
        <f>+L8</f>
        <v>11824.948449807693</v>
      </c>
      <c r="F79" s="176">
        <v>0.75</v>
      </c>
    </row>
    <row r="80" spans="2:12" x14ac:dyDescent="0.2">
      <c r="D80" s="177">
        <v>2</v>
      </c>
      <c r="E80" s="184">
        <f>+L8</f>
        <v>11824.948449807693</v>
      </c>
      <c r="F80" s="178">
        <v>0.75</v>
      </c>
    </row>
    <row r="81" spans="4:6" x14ac:dyDescent="0.2">
      <c r="D81" s="177">
        <v>3</v>
      </c>
      <c r="E81" s="184">
        <f>+L9</f>
        <v>18919.917519692306</v>
      </c>
      <c r="F81" s="178">
        <v>1.2</v>
      </c>
    </row>
    <row r="82" spans="4:6" x14ac:dyDescent="0.2">
      <c r="D82" s="177">
        <v>4</v>
      </c>
      <c r="E82" s="184">
        <f>+L9</f>
        <v>18919.917519692306</v>
      </c>
      <c r="F82" s="178">
        <v>1.2</v>
      </c>
    </row>
    <row r="83" spans="4:6" x14ac:dyDescent="0.2">
      <c r="D83" s="177">
        <v>5</v>
      </c>
      <c r="E83" s="184">
        <f>+L10</f>
        <v>23649.896899615385</v>
      </c>
      <c r="F83" s="178">
        <v>1.5</v>
      </c>
    </row>
    <row r="84" spans="4:6" x14ac:dyDescent="0.2">
      <c r="D84" s="181">
        <v>6</v>
      </c>
      <c r="E84" s="185">
        <f>+L10</f>
        <v>23649.896899615385</v>
      </c>
      <c r="F84" s="182">
        <v>1.5</v>
      </c>
    </row>
    <row r="85" spans="4:6" ht="16" thickBot="1" x14ac:dyDescent="0.25">
      <c r="D85" s="179">
        <v>7</v>
      </c>
      <c r="E85" s="186">
        <f>+L10</f>
        <v>23649.896899615385</v>
      </c>
      <c r="F85" s="180">
        <v>1.5</v>
      </c>
    </row>
  </sheetData>
  <sheetProtection formatCells="0" formatColumns="0" formatRows="0"/>
  <mergeCells count="88">
    <mergeCell ref="B68:C68"/>
    <mergeCell ref="K68:L68"/>
    <mergeCell ref="B69:C69"/>
    <mergeCell ref="B70:C70"/>
    <mergeCell ref="K70:L70"/>
    <mergeCell ref="B61:C61"/>
    <mergeCell ref="K61:L61"/>
    <mergeCell ref="K49:L49"/>
    <mergeCell ref="B50:B58"/>
    <mergeCell ref="K50:L50"/>
    <mergeCell ref="K51:L51"/>
    <mergeCell ref="K58:L58"/>
    <mergeCell ref="B59:C59"/>
    <mergeCell ref="K59:L59"/>
    <mergeCell ref="B60:C60"/>
    <mergeCell ref="K60:L60"/>
    <mergeCell ref="B66:C66"/>
    <mergeCell ref="K66:L66"/>
    <mergeCell ref="B67:C67"/>
    <mergeCell ref="K67:L67"/>
    <mergeCell ref="B62:C62"/>
    <mergeCell ref="K62:L62"/>
    <mergeCell ref="B63:C63"/>
    <mergeCell ref="K63:L63"/>
    <mergeCell ref="B64:C64"/>
    <mergeCell ref="K64:L64"/>
    <mergeCell ref="B65:C65"/>
    <mergeCell ref="K65:L65"/>
    <mergeCell ref="K38:L38"/>
    <mergeCell ref="K57:L57"/>
    <mergeCell ref="K40:L40"/>
    <mergeCell ref="K41:L41"/>
    <mergeCell ref="K42:L42"/>
    <mergeCell ref="K43:L43"/>
    <mergeCell ref="K44:L44"/>
    <mergeCell ref="K45:L45"/>
    <mergeCell ref="K52:L52"/>
    <mergeCell ref="K53:L53"/>
    <mergeCell ref="K54:L54"/>
    <mergeCell ref="K55:L55"/>
    <mergeCell ref="K56:L56"/>
    <mergeCell ref="K46:L46"/>
    <mergeCell ref="K47:L47"/>
    <mergeCell ref="K48:L48"/>
    <mergeCell ref="K24:L24"/>
    <mergeCell ref="K39:L39"/>
    <mergeCell ref="B26:C26"/>
    <mergeCell ref="K26:L26"/>
    <mergeCell ref="B27:B45"/>
    <mergeCell ref="K27:L27"/>
    <mergeCell ref="K28:L28"/>
    <mergeCell ref="K29:L29"/>
    <mergeCell ref="K30:L30"/>
    <mergeCell ref="K31:L31"/>
    <mergeCell ref="K32:L32"/>
    <mergeCell ref="K33:L33"/>
    <mergeCell ref="K34:L34"/>
    <mergeCell ref="K35:L35"/>
    <mergeCell ref="K36:L36"/>
    <mergeCell ref="K37:L37"/>
    <mergeCell ref="B25:C25"/>
    <mergeCell ref="K25:L25"/>
    <mergeCell ref="B13:L13"/>
    <mergeCell ref="B14:B19"/>
    <mergeCell ref="I15:I17"/>
    <mergeCell ref="J15:J17"/>
    <mergeCell ref="K15:K17"/>
    <mergeCell ref="L15:L17"/>
    <mergeCell ref="K18:L18"/>
    <mergeCell ref="I19:I20"/>
    <mergeCell ref="J19:J20"/>
    <mergeCell ref="K19:L20"/>
    <mergeCell ref="B21:L21"/>
    <mergeCell ref="B22:L22"/>
    <mergeCell ref="K23:L23"/>
    <mergeCell ref="B24:C24"/>
    <mergeCell ref="B12:L12"/>
    <mergeCell ref="B2:L2"/>
    <mergeCell ref="B3:L3"/>
    <mergeCell ref="B4:L4"/>
    <mergeCell ref="B5:L5"/>
    <mergeCell ref="B7:I7"/>
    <mergeCell ref="J7:L7"/>
    <mergeCell ref="C8:I8"/>
    <mergeCell ref="C9:I9"/>
    <mergeCell ref="C10:I10"/>
    <mergeCell ref="C11:G11"/>
    <mergeCell ref="I11:L11"/>
  </mergeCells>
  <conditionalFormatting sqref="D25:J35">
    <cfRule type="notContainsErrors" dxfId="53" priority="26">
      <formula>NOT(ISERROR(D25))</formula>
    </cfRule>
    <cfRule type="containsBlanks" dxfId="52" priority="25">
      <formula>LEN(TRIM(D25))=0</formula>
    </cfRule>
  </conditionalFormatting>
  <conditionalFormatting sqref="D34:J34 D24:K24">
    <cfRule type="containsBlanks" dxfId="51" priority="27">
      <formula>LEN(TRIM(D24))=0</formula>
    </cfRule>
  </conditionalFormatting>
  <conditionalFormatting sqref="D37:J37">
    <cfRule type="notContainsErrors" dxfId="50" priority="24">
      <formula>NOT(ISERROR(D37))</formula>
    </cfRule>
    <cfRule type="containsBlanks" dxfId="49" priority="23">
      <formula>LEN(TRIM(D37))=0</formula>
    </cfRule>
  </conditionalFormatting>
  <conditionalFormatting sqref="D40:J40">
    <cfRule type="notContainsErrors" dxfId="48" priority="22">
      <formula>NOT(ISERROR(D40))</formula>
    </cfRule>
    <cfRule type="containsBlanks" dxfId="47" priority="21">
      <formula>LEN(TRIM(D40))=0</formula>
    </cfRule>
  </conditionalFormatting>
  <conditionalFormatting sqref="D43:J43 K69:L69">
    <cfRule type="notContainsErrors" dxfId="46" priority="54">
      <formula>NOT(ISERROR(D43))</formula>
    </cfRule>
    <cfRule type="containsBlanks" dxfId="45" priority="53">
      <formula>LEN(TRIM(D43))=0</formula>
    </cfRule>
  </conditionalFormatting>
  <conditionalFormatting sqref="D46:J46">
    <cfRule type="containsBlanks" dxfId="44" priority="29">
      <formula>LEN(TRIM(D46))=0</formula>
    </cfRule>
    <cfRule type="notContainsErrors" dxfId="43" priority="30">
      <formula>NOT(ISERROR(D46))</formula>
    </cfRule>
  </conditionalFormatting>
  <conditionalFormatting sqref="D49:J57">
    <cfRule type="notContainsErrors" dxfId="42" priority="8">
      <formula>NOT(ISERROR(D49))</formula>
    </cfRule>
    <cfRule type="containsBlanks" dxfId="41" priority="7">
      <formula>LEN(TRIM(D49))=0</formula>
    </cfRule>
    <cfRule type="cellIs" dxfId="40" priority="6" operator="equal">
      <formula>"CUMPLE"</formula>
    </cfRule>
    <cfRule type="cellIs" dxfId="39" priority="5" operator="equal">
      <formula>"NO CUMPLE"</formula>
    </cfRule>
  </conditionalFormatting>
  <conditionalFormatting sqref="D58:J58">
    <cfRule type="cellIs" dxfId="38" priority="17" operator="equal">
      <formula>"N/A"</formula>
    </cfRule>
    <cfRule type="cellIs" dxfId="37" priority="18" operator="equal">
      <formula>"CUMPLE"</formula>
    </cfRule>
    <cfRule type="cellIs" dxfId="36" priority="19" operator="equal">
      <formula>"NO CUMPLE"</formula>
    </cfRule>
    <cfRule type="cellIs" dxfId="35" priority="20" operator="equal">
      <formula>"""CUMPLE"""</formula>
    </cfRule>
  </conditionalFormatting>
  <conditionalFormatting sqref="D59:J68">
    <cfRule type="containsBlanks" dxfId="34" priority="11">
      <formula>LEN(TRIM(D59))=0</formula>
    </cfRule>
    <cfRule type="notContainsErrors" dxfId="33" priority="12">
      <formula>NOT(ISERROR(D59))</formula>
    </cfRule>
    <cfRule type="cellIs" dxfId="32" priority="10" operator="equal">
      <formula>"CUMPLE"</formula>
    </cfRule>
    <cfRule type="cellIs" dxfId="31" priority="9" operator="equal">
      <formula>"NO CUMPLE"</formula>
    </cfRule>
  </conditionalFormatting>
  <conditionalFormatting sqref="D69:J69">
    <cfRule type="cellIs" dxfId="30" priority="13" operator="equal">
      <formula>"N/A"</formula>
    </cfRule>
    <cfRule type="cellIs" dxfId="29" priority="15" operator="equal">
      <formula>"NO CUMPLE"</formula>
    </cfRule>
    <cfRule type="cellIs" dxfId="28" priority="16" operator="equal">
      <formula>"""CUMPLE"""</formula>
    </cfRule>
    <cfRule type="cellIs" dxfId="27" priority="14" operator="equal">
      <formula>"CUMPLE"</formula>
    </cfRule>
  </conditionalFormatting>
  <conditionalFormatting sqref="D70:J70">
    <cfRule type="cellIs" dxfId="26" priority="1" operator="equal">
      <formula>"NO CUMPLE"</formula>
    </cfRule>
    <cfRule type="cellIs" dxfId="25" priority="2" operator="equal">
      <formula>"CUMPLE"</formula>
    </cfRule>
  </conditionalFormatting>
  <conditionalFormatting sqref="D24:K24 D34:J34">
    <cfRule type="notContainsErrors" dxfId="24" priority="28">
      <formula>NOT(ISERROR(D24))</formula>
    </cfRule>
  </conditionalFormatting>
  <conditionalFormatting sqref="D70:K70">
    <cfRule type="notContainsErrors" dxfId="23" priority="4">
      <formula>NOT(ISERROR(D70))</formula>
    </cfRule>
    <cfRule type="containsBlanks" dxfId="22" priority="3">
      <formula>LEN(TRIM(D70))=0</formula>
    </cfRule>
  </conditionalFormatting>
  <conditionalFormatting sqref="F20:H20">
    <cfRule type="cellIs" dxfId="21" priority="69" operator="equal">
      <formula>"CUMPLE"</formula>
    </cfRule>
    <cfRule type="cellIs" dxfId="20" priority="70" operator="equal">
      <formula>"NO CUMPLE"</formula>
    </cfRule>
    <cfRule type="cellIs" dxfId="19" priority="71" operator="equal">
      <formula>"""CUMPLE"""</formula>
    </cfRule>
  </conditionalFormatting>
  <conditionalFormatting sqref="I11">
    <cfRule type="containsText" dxfId="18" priority="72" operator="containsText" text="INHABILITADO">
      <formula>NOT(ISERROR(SEARCH("INHABILITADO",I11)))</formula>
    </cfRule>
    <cfRule type="containsText" dxfId="17" priority="73" operator="containsText" text="HABILITADO">
      <formula>NOT(ISERROR(SEARCH("HABILITADO",I11)))</formula>
    </cfRule>
    <cfRule type="containsText" dxfId="16" priority="74" operator="containsText" text="HABILITADO">
      <formula>NOT(ISERROR(SEARCH("HABILITADO",I11)))</formula>
    </cfRule>
    <cfRule type="containsText" dxfId="15" priority="75" operator="containsText" text="NO CUMPLE">
      <formula>NOT(ISERROR(SEARCH("NO CUMPLE",I11)))</formula>
    </cfRule>
  </conditionalFormatting>
  <conditionalFormatting sqref="K19">
    <cfRule type="cellIs" dxfId="14" priority="60" operator="equal">
      <formula>"CUMPLE"</formula>
    </cfRule>
    <cfRule type="cellIs" dxfId="13" priority="61" operator="equal">
      <formula>"NO CUMPLE"</formula>
    </cfRule>
    <cfRule type="cellIs" dxfId="12" priority="62" operator="equal">
      <formula>"""CUMPLE"""</formula>
    </cfRule>
  </conditionalFormatting>
  <conditionalFormatting sqref="K25:K68">
    <cfRule type="containsBlanks" dxfId="11" priority="51">
      <formula>LEN(TRIM(K25))=0</formula>
    </cfRule>
    <cfRule type="notContainsErrors" dxfId="10" priority="52">
      <formula>NOT(ISERROR(K25))</formula>
    </cfRule>
  </conditionalFormatting>
  <conditionalFormatting sqref="L15">
    <cfRule type="cellIs" dxfId="9" priority="66" operator="equal">
      <formula>"CUMPLE"</formula>
    </cfRule>
    <cfRule type="cellIs" dxfId="8" priority="67" operator="equal">
      <formula>"NO CUMPLE"</formula>
    </cfRule>
    <cfRule type="cellIs" dxfId="7" priority="68" operator="equal">
      <formula>"""CUMPLE"""</formula>
    </cfRule>
  </conditionalFormatting>
  <dataValidations count="3">
    <dataValidation type="list" allowBlank="1" showInputMessage="1" showErrorMessage="1" sqref="H70:I70" xr:uid="{430D0725-9D81-4DAE-9E32-84843A4FBB98}">
      <formula1>"CUMPLE,NO CUMPLE"</formula1>
    </dataValidation>
    <dataValidation type="list" allowBlank="1" showInputMessage="1" showErrorMessage="1" sqref="D24:J26" xr:uid="{68597053-E344-48F8-9788-9EB9BC4CEEAE}">
      <formula1>$C$15:$C$19</formula1>
    </dataValidation>
    <dataValidation type="list" allowBlank="1" showInputMessage="1" showErrorMessage="1" sqref="L61:L69" xr:uid="{BE44C25A-107C-4150-BAFB-9B551CEFD88C}">
      <formula1>"0,1,2,3,4,5,6"</formula1>
    </dataValidation>
  </dataValidations>
  <printOptions horizontalCentered="1"/>
  <pageMargins left="0.51181102362204722" right="0.51181102362204722" top="0.74803149606299213" bottom="0.74803149606299213" header="0.31496062992125984" footer="0.31496062992125984"/>
  <pageSetup scale="16" orientation="landscape" r:id="rId1"/>
  <rowBreaks count="1" manualBreakCount="1">
    <brk id="34" max="16383" man="1"/>
  </rowBreaks>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r:uid="{F4CCA31E-2347-4FC8-A1A5-7BB35A282BBE}">
          <x14:formula1>
            <xm:f>'DATOS INICIALES'!$A$13:$A$44</xm:f>
          </x14:formula1>
          <xm:sqref>H31:I31</xm:sqref>
        </x14:dataValidation>
        <x14:dataValidation type="list" allowBlank="1" showInputMessage="1" showErrorMessage="1" xr:uid="{1D1DD993-358F-47F8-9AA5-34086E319746}">
          <x14:formula1>
            <xm:f>'DATOS INICIALES'!$D$22:$D$26</xm:f>
          </x14:formula1>
          <xm:sqref>M50:M58</xm:sqref>
        </x14:dataValidation>
        <x14:dataValidation type="list" allowBlank="1" showInputMessage="1" showErrorMessage="1" xr:uid="{06B7C23C-2E9D-483C-9135-3B8F73BB0F46}">
          <x14:formula1>
            <xm:f>'DATOS INICIALES'!$A$57:$A$62</xm:f>
          </x14:formula1>
          <xm:sqref>D23:I23</xm:sqref>
        </x14:dataValidation>
        <x14:dataValidation type="list" allowBlank="1" showInputMessage="1" showErrorMessage="1" xr:uid="{C6E93F46-C656-42A3-954F-A6942DC14CFA}">
          <x14:formula1>
            <xm:f>'DATOS INICIALES'!$A$53:$A$55</xm:f>
          </x14:formula1>
          <xm:sqref>H62:J68 H49:J49 J59:J60 H59:I61</xm:sqref>
        </x14:dataValidation>
        <x14:dataValidation type="list" allowBlank="1" showInputMessage="1" showErrorMessage="1" xr:uid="{175BFD50-CE77-4A4B-A0D4-0CA4D2B1C9F5}">
          <x14:formula1>
            <xm:f>'DATOS INICIALES'!$C$48:$C$49</xm:f>
          </x14:formula1>
          <xm:sqref>J50:J55 H50:I57</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25990-F8FB-4AFC-86CE-24955D311D03}">
  <dimension ref="A1:P52"/>
  <sheetViews>
    <sheetView view="pageBreakPreview" zoomScale="40" zoomScaleNormal="70" zoomScaleSheetLayoutView="40" workbookViewId="0">
      <pane ySplit="9" topLeftCell="A10" activePane="bottomLeft" state="frozen"/>
      <selection pane="bottomLeft" activeCell="F15" sqref="F15"/>
    </sheetView>
  </sheetViews>
  <sheetFormatPr baseColWidth="10" defaultColWidth="11.5" defaultRowHeight="14" x14ac:dyDescent="0.2"/>
  <cols>
    <col min="1" max="1" width="5.6640625" style="158" customWidth="1"/>
    <col min="2" max="2" width="74.33203125" style="158" customWidth="1"/>
    <col min="3" max="3" width="84.83203125" style="158" customWidth="1"/>
    <col min="4" max="4" width="23.33203125" style="158" customWidth="1"/>
    <col min="5" max="5" width="61.1640625" style="158" customWidth="1"/>
    <col min="6" max="6" width="23.1640625" style="158" customWidth="1"/>
    <col min="7" max="7" width="71.83203125" style="158" customWidth="1"/>
    <col min="8" max="8" width="22.6640625" style="158" customWidth="1"/>
    <col min="9" max="9" width="48.1640625" style="158" customWidth="1"/>
    <col min="10" max="10" width="20.83203125" style="158" customWidth="1"/>
    <col min="11" max="11" width="23.1640625" style="158" customWidth="1"/>
    <col min="12" max="12" width="14.6640625" style="158" customWidth="1"/>
    <col min="13" max="13" width="20.33203125" style="158" customWidth="1"/>
    <col min="14" max="14" width="23.5" style="158" customWidth="1"/>
    <col min="15" max="15" width="21.1640625" style="158" customWidth="1"/>
    <col min="16" max="16" width="16.6640625" style="158" customWidth="1"/>
    <col min="17" max="16384" width="11.5" style="158"/>
  </cols>
  <sheetData>
    <row r="1" spans="1:16" ht="24" customHeight="1" x14ac:dyDescent="0.2">
      <c r="A1" s="379" t="s">
        <v>177</v>
      </c>
      <c r="B1" s="380"/>
      <c r="C1" s="380"/>
      <c r="D1" s="380"/>
      <c r="E1" s="380"/>
      <c r="F1" s="380"/>
      <c r="G1" s="380"/>
      <c r="H1" s="380"/>
      <c r="I1" s="380"/>
      <c r="J1" s="380"/>
      <c r="K1" s="380"/>
      <c r="L1" s="380"/>
      <c r="M1" s="380"/>
      <c r="N1" s="380"/>
      <c r="O1" s="380"/>
      <c r="P1" s="380"/>
    </row>
    <row r="2" spans="1:16" ht="75" customHeight="1" x14ac:dyDescent="0.2">
      <c r="A2" s="383"/>
      <c r="B2" s="383"/>
      <c r="C2" s="384" t="s">
        <v>0</v>
      </c>
      <c r="D2" s="384"/>
      <c r="E2" s="379" t="str">
        <f>+'DATOS INICIALES'!D2</f>
        <v>CONTRATAR POR EL SISTEMA DE PRECIOS UNITARIOS FIJOS Y A MONTO AGOTABLE LA INTERVENCIÓN DE LOS ELEMENTOS DE LA MALLA VIAL LOCAL E INTERMEDIA, ESPACIO PÚBLICO Y CICLOINFRAESTRUCTURA DE LA LOCALIDAD DE USAQUÉN EN BOGOTÁ CON OBRAS Y ACTIVIDADES DE CONSERVACIÓN</v>
      </c>
      <c r="F2" s="380"/>
      <c r="G2" s="380"/>
      <c r="H2" s="380"/>
      <c r="I2" s="380"/>
      <c r="J2" s="380"/>
      <c r="K2" s="380"/>
      <c r="L2" s="380"/>
      <c r="M2" s="380"/>
      <c r="N2" s="380"/>
      <c r="O2" s="380"/>
      <c r="P2" s="380"/>
    </row>
    <row r="3" spans="1:16" ht="19" x14ac:dyDescent="0.25">
      <c r="A3" s="383"/>
      <c r="B3" s="383"/>
      <c r="C3" s="385" t="s">
        <v>1</v>
      </c>
      <c r="D3" s="386"/>
      <c r="E3" s="386"/>
      <c r="F3" s="386"/>
      <c r="G3" s="386"/>
      <c r="H3" s="386"/>
      <c r="I3" s="386"/>
      <c r="J3" s="386"/>
      <c r="K3" s="386"/>
      <c r="L3" s="386"/>
      <c r="M3" s="386"/>
      <c r="N3" s="386"/>
      <c r="O3" s="386"/>
    </row>
    <row r="4" spans="1:16" ht="19" x14ac:dyDescent="0.25">
      <c r="A4" s="372" t="s">
        <v>2</v>
      </c>
      <c r="B4" s="372"/>
      <c r="C4" s="372" t="str">
        <f>+'DATOS INICIALES'!B4</f>
        <v>LICITACION PÚBLICA</v>
      </c>
      <c r="D4" s="372"/>
      <c r="E4" s="372"/>
      <c r="F4" s="373" t="s">
        <v>3</v>
      </c>
      <c r="G4" s="373"/>
      <c r="H4" s="374" t="str">
        <f>+'DATOS INICIALES'!G4</f>
        <v xml:space="preserve">FDLUSA-LP-002-2024 </v>
      </c>
      <c r="I4" s="375"/>
      <c r="J4" s="375"/>
      <c r="K4" s="375"/>
      <c r="L4" s="375"/>
      <c r="M4" s="375"/>
      <c r="N4" s="375"/>
      <c r="O4" s="375"/>
    </row>
    <row r="5" spans="1:16" ht="18.75" customHeight="1" x14ac:dyDescent="0.2">
      <c r="A5" s="367" t="s">
        <v>4</v>
      </c>
      <c r="B5" s="368"/>
      <c r="C5" s="171" t="str">
        <f>+'DATOS INICIALES'!B5</f>
        <v>PRESUPUESTO</v>
      </c>
      <c r="D5" s="371">
        <f>+'DATOS INICIALES'!C5</f>
        <v>20496577313</v>
      </c>
      <c r="E5" s="371"/>
      <c r="F5" s="378" t="s">
        <v>113</v>
      </c>
      <c r="G5" s="378"/>
      <c r="H5" s="378"/>
      <c r="I5" s="378"/>
      <c r="J5" s="378"/>
      <c r="K5" s="378"/>
      <c r="L5" s="378"/>
      <c r="M5" s="378"/>
      <c r="N5" s="381">
        <f>+'DATOS INICIALES'!G5</f>
        <v>12</v>
      </c>
      <c r="O5" s="376" t="str">
        <f>+'DATOS INICIALES'!I5</f>
        <v>MESES</v>
      </c>
    </row>
    <row r="6" spans="1:16" ht="18.75" customHeight="1" x14ac:dyDescent="0.2">
      <c r="A6" s="369"/>
      <c r="B6" s="370"/>
      <c r="C6" s="170"/>
      <c r="D6" s="371"/>
      <c r="E6" s="371"/>
      <c r="F6" s="378"/>
      <c r="G6" s="378"/>
      <c r="H6" s="378"/>
      <c r="I6" s="378"/>
      <c r="J6" s="378"/>
      <c r="K6" s="378"/>
      <c r="L6" s="378"/>
      <c r="M6" s="378"/>
      <c r="N6" s="382"/>
      <c r="O6" s="377"/>
    </row>
    <row r="7" spans="1:16" x14ac:dyDescent="0.2">
      <c r="D7" s="169"/>
    </row>
    <row r="8" spans="1:16" ht="21" x14ac:dyDescent="0.25">
      <c r="A8" s="366" t="s">
        <v>139</v>
      </c>
      <c r="B8" s="366"/>
      <c r="C8" s="366"/>
      <c r="D8" s="366"/>
      <c r="E8" s="366"/>
      <c r="F8" s="366"/>
      <c r="G8" s="366"/>
      <c r="H8" s="366"/>
      <c r="I8" s="366"/>
      <c r="J8" s="366"/>
      <c r="K8" s="366"/>
      <c r="L8" s="366"/>
      <c r="M8" s="366"/>
      <c r="N8" s="366"/>
    </row>
    <row r="9" spans="1:16" ht="66" x14ac:dyDescent="0.2">
      <c r="A9" s="172" t="s">
        <v>79</v>
      </c>
      <c r="B9" s="172" t="s">
        <v>26</v>
      </c>
      <c r="C9" s="172" t="s">
        <v>44</v>
      </c>
      <c r="D9" s="172" t="s">
        <v>27</v>
      </c>
      <c r="E9" s="172" t="s">
        <v>45</v>
      </c>
      <c r="F9" s="172" t="s">
        <v>27</v>
      </c>
      <c r="G9" s="172" t="s">
        <v>46</v>
      </c>
      <c r="H9" s="172" t="s">
        <v>27</v>
      </c>
      <c r="I9" s="172" t="s">
        <v>47</v>
      </c>
      <c r="J9" s="172" t="s">
        <v>27</v>
      </c>
      <c r="K9" s="172" t="s">
        <v>48</v>
      </c>
      <c r="L9" s="172" t="s">
        <v>27</v>
      </c>
      <c r="M9" s="172" t="s">
        <v>51</v>
      </c>
      <c r="N9" s="172" t="s">
        <v>50</v>
      </c>
    </row>
    <row r="10" spans="1:16" s="159" customFormat="1" ht="51.75" customHeight="1" x14ac:dyDescent="0.2">
      <c r="A10" s="168">
        <v>1</v>
      </c>
      <c r="B10" s="166" t="s">
        <v>201</v>
      </c>
      <c r="C10" s="166" t="s">
        <v>231</v>
      </c>
      <c r="D10" s="167">
        <v>0.5</v>
      </c>
      <c r="E10" s="166" t="s">
        <v>232</v>
      </c>
      <c r="F10" s="165">
        <v>0.5</v>
      </c>
      <c r="G10" s="163"/>
      <c r="H10" s="162"/>
      <c r="I10" s="163"/>
      <c r="J10" s="162"/>
      <c r="K10" s="163"/>
      <c r="L10" s="162"/>
      <c r="M10" s="161">
        <f t="shared" ref="M10:M42" si="0">+COUNTIF(C10:L10,"*")</f>
        <v>2</v>
      </c>
      <c r="N10" s="160">
        <f t="shared" ref="N10:N42" si="1">+SUM(D10,F10,H10,J10,L10)</f>
        <v>1</v>
      </c>
    </row>
    <row r="11" spans="1:16" s="159" customFormat="1" ht="40.5" customHeight="1" x14ac:dyDescent="0.2">
      <c r="A11" s="168">
        <v>2</v>
      </c>
      <c r="B11" s="166" t="s">
        <v>202</v>
      </c>
      <c r="C11" s="166" t="s">
        <v>233</v>
      </c>
      <c r="D11" s="167">
        <v>0.9</v>
      </c>
      <c r="E11" s="166" t="s">
        <v>234</v>
      </c>
      <c r="F11" s="165">
        <v>0.1</v>
      </c>
      <c r="G11" s="163"/>
      <c r="H11" s="162"/>
      <c r="I11" s="163"/>
      <c r="J11" s="162"/>
      <c r="K11" s="163"/>
      <c r="L11" s="162"/>
      <c r="M11" s="161">
        <f t="shared" si="0"/>
        <v>2</v>
      </c>
      <c r="N11" s="160">
        <f t="shared" si="1"/>
        <v>1</v>
      </c>
    </row>
    <row r="12" spans="1:16" s="159" customFormat="1" ht="40.5" customHeight="1" x14ac:dyDescent="0.2">
      <c r="A12" s="168">
        <v>3</v>
      </c>
      <c r="B12" s="166" t="s">
        <v>203</v>
      </c>
      <c r="C12" s="166" t="s">
        <v>235</v>
      </c>
      <c r="D12" s="167">
        <v>0.4</v>
      </c>
      <c r="E12" s="166" t="s">
        <v>236</v>
      </c>
      <c r="F12" s="165">
        <v>0.6</v>
      </c>
      <c r="G12" s="163"/>
      <c r="H12" s="162"/>
      <c r="I12" s="163"/>
      <c r="J12" s="162"/>
      <c r="K12" s="163"/>
      <c r="L12" s="162"/>
      <c r="M12" s="161">
        <f t="shared" si="0"/>
        <v>2</v>
      </c>
      <c r="N12" s="160">
        <f t="shared" si="1"/>
        <v>1</v>
      </c>
    </row>
    <row r="13" spans="1:16" s="159" customFormat="1" ht="46.5" customHeight="1" x14ac:dyDescent="0.2">
      <c r="A13" s="168">
        <v>4</v>
      </c>
      <c r="B13" s="166" t="s">
        <v>204</v>
      </c>
      <c r="C13" s="166" t="s">
        <v>237</v>
      </c>
      <c r="D13" s="167">
        <v>0.1</v>
      </c>
      <c r="E13" s="166" t="s">
        <v>238</v>
      </c>
      <c r="F13" s="165">
        <v>0.4</v>
      </c>
      <c r="G13" s="163" t="s">
        <v>239</v>
      </c>
      <c r="H13" s="162">
        <v>0.5</v>
      </c>
      <c r="I13" s="163"/>
      <c r="J13" s="162"/>
      <c r="K13" s="163"/>
      <c r="L13" s="162"/>
      <c r="M13" s="161">
        <f t="shared" si="0"/>
        <v>3</v>
      </c>
      <c r="N13" s="160">
        <f t="shared" si="1"/>
        <v>1</v>
      </c>
    </row>
    <row r="14" spans="1:16" s="159" customFormat="1" ht="40.5" customHeight="1" x14ac:dyDescent="0.2">
      <c r="A14" s="168">
        <v>5</v>
      </c>
      <c r="B14" s="166" t="s">
        <v>205</v>
      </c>
      <c r="C14" s="166" t="s">
        <v>240</v>
      </c>
      <c r="D14" s="167">
        <v>0.5</v>
      </c>
      <c r="E14" s="166" t="s">
        <v>241</v>
      </c>
      <c r="F14" s="165">
        <v>0.5</v>
      </c>
      <c r="G14" s="164"/>
      <c r="H14" s="162"/>
      <c r="I14" s="163"/>
      <c r="J14" s="162"/>
      <c r="K14" s="163"/>
      <c r="L14" s="162"/>
      <c r="M14" s="161">
        <f t="shared" si="0"/>
        <v>2</v>
      </c>
      <c r="N14" s="160">
        <f t="shared" si="1"/>
        <v>1</v>
      </c>
    </row>
    <row r="15" spans="1:16" s="159" customFormat="1" ht="40.5" customHeight="1" x14ac:dyDescent="0.2">
      <c r="A15" s="168">
        <v>6</v>
      </c>
      <c r="B15" s="166" t="s">
        <v>206</v>
      </c>
      <c r="C15" s="166" t="s">
        <v>242</v>
      </c>
      <c r="D15" s="167">
        <v>0.5</v>
      </c>
      <c r="E15" s="166" t="s">
        <v>243</v>
      </c>
      <c r="F15" s="165">
        <v>0.5</v>
      </c>
      <c r="G15" s="163"/>
      <c r="H15" s="162"/>
      <c r="I15" s="163"/>
      <c r="J15" s="162"/>
      <c r="K15" s="163"/>
      <c r="L15" s="162"/>
      <c r="M15" s="161">
        <f t="shared" si="0"/>
        <v>2</v>
      </c>
      <c r="N15" s="160">
        <f t="shared" si="1"/>
        <v>1</v>
      </c>
    </row>
    <row r="16" spans="1:16" s="159" customFormat="1" ht="54.75" customHeight="1" x14ac:dyDescent="0.2">
      <c r="A16" s="168">
        <v>7</v>
      </c>
      <c r="B16" s="166" t="s">
        <v>207</v>
      </c>
      <c r="C16" s="166" t="s">
        <v>244</v>
      </c>
      <c r="D16" s="167">
        <v>0.5</v>
      </c>
      <c r="E16" s="166" t="s">
        <v>245</v>
      </c>
      <c r="F16" s="165">
        <v>0.5</v>
      </c>
      <c r="G16" s="163"/>
      <c r="H16" s="162"/>
      <c r="I16" s="163"/>
      <c r="J16" s="162"/>
      <c r="K16" s="163"/>
      <c r="L16" s="162"/>
      <c r="M16" s="161">
        <f t="shared" si="0"/>
        <v>2</v>
      </c>
      <c r="N16" s="160">
        <f t="shared" si="1"/>
        <v>1</v>
      </c>
    </row>
    <row r="17" spans="1:14" s="159" customFormat="1" ht="54.75" customHeight="1" x14ac:dyDescent="0.2">
      <c r="A17" s="168">
        <v>8</v>
      </c>
      <c r="B17" s="166" t="s">
        <v>208</v>
      </c>
      <c r="C17" s="166" t="s">
        <v>246</v>
      </c>
      <c r="D17" s="167">
        <v>0.5</v>
      </c>
      <c r="E17" s="166" t="s">
        <v>247</v>
      </c>
      <c r="F17" s="165">
        <v>0.5</v>
      </c>
      <c r="G17" s="163"/>
      <c r="H17" s="162"/>
      <c r="I17" s="163"/>
      <c r="J17" s="162"/>
      <c r="K17" s="163"/>
      <c r="L17" s="162"/>
      <c r="M17" s="161">
        <f t="shared" si="0"/>
        <v>2</v>
      </c>
      <c r="N17" s="160">
        <f t="shared" si="1"/>
        <v>1</v>
      </c>
    </row>
    <row r="18" spans="1:14" s="159" customFormat="1" ht="40.5" customHeight="1" x14ac:dyDescent="0.2">
      <c r="A18" s="168">
        <v>9</v>
      </c>
      <c r="B18" s="166" t="s">
        <v>209</v>
      </c>
      <c r="C18" s="166" t="s">
        <v>248</v>
      </c>
      <c r="D18" s="167">
        <v>0.5</v>
      </c>
      <c r="E18" s="166" t="s">
        <v>249</v>
      </c>
      <c r="F18" s="165">
        <v>0.4</v>
      </c>
      <c r="G18" s="163" t="s">
        <v>250</v>
      </c>
      <c r="H18" s="162">
        <v>0.1</v>
      </c>
      <c r="I18" s="163"/>
      <c r="J18" s="162"/>
      <c r="K18" s="163"/>
      <c r="L18" s="162"/>
      <c r="M18" s="161">
        <f t="shared" si="0"/>
        <v>3</v>
      </c>
      <c r="N18" s="160">
        <f t="shared" si="1"/>
        <v>1</v>
      </c>
    </row>
    <row r="19" spans="1:14" s="159" customFormat="1" ht="40.5" customHeight="1" x14ac:dyDescent="0.2">
      <c r="A19" s="168">
        <v>10</v>
      </c>
      <c r="B19" s="166" t="s">
        <v>210</v>
      </c>
      <c r="C19" s="166" t="s">
        <v>251</v>
      </c>
      <c r="D19" s="167">
        <v>0.9</v>
      </c>
      <c r="E19" s="166" t="s">
        <v>252</v>
      </c>
      <c r="F19" s="165">
        <v>0.1</v>
      </c>
      <c r="G19" s="163"/>
      <c r="H19" s="162"/>
      <c r="I19" s="163"/>
      <c r="J19" s="162"/>
      <c r="K19" s="163"/>
      <c r="L19" s="162"/>
      <c r="M19" s="161">
        <f t="shared" si="0"/>
        <v>2</v>
      </c>
      <c r="N19" s="160">
        <f t="shared" si="1"/>
        <v>1</v>
      </c>
    </row>
    <row r="20" spans="1:14" s="159" customFormat="1" ht="40.5" customHeight="1" x14ac:dyDescent="0.2">
      <c r="A20" s="168">
        <v>11</v>
      </c>
      <c r="B20" s="166" t="s">
        <v>211</v>
      </c>
      <c r="C20" s="166" t="s">
        <v>253</v>
      </c>
      <c r="D20" s="167">
        <v>1</v>
      </c>
      <c r="E20" s="166"/>
      <c r="F20" s="165"/>
      <c r="G20" s="163"/>
      <c r="H20" s="162"/>
      <c r="I20" s="163"/>
      <c r="J20" s="162"/>
      <c r="K20" s="163"/>
      <c r="L20" s="162"/>
      <c r="M20" s="161">
        <f t="shared" si="0"/>
        <v>1</v>
      </c>
      <c r="N20" s="160">
        <f t="shared" si="1"/>
        <v>1</v>
      </c>
    </row>
    <row r="21" spans="1:14" s="159" customFormat="1" ht="40.5" customHeight="1" x14ac:dyDescent="0.2">
      <c r="A21" s="168">
        <v>12</v>
      </c>
      <c r="B21" s="166" t="s">
        <v>212</v>
      </c>
      <c r="C21" s="166" t="s">
        <v>254</v>
      </c>
      <c r="D21" s="167">
        <v>0.5</v>
      </c>
      <c r="E21" s="166" t="s">
        <v>255</v>
      </c>
      <c r="F21" s="165">
        <v>0.5</v>
      </c>
      <c r="G21" s="163"/>
      <c r="H21" s="162"/>
      <c r="I21" s="163"/>
      <c r="J21" s="162"/>
      <c r="K21" s="163"/>
      <c r="L21" s="162"/>
      <c r="M21" s="161">
        <f t="shared" si="0"/>
        <v>2</v>
      </c>
      <c r="N21" s="160">
        <f t="shared" si="1"/>
        <v>1</v>
      </c>
    </row>
    <row r="22" spans="1:14" s="159" customFormat="1" ht="40.5" customHeight="1" x14ac:dyDescent="0.2">
      <c r="A22" s="168">
        <v>13</v>
      </c>
      <c r="B22" s="166" t="s">
        <v>213</v>
      </c>
      <c r="C22" s="166" t="s">
        <v>256</v>
      </c>
      <c r="D22" s="167">
        <v>0.5</v>
      </c>
      <c r="E22" s="166" t="s">
        <v>257</v>
      </c>
      <c r="F22" s="165">
        <v>0.5</v>
      </c>
      <c r="G22" s="163"/>
      <c r="H22" s="162"/>
      <c r="I22" s="163"/>
      <c r="J22" s="162"/>
      <c r="K22" s="163"/>
      <c r="L22" s="162"/>
      <c r="M22" s="161">
        <f t="shared" si="0"/>
        <v>2</v>
      </c>
      <c r="N22" s="160">
        <f t="shared" si="1"/>
        <v>1</v>
      </c>
    </row>
    <row r="23" spans="1:14" s="159" customFormat="1" ht="48" customHeight="1" x14ac:dyDescent="0.2">
      <c r="A23" s="168">
        <v>14</v>
      </c>
      <c r="B23" s="166" t="s">
        <v>329</v>
      </c>
      <c r="C23" s="166" t="s">
        <v>258</v>
      </c>
      <c r="D23" s="167">
        <v>0.9</v>
      </c>
      <c r="E23" s="166" t="s">
        <v>259</v>
      </c>
      <c r="F23" s="165">
        <v>0.1</v>
      </c>
      <c r="G23" s="163"/>
      <c r="H23" s="162"/>
      <c r="I23" s="163"/>
      <c r="J23" s="162"/>
      <c r="K23" s="163"/>
      <c r="L23" s="162"/>
      <c r="M23" s="161">
        <f t="shared" si="0"/>
        <v>2</v>
      </c>
      <c r="N23" s="160">
        <f t="shared" si="1"/>
        <v>1</v>
      </c>
    </row>
    <row r="24" spans="1:14" s="159" customFormat="1" ht="40.5" customHeight="1" x14ac:dyDescent="0.2">
      <c r="A24" s="168">
        <v>15</v>
      </c>
      <c r="B24" s="166" t="s">
        <v>214</v>
      </c>
      <c r="C24" s="166" t="s">
        <v>260</v>
      </c>
      <c r="D24" s="167">
        <v>0.9</v>
      </c>
      <c r="E24" s="166" t="s">
        <v>261</v>
      </c>
      <c r="F24" s="165">
        <v>0.1</v>
      </c>
      <c r="G24" s="163"/>
      <c r="H24" s="162"/>
      <c r="I24" s="163"/>
      <c r="J24" s="162"/>
      <c r="K24" s="163"/>
      <c r="L24" s="162"/>
      <c r="M24" s="161">
        <f t="shared" si="0"/>
        <v>2</v>
      </c>
      <c r="N24" s="160">
        <f t="shared" si="1"/>
        <v>1</v>
      </c>
    </row>
    <row r="25" spans="1:14" s="159" customFormat="1" ht="40.5" customHeight="1" x14ac:dyDescent="0.2">
      <c r="A25" s="168">
        <v>16</v>
      </c>
      <c r="B25" s="166" t="s">
        <v>215</v>
      </c>
      <c r="C25" s="166" t="s">
        <v>262</v>
      </c>
      <c r="D25" s="167">
        <v>0.5</v>
      </c>
      <c r="E25" s="166" t="s">
        <v>263</v>
      </c>
      <c r="F25" s="165">
        <v>0.5</v>
      </c>
      <c r="G25" s="163"/>
      <c r="H25" s="162"/>
      <c r="I25" s="163"/>
      <c r="J25" s="162"/>
      <c r="K25" s="163"/>
      <c r="L25" s="162"/>
      <c r="M25" s="161">
        <f t="shared" si="0"/>
        <v>2</v>
      </c>
      <c r="N25" s="160">
        <f t="shared" si="1"/>
        <v>1</v>
      </c>
    </row>
    <row r="26" spans="1:14" s="159" customFormat="1" ht="54.75" customHeight="1" x14ac:dyDescent="0.2">
      <c r="A26" s="168">
        <v>17</v>
      </c>
      <c r="B26" s="166" t="s">
        <v>216</v>
      </c>
      <c r="C26" s="166" t="s">
        <v>264</v>
      </c>
      <c r="D26" s="167">
        <v>0.75</v>
      </c>
      <c r="E26" s="166" t="s">
        <v>265</v>
      </c>
      <c r="F26" s="165">
        <v>0.25</v>
      </c>
      <c r="G26" s="163"/>
      <c r="H26" s="162"/>
      <c r="I26" s="163"/>
      <c r="J26" s="162"/>
      <c r="K26" s="163"/>
      <c r="L26" s="162"/>
      <c r="M26" s="161">
        <f t="shared" si="0"/>
        <v>2</v>
      </c>
      <c r="N26" s="160">
        <f t="shared" si="1"/>
        <v>1</v>
      </c>
    </row>
    <row r="27" spans="1:14" s="159" customFormat="1" ht="54.75" customHeight="1" x14ac:dyDescent="0.2">
      <c r="A27" s="168">
        <v>18</v>
      </c>
      <c r="B27" s="166" t="s">
        <v>217</v>
      </c>
      <c r="C27" s="166" t="s">
        <v>266</v>
      </c>
      <c r="D27" s="167">
        <v>0.9</v>
      </c>
      <c r="E27" s="166" t="s">
        <v>267</v>
      </c>
      <c r="F27" s="165">
        <v>0.1</v>
      </c>
      <c r="G27" s="163"/>
      <c r="H27" s="162"/>
      <c r="I27" s="163"/>
      <c r="J27" s="162"/>
      <c r="K27" s="163"/>
      <c r="L27" s="162"/>
      <c r="M27" s="161">
        <f t="shared" si="0"/>
        <v>2</v>
      </c>
      <c r="N27" s="160">
        <f t="shared" si="1"/>
        <v>1</v>
      </c>
    </row>
    <row r="28" spans="1:14" s="159" customFormat="1" ht="54.75" customHeight="1" x14ac:dyDescent="0.2">
      <c r="A28" s="168">
        <v>19</v>
      </c>
      <c r="B28" s="166" t="s">
        <v>218</v>
      </c>
      <c r="C28" s="166" t="s">
        <v>268</v>
      </c>
      <c r="D28" s="167">
        <v>0.6</v>
      </c>
      <c r="E28" s="166" t="s">
        <v>269</v>
      </c>
      <c r="F28" s="165">
        <v>0.4</v>
      </c>
      <c r="G28" s="163"/>
      <c r="H28" s="162"/>
      <c r="I28" s="163"/>
      <c r="J28" s="162"/>
      <c r="K28" s="163"/>
      <c r="L28" s="162"/>
      <c r="M28" s="161">
        <f t="shared" si="0"/>
        <v>2</v>
      </c>
      <c r="N28" s="160">
        <f t="shared" si="1"/>
        <v>1</v>
      </c>
    </row>
    <row r="29" spans="1:14" s="159" customFormat="1" ht="54.75" customHeight="1" x14ac:dyDescent="0.2">
      <c r="A29" s="168">
        <v>20</v>
      </c>
      <c r="B29" s="166" t="s">
        <v>219</v>
      </c>
      <c r="C29" s="166" t="s">
        <v>270</v>
      </c>
      <c r="D29" s="167">
        <v>0.4</v>
      </c>
      <c r="E29" s="166" t="s">
        <v>271</v>
      </c>
      <c r="F29" s="165">
        <v>0.5</v>
      </c>
      <c r="G29" s="164" t="s">
        <v>272</v>
      </c>
      <c r="H29" s="162">
        <v>0.1</v>
      </c>
      <c r="I29" s="163"/>
      <c r="J29" s="162"/>
      <c r="K29" s="163"/>
      <c r="L29" s="162"/>
      <c r="M29" s="161">
        <f t="shared" si="0"/>
        <v>3</v>
      </c>
      <c r="N29" s="160">
        <f t="shared" si="1"/>
        <v>1</v>
      </c>
    </row>
    <row r="30" spans="1:14" s="159" customFormat="1" ht="54.75" customHeight="1" x14ac:dyDescent="0.2">
      <c r="A30" s="168">
        <v>21</v>
      </c>
      <c r="B30" s="166" t="s">
        <v>220</v>
      </c>
      <c r="C30" s="166" t="s">
        <v>273</v>
      </c>
      <c r="D30" s="167">
        <v>0.4</v>
      </c>
      <c r="E30" s="166" t="s">
        <v>274</v>
      </c>
      <c r="F30" s="165">
        <v>0.4</v>
      </c>
      <c r="G30" s="163" t="s">
        <v>275</v>
      </c>
      <c r="H30" s="162">
        <v>0.2</v>
      </c>
      <c r="I30" s="163"/>
      <c r="J30" s="162"/>
      <c r="K30" s="163"/>
      <c r="L30" s="162"/>
      <c r="M30" s="161">
        <f t="shared" si="0"/>
        <v>3</v>
      </c>
      <c r="N30" s="160">
        <f t="shared" si="1"/>
        <v>1</v>
      </c>
    </row>
    <row r="31" spans="1:14" s="159" customFormat="1" ht="54.75" customHeight="1" x14ac:dyDescent="0.2">
      <c r="A31" s="168">
        <v>22</v>
      </c>
      <c r="B31" s="166" t="s">
        <v>330</v>
      </c>
      <c r="C31" s="166" t="s">
        <v>276</v>
      </c>
      <c r="D31" s="167">
        <v>0.5</v>
      </c>
      <c r="E31" s="166" t="s">
        <v>277</v>
      </c>
      <c r="F31" s="165">
        <v>0.1</v>
      </c>
      <c r="G31" s="163" t="s">
        <v>278</v>
      </c>
      <c r="H31" s="162">
        <v>0.2</v>
      </c>
      <c r="I31" s="164" t="s">
        <v>279</v>
      </c>
      <c r="J31" s="162">
        <v>0.2</v>
      </c>
      <c r="K31" s="163"/>
      <c r="L31" s="162"/>
      <c r="M31" s="161">
        <f t="shared" si="0"/>
        <v>4</v>
      </c>
      <c r="N31" s="160">
        <f t="shared" si="1"/>
        <v>1</v>
      </c>
    </row>
    <row r="32" spans="1:14" s="159" customFormat="1" ht="54.75" customHeight="1" x14ac:dyDescent="0.2">
      <c r="A32" s="168">
        <v>23</v>
      </c>
      <c r="B32" s="166" t="s">
        <v>221</v>
      </c>
      <c r="C32" s="166" t="s">
        <v>280</v>
      </c>
      <c r="D32" s="167">
        <v>0.4</v>
      </c>
      <c r="E32" s="166" t="s">
        <v>281</v>
      </c>
      <c r="F32" s="165">
        <v>0.6</v>
      </c>
      <c r="G32" s="163"/>
      <c r="H32" s="162"/>
      <c r="I32" s="163"/>
      <c r="J32" s="162"/>
      <c r="K32" s="163"/>
      <c r="L32" s="162"/>
      <c r="M32" s="161">
        <f t="shared" si="0"/>
        <v>2</v>
      </c>
      <c r="N32" s="160">
        <f t="shared" si="1"/>
        <v>1</v>
      </c>
    </row>
    <row r="33" spans="1:15" s="159" customFormat="1" ht="54.75" customHeight="1" x14ac:dyDescent="0.2">
      <c r="A33" s="168">
        <v>24</v>
      </c>
      <c r="B33" s="166" t="s">
        <v>222</v>
      </c>
      <c r="C33" s="166" t="s">
        <v>282</v>
      </c>
      <c r="D33" s="167">
        <v>0.5</v>
      </c>
      <c r="E33" s="166" t="s">
        <v>283</v>
      </c>
      <c r="F33" s="165">
        <v>0.5</v>
      </c>
      <c r="G33" s="163"/>
      <c r="H33" s="162"/>
      <c r="I33" s="163"/>
      <c r="J33" s="162"/>
      <c r="K33" s="163"/>
      <c r="L33" s="162"/>
      <c r="M33" s="161">
        <f t="shared" si="0"/>
        <v>2</v>
      </c>
      <c r="N33" s="160">
        <f t="shared" si="1"/>
        <v>1</v>
      </c>
    </row>
    <row r="34" spans="1:15" s="159" customFormat="1" ht="54.75" customHeight="1" x14ac:dyDescent="0.2">
      <c r="A34" s="168">
        <v>25</v>
      </c>
      <c r="B34" s="166" t="s">
        <v>223</v>
      </c>
      <c r="C34" s="166" t="s">
        <v>284</v>
      </c>
      <c r="D34" s="167">
        <v>0.3</v>
      </c>
      <c r="E34" s="166" t="s">
        <v>285</v>
      </c>
      <c r="F34" s="165">
        <v>0.3</v>
      </c>
      <c r="G34" s="164" t="s">
        <v>286</v>
      </c>
      <c r="H34" s="162">
        <v>0.4</v>
      </c>
      <c r="I34" s="163"/>
      <c r="J34" s="162"/>
      <c r="K34" s="163"/>
      <c r="L34" s="162"/>
      <c r="M34" s="161">
        <f t="shared" si="0"/>
        <v>3</v>
      </c>
      <c r="N34" s="160">
        <f t="shared" si="1"/>
        <v>1</v>
      </c>
    </row>
    <row r="35" spans="1:15" s="159" customFormat="1" ht="54.75" customHeight="1" x14ac:dyDescent="0.2">
      <c r="A35" s="168">
        <v>26</v>
      </c>
      <c r="B35" s="166" t="s">
        <v>224</v>
      </c>
      <c r="C35" s="166" t="s">
        <v>224</v>
      </c>
      <c r="D35" s="167">
        <v>1</v>
      </c>
      <c r="E35" s="166"/>
      <c r="F35" s="165"/>
      <c r="G35" s="163"/>
      <c r="H35" s="162"/>
      <c r="I35" s="163"/>
      <c r="J35" s="162"/>
      <c r="K35" s="163"/>
      <c r="L35" s="162"/>
      <c r="M35" s="161">
        <f t="shared" si="0"/>
        <v>1</v>
      </c>
      <c r="N35" s="160">
        <f t="shared" si="1"/>
        <v>1</v>
      </c>
    </row>
    <row r="36" spans="1:15" s="159" customFormat="1" ht="54.75" customHeight="1" x14ac:dyDescent="0.2">
      <c r="A36" s="168">
        <v>27</v>
      </c>
      <c r="B36" s="166" t="s">
        <v>287</v>
      </c>
      <c r="C36" s="166" t="s">
        <v>287</v>
      </c>
      <c r="D36" s="167">
        <v>1</v>
      </c>
      <c r="E36" s="166"/>
      <c r="F36" s="165"/>
      <c r="G36" s="163"/>
      <c r="H36" s="162"/>
      <c r="I36" s="163"/>
      <c r="J36" s="162"/>
      <c r="K36" s="163"/>
      <c r="L36" s="162"/>
      <c r="M36" s="161">
        <f t="shared" si="0"/>
        <v>1</v>
      </c>
      <c r="N36" s="160">
        <f t="shared" si="1"/>
        <v>1</v>
      </c>
    </row>
    <row r="37" spans="1:15" s="159" customFormat="1" ht="68.25" customHeight="1" x14ac:dyDescent="0.2">
      <c r="A37" s="168">
        <v>28</v>
      </c>
      <c r="B37" s="166" t="s">
        <v>225</v>
      </c>
      <c r="C37" s="166" t="s">
        <v>288</v>
      </c>
      <c r="D37" s="167">
        <v>0.9</v>
      </c>
      <c r="E37" s="166" t="s">
        <v>289</v>
      </c>
      <c r="F37" s="165">
        <v>0.1</v>
      </c>
      <c r="G37" s="164"/>
      <c r="H37" s="162"/>
      <c r="I37" s="164"/>
      <c r="J37" s="162"/>
      <c r="K37" s="163"/>
      <c r="L37" s="162"/>
      <c r="M37" s="161">
        <f t="shared" si="0"/>
        <v>2</v>
      </c>
      <c r="N37" s="160">
        <f t="shared" si="1"/>
        <v>1</v>
      </c>
    </row>
    <row r="38" spans="1:15" s="159" customFormat="1" ht="68.25" customHeight="1" x14ac:dyDescent="0.2">
      <c r="A38" s="168">
        <v>29</v>
      </c>
      <c r="B38" s="166" t="s">
        <v>226</v>
      </c>
      <c r="C38" s="166" t="s">
        <v>290</v>
      </c>
      <c r="D38" s="167">
        <v>0.5</v>
      </c>
      <c r="E38" s="166" t="s">
        <v>291</v>
      </c>
      <c r="F38" s="165">
        <v>0.5</v>
      </c>
      <c r="G38" s="164"/>
      <c r="H38" s="162"/>
      <c r="I38" s="164"/>
      <c r="J38" s="162"/>
      <c r="K38" s="163"/>
      <c r="L38" s="162"/>
      <c r="M38" s="161">
        <f t="shared" si="0"/>
        <v>2</v>
      </c>
      <c r="N38" s="160">
        <f t="shared" si="1"/>
        <v>1</v>
      </c>
    </row>
    <row r="39" spans="1:15" s="159" customFormat="1" ht="68.25" customHeight="1" x14ac:dyDescent="0.2">
      <c r="A39" s="168">
        <v>30</v>
      </c>
      <c r="B39" s="166" t="s">
        <v>227</v>
      </c>
      <c r="C39" s="166" t="s">
        <v>292</v>
      </c>
      <c r="D39" s="167">
        <v>0.9</v>
      </c>
      <c r="E39" s="166" t="s">
        <v>293</v>
      </c>
      <c r="F39" s="165">
        <v>0.1</v>
      </c>
      <c r="G39" s="164"/>
      <c r="H39" s="162"/>
      <c r="I39" s="164"/>
      <c r="J39" s="162"/>
      <c r="K39" s="163"/>
      <c r="L39" s="162"/>
      <c r="M39" s="161">
        <f t="shared" si="0"/>
        <v>2</v>
      </c>
      <c r="N39" s="160">
        <f t="shared" si="1"/>
        <v>1</v>
      </c>
    </row>
    <row r="40" spans="1:15" s="159" customFormat="1" ht="68.25" customHeight="1" x14ac:dyDescent="0.2">
      <c r="A40" s="168">
        <v>31</v>
      </c>
      <c r="B40" s="166" t="s">
        <v>228</v>
      </c>
      <c r="C40" s="166" t="s">
        <v>294</v>
      </c>
      <c r="D40" s="167">
        <v>0.5</v>
      </c>
      <c r="E40" s="166" t="s">
        <v>295</v>
      </c>
      <c r="F40" s="165">
        <v>0.5</v>
      </c>
      <c r="G40" s="164"/>
      <c r="H40" s="162"/>
      <c r="I40" s="164"/>
      <c r="J40" s="162"/>
      <c r="K40" s="163"/>
      <c r="L40" s="162"/>
      <c r="M40" s="161">
        <f t="shared" si="0"/>
        <v>2</v>
      </c>
      <c r="N40" s="160">
        <f t="shared" si="1"/>
        <v>1</v>
      </c>
    </row>
    <row r="41" spans="1:15" s="159" customFormat="1" ht="68.25" customHeight="1" x14ac:dyDescent="0.2">
      <c r="A41" s="168">
        <v>32</v>
      </c>
      <c r="B41" s="166" t="s">
        <v>229</v>
      </c>
      <c r="C41" s="166" t="s">
        <v>296</v>
      </c>
      <c r="D41" s="167">
        <v>0.2</v>
      </c>
      <c r="E41" s="166" t="s">
        <v>297</v>
      </c>
      <c r="F41" s="165">
        <v>0.4</v>
      </c>
      <c r="G41" s="164" t="s">
        <v>298</v>
      </c>
      <c r="H41" s="162">
        <v>0.4</v>
      </c>
      <c r="I41" s="164"/>
      <c r="J41" s="162"/>
      <c r="K41" s="163"/>
      <c r="L41" s="162"/>
      <c r="M41" s="161">
        <f t="shared" si="0"/>
        <v>3</v>
      </c>
      <c r="N41" s="160">
        <f t="shared" si="1"/>
        <v>1</v>
      </c>
    </row>
    <row r="42" spans="1:15" s="159" customFormat="1" ht="68.25" customHeight="1" x14ac:dyDescent="0.2">
      <c r="A42" s="168">
        <v>33</v>
      </c>
      <c r="B42" s="166" t="s">
        <v>230</v>
      </c>
      <c r="C42" s="166" t="s">
        <v>299</v>
      </c>
      <c r="D42" s="167">
        <v>0.25</v>
      </c>
      <c r="E42" s="166" t="s">
        <v>300</v>
      </c>
      <c r="F42" s="165">
        <v>0.25</v>
      </c>
      <c r="G42" s="164" t="s">
        <v>301</v>
      </c>
      <c r="H42" s="162">
        <v>0.25</v>
      </c>
      <c r="I42" s="164" t="s">
        <v>302</v>
      </c>
      <c r="J42" s="162">
        <v>0.25</v>
      </c>
      <c r="K42" s="163"/>
      <c r="L42" s="162"/>
      <c r="M42" s="161">
        <f t="shared" si="0"/>
        <v>4</v>
      </c>
      <c r="N42" s="160">
        <f t="shared" si="1"/>
        <v>1</v>
      </c>
    </row>
    <row r="43" spans="1:15" s="159" customFormat="1" ht="54.75" customHeight="1" x14ac:dyDescent="0.2">
      <c r="A43" s="158"/>
      <c r="B43" s="158"/>
      <c r="C43" s="158"/>
      <c r="D43" s="158"/>
      <c r="E43" s="158"/>
      <c r="F43" s="158"/>
      <c r="G43" s="158"/>
      <c r="H43" s="158"/>
      <c r="I43" s="158"/>
      <c r="J43" s="158"/>
      <c r="K43" s="158"/>
      <c r="L43" s="158"/>
      <c r="M43" s="158"/>
      <c r="N43" s="158"/>
      <c r="O43" s="158"/>
    </row>
    <row r="44" spans="1:15" s="159" customFormat="1" ht="54.75" customHeight="1" x14ac:dyDescent="0.2">
      <c r="A44" s="158"/>
      <c r="B44" s="158"/>
      <c r="C44" s="158"/>
      <c r="D44" s="158"/>
      <c r="E44" s="158"/>
      <c r="F44" s="158"/>
      <c r="G44" s="158"/>
      <c r="H44" s="158"/>
      <c r="I44" s="158"/>
      <c r="J44" s="158"/>
      <c r="K44" s="158"/>
      <c r="L44" s="158"/>
      <c r="M44" s="158">
        <f t="shared" ref="M44:M52" si="2">+COUNTIF(C44:L44,"*")</f>
        <v>0</v>
      </c>
      <c r="N44" s="158">
        <f t="shared" ref="N44:N52" si="3">+SUM(D44,F44,H44,J44,L44)</f>
        <v>0</v>
      </c>
      <c r="O44" s="158"/>
    </row>
    <row r="45" spans="1:15" s="159" customFormat="1" ht="54.75" customHeight="1" x14ac:dyDescent="0.2">
      <c r="A45" s="158"/>
      <c r="B45" s="158"/>
      <c r="C45" s="158"/>
      <c r="D45" s="158"/>
      <c r="E45" s="158"/>
      <c r="F45" s="158"/>
      <c r="G45" s="158"/>
      <c r="H45" s="158"/>
      <c r="I45" s="158"/>
      <c r="J45" s="158"/>
      <c r="K45" s="158"/>
      <c r="L45" s="158"/>
      <c r="M45" s="158">
        <f t="shared" si="2"/>
        <v>0</v>
      </c>
      <c r="N45" s="158">
        <f t="shared" si="3"/>
        <v>0</v>
      </c>
      <c r="O45" s="158"/>
    </row>
    <row r="46" spans="1:15" s="159" customFormat="1" ht="54.75" customHeight="1" x14ac:dyDescent="0.2">
      <c r="A46" s="158"/>
      <c r="B46" s="158"/>
      <c r="C46" s="158"/>
      <c r="D46" s="158"/>
      <c r="E46" s="158"/>
      <c r="F46" s="158"/>
      <c r="G46" s="158"/>
      <c r="H46" s="158"/>
      <c r="I46" s="158"/>
      <c r="J46" s="158"/>
      <c r="K46" s="158"/>
      <c r="L46" s="158"/>
      <c r="M46" s="158">
        <f t="shared" si="2"/>
        <v>0</v>
      </c>
      <c r="N46" s="158">
        <f t="shared" si="3"/>
        <v>0</v>
      </c>
      <c r="O46" s="158"/>
    </row>
    <row r="47" spans="1:15" s="159" customFormat="1" ht="54.75" customHeight="1" x14ac:dyDescent="0.2">
      <c r="A47" s="158"/>
      <c r="B47" s="158"/>
      <c r="C47" s="158"/>
      <c r="D47" s="158"/>
      <c r="E47" s="158"/>
      <c r="F47" s="158"/>
      <c r="G47" s="158"/>
      <c r="H47" s="158"/>
      <c r="I47" s="158"/>
      <c r="J47" s="158"/>
      <c r="K47" s="158"/>
      <c r="L47" s="158"/>
      <c r="M47" s="158">
        <f t="shared" si="2"/>
        <v>0</v>
      </c>
      <c r="N47" s="158">
        <f t="shared" si="3"/>
        <v>0</v>
      </c>
      <c r="O47" s="158"/>
    </row>
    <row r="48" spans="1:15" x14ac:dyDescent="0.2">
      <c r="M48" s="158">
        <f t="shared" si="2"/>
        <v>0</v>
      </c>
      <c r="N48" s="158">
        <f t="shared" si="3"/>
        <v>0</v>
      </c>
    </row>
    <row r="49" spans="10:14" x14ac:dyDescent="0.2">
      <c r="M49" s="158">
        <f t="shared" si="2"/>
        <v>0</v>
      </c>
      <c r="N49" s="158">
        <f t="shared" si="3"/>
        <v>0</v>
      </c>
    </row>
    <row r="50" spans="10:14" x14ac:dyDescent="0.2">
      <c r="M50" s="158">
        <f t="shared" si="2"/>
        <v>0</v>
      </c>
      <c r="N50" s="158">
        <f t="shared" si="3"/>
        <v>0</v>
      </c>
    </row>
    <row r="51" spans="10:14" x14ac:dyDescent="0.2">
      <c r="M51" s="158">
        <f t="shared" si="2"/>
        <v>0</v>
      </c>
      <c r="N51" s="158">
        <f t="shared" si="3"/>
        <v>0</v>
      </c>
    </row>
    <row r="52" spans="10:14" x14ac:dyDescent="0.2">
      <c r="J52" s="158">
        <v>0.1</v>
      </c>
      <c r="M52" s="158">
        <f t="shared" si="2"/>
        <v>0</v>
      </c>
      <c r="N52" s="158">
        <f t="shared" si="3"/>
        <v>0.1</v>
      </c>
    </row>
  </sheetData>
  <mergeCells count="16">
    <mergeCell ref="A1:P1"/>
    <mergeCell ref="E2:P2"/>
    <mergeCell ref="N5:N6"/>
    <mergeCell ref="A2:B3"/>
    <mergeCell ref="C2:D2"/>
    <mergeCell ref="C3:O3"/>
    <mergeCell ref="A8:N8"/>
    <mergeCell ref="A5:B6"/>
    <mergeCell ref="D5:E5"/>
    <mergeCell ref="D6:E6"/>
    <mergeCell ref="A4:B4"/>
    <mergeCell ref="C4:E4"/>
    <mergeCell ref="F4:G4"/>
    <mergeCell ref="H4:O4"/>
    <mergeCell ref="O5:O6"/>
    <mergeCell ref="F5:M6"/>
  </mergeCells>
  <conditionalFormatting sqref="N10:N42">
    <cfRule type="cellIs" dxfId="6" priority="1" operator="equal">
      <formula>0</formula>
    </cfRule>
    <cfRule type="cellIs" dxfId="5" priority="2" operator="lessThan">
      <formula>1</formula>
    </cfRule>
    <cfRule type="cellIs" dxfId="4" priority="3" operator="greaterThan">
      <formula>1</formula>
    </cfRule>
    <cfRule type="cellIs" dxfId="3" priority="4" operator="equal">
      <formula>1</formula>
    </cfRule>
  </conditionalFormatting>
  <pageMargins left="0.7" right="0.7" top="0.75" bottom="0.75" header="0.3" footer="0.3"/>
  <pageSetup scale="25" orientation="landscape"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3"/>
  <sheetViews>
    <sheetView view="pageBreakPreview" zoomScale="115" zoomScaleNormal="100" zoomScaleSheetLayoutView="115" workbookViewId="0">
      <pane ySplit="6" topLeftCell="A7" activePane="bottomLeft" state="frozenSplit"/>
      <selection pane="bottomLeft" activeCell="C5" sqref="C5:D5"/>
    </sheetView>
  </sheetViews>
  <sheetFormatPr baseColWidth="10" defaultColWidth="11.5" defaultRowHeight="15" x14ac:dyDescent="0.2"/>
  <cols>
    <col min="1" max="1" width="32.5" style="4" customWidth="1"/>
    <col min="2" max="2" width="25.1640625" style="4" customWidth="1"/>
    <col min="3" max="3" width="11.83203125" style="4" customWidth="1"/>
    <col min="4" max="4" width="17.83203125" style="4" customWidth="1"/>
    <col min="5" max="6" width="11.5" style="4"/>
    <col min="7" max="7" width="13.83203125" style="4" customWidth="1"/>
    <col min="8" max="8" width="12.83203125" style="4" customWidth="1"/>
    <col min="9" max="9" width="18.5" style="4" customWidth="1"/>
    <col min="10" max="16384" width="11.5" style="4"/>
  </cols>
  <sheetData>
    <row r="1" spans="1:9" x14ac:dyDescent="0.2">
      <c r="A1" s="393" t="s">
        <v>177</v>
      </c>
      <c r="B1" s="393"/>
      <c r="C1" s="393"/>
      <c r="D1" s="393"/>
      <c r="E1" s="393"/>
      <c r="F1" s="393"/>
      <c r="G1" s="393"/>
      <c r="H1" s="393"/>
      <c r="I1" s="393"/>
    </row>
    <row r="2" spans="1:9" ht="91.5" customHeight="1" x14ac:dyDescent="0.2">
      <c r="A2" s="394"/>
      <c r="B2" s="395" t="s">
        <v>0</v>
      </c>
      <c r="C2" s="395"/>
      <c r="D2" s="261" t="s">
        <v>178</v>
      </c>
      <c r="E2" s="261"/>
      <c r="F2" s="261"/>
      <c r="G2" s="261"/>
      <c r="H2" s="261"/>
      <c r="I2" s="261"/>
    </row>
    <row r="3" spans="1:9" x14ac:dyDescent="0.2">
      <c r="A3" s="394"/>
      <c r="B3" s="396" t="s">
        <v>1</v>
      </c>
      <c r="C3" s="397"/>
      <c r="D3" s="397"/>
      <c r="E3" s="397"/>
      <c r="F3" s="397"/>
      <c r="G3" s="397"/>
      <c r="H3" s="397"/>
      <c r="I3" s="397"/>
    </row>
    <row r="4" spans="1:9" ht="15.75" customHeight="1" x14ac:dyDescent="0.2">
      <c r="A4" s="75" t="s">
        <v>2</v>
      </c>
      <c r="B4" s="400" t="s">
        <v>114</v>
      </c>
      <c r="C4" s="400"/>
      <c r="D4" s="400"/>
      <c r="E4" s="403" t="s">
        <v>3</v>
      </c>
      <c r="F4" s="403"/>
      <c r="G4" s="404" t="s">
        <v>179</v>
      </c>
      <c r="H4" s="400"/>
      <c r="I4" s="405"/>
    </row>
    <row r="5" spans="1:9" ht="16" x14ac:dyDescent="0.2">
      <c r="A5" s="389" t="s">
        <v>4</v>
      </c>
      <c r="B5" s="149" t="s">
        <v>167</v>
      </c>
      <c r="C5" s="426">
        <v>20496577313</v>
      </c>
      <c r="D5" s="426"/>
      <c r="E5" s="416" t="s">
        <v>138</v>
      </c>
      <c r="F5" s="417"/>
      <c r="G5" s="420">
        <v>12</v>
      </c>
      <c r="H5" s="421"/>
      <c r="I5" s="424" t="s">
        <v>112</v>
      </c>
    </row>
    <row r="6" spans="1:9" x14ac:dyDescent="0.2">
      <c r="A6" s="390"/>
      <c r="B6" s="131"/>
      <c r="C6" s="426"/>
      <c r="D6" s="426"/>
      <c r="E6" s="418"/>
      <c r="F6" s="419"/>
      <c r="G6" s="422"/>
      <c r="H6" s="423"/>
      <c r="I6" s="425"/>
    </row>
    <row r="8" spans="1:9" ht="16" x14ac:dyDescent="0.2">
      <c r="A8" s="35" t="s">
        <v>53</v>
      </c>
      <c r="B8" s="74" t="s">
        <v>5</v>
      </c>
      <c r="C8" s="412" t="s">
        <v>54</v>
      </c>
      <c r="D8" s="413"/>
    </row>
    <row r="9" spans="1:9" x14ac:dyDescent="0.2">
      <c r="A9" s="76">
        <f>C5</f>
        <v>20496577313</v>
      </c>
      <c r="B9" s="77">
        <v>1300000</v>
      </c>
      <c r="C9" s="414">
        <f>A9/B9</f>
        <v>15766.597933076922</v>
      </c>
      <c r="D9" s="415"/>
    </row>
    <row r="10" spans="1:9" x14ac:dyDescent="0.2">
      <c r="A10" s="76">
        <f>+C6</f>
        <v>0</v>
      </c>
      <c r="B10" s="77">
        <f>B44</f>
        <v>1300000</v>
      </c>
      <c r="C10" s="414">
        <f>A10/B10</f>
        <v>0</v>
      </c>
      <c r="D10" s="415"/>
    </row>
    <row r="11" spans="1:9" ht="16" thickBot="1" x14ac:dyDescent="0.25">
      <c r="A11" s="8"/>
      <c r="B11" s="9"/>
      <c r="C11" s="5"/>
    </row>
    <row r="12" spans="1:9" ht="16" thickBot="1" x14ac:dyDescent="0.25">
      <c r="A12" s="78" t="s">
        <v>6</v>
      </c>
      <c r="B12" s="79" t="s">
        <v>7</v>
      </c>
      <c r="C12" s="5"/>
    </row>
    <row r="13" spans="1:9" x14ac:dyDescent="0.2">
      <c r="A13" s="80">
        <v>1984</v>
      </c>
      <c r="B13" s="81">
        <v>11298</v>
      </c>
      <c r="C13" s="5"/>
    </row>
    <row r="14" spans="1:9" x14ac:dyDescent="0.2">
      <c r="A14" s="80">
        <v>1993</v>
      </c>
      <c r="B14" s="81">
        <v>81510</v>
      </c>
      <c r="C14" s="5"/>
    </row>
    <row r="15" spans="1:9" x14ac:dyDescent="0.2">
      <c r="A15" s="80">
        <v>1995</v>
      </c>
      <c r="B15" s="81">
        <v>118934</v>
      </c>
      <c r="C15" s="5"/>
    </row>
    <row r="16" spans="1:9" x14ac:dyDescent="0.2">
      <c r="A16" s="82">
        <v>1996</v>
      </c>
      <c r="B16" s="83">
        <v>142125</v>
      </c>
      <c r="C16" s="5"/>
      <c r="D16" s="132"/>
    </row>
    <row r="17" spans="1:9" x14ac:dyDescent="0.2">
      <c r="A17" s="82">
        <v>1997</v>
      </c>
      <c r="B17" s="83">
        <v>172005</v>
      </c>
      <c r="C17" s="5"/>
    </row>
    <row r="18" spans="1:9" x14ac:dyDescent="0.2">
      <c r="A18" s="82">
        <v>1998</v>
      </c>
      <c r="B18" s="83">
        <v>203826</v>
      </c>
      <c r="C18" s="5"/>
    </row>
    <row r="19" spans="1:9" x14ac:dyDescent="0.2">
      <c r="A19" s="82">
        <v>1999</v>
      </c>
      <c r="B19" s="83">
        <v>236460</v>
      </c>
      <c r="C19" s="5"/>
    </row>
    <row r="20" spans="1:9" ht="16" thickBot="1" x14ac:dyDescent="0.25">
      <c r="A20" s="82">
        <v>2000</v>
      </c>
      <c r="B20" s="83">
        <v>260100</v>
      </c>
    </row>
    <row r="21" spans="1:9" ht="16" thickBot="1" x14ac:dyDescent="0.25">
      <c r="A21" s="82">
        <v>2001</v>
      </c>
      <c r="B21" s="83">
        <v>286000</v>
      </c>
      <c r="D21" s="86" t="s">
        <v>8</v>
      </c>
      <c r="E21" s="398" t="s">
        <v>9</v>
      </c>
      <c r="F21" s="398"/>
      <c r="G21" s="398"/>
      <c r="H21" s="398"/>
      <c r="I21" s="399"/>
    </row>
    <row r="22" spans="1:9" ht="15" customHeight="1" x14ac:dyDescent="0.2">
      <c r="A22" s="82">
        <v>2002</v>
      </c>
      <c r="B22" s="83">
        <v>309000</v>
      </c>
      <c r="D22" s="87">
        <v>721033</v>
      </c>
      <c r="E22" s="406" t="s">
        <v>168</v>
      </c>
      <c r="F22" s="407"/>
      <c r="G22" s="407"/>
      <c r="H22" s="407"/>
      <c r="I22" s="408"/>
    </row>
    <row r="23" spans="1:9" ht="15" customHeight="1" x14ac:dyDescent="0.2">
      <c r="A23" s="82">
        <v>2003</v>
      </c>
      <c r="B23" s="83">
        <v>332000</v>
      </c>
      <c r="D23" s="6">
        <v>721410</v>
      </c>
      <c r="E23" s="409" t="s">
        <v>182</v>
      </c>
      <c r="F23" s="410"/>
      <c r="G23" s="410"/>
      <c r="H23" s="410"/>
      <c r="I23" s="411"/>
    </row>
    <row r="24" spans="1:9" ht="15" customHeight="1" x14ac:dyDescent="0.2">
      <c r="A24" s="82">
        <v>2004</v>
      </c>
      <c r="B24" s="83">
        <v>358000</v>
      </c>
      <c r="D24" s="6">
        <v>721411</v>
      </c>
      <c r="E24" s="409" t="s">
        <v>183</v>
      </c>
      <c r="F24" s="410"/>
      <c r="G24" s="410"/>
      <c r="H24" s="410"/>
      <c r="I24" s="411"/>
    </row>
    <row r="25" spans="1:9" ht="15" customHeight="1" x14ac:dyDescent="0.2">
      <c r="A25" s="82">
        <v>2005</v>
      </c>
      <c r="B25" s="83">
        <v>381500</v>
      </c>
      <c r="D25" s="6">
        <v>721416</v>
      </c>
      <c r="E25" s="391" t="s">
        <v>184</v>
      </c>
      <c r="F25" s="391"/>
      <c r="G25" s="391"/>
      <c r="H25" s="391"/>
      <c r="I25" s="392"/>
    </row>
    <row r="26" spans="1:9" ht="15" customHeight="1" x14ac:dyDescent="0.2">
      <c r="A26" s="82">
        <v>2006</v>
      </c>
      <c r="B26" s="83">
        <v>408000</v>
      </c>
      <c r="D26" s="6">
        <v>721527</v>
      </c>
      <c r="E26" s="401" t="s">
        <v>185</v>
      </c>
      <c r="F26" s="401"/>
      <c r="G26" s="401"/>
      <c r="H26" s="401"/>
      <c r="I26" s="402"/>
    </row>
    <row r="27" spans="1:9" ht="15" customHeight="1" x14ac:dyDescent="0.2">
      <c r="A27" s="82">
        <v>2007</v>
      </c>
      <c r="B27" s="83">
        <v>433700</v>
      </c>
      <c r="D27" s="6">
        <v>721539</v>
      </c>
      <c r="E27" s="391" t="s">
        <v>186</v>
      </c>
      <c r="F27" s="391"/>
      <c r="G27" s="391"/>
      <c r="H27" s="391"/>
      <c r="I27" s="392"/>
    </row>
    <row r="28" spans="1:9" ht="15" customHeight="1" x14ac:dyDescent="0.2">
      <c r="A28" s="82">
        <v>2008</v>
      </c>
      <c r="B28" s="83">
        <v>461500</v>
      </c>
      <c r="D28" s="6">
        <v>951115</v>
      </c>
      <c r="E28" s="391" t="s">
        <v>187</v>
      </c>
      <c r="F28" s="391"/>
      <c r="G28" s="391"/>
      <c r="H28" s="391"/>
      <c r="I28" s="392"/>
    </row>
    <row r="29" spans="1:9" ht="16" thickBot="1" x14ac:dyDescent="0.25">
      <c r="A29" s="82">
        <v>2009</v>
      </c>
      <c r="B29" s="83">
        <v>496900</v>
      </c>
      <c r="D29" s="7">
        <v>721033</v>
      </c>
      <c r="E29" s="387" t="s">
        <v>168</v>
      </c>
      <c r="F29" s="387"/>
      <c r="G29" s="387"/>
      <c r="H29" s="387"/>
      <c r="I29" s="388"/>
    </row>
    <row r="30" spans="1:9" x14ac:dyDescent="0.2">
      <c r="A30" s="82">
        <v>2010</v>
      </c>
      <c r="B30" s="83">
        <v>515000</v>
      </c>
      <c r="D30" s="10"/>
      <c r="E30" s="11"/>
      <c r="F30" s="11"/>
      <c r="G30" s="11"/>
      <c r="H30" s="11"/>
      <c r="I30" s="11"/>
    </row>
    <row r="31" spans="1:9" x14ac:dyDescent="0.2">
      <c r="A31" s="82">
        <v>2011</v>
      </c>
      <c r="B31" s="83">
        <v>535600</v>
      </c>
      <c r="D31" s="10"/>
      <c r="E31" s="12"/>
      <c r="F31" s="12"/>
      <c r="G31" s="12"/>
      <c r="H31" s="12"/>
      <c r="I31" s="12"/>
    </row>
    <row r="32" spans="1:9" x14ac:dyDescent="0.2">
      <c r="A32" s="82">
        <v>2012</v>
      </c>
      <c r="B32" s="83">
        <v>566700</v>
      </c>
      <c r="D32" s="10"/>
      <c r="E32" s="12"/>
      <c r="F32" s="12"/>
      <c r="G32" s="12"/>
      <c r="H32" s="12"/>
      <c r="I32" s="12"/>
    </row>
    <row r="33" spans="1:9" x14ac:dyDescent="0.2">
      <c r="A33" s="82">
        <v>2013</v>
      </c>
      <c r="B33" s="83">
        <v>589500</v>
      </c>
      <c r="D33" s="10"/>
      <c r="E33" s="11"/>
      <c r="F33" s="11"/>
      <c r="G33" s="11"/>
      <c r="H33" s="11"/>
      <c r="I33" s="11"/>
    </row>
    <row r="34" spans="1:9" x14ac:dyDescent="0.2">
      <c r="A34" s="82">
        <v>2014</v>
      </c>
      <c r="B34" s="83">
        <v>616000</v>
      </c>
      <c r="D34" s="10"/>
      <c r="E34" s="11"/>
      <c r="F34" s="11"/>
      <c r="G34" s="11"/>
      <c r="H34" s="11"/>
      <c r="I34" s="11"/>
    </row>
    <row r="35" spans="1:9" x14ac:dyDescent="0.2">
      <c r="A35" s="82">
        <v>2015</v>
      </c>
      <c r="B35" s="83">
        <v>644350</v>
      </c>
    </row>
    <row r="36" spans="1:9" x14ac:dyDescent="0.2">
      <c r="A36" s="82">
        <v>2016</v>
      </c>
      <c r="B36" s="83">
        <v>689455</v>
      </c>
    </row>
    <row r="37" spans="1:9" x14ac:dyDescent="0.2">
      <c r="A37" s="82">
        <v>2017</v>
      </c>
      <c r="B37" s="83">
        <v>737717</v>
      </c>
    </row>
    <row r="38" spans="1:9" x14ac:dyDescent="0.2">
      <c r="A38" s="82">
        <v>2018</v>
      </c>
      <c r="B38" s="83">
        <v>781242</v>
      </c>
    </row>
    <row r="39" spans="1:9" x14ac:dyDescent="0.2">
      <c r="A39" s="82">
        <v>2019</v>
      </c>
      <c r="B39" s="83">
        <v>828116</v>
      </c>
    </row>
    <row r="40" spans="1:9" x14ac:dyDescent="0.2">
      <c r="A40" s="82">
        <v>2020</v>
      </c>
      <c r="B40" s="83">
        <v>877803</v>
      </c>
    </row>
    <row r="41" spans="1:9" x14ac:dyDescent="0.2">
      <c r="A41" s="127">
        <v>2021</v>
      </c>
      <c r="B41" s="128">
        <v>908526</v>
      </c>
    </row>
    <row r="42" spans="1:9" x14ac:dyDescent="0.2">
      <c r="A42" s="127">
        <v>2022</v>
      </c>
      <c r="B42" s="128">
        <v>1000000</v>
      </c>
    </row>
    <row r="43" spans="1:9" x14ac:dyDescent="0.2">
      <c r="A43" s="127">
        <v>2023</v>
      </c>
      <c r="B43" s="128">
        <v>1160000</v>
      </c>
    </row>
    <row r="44" spans="1:9" ht="16" thickBot="1" x14ac:dyDescent="0.25">
      <c r="A44" s="84">
        <v>2024</v>
      </c>
      <c r="B44" s="85">
        <v>1300000</v>
      </c>
    </row>
    <row r="45" spans="1:9" x14ac:dyDescent="0.2">
      <c r="A45" s="24"/>
      <c r="B45" s="8"/>
    </row>
    <row r="46" spans="1:9" x14ac:dyDescent="0.2">
      <c r="A46" s="24"/>
      <c r="B46" s="8"/>
    </row>
    <row r="47" spans="1:9" x14ac:dyDescent="0.2">
      <c r="A47" s="24"/>
      <c r="B47" s="8"/>
    </row>
    <row r="48" spans="1:9" x14ac:dyDescent="0.2">
      <c r="A48" s="4" t="s">
        <v>10</v>
      </c>
      <c r="C48" s="4" t="s">
        <v>77</v>
      </c>
    </row>
    <row r="49" spans="1:3" x14ac:dyDescent="0.2">
      <c r="A49" s="4" t="s">
        <v>11</v>
      </c>
      <c r="C49" s="4" t="s">
        <v>75</v>
      </c>
    </row>
    <row r="50" spans="1:3" x14ac:dyDescent="0.2">
      <c r="A50" s="4" t="s">
        <v>12</v>
      </c>
      <c r="C50" s="4" t="s">
        <v>12</v>
      </c>
    </row>
    <row r="51" spans="1:3" x14ac:dyDescent="0.2">
      <c r="A51" s="1"/>
    </row>
    <row r="53" spans="1:3" x14ac:dyDescent="0.2">
      <c r="A53" s="4" t="s">
        <v>13</v>
      </c>
      <c r="C53" s="4" t="s">
        <v>107</v>
      </c>
    </row>
    <row r="54" spans="1:3" x14ac:dyDescent="0.2">
      <c r="A54" s="4" t="s">
        <v>14</v>
      </c>
      <c r="C54" s="4" t="s">
        <v>108</v>
      </c>
    </row>
    <row r="55" spans="1:3" x14ac:dyDescent="0.2">
      <c r="A55" s="4" t="s">
        <v>12</v>
      </c>
    </row>
    <row r="57" spans="1:3" x14ac:dyDescent="0.2">
      <c r="A57" s="21" t="s">
        <v>15</v>
      </c>
    </row>
    <row r="58" spans="1:3" x14ac:dyDescent="0.2">
      <c r="A58" s="21" t="s">
        <v>16</v>
      </c>
    </row>
    <row r="59" spans="1:3" x14ac:dyDescent="0.2">
      <c r="A59" s="21" t="s">
        <v>17</v>
      </c>
    </row>
    <row r="60" spans="1:3" x14ac:dyDescent="0.2">
      <c r="A60" s="21" t="s">
        <v>18</v>
      </c>
    </row>
    <row r="61" spans="1:3" x14ac:dyDescent="0.2">
      <c r="A61" s="21" t="s">
        <v>19</v>
      </c>
    </row>
    <row r="62" spans="1:3" x14ac:dyDescent="0.2">
      <c r="A62" s="21" t="s">
        <v>20</v>
      </c>
    </row>
    <row r="63" spans="1:3" x14ac:dyDescent="0.2">
      <c r="A63" s="20"/>
    </row>
  </sheetData>
  <mergeCells count="26">
    <mergeCell ref="E23:I23"/>
    <mergeCell ref="E24:I24"/>
    <mergeCell ref="C8:D8"/>
    <mergeCell ref="C9:D9"/>
    <mergeCell ref="E5:F6"/>
    <mergeCell ref="G5:H6"/>
    <mergeCell ref="I5:I6"/>
    <mergeCell ref="C5:D5"/>
    <mergeCell ref="C6:D6"/>
    <mergeCell ref="C10:D10"/>
    <mergeCell ref="E29:I29"/>
    <mergeCell ref="A5:A6"/>
    <mergeCell ref="E27:I27"/>
    <mergeCell ref="E28:I28"/>
    <mergeCell ref="A1:I1"/>
    <mergeCell ref="A2:A3"/>
    <mergeCell ref="B2:C2"/>
    <mergeCell ref="D2:I2"/>
    <mergeCell ref="B3:I3"/>
    <mergeCell ref="E21:I21"/>
    <mergeCell ref="B4:D4"/>
    <mergeCell ref="E25:I25"/>
    <mergeCell ref="E26:I26"/>
    <mergeCell ref="E4:F4"/>
    <mergeCell ref="G4:I4"/>
    <mergeCell ref="E22:I22"/>
  </mergeCells>
  <pageMargins left="0.7" right="0.7" top="0.75" bottom="0.75" header="0.3" footer="0.3"/>
  <pageSetup scale="54"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P34"/>
  <sheetViews>
    <sheetView zoomScale="85" zoomScaleNormal="85" workbookViewId="0">
      <selection activeCell="B7" sqref="B7"/>
    </sheetView>
  </sheetViews>
  <sheetFormatPr baseColWidth="10" defaultRowHeight="15" x14ac:dyDescent="0.2"/>
  <cols>
    <col min="2" max="2" width="36.5" customWidth="1"/>
    <col min="3" max="3" width="21.1640625" customWidth="1"/>
    <col min="4" max="4" width="23.5" customWidth="1"/>
    <col min="5" max="5" width="20.5" customWidth="1"/>
    <col min="6" max="6" width="16.33203125" customWidth="1"/>
    <col min="7" max="7" width="9.83203125" customWidth="1"/>
    <col min="8" max="8" width="20.5" customWidth="1"/>
    <col min="10" max="10" width="22.5" customWidth="1"/>
    <col min="12" max="12" width="22.5" customWidth="1"/>
    <col min="14" max="14" width="17.5" customWidth="1"/>
    <col min="16" max="16" width="19" customWidth="1"/>
  </cols>
  <sheetData>
    <row r="1" spans="1:16" ht="26" x14ac:dyDescent="0.2">
      <c r="A1" s="133" t="s">
        <v>140</v>
      </c>
      <c r="B1" s="433" t="str">
        <f>IF(AND(A5&gt;=0,A5&lt;=0.24),"MEDIANA CON VALOR ABSOLUTO",IF(AND(A5&gt;=0.25,A5&lt;=0.49),"MEDIA GEOMETRICA",IF(AND(A5&gt;=0.5,A5&lt;=0.74),"MEDIA ARITMETICA BAJA",IF(AND(A5&gt;=0.75,A5&lt;=0.99),"MENOR VALOR",))))</f>
        <v>MEDIANA CON VALOR ABSOLUTO</v>
      </c>
      <c r="C1" s="427"/>
      <c r="D1" s="427"/>
      <c r="E1" s="428"/>
      <c r="F1" s="439" t="str">
        <f>CONCATENATE("PUNTAJE OFERTA ECONOMICA ",'DATOS INICIALES'!G4)</f>
        <v xml:space="preserve">PUNTAJE OFERTA ECONOMICA FDLUSA-LP-002-2024 </v>
      </c>
      <c r="G1" s="440"/>
      <c r="H1" s="440"/>
      <c r="I1" s="440"/>
      <c r="J1" s="440"/>
      <c r="K1" s="440"/>
      <c r="L1" s="440"/>
      <c r="M1" s="440"/>
      <c r="N1" s="440"/>
      <c r="O1" s="440"/>
      <c r="P1" s="441"/>
    </row>
    <row r="2" spans="1:16" ht="16" x14ac:dyDescent="0.2">
      <c r="A2" s="35" t="s">
        <v>141</v>
      </c>
      <c r="B2" s="434"/>
      <c r="C2" s="435"/>
      <c r="D2" s="35" t="s">
        <v>157</v>
      </c>
      <c r="E2" s="145" t="e">
        <f>_xlfn.STDEV.P(D7:D34)</f>
        <v>#DIV/0!</v>
      </c>
      <c r="F2" s="434"/>
      <c r="G2" s="435"/>
      <c r="H2" s="442"/>
      <c r="I2" s="35" t="s">
        <v>142</v>
      </c>
      <c r="J2" s="134" t="e">
        <f>MEDIAN(H7:H34)</f>
        <v>#NUM!</v>
      </c>
      <c r="K2" s="35" t="s">
        <v>143</v>
      </c>
      <c r="L2" s="135" t="e">
        <f>GEOMEAN(H7:H34)</f>
        <v>#NUM!</v>
      </c>
      <c r="M2" s="35" t="s">
        <v>144</v>
      </c>
      <c r="N2" s="136" t="e">
        <f>AVERAGE(H7:H34)</f>
        <v>#DIV/0!</v>
      </c>
      <c r="O2" s="432"/>
      <c r="P2" s="432"/>
    </row>
    <row r="3" spans="1:16" ht="32" x14ac:dyDescent="0.2">
      <c r="A3" s="137"/>
      <c r="B3" s="436"/>
      <c r="C3" s="235"/>
      <c r="D3" s="35" t="s">
        <v>158</v>
      </c>
      <c r="E3" s="146" t="e">
        <f>MEDIAN(C7:C34)</f>
        <v>#NUM!</v>
      </c>
      <c r="F3" s="436"/>
      <c r="G3" s="235"/>
      <c r="H3" s="443"/>
      <c r="I3" s="35" t="s">
        <v>145</v>
      </c>
      <c r="J3" s="134" t="e" cm="1">
        <f t="array" ref="J3">MAX(IF(H7:H34&lt;$J$2,H7:H34))</f>
        <v>#NUM!</v>
      </c>
      <c r="K3" s="35" t="s">
        <v>146</v>
      </c>
      <c r="L3" s="138" t="e">
        <f>VLOOKUP(MIN(G7:G34),G7:H34,2,FALSE)</f>
        <v>#N/A</v>
      </c>
      <c r="M3" s="35" t="s">
        <v>147</v>
      </c>
      <c r="N3" s="136">
        <f>MIN(H7:H34)</f>
        <v>0</v>
      </c>
      <c r="O3" s="35" t="s">
        <v>147</v>
      </c>
      <c r="P3" s="136">
        <f>MIN(H7:H34)</f>
        <v>0</v>
      </c>
    </row>
    <row r="4" spans="1:16" ht="32" x14ac:dyDescent="0.2">
      <c r="A4" s="35" t="s">
        <v>148</v>
      </c>
      <c r="B4" s="436"/>
      <c r="C4" s="235"/>
      <c r="D4" s="35" t="s">
        <v>159</v>
      </c>
      <c r="E4" s="146" t="e">
        <f>+E3-E2</f>
        <v>#NUM!</v>
      </c>
      <c r="F4" s="436"/>
      <c r="G4" s="235"/>
      <c r="H4" s="443"/>
      <c r="I4" s="26">
        <f>COUNT(H7:H34)</f>
        <v>0</v>
      </c>
      <c r="J4" s="29" t="str">
        <f>IF(ISODD(I4),"IMPAR","PAR")</f>
        <v>PAR</v>
      </c>
      <c r="K4" s="432"/>
      <c r="L4" s="432"/>
      <c r="M4" s="35" t="s">
        <v>149</v>
      </c>
      <c r="N4" s="136" t="e">
        <f>AVERAGE(N2:N3)</f>
        <v>#DIV/0!</v>
      </c>
      <c r="O4" s="432"/>
      <c r="P4" s="432"/>
    </row>
    <row r="5" spans="1:16" ht="32" x14ac:dyDescent="0.2">
      <c r="A5" s="137">
        <v>0</v>
      </c>
      <c r="B5" s="437"/>
      <c r="C5" s="438"/>
      <c r="D5" s="429" t="s">
        <v>166</v>
      </c>
      <c r="E5" s="430"/>
      <c r="F5" s="437"/>
      <c r="G5" s="438"/>
      <c r="H5" s="444"/>
      <c r="I5" s="35" t="s">
        <v>150</v>
      </c>
      <c r="J5" s="143">
        <v>59.5</v>
      </c>
      <c r="K5" s="35" t="s">
        <v>150</v>
      </c>
      <c r="L5" s="143">
        <v>59.5</v>
      </c>
      <c r="M5" s="35" t="s">
        <v>150</v>
      </c>
      <c r="N5" s="144">
        <v>59.5</v>
      </c>
      <c r="O5" s="35" t="s">
        <v>150</v>
      </c>
      <c r="P5" s="144">
        <v>59.5</v>
      </c>
    </row>
    <row r="6" spans="1:16" ht="64" x14ac:dyDescent="0.2">
      <c r="A6" s="35" t="s">
        <v>151</v>
      </c>
      <c r="B6" s="35" t="s">
        <v>152</v>
      </c>
      <c r="C6" s="35" t="s">
        <v>162</v>
      </c>
      <c r="D6" s="35" t="s">
        <v>163</v>
      </c>
      <c r="E6" s="35" t="s">
        <v>160</v>
      </c>
      <c r="F6" s="35" t="s">
        <v>161</v>
      </c>
      <c r="G6" s="35" t="s">
        <v>153</v>
      </c>
      <c r="H6" s="35" t="s">
        <v>164</v>
      </c>
      <c r="I6" s="393" t="s">
        <v>154</v>
      </c>
      <c r="J6" s="393"/>
      <c r="K6" s="393" t="s">
        <v>155</v>
      </c>
      <c r="L6" s="393"/>
      <c r="M6" s="393" t="s">
        <v>156</v>
      </c>
      <c r="N6" s="393"/>
      <c r="O6" s="393" t="s">
        <v>165</v>
      </c>
      <c r="P6" s="393"/>
    </row>
    <row r="7" spans="1:16" x14ac:dyDescent="0.2">
      <c r="A7" s="139">
        <v>1</v>
      </c>
      <c r="B7" s="89" t="str">
        <f>+PROPONENTES!B10</f>
        <v>CONSORCIO EL TAMBILLO</v>
      </c>
      <c r="C7" s="138"/>
      <c r="D7" s="138"/>
      <c r="E7" s="140" t="e">
        <f>IF(D7&lt;$E$4,"SI","NO")</f>
        <v>#NUM!</v>
      </c>
      <c r="F7" s="140"/>
      <c r="G7" s="89" t="str">
        <f t="shared" ref="G7:G31" si="0">IF(H7="","",ABS(H7-$L$2))</f>
        <v/>
      </c>
      <c r="H7" s="141" t="str">
        <f>IF(F7="X",D7,"")</f>
        <v/>
      </c>
      <c r="I7" s="431" t="str">
        <f>IF(H7="","",IF($J$4="IMPAR",IF(H7=$J$2,$J$5,((1-ABS(($J$2-H7)/$J$2))*$J$5)),IF(H7=$J$3,$J$5,((1-ABS((($J$3-H7)/$J$3)))*$J$5))))</f>
        <v/>
      </c>
      <c r="J7" s="431"/>
      <c r="K7" s="431" t="str">
        <f>IF(H7="","",IF(H7=$L$3,$L$5,$L$5*(1-((ABS($L$2-H7))/$L$2))))</f>
        <v/>
      </c>
      <c r="L7" s="431"/>
      <c r="M7" s="431" t="str">
        <f>IF(H7="","",IF(H7&lt;=$N$4,$N$5*(1-(($N$4-H7)/$N$4)),$N$5*(1-((ABS($N$4-H7))/$N$4))))</f>
        <v/>
      </c>
      <c r="N7" s="431"/>
      <c r="O7" s="431" t="str">
        <f>IF(H7="","",$P$5*$P$3/H7)</f>
        <v/>
      </c>
      <c r="P7" s="431"/>
    </row>
    <row r="8" spans="1:16" x14ac:dyDescent="0.2">
      <c r="A8" s="139">
        <v>2</v>
      </c>
      <c r="B8" s="89" t="str">
        <f>+PROPONENTES!B11</f>
        <v>UNION TEMPORAL VIAL USAQUN 2024</v>
      </c>
      <c r="C8" s="138"/>
      <c r="D8" s="138"/>
      <c r="E8" s="140" t="e">
        <f t="shared" ref="E8:E34" si="1">IF(D8&lt;$E$4,"SI","NO")</f>
        <v>#NUM!</v>
      </c>
      <c r="F8" s="140"/>
      <c r="G8" s="89" t="str">
        <f t="shared" si="0"/>
        <v/>
      </c>
      <c r="H8" s="141" t="str">
        <f t="shared" ref="H8:H31" si="2">IF(F8="X",D8,"")</f>
        <v/>
      </c>
      <c r="I8" s="431" t="str">
        <f t="shared" ref="I8:I31" si="3">IF(H8="","",IF($J$4="IMPAR",IF(H8=$J$2,$J$5,((1-ABS(($J$2-H8)/$J$2))*$J$5)),IF(H8=$J$3,$J$5,((1-ABS((($J$3-H8)/$J$3)))*$J$5))))</f>
        <v/>
      </c>
      <c r="J8" s="431"/>
      <c r="K8" s="431" t="str">
        <f t="shared" ref="K8:K31" si="4">IF(H8="","",IF(H8=$L$3,$L$5,$L$5*(1-((ABS($L$2-H8))/$L$2))))</f>
        <v/>
      </c>
      <c r="L8" s="431"/>
      <c r="M8" s="431" t="str">
        <f t="shared" ref="M8:M31" si="5">IF(H8="","",IF(H8&lt;=$N$4,$N$5*(1-(($N$4-H8)/$N$4)),$N$5*(1-((ABS($N$4-H8))/$N$4))))</f>
        <v/>
      </c>
      <c r="N8" s="431"/>
      <c r="O8" s="431" t="str">
        <f t="shared" ref="O8:O31" si="6">IF(H8="","",$P$5*$P$3/H8)</f>
        <v/>
      </c>
      <c r="P8" s="431"/>
    </row>
    <row r="9" spans="1:16" x14ac:dyDescent="0.2">
      <c r="A9" s="139">
        <v>3</v>
      </c>
      <c r="B9" s="89" t="str">
        <f>+PROPONENTES!B12</f>
        <v>CONSORCIO CCU</v>
      </c>
      <c r="C9" s="138"/>
      <c r="D9" s="138"/>
      <c r="E9" s="140" t="e">
        <f t="shared" si="1"/>
        <v>#NUM!</v>
      </c>
      <c r="F9" s="140"/>
      <c r="G9" s="89" t="str">
        <f t="shared" si="0"/>
        <v/>
      </c>
      <c r="H9" s="141" t="str">
        <f t="shared" si="2"/>
        <v/>
      </c>
      <c r="I9" s="431" t="str">
        <f t="shared" si="3"/>
        <v/>
      </c>
      <c r="J9" s="431"/>
      <c r="K9" s="431" t="str">
        <f t="shared" si="4"/>
        <v/>
      </c>
      <c r="L9" s="431"/>
      <c r="M9" s="431" t="str">
        <f t="shared" si="5"/>
        <v/>
      </c>
      <c r="N9" s="431"/>
      <c r="O9" s="431" t="str">
        <f t="shared" si="6"/>
        <v/>
      </c>
      <c r="P9" s="431"/>
    </row>
    <row r="10" spans="1:16" x14ac:dyDescent="0.2">
      <c r="A10" s="139">
        <v>4</v>
      </c>
      <c r="B10" s="89" t="str">
        <f>+PROPONENTES!B13</f>
        <v>CONSORCIO MEB VIAL</v>
      </c>
      <c r="C10" s="138"/>
      <c r="D10" s="138"/>
      <c r="E10" s="140" t="e">
        <f t="shared" si="1"/>
        <v>#NUM!</v>
      </c>
      <c r="F10" s="140"/>
      <c r="G10" s="89" t="str">
        <f t="shared" si="0"/>
        <v/>
      </c>
      <c r="H10" s="141" t="str">
        <f t="shared" si="2"/>
        <v/>
      </c>
      <c r="I10" s="431" t="str">
        <f t="shared" si="3"/>
        <v/>
      </c>
      <c r="J10" s="431"/>
      <c r="K10" s="431" t="str">
        <f t="shared" si="4"/>
        <v/>
      </c>
      <c r="L10" s="431"/>
      <c r="M10" s="431" t="str">
        <f t="shared" si="5"/>
        <v/>
      </c>
      <c r="N10" s="431"/>
      <c r="O10" s="431" t="str">
        <f t="shared" si="6"/>
        <v/>
      </c>
      <c r="P10" s="431"/>
    </row>
    <row r="11" spans="1:16" x14ac:dyDescent="0.2">
      <c r="A11" s="139">
        <v>5</v>
      </c>
      <c r="B11" s="89" t="str">
        <f>+PROPONENTES!B14</f>
        <v>CONSORCIO CONSERVACION DK</v>
      </c>
      <c r="C11" s="142"/>
      <c r="D11" s="142"/>
      <c r="E11" s="140" t="e">
        <f t="shared" si="1"/>
        <v>#NUM!</v>
      </c>
      <c r="F11" s="140"/>
      <c r="G11" s="89" t="str">
        <f t="shared" si="0"/>
        <v/>
      </c>
      <c r="H11" s="141" t="str">
        <f t="shared" si="2"/>
        <v/>
      </c>
      <c r="I11" s="431" t="str">
        <f t="shared" si="3"/>
        <v/>
      </c>
      <c r="J11" s="431"/>
      <c r="K11" s="431" t="str">
        <f t="shared" si="4"/>
        <v/>
      </c>
      <c r="L11" s="431"/>
      <c r="M11" s="431" t="str">
        <f t="shared" si="5"/>
        <v/>
      </c>
      <c r="N11" s="431"/>
      <c r="O11" s="431" t="str">
        <f t="shared" si="6"/>
        <v/>
      </c>
      <c r="P11" s="431"/>
    </row>
    <row r="12" spans="1:16" x14ac:dyDescent="0.2">
      <c r="A12" s="139">
        <v>6</v>
      </c>
      <c r="B12" s="89" t="str">
        <f>+PROPONENTES!B15</f>
        <v>CONSORCIO USAQUEN VIAL 2025</v>
      </c>
      <c r="C12" s="138"/>
      <c r="D12" s="138"/>
      <c r="E12" s="140" t="e">
        <f t="shared" si="1"/>
        <v>#NUM!</v>
      </c>
      <c r="F12" s="140"/>
      <c r="G12" s="89" t="str">
        <f t="shared" si="0"/>
        <v/>
      </c>
      <c r="H12" s="141" t="str">
        <f t="shared" si="2"/>
        <v/>
      </c>
      <c r="I12" s="431" t="str">
        <f t="shared" si="3"/>
        <v/>
      </c>
      <c r="J12" s="431"/>
      <c r="K12" s="431" t="str">
        <f t="shared" si="4"/>
        <v/>
      </c>
      <c r="L12" s="431"/>
      <c r="M12" s="431" t="str">
        <f t="shared" si="5"/>
        <v/>
      </c>
      <c r="N12" s="431"/>
      <c r="O12" s="431" t="str">
        <f t="shared" si="6"/>
        <v/>
      </c>
      <c r="P12" s="431"/>
    </row>
    <row r="13" spans="1:16" x14ac:dyDescent="0.2">
      <c r="A13" s="139">
        <v>7</v>
      </c>
      <c r="B13" s="89" t="str">
        <f>+PROPONENTES!B16</f>
        <v>CONSORCIO VIAS URBANAS</v>
      </c>
      <c r="C13" s="138"/>
      <c r="D13" s="138"/>
      <c r="E13" s="140" t="e">
        <f t="shared" si="1"/>
        <v>#NUM!</v>
      </c>
      <c r="F13" s="140"/>
      <c r="G13" s="89" t="str">
        <f t="shared" si="0"/>
        <v/>
      </c>
      <c r="H13" s="141" t="str">
        <f t="shared" si="2"/>
        <v/>
      </c>
      <c r="I13" s="431" t="str">
        <f t="shared" si="3"/>
        <v/>
      </c>
      <c r="J13" s="431"/>
      <c r="K13" s="431" t="str">
        <f t="shared" si="4"/>
        <v/>
      </c>
      <c r="L13" s="431"/>
      <c r="M13" s="431" t="str">
        <f t="shared" si="5"/>
        <v/>
      </c>
      <c r="N13" s="431"/>
      <c r="O13" s="431" t="str">
        <f t="shared" si="6"/>
        <v/>
      </c>
      <c r="P13" s="431"/>
    </row>
    <row r="14" spans="1:16" x14ac:dyDescent="0.2">
      <c r="A14" s="139">
        <v>8</v>
      </c>
      <c r="B14" s="89" t="str">
        <f>+PROPONENTES!B17</f>
        <v>CONSORCIO VIAL LA ROCA USAQUEN 2024</v>
      </c>
      <c r="C14" s="138"/>
      <c r="D14" s="138"/>
      <c r="E14" s="140" t="e">
        <f t="shared" si="1"/>
        <v>#NUM!</v>
      </c>
      <c r="F14" s="140"/>
      <c r="G14" s="89" t="str">
        <f t="shared" si="0"/>
        <v/>
      </c>
      <c r="H14" s="141" t="str">
        <f t="shared" si="2"/>
        <v/>
      </c>
      <c r="I14" s="431" t="str">
        <f t="shared" si="3"/>
        <v/>
      </c>
      <c r="J14" s="431"/>
      <c r="K14" s="431" t="str">
        <f t="shared" si="4"/>
        <v/>
      </c>
      <c r="L14" s="431"/>
      <c r="M14" s="431" t="str">
        <f t="shared" si="5"/>
        <v/>
      </c>
      <c r="N14" s="431"/>
      <c r="O14" s="431" t="str">
        <f t="shared" si="6"/>
        <v/>
      </c>
      <c r="P14" s="431"/>
    </row>
    <row r="15" spans="1:16" x14ac:dyDescent="0.2">
      <c r="A15" s="139">
        <v>9</v>
      </c>
      <c r="B15" s="89" t="str">
        <f>+PROPONENTES!B18</f>
        <v>Consorcio LG</v>
      </c>
      <c r="C15" s="138"/>
      <c r="D15" s="138"/>
      <c r="E15" s="140" t="e">
        <f t="shared" si="1"/>
        <v>#NUM!</v>
      </c>
      <c r="F15" s="140"/>
      <c r="G15" s="89" t="str">
        <f t="shared" si="0"/>
        <v/>
      </c>
      <c r="H15" s="141" t="str">
        <f t="shared" si="2"/>
        <v/>
      </c>
      <c r="I15" s="431" t="str">
        <f t="shared" si="3"/>
        <v/>
      </c>
      <c r="J15" s="431"/>
      <c r="K15" s="431" t="str">
        <f t="shared" si="4"/>
        <v/>
      </c>
      <c r="L15" s="431"/>
      <c r="M15" s="431" t="str">
        <f t="shared" si="5"/>
        <v/>
      </c>
      <c r="N15" s="431"/>
      <c r="O15" s="431" t="str">
        <f t="shared" si="6"/>
        <v/>
      </c>
      <c r="P15" s="431"/>
    </row>
    <row r="16" spans="1:16" x14ac:dyDescent="0.2">
      <c r="A16" s="139">
        <v>10</v>
      </c>
      <c r="B16" s="89" t="str">
        <f>+PROPONENTES!B19</f>
        <v>CONSORCIO VIAL URBANO DC</v>
      </c>
      <c r="C16" s="138"/>
      <c r="D16" s="138"/>
      <c r="E16" s="140" t="e">
        <f t="shared" si="1"/>
        <v>#NUM!</v>
      </c>
      <c r="F16" s="140"/>
      <c r="G16" s="89" t="str">
        <f t="shared" si="0"/>
        <v/>
      </c>
      <c r="H16" s="141" t="str">
        <f t="shared" si="2"/>
        <v/>
      </c>
      <c r="I16" s="431" t="str">
        <f t="shared" si="3"/>
        <v/>
      </c>
      <c r="J16" s="431"/>
      <c r="K16" s="431" t="str">
        <f t="shared" si="4"/>
        <v/>
      </c>
      <c r="L16" s="431"/>
      <c r="M16" s="431" t="str">
        <f t="shared" si="5"/>
        <v/>
      </c>
      <c r="N16" s="431"/>
      <c r="O16" s="431" t="str">
        <f t="shared" si="6"/>
        <v/>
      </c>
      <c r="P16" s="431"/>
    </row>
    <row r="17" spans="1:16" x14ac:dyDescent="0.2">
      <c r="A17" s="139">
        <v>11</v>
      </c>
      <c r="B17" s="89" t="str">
        <f>+PROPONENTES!B20</f>
        <v>CONSTRUCTORA CAMACON S.A.S</v>
      </c>
      <c r="C17" s="138"/>
      <c r="D17" s="138"/>
      <c r="E17" s="140" t="e">
        <f t="shared" si="1"/>
        <v>#NUM!</v>
      </c>
      <c r="F17" s="140"/>
      <c r="G17" s="89" t="str">
        <f t="shared" si="0"/>
        <v/>
      </c>
      <c r="H17" s="141" t="str">
        <f t="shared" si="2"/>
        <v/>
      </c>
      <c r="I17" s="431" t="str">
        <f t="shared" si="3"/>
        <v/>
      </c>
      <c r="J17" s="431"/>
      <c r="K17" s="431" t="str">
        <f t="shared" si="4"/>
        <v/>
      </c>
      <c r="L17" s="431"/>
      <c r="M17" s="431" t="str">
        <f t="shared" si="5"/>
        <v/>
      </c>
      <c r="N17" s="431"/>
      <c r="O17" s="431" t="str">
        <f t="shared" si="6"/>
        <v/>
      </c>
      <c r="P17" s="431"/>
    </row>
    <row r="18" spans="1:16" x14ac:dyDescent="0.2">
      <c r="A18" s="139">
        <v>12</v>
      </c>
      <c r="B18" s="89" t="str">
        <f>+PROPONENTES!B21</f>
        <v>CONSORCIO LA VICTORIA 2024</v>
      </c>
      <c r="C18" s="138"/>
      <c r="D18" s="138"/>
      <c r="E18" s="140" t="e">
        <f t="shared" si="1"/>
        <v>#NUM!</v>
      </c>
      <c r="F18" s="140"/>
      <c r="G18" s="89" t="str">
        <f t="shared" si="0"/>
        <v/>
      </c>
      <c r="H18" s="141" t="str">
        <f t="shared" si="2"/>
        <v/>
      </c>
      <c r="I18" s="431" t="str">
        <f t="shared" si="3"/>
        <v/>
      </c>
      <c r="J18" s="431"/>
      <c r="K18" s="431" t="str">
        <f t="shared" si="4"/>
        <v/>
      </c>
      <c r="L18" s="431"/>
      <c r="M18" s="431" t="str">
        <f t="shared" si="5"/>
        <v/>
      </c>
      <c r="N18" s="431"/>
      <c r="O18" s="431" t="str">
        <f t="shared" si="6"/>
        <v/>
      </c>
      <c r="P18" s="431"/>
    </row>
    <row r="19" spans="1:16" x14ac:dyDescent="0.2">
      <c r="A19" s="139">
        <v>13</v>
      </c>
      <c r="B19" s="89" t="str">
        <f>+PROPONENTES!B22</f>
        <v>VIALUSA 2024</v>
      </c>
      <c r="C19" s="138"/>
      <c r="D19" s="138"/>
      <c r="E19" s="140" t="e">
        <f t="shared" si="1"/>
        <v>#NUM!</v>
      </c>
      <c r="F19" s="140"/>
      <c r="G19" s="89" t="str">
        <f t="shared" si="0"/>
        <v/>
      </c>
      <c r="H19" s="141" t="str">
        <f t="shared" si="2"/>
        <v/>
      </c>
      <c r="I19" s="431" t="str">
        <f t="shared" si="3"/>
        <v/>
      </c>
      <c r="J19" s="431"/>
      <c r="K19" s="431" t="str">
        <f t="shared" si="4"/>
        <v/>
      </c>
      <c r="L19" s="431"/>
      <c r="M19" s="431" t="str">
        <f t="shared" si="5"/>
        <v/>
      </c>
      <c r="N19" s="431"/>
      <c r="O19" s="431" t="str">
        <f t="shared" si="6"/>
        <v/>
      </c>
      <c r="P19" s="431"/>
    </row>
    <row r="20" spans="1:16" x14ac:dyDescent="0.2">
      <c r="A20" s="139">
        <v>14</v>
      </c>
      <c r="B20" s="89" t="str">
        <f>+PROPONENTES!B23</f>
        <v>14 CONSORCIO VIAL USAQUEN</v>
      </c>
      <c r="C20" s="138"/>
      <c r="D20" s="138"/>
      <c r="E20" s="140" t="e">
        <f t="shared" si="1"/>
        <v>#NUM!</v>
      </c>
      <c r="F20" s="140"/>
      <c r="G20" s="89" t="str">
        <f t="shared" si="0"/>
        <v/>
      </c>
      <c r="H20" s="141" t="str">
        <f t="shared" si="2"/>
        <v/>
      </c>
      <c r="I20" s="431" t="str">
        <f t="shared" si="3"/>
        <v/>
      </c>
      <c r="J20" s="431"/>
      <c r="K20" s="431" t="str">
        <f t="shared" si="4"/>
        <v/>
      </c>
      <c r="L20" s="431"/>
      <c r="M20" s="431" t="str">
        <f t="shared" si="5"/>
        <v/>
      </c>
      <c r="N20" s="431"/>
      <c r="O20" s="431" t="str">
        <f t="shared" si="6"/>
        <v/>
      </c>
      <c r="P20" s="431"/>
    </row>
    <row r="21" spans="1:16" x14ac:dyDescent="0.2">
      <c r="A21" s="139">
        <v>15</v>
      </c>
      <c r="B21" s="89" t="str">
        <f>+PROPONENTES!B24</f>
        <v>CONSORCIO ZINFRA</v>
      </c>
      <c r="C21" s="138"/>
      <c r="D21" s="138"/>
      <c r="E21" s="140" t="e">
        <f t="shared" si="1"/>
        <v>#NUM!</v>
      </c>
      <c r="F21" s="140"/>
      <c r="G21" s="89" t="str">
        <f t="shared" si="0"/>
        <v/>
      </c>
      <c r="H21" s="141" t="str">
        <f t="shared" si="2"/>
        <v/>
      </c>
      <c r="I21" s="431" t="str">
        <f t="shared" si="3"/>
        <v/>
      </c>
      <c r="J21" s="431"/>
      <c r="K21" s="431" t="str">
        <f t="shared" si="4"/>
        <v/>
      </c>
      <c r="L21" s="431"/>
      <c r="M21" s="431" t="str">
        <f t="shared" si="5"/>
        <v/>
      </c>
      <c r="N21" s="431"/>
      <c r="O21" s="431" t="str">
        <f t="shared" si="6"/>
        <v/>
      </c>
      <c r="P21" s="431"/>
    </row>
    <row r="22" spans="1:16" x14ac:dyDescent="0.2">
      <c r="A22" s="139">
        <v>16</v>
      </c>
      <c r="B22" s="89" t="str">
        <f>+PROPONENTES!B25</f>
        <v>CONSORCIO MANTENIMIENTO VIAL USAQUEN II</v>
      </c>
      <c r="C22" s="138"/>
      <c r="D22" s="138"/>
      <c r="E22" s="140" t="e">
        <f t="shared" si="1"/>
        <v>#NUM!</v>
      </c>
      <c r="F22" s="140"/>
      <c r="G22" s="89" t="str">
        <f t="shared" si="0"/>
        <v/>
      </c>
      <c r="H22" s="141" t="str">
        <f t="shared" si="2"/>
        <v/>
      </c>
      <c r="I22" s="431" t="str">
        <f t="shared" si="3"/>
        <v/>
      </c>
      <c r="J22" s="431"/>
      <c r="K22" s="431" t="str">
        <f t="shared" si="4"/>
        <v/>
      </c>
      <c r="L22" s="431"/>
      <c r="M22" s="431" t="str">
        <f t="shared" si="5"/>
        <v/>
      </c>
      <c r="N22" s="431"/>
      <c r="O22" s="431" t="str">
        <f t="shared" si="6"/>
        <v/>
      </c>
      <c r="P22" s="431"/>
    </row>
    <row r="23" spans="1:16" x14ac:dyDescent="0.2">
      <c r="A23" s="139">
        <v>17</v>
      </c>
      <c r="B23" s="89" t="str">
        <f>+PROPONENTES!B26</f>
        <v>CONSORCIO DAI USAQUEN</v>
      </c>
      <c r="C23" s="138"/>
      <c r="D23" s="138"/>
      <c r="E23" s="140" t="e">
        <f t="shared" si="1"/>
        <v>#NUM!</v>
      </c>
      <c r="F23" s="140"/>
      <c r="G23" s="89" t="str">
        <f t="shared" si="0"/>
        <v/>
      </c>
      <c r="H23" s="141" t="str">
        <f t="shared" si="2"/>
        <v/>
      </c>
      <c r="I23" s="431" t="str">
        <f t="shared" si="3"/>
        <v/>
      </c>
      <c r="J23" s="431"/>
      <c r="K23" s="431" t="str">
        <f t="shared" si="4"/>
        <v/>
      </c>
      <c r="L23" s="431"/>
      <c r="M23" s="431" t="str">
        <f t="shared" si="5"/>
        <v/>
      </c>
      <c r="N23" s="431"/>
      <c r="O23" s="431" t="str">
        <f t="shared" si="6"/>
        <v/>
      </c>
      <c r="P23" s="431"/>
    </row>
    <row r="24" spans="1:16" x14ac:dyDescent="0.2">
      <c r="A24" s="139">
        <v>18</v>
      </c>
      <c r="B24" s="89" t="str">
        <f>+PROPONENTES!B27</f>
        <v>CONSORCIO USAQUEN 002</v>
      </c>
      <c r="C24" s="138"/>
      <c r="D24" s="138"/>
      <c r="E24" s="140" t="e">
        <f t="shared" si="1"/>
        <v>#NUM!</v>
      </c>
      <c r="F24" s="140"/>
      <c r="G24" s="89" t="str">
        <f t="shared" si="0"/>
        <v/>
      </c>
      <c r="H24" s="141" t="str">
        <f t="shared" si="2"/>
        <v/>
      </c>
      <c r="I24" s="431" t="str">
        <f t="shared" si="3"/>
        <v/>
      </c>
      <c r="J24" s="431"/>
      <c r="K24" s="431" t="str">
        <f t="shared" si="4"/>
        <v/>
      </c>
      <c r="L24" s="431"/>
      <c r="M24" s="431" t="str">
        <f t="shared" si="5"/>
        <v/>
      </c>
      <c r="N24" s="431"/>
      <c r="O24" s="431" t="str">
        <f t="shared" si="6"/>
        <v/>
      </c>
      <c r="P24" s="431"/>
    </row>
    <row r="25" spans="1:16" x14ac:dyDescent="0.2">
      <c r="A25" s="139">
        <v>19</v>
      </c>
      <c r="B25" s="89" t="str">
        <f>+PROPONENTES!B28</f>
        <v>CONSORCIO MALLA VIAL USAQUEN</v>
      </c>
      <c r="C25" s="138"/>
      <c r="D25" s="138"/>
      <c r="E25" s="140" t="e">
        <f t="shared" si="1"/>
        <v>#NUM!</v>
      </c>
      <c r="F25" s="140"/>
      <c r="G25" s="89" t="str">
        <f t="shared" si="0"/>
        <v/>
      </c>
      <c r="H25" s="141" t="str">
        <f t="shared" si="2"/>
        <v/>
      </c>
      <c r="I25" s="431" t="str">
        <f t="shared" si="3"/>
        <v/>
      </c>
      <c r="J25" s="431"/>
      <c r="K25" s="431" t="str">
        <f t="shared" si="4"/>
        <v/>
      </c>
      <c r="L25" s="431"/>
      <c r="M25" s="431" t="str">
        <f t="shared" si="5"/>
        <v/>
      </c>
      <c r="N25" s="431"/>
      <c r="O25" s="431" t="str">
        <f t="shared" si="6"/>
        <v/>
      </c>
      <c r="P25" s="431"/>
    </row>
    <row r="26" spans="1:16" x14ac:dyDescent="0.2">
      <c r="A26" s="139">
        <v>20</v>
      </c>
      <c r="B26" s="89" t="str">
        <f>+PROPONENTES!B29</f>
        <v>CONSORCIO SEGMENTOS VIALES</v>
      </c>
      <c r="C26" s="138"/>
      <c r="D26" s="138"/>
      <c r="E26" s="140" t="e">
        <f t="shared" si="1"/>
        <v>#NUM!</v>
      </c>
      <c r="F26" s="140"/>
      <c r="G26" s="89"/>
      <c r="H26" s="141"/>
      <c r="I26" s="431"/>
      <c r="J26" s="431"/>
      <c r="K26" s="431"/>
      <c r="L26" s="431"/>
      <c r="M26" s="431"/>
      <c r="N26" s="431"/>
      <c r="O26" s="431"/>
      <c r="P26" s="431"/>
    </row>
    <row r="27" spans="1:16" x14ac:dyDescent="0.2">
      <c r="A27" s="139">
        <v>21</v>
      </c>
      <c r="B27" s="89" t="str">
        <f>+PROPONENTES!B30</f>
        <v>CONSORCIO LOCALIDAD USAQUEN</v>
      </c>
      <c r="C27" s="138"/>
      <c r="D27" s="138"/>
      <c r="E27" s="140" t="e">
        <f t="shared" si="1"/>
        <v>#NUM!</v>
      </c>
      <c r="F27" s="140"/>
      <c r="G27" s="89"/>
      <c r="H27" s="141"/>
      <c r="I27" s="431"/>
      <c r="J27" s="431"/>
      <c r="K27" s="431"/>
      <c r="L27" s="431"/>
      <c r="M27" s="431"/>
      <c r="N27" s="431"/>
      <c r="O27" s="431"/>
      <c r="P27" s="431"/>
    </row>
    <row r="28" spans="1:16" x14ac:dyDescent="0.2">
      <c r="A28" s="139">
        <v>22</v>
      </c>
      <c r="B28" s="89" t="str">
        <f>+PROPONENTES!B31</f>
        <v>22 CONSORCIO VIAL USAQUEN</v>
      </c>
      <c r="C28" s="138"/>
      <c r="D28" s="138"/>
      <c r="E28" s="140" t="e">
        <f t="shared" si="1"/>
        <v>#NUM!</v>
      </c>
      <c r="F28" s="140"/>
      <c r="G28" s="89"/>
      <c r="H28" s="141"/>
      <c r="I28" s="431"/>
      <c r="J28" s="431"/>
      <c r="K28" s="431"/>
      <c r="L28" s="431"/>
      <c r="M28" s="431"/>
      <c r="N28" s="431"/>
      <c r="O28" s="431"/>
      <c r="P28" s="431"/>
    </row>
    <row r="29" spans="1:16" x14ac:dyDescent="0.2">
      <c r="A29" s="139">
        <v>23</v>
      </c>
      <c r="B29" s="89" t="str">
        <f>+PROPONENTES!B32</f>
        <v>VD USAQUEN 2024</v>
      </c>
      <c r="C29" s="138"/>
      <c r="D29" s="138"/>
      <c r="E29" s="140" t="e">
        <f t="shared" si="1"/>
        <v>#NUM!</v>
      </c>
      <c r="F29" s="140"/>
      <c r="G29" s="89"/>
      <c r="H29" s="141"/>
      <c r="I29" s="431"/>
      <c r="J29" s="431"/>
      <c r="K29" s="431"/>
      <c r="L29" s="431"/>
      <c r="M29" s="431"/>
      <c r="N29" s="431"/>
      <c r="O29" s="431"/>
      <c r="P29" s="431"/>
    </row>
    <row r="30" spans="1:16" x14ac:dyDescent="0.2">
      <c r="A30" s="139">
        <v>24</v>
      </c>
      <c r="B30" s="89" t="str">
        <f>+PROPONENTES!B33</f>
        <v>CONSORCIO ZONA 1</v>
      </c>
      <c r="C30" s="138"/>
      <c r="D30" s="138"/>
      <c r="E30" s="140" t="e">
        <f t="shared" si="1"/>
        <v>#NUM!</v>
      </c>
      <c r="F30" s="140"/>
      <c r="G30" s="89"/>
      <c r="H30" s="141"/>
      <c r="I30" s="431"/>
      <c r="J30" s="431"/>
      <c r="K30" s="431"/>
      <c r="L30" s="431"/>
      <c r="M30" s="431"/>
      <c r="N30" s="431"/>
      <c r="O30" s="431"/>
      <c r="P30" s="431"/>
    </row>
    <row r="31" spans="1:16" x14ac:dyDescent="0.2">
      <c r="A31" s="139">
        <v>25</v>
      </c>
      <c r="B31" s="89" t="str">
        <f>+PROPONENTES!B34</f>
        <v>CONSORCIO VIAS USAQUEN 2027</v>
      </c>
      <c r="C31" s="138"/>
      <c r="D31" s="138"/>
      <c r="E31" s="140" t="e">
        <f t="shared" si="1"/>
        <v>#NUM!</v>
      </c>
      <c r="F31" s="140"/>
      <c r="G31" s="89" t="str">
        <f t="shared" si="0"/>
        <v/>
      </c>
      <c r="H31" s="141" t="str">
        <f t="shared" si="2"/>
        <v/>
      </c>
      <c r="I31" s="431" t="str">
        <f t="shared" si="3"/>
        <v/>
      </c>
      <c r="J31" s="431"/>
      <c r="K31" s="431" t="str">
        <f t="shared" si="4"/>
        <v/>
      </c>
      <c r="L31" s="431"/>
      <c r="M31" s="431" t="str">
        <f t="shared" si="5"/>
        <v/>
      </c>
      <c r="N31" s="431"/>
      <c r="O31" s="431" t="str">
        <f t="shared" si="6"/>
        <v/>
      </c>
      <c r="P31" s="431"/>
    </row>
    <row r="32" spans="1:16" x14ac:dyDescent="0.2">
      <c r="A32" s="139">
        <v>26</v>
      </c>
      <c r="B32" s="89" t="str">
        <f>+PROPONENTES!B35</f>
        <v>ARCO CONSTRUCTORES SAS</v>
      </c>
      <c r="C32" s="138"/>
      <c r="D32" s="138"/>
      <c r="E32" s="140" t="e">
        <f t="shared" si="1"/>
        <v>#NUM!</v>
      </c>
      <c r="F32" s="140"/>
      <c r="G32" s="89" t="str">
        <f t="shared" ref="G32:G34" si="7">IF(H32="","",ABS(H32-$L$2))</f>
        <v/>
      </c>
      <c r="H32" s="141" t="str">
        <f t="shared" ref="H32:H34" si="8">IF(F32="X",D32,"")</f>
        <v/>
      </c>
      <c r="I32" s="431" t="str">
        <f t="shared" ref="I32:I34" si="9">IF(H32="","",IF($J$4="IMPAR",IF(H32=$J$2,$J$5,((1-ABS(($J$2-H32)/$J$2))*$J$5)),IF(H32=$J$3,$J$5,((1-ABS((($J$3-H32)/$J$3)))*$J$5))))</f>
        <v/>
      </c>
      <c r="J32" s="431"/>
      <c r="K32" s="431" t="str">
        <f t="shared" ref="K32:K34" si="10">IF(H32="","",IF(H32=$L$3,$L$5,$L$5*(1-((ABS($L$2-H32))/$L$2))))</f>
        <v/>
      </c>
      <c r="L32" s="431"/>
      <c r="M32" s="431" t="str">
        <f t="shared" ref="M32:M34" si="11">IF(H32="","",IF(H32&lt;=$N$4,$N$5*(1-(($N$4-H32)/$N$4)),$N$5*(1-((ABS($N$4-H32))/$N$4))))</f>
        <v/>
      </c>
      <c r="N32" s="431"/>
      <c r="O32" s="431" t="str">
        <f t="shared" ref="O32:O34" si="12">IF(H32="","",$P$5*$P$3/H32)</f>
        <v/>
      </c>
      <c r="P32" s="431"/>
    </row>
    <row r="33" spans="1:16" x14ac:dyDescent="0.2">
      <c r="A33" s="139">
        <v>27</v>
      </c>
      <c r="B33" s="89" t="str">
        <f>+PROPONENTES!B36</f>
        <v>OCCIDENTAL DE COLOMBIA SAS</v>
      </c>
      <c r="C33" s="138"/>
      <c r="D33" s="138"/>
      <c r="E33" s="140" t="e">
        <f t="shared" si="1"/>
        <v>#NUM!</v>
      </c>
      <c r="F33" s="140"/>
      <c r="G33" s="89" t="str">
        <f t="shared" si="7"/>
        <v/>
      </c>
      <c r="H33" s="141" t="str">
        <f t="shared" si="8"/>
        <v/>
      </c>
      <c r="I33" s="431" t="str">
        <f t="shared" si="9"/>
        <v/>
      </c>
      <c r="J33" s="431"/>
      <c r="K33" s="431" t="str">
        <f t="shared" si="10"/>
        <v/>
      </c>
      <c r="L33" s="431"/>
      <c r="M33" s="431" t="str">
        <f t="shared" si="11"/>
        <v/>
      </c>
      <c r="N33" s="431"/>
      <c r="O33" s="431" t="str">
        <f t="shared" si="12"/>
        <v/>
      </c>
      <c r="P33" s="431"/>
    </row>
    <row r="34" spans="1:16" x14ac:dyDescent="0.2">
      <c r="A34" s="139">
        <v>28</v>
      </c>
      <c r="B34" s="89" t="str">
        <f>+PROPONENTES!B42</f>
        <v>CONSORCIO SANTA ANA 2024</v>
      </c>
      <c r="C34" s="138"/>
      <c r="D34" s="138"/>
      <c r="E34" s="140" t="e">
        <f t="shared" si="1"/>
        <v>#NUM!</v>
      </c>
      <c r="F34" s="140"/>
      <c r="G34" s="89" t="str">
        <f t="shared" si="7"/>
        <v/>
      </c>
      <c r="H34" s="141" t="str">
        <f t="shared" si="8"/>
        <v/>
      </c>
      <c r="I34" s="431" t="str">
        <f t="shared" si="9"/>
        <v/>
      </c>
      <c r="J34" s="431"/>
      <c r="K34" s="431" t="str">
        <f t="shared" si="10"/>
        <v/>
      </c>
      <c r="L34" s="431"/>
      <c r="M34" s="431" t="str">
        <f t="shared" si="11"/>
        <v/>
      </c>
      <c r="N34" s="431"/>
      <c r="O34" s="431" t="str">
        <f t="shared" si="12"/>
        <v/>
      </c>
      <c r="P34" s="431"/>
    </row>
  </sheetData>
  <sheetProtection algorithmName="SHA-512" hashValue="SVmeiesSohTVlYm9yPSZ2H+YCT0BSZwfdwhdIULWwT6qZ2DezwhJedTgze+26ztg7bvyF7of9vhNYNJeSsDG4w==" saltValue="2l7gdjYFYSOFZmCI7lYlKA==" spinCount="100000" sheet="1" objects="1" scenarios="1"/>
  <mergeCells count="125">
    <mergeCell ref="M29:N29"/>
    <mergeCell ref="O29:P29"/>
    <mergeCell ref="I30:J30"/>
    <mergeCell ref="K30:L30"/>
    <mergeCell ref="M30:N30"/>
    <mergeCell ref="O30:P30"/>
    <mergeCell ref="M26:N26"/>
    <mergeCell ref="O26:P26"/>
    <mergeCell ref="I27:J27"/>
    <mergeCell ref="K27:L27"/>
    <mergeCell ref="M27:N27"/>
    <mergeCell ref="O27:P27"/>
    <mergeCell ref="I28:J28"/>
    <mergeCell ref="K28:L28"/>
    <mergeCell ref="M28:N28"/>
    <mergeCell ref="O28:P28"/>
    <mergeCell ref="I34:J34"/>
    <mergeCell ref="K34:L34"/>
    <mergeCell ref="M34:N34"/>
    <mergeCell ref="O34:P34"/>
    <mergeCell ref="I32:J32"/>
    <mergeCell ref="K32:L32"/>
    <mergeCell ref="M32:N32"/>
    <mergeCell ref="O32:P32"/>
    <mergeCell ref="I33:J33"/>
    <mergeCell ref="K33:L33"/>
    <mergeCell ref="M33:N33"/>
    <mergeCell ref="O33:P33"/>
    <mergeCell ref="O23:P23"/>
    <mergeCell ref="O24:P24"/>
    <mergeCell ref="O25:P25"/>
    <mergeCell ref="O31:P31"/>
    <mergeCell ref="B1:C1"/>
    <mergeCell ref="B2:C5"/>
    <mergeCell ref="F1:P1"/>
    <mergeCell ref="F2:H5"/>
    <mergeCell ref="O17:P17"/>
    <mergeCell ref="O18:P18"/>
    <mergeCell ref="O19:P19"/>
    <mergeCell ref="O20:P20"/>
    <mergeCell ref="O21:P21"/>
    <mergeCell ref="O22:P22"/>
    <mergeCell ref="O11:P11"/>
    <mergeCell ref="O12:P12"/>
    <mergeCell ref="O13:P13"/>
    <mergeCell ref="O14:P14"/>
    <mergeCell ref="O15:P15"/>
    <mergeCell ref="O16:P16"/>
    <mergeCell ref="K31:L31"/>
    <mergeCell ref="M31:N31"/>
    <mergeCell ref="K19:L19"/>
    <mergeCell ref="M19:N19"/>
    <mergeCell ref="M16:N16"/>
    <mergeCell ref="K17:L17"/>
    <mergeCell ref="M17:N17"/>
    <mergeCell ref="M13:N13"/>
    <mergeCell ref="K14:L14"/>
    <mergeCell ref="M14:N14"/>
    <mergeCell ref="K15:L15"/>
    <mergeCell ref="O4:P4"/>
    <mergeCell ref="K12:L12"/>
    <mergeCell ref="M12:N12"/>
    <mergeCell ref="M6:N6"/>
    <mergeCell ref="M7:N7"/>
    <mergeCell ref="M8:N8"/>
    <mergeCell ref="M9:N9"/>
    <mergeCell ref="O2:P2"/>
    <mergeCell ref="O6:P6"/>
    <mergeCell ref="O7:P7"/>
    <mergeCell ref="O8:P8"/>
    <mergeCell ref="O9:P9"/>
    <mergeCell ref="O10:P10"/>
    <mergeCell ref="K24:L24"/>
    <mergeCell ref="M24:N24"/>
    <mergeCell ref="K25:L25"/>
    <mergeCell ref="M25:N25"/>
    <mergeCell ref="K22:L22"/>
    <mergeCell ref="M22:N22"/>
    <mergeCell ref="K23:L23"/>
    <mergeCell ref="M23:N23"/>
    <mergeCell ref="K20:L20"/>
    <mergeCell ref="M20:N20"/>
    <mergeCell ref="K21:L21"/>
    <mergeCell ref="M21:N21"/>
    <mergeCell ref="K18:L18"/>
    <mergeCell ref="M18:N18"/>
    <mergeCell ref="M15:N15"/>
    <mergeCell ref="M10:N10"/>
    <mergeCell ref="K11:L11"/>
    <mergeCell ref="M11:N11"/>
    <mergeCell ref="I23:J23"/>
    <mergeCell ref="I24:J24"/>
    <mergeCell ref="I25:J25"/>
    <mergeCell ref="I31:J31"/>
    <mergeCell ref="K7:L7"/>
    <mergeCell ref="K10:L10"/>
    <mergeCell ref="K13:L13"/>
    <mergeCell ref="I17:J17"/>
    <mergeCell ref="I18:J18"/>
    <mergeCell ref="I19:J19"/>
    <mergeCell ref="I20:J20"/>
    <mergeCell ref="I21:J21"/>
    <mergeCell ref="I22:J22"/>
    <mergeCell ref="I11:J11"/>
    <mergeCell ref="I12:J12"/>
    <mergeCell ref="I13:J13"/>
    <mergeCell ref="I15:J15"/>
    <mergeCell ref="I16:J16"/>
    <mergeCell ref="I14:J14"/>
    <mergeCell ref="K16:L16"/>
    <mergeCell ref="I26:J26"/>
    <mergeCell ref="K26:L26"/>
    <mergeCell ref="I29:J29"/>
    <mergeCell ref="K29:L29"/>
    <mergeCell ref="D1:E1"/>
    <mergeCell ref="D5:E5"/>
    <mergeCell ref="I7:J7"/>
    <mergeCell ref="I8:J8"/>
    <mergeCell ref="I9:J9"/>
    <mergeCell ref="I10:J10"/>
    <mergeCell ref="K4:L4"/>
    <mergeCell ref="I6:J6"/>
    <mergeCell ref="K6:L6"/>
    <mergeCell ref="K8:L8"/>
    <mergeCell ref="K9:L9"/>
  </mergeCells>
  <conditionalFormatting sqref="E7:H34">
    <cfRule type="cellIs" dxfId="2" priority="2" operator="equal">
      <formula>"NO"</formula>
    </cfRule>
    <cfRule type="cellIs" dxfId="1" priority="3" operator="equal">
      <formula>"SI"</formula>
    </cfRule>
  </conditionalFormatting>
  <conditionalFormatting sqref="I7:P34">
    <cfRule type="cellIs" dxfId="0" priority="1" operator="equal">
      <formula>60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41</vt:i4>
      </vt:variant>
      <vt:variant>
        <vt:lpstr>Rangos con nombre</vt:lpstr>
      </vt:variant>
      <vt:variant>
        <vt:i4>36</vt:i4>
      </vt:variant>
    </vt:vector>
  </HeadingPairs>
  <TitlesOfParts>
    <vt:vector size="77" baseType="lpstr">
      <vt:lpstr>CONSOLIDADO</vt:lpstr>
      <vt:lpstr>PONDERACION</vt:lpstr>
      <vt:lpstr>KRESIDUAL</vt:lpstr>
      <vt:lpstr>1</vt:lpstr>
      <vt:lpstr>K RESIDUAL DOCUMENTOS</vt:lpstr>
      <vt:lpstr>K RESIDUAL CALCULO</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PROPONENTES</vt:lpstr>
      <vt:lpstr>DATOS INICIALES</vt:lpstr>
      <vt:lpstr>OFERTA ECONOMICA</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'4'!Área_de_impresión</vt:lpstr>
      <vt:lpstr>'5'!Área_de_impresión</vt:lpstr>
      <vt:lpstr>'6'!Área_de_impresión</vt:lpstr>
      <vt:lpstr>'7'!Área_de_impresión</vt:lpstr>
      <vt:lpstr>'8'!Área_de_impresión</vt:lpstr>
      <vt:lpstr>'9'!Área_de_impresión</vt:lpstr>
      <vt:lpstr>CONSOLIDADO!Área_de_impresión</vt:lpstr>
      <vt:lpstr>'DATOS INICIALES'!Área_de_impresión</vt:lpstr>
      <vt:lpstr>PROPONENTES!Área_de_impresión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Paula Camila Camargo Vargas</cp:lastModifiedBy>
  <cp:revision/>
  <cp:lastPrinted>2023-09-09T02:42:45Z</cp:lastPrinted>
  <dcterms:created xsi:type="dcterms:W3CDTF">2020-12-10T19:47:01Z</dcterms:created>
  <dcterms:modified xsi:type="dcterms:W3CDTF">2024-11-01T18:16:51Z</dcterms:modified>
  <cp:category/>
  <cp:contentStatus/>
</cp:coreProperties>
</file>