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1 ARCHIVOS CARDER\ESTUDIOS PREVIOS 2024\10 ESTUDIO VEREDA EL CAUCHO MISTRATO\OFERTA 22 10 2024\"/>
    </mc:Choice>
  </mc:AlternateContent>
  <xr:revisionPtr revIDLastSave="0" documentId="13_ncr:1_{C9E2D453-A08B-4C49-BBCE-3DFB957390CB}" xr6:coauthVersionLast="47" xr6:coauthVersionMax="47" xr10:uidLastSave="{00000000-0000-0000-0000-000000000000}"/>
  <bookViews>
    <workbookView xWindow="-120" yWindow="-120" windowWidth="29040" windowHeight="15720" activeTab="4" xr2:uid="{D6769F7C-9A7A-49D6-8C8C-C4FD3DDF9C6C}"/>
  </bookViews>
  <sheets>
    <sheet name="EJE GROUP" sheetId="1" r:id="rId1"/>
    <sheet name="CONSULTORES EN INGENIERIA" sheetId="2" r:id="rId2"/>
    <sheet name="GIA CL" sheetId="5" r:id="rId3"/>
    <sheet name="JHS INGENIERÍA" sheetId="6" r:id="rId4"/>
    <sheet name="CONSORCIO GECSOL" sheetId="8" r:id="rId5"/>
  </sheets>
  <definedNames>
    <definedName name="_xlnm.Print_Area" localSheetId="4">'CONSORCIO GECSOL'!$B$2:$M$14</definedName>
    <definedName name="_xlnm.Print_Area" localSheetId="1">'CONSULTORES EN INGENIERIA'!$B$2:$M$11</definedName>
    <definedName name="_xlnm.Print_Area" localSheetId="0">'EJE GROUP'!$B$2:$M$10</definedName>
    <definedName name="_xlnm.Print_Area" localSheetId="2">'GIA CL'!$B$2:$M$12</definedName>
    <definedName name="_xlnm.Print_Area" localSheetId="3">'JHS INGENIERÍA'!$B$2:$M$12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2" i="8" l="1"/>
  <c r="L8" i="8"/>
  <c r="L8" i="1"/>
  <c r="I6" i="8"/>
  <c r="J6" i="8" s="1"/>
  <c r="L6" i="8" s="1"/>
  <c r="I7" i="8"/>
  <c r="J7" i="8" s="1"/>
  <c r="L7" i="8" s="1"/>
  <c r="M14" i="8"/>
  <c r="I14" i="8"/>
  <c r="J14" i="8" s="1"/>
  <c r="K14" i="8" s="1"/>
  <c r="M13" i="8"/>
  <c r="I13" i="8"/>
  <c r="J13" i="8" s="1"/>
  <c r="K13" i="8" s="1"/>
  <c r="M12" i="8"/>
  <c r="M19" i="8" s="1"/>
  <c r="I12" i="8"/>
  <c r="J12" i="8" s="1"/>
  <c r="K12" i="8" s="1"/>
  <c r="I8" i="8"/>
  <c r="C17" i="8" s="1"/>
  <c r="I5" i="8"/>
  <c r="C16" i="8" s="1"/>
  <c r="I4" i="8"/>
  <c r="J4" i="8" s="1"/>
  <c r="C17" i="6"/>
  <c r="C14" i="6"/>
  <c r="C15" i="6"/>
  <c r="C13" i="6"/>
  <c r="H21" i="6"/>
  <c r="I21" i="6" s="1"/>
  <c r="J5" i="8" l="1"/>
  <c r="L5" i="8" s="1"/>
  <c r="C15" i="8"/>
  <c r="L4" i="8"/>
  <c r="J8" i="8"/>
  <c r="M18" i="8"/>
  <c r="M17" i="6"/>
  <c r="M16" i="6"/>
  <c r="L10" i="6" s="1"/>
  <c r="M12" i="6"/>
  <c r="I12" i="6"/>
  <c r="J12" i="6" s="1"/>
  <c r="K12" i="6" s="1"/>
  <c r="M11" i="6"/>
  <c r="I11" i="6"/>
  <c r="J11" i="6" s="1"/>
  <c r="K11" i="6" s="1"/>
  <c r="M10" i="6"/>
  <c r="I10" i="6"/>
  <c r="J10" i="6" s="1"/>
  <c r="K10" i="6" s="1"/>
  <c r="I6" i="6"/>
  <c r="I5" i="6"/>
  <c r="I4" i="6"/>
  <c r="J4" i="6" s="1"/>
  <c r="I4" i="1"/>
  <c r="C11" i="1" s="1"/>
  <c r="C14" i="2"/>
  <c r="I6" i="5"/>
  <c r="J6" i="5" s="1"/>
  <c r="L6" i="5" s="1"/>
  <c r="I10" i="8" l="1"/>
  <c r="C15" i="5"/>
  <c r="J6" i="6"/>
  <c r="L6" i="6" s="1"/>
  <c r="L4" i="6"/>
  <c r="J5" i="6"/>
  <c r="L5" i="6" s="1"/>
  <c r="J4" i="1"/>
  <c r="L4" i="1" s="1"/>
  <c r="I5" i="5"/>
  <c r="I4" i="5"/>
  <c r="I5" i="2"/>
  <c r="I4" i="2"/>
  <c r="C12" i="2" s="1"/>
  <c r="I12" i="5"/>
  <c r="I10" i="1"/>
  <c r="I11" i="2"/>
  <c r="J4" i="2" l="1"/>
  <c r="L4" i="2" s="1"/>
  <c r="J5" i="2"/>
  <c r="L5" i="2" s="1"/>
  <c r="C13" i="2"/>
  <c r="J4" i="5"/>
  <c r="L4" i="5" s="1"/>
  <c r="C13" i="5"/>
  <c r="J5" i="5"/>
  <c r="L5" i="5" s="1"/>
  <c r="C14" i="5"/>
  <c r="I8" i="6"/>
  <c r="M17" i="5"/>
  <c r="M16" i="5"/>
  <c r="M12" i="5"/>
  <c r="J12" i="5"/>
  <c r="K12" i="5" s="1"/>
  <c r="M11" i="5"/>
  <c r="I11" i="5"/>
  <c r="J11" i="5" s="1"/>
  <c r="K11" i="5" s="1"/>
  <c r="M10" i="5"/>
  <c r="I10" i="5"/>
  <c r="J10" i="5" s="1"/>
  <c r="K10" i="5" s="1"/>
  <c r="M16" i="2"/>
  <c r="M15" i="2"/>
  <c r="M11" i="2"/>
  <c r="J11" i="2"/>
  <c r="K11" i="2" s="1"/>
  <c r="M10" i="2"/>
  <c r="I10" i="2"/>
  <c r="J10" i="2" s="1"/>
  <c r="K10" i="2" s="1"/>
  <c r="M9" i="2"/>
  <c r="I9" i="2"/>
  <c r="J9" i="2" s="1"/>
  <c r="K9" i="2" s="1"/>
  <c r="I7" i="2"/>
  <c r="J10" i="1"/>
  <c r="K10" i="1" s="1"/>
  <c r="M9" i="1"/>
  <c r="M10" i="1"/>
  <c r="M15" i="1" s="1"/>
  <c r="M8" i="1"/>
  <c r="I9" i="1"/>
  <c r="J9" i="1" s="1"/>
  <c r="K9" i="1" s="1"/>
  <c r="I8" i="1"/>
  <c r="J8" i="1" s="1"/>
  <c r="K8" i="1" s="1"/>
  <c r="I8" i="5" l="1"/>
  <c r="M14" i="1"/>
  <c r="L10" i="5"/>
  <c r="L9" i="2"/>
  <c r="I6" i="1" l="1"/>
</calcChain>
</file>

<file path=xl/sharedStrings.xml><?xml version="1.0" encoding="utf-8"?>
<sst xmlns="http://schemas.openxmlformats.org/spreadsheetml/2006/main" count="258" uniqueCount="93">
  <si>
    <t>NUMERO DEL CONTRATO EN EL RUP</t>
  </si>
  <si>
    <t>CONTRATANTE</t>
  </si>
  <si>
    <t>OBJETO</t>
  </si>
  <si>
    <t>CUANTÍA EN SMMLV</t>
  </si>
  <si>
    <t>% PARTICIPACIÓN</t>
  </si>
  <si>
    <t>CONDICION</t>
  </si>
  <si>
    <t>CUANTÍA EN SMMLV
SEGÚN PARTICIPACIÓN</t>
  </si>
  <si>
    <t>CERTIFICACIÓN</t>
  </si>
  <si>
    <t>FONDO DE DESARROLLO LOCAL DE SAN CRISTÓBAL</t>
  </si>
  <si>
    <t>CONTRATISTA</t>
  </si>
  <si>
    <t>Realizar el Estudio para Evaluación de la Estabilidad Geotécnica de Taludes, la Evaluación de Amenaza y la Zonificación de Riesgo por Procesos de Remoción en Masa y la Evaluación de Alternativas de Mitigación, Incluyendo el Diseño de Obras, Presupuesto y Especificaciones Técnicas de Construcción, en Sectores Prioritarios de Intervención en la Localidad de San Cristóbal, de la Ciudad de Bogotá D.C.</t>
  </si>
  <si>
    <t>PROPONENTE: CONSULTORES EN INGENIERIA GEOTECNICA Y MEDIO AMBIENTE</t>
  </si>
  <si>
    <t>ESTUDIO DE AMENAZA, VULNERABILIDAD Y RIESGO POR MOVIMIENTOS EN MASA EN EL SECTOR DE CASA DE LATA DE LA VEREDA CUCHARAL DEL MUNICIPIO DE FUSAGASUGA.</t>
  </si>
  <si>
    <t>FONDO NACIONAL DE GESTION DEL RIESGO DE DESASTRES</t>
  </si>
  <si>
    <t xml:space="preserve">% del Presupuesto Oficial </t>
  </si>
  <si>
    <t>Puntaje</t>
  </si>
  <si>
    <t>Estudio para la Evaluación de la Estabilidad Geotécnica, de Amenaza, la Zonificación de Riesgo por Procesos de Remoción en Masa, así como la Evaluación de Alternativas de Mitigación, incluyendo el Diseño de Obras, Presupuesto y Especificaciones Técnicas de Construcción, en el Talud de Influencia al Canal Nuevo Libaré, tanto en la Parte Superior como en la Parte Inferior, a su Paso por el Sector del Carbonero entre la Abscisa K0+900 a la K1+600, y Zona Adyacente.</t>
  </si>
  <si>
    <t>PROPONENTE: EJE GROUP</t>
  </si>
  <si>
    <t>CONSULTORIA PARA LA ELABORACION DE LOS DISEÑOS GEOTECNICOS, HIDROLOGICOS, HIDRAULICOS, DISEÑOS ESTRUCTURALES Y DISEÑO URBANISTICO NECESARIOS PARA LA CONSTRUCCION DE OBRAS DE MITIGACIÓN EN EL AFLUENTE DENOMINADO AGUITA MONTEBONITO ENTRE EL BARRIO EL JAPON Y LA AURORA EN EL MUNICIPIO DE DOSQUEBRADAS</t>
  </si>
  <si>
    <t>MUNICIPIO DE DOSQUEBRADAS</t>
  </si>
  <si>
    <t>CONSULTORIA PARA EL LEVANTAMIENTO Y ACTUALIZACION DE LA INFORMACION GEOTECNICA, HIDRAULICA, DE VULNERABILIDAD ESTRUCTURAL Y DE ZONIFICACION DE RIESGO, EN CENTROS POBLADOS EN EL MUNICIPIO DE DOSQUEBRADAS-RISARALDA, QUE PERMITA ESTABLECER LA OCUPACION SEGURA DE LOS TERRENOS Y LA APTITUD DE USOS</t>
  </si>
  <si>
    <t xml:space="preserve"> EJE GROUP S.A.S.</t>
  </si>
  <si>
    <t>ELABORACION DE ESTUDIOS DE AMENAZA, VULNERABILIDAD, RIESGO Y ESTRUCTURALES, CON EL FIN DE DETERMINAR LAS CAUSANTES EN LOS FENOMENOS AMENAZANTES, DETERMINAR LA CATEGORIZACION DEL RIESGO Y LAS OPCIONES DE DISEÑO VIABLES DE INTERVENCION EN LA INSTITUCION EDUCATIVA GUILLERMO HOYOS SALAZAR, EN EL MARZO DEL PROYECTO FORTALECIMIENTO INSTITUCIONAL DE LA GESTION DEL RIESGO DE DESASTRES EN EL MUNICIPIO DE PEREIRA</t>
  </si>
  <si>
    <t>MUNICIPIO DE PEREIRA</t>
  </si>
  <si>
    <t>No cumple</t>
  </si>
  <si>
    <t>Cumple</t>
  </si>
  <si>
    <t>CONSULTORES EN INGENIERIA
Y MEDIO AMBIENTE</t>
  </si>
  <si>
    <t>81101500
71151300</t>
  </si>
  <si>
    <t>81101500
71151301</t>
  </si>
  <si>
    <t>CONSULTORIA PARA LA ELABORACIÓN DE LOS ESTUDIOS DETALLADOS DE AMENZA, VULNERABILIDAD Y RIESGO POR MOVIEMIENTOS EN MASA, INUNDACION Y AVENIDAS TORRENCIALES EN SECTORES PRIORIZADOS EN LAS COMUNAS CUATRO (CAMILO TORRES, CUYANITA, MILAGRO DE DIOS, ZARABANDA Y CIUDAD PERDIDA) Y CINCO (PANTANO I, PANTANO II, Y PANTANO III) DEL MUNICIPIO DE BUCARAMANGA</t>
  </si>
  <si>
    <t>81101500
71151302</t>
  </si>
  <si>
    <t>262-2012</t>
  </si>
  <si>
    <t>GIA Consultores LTDA</t>
  </si>
  <si>
    <t xml:space="preserve">81101500
</t>
  </si>
  <si>
    <t>191-2015</t>
  </si>
  <si>
    <t>EMPRESA DE ACUEDUCTO Y ALCANTARILLADO DE PEREIRA</t>
  </si>
  <si>
    <t>CC-226-2006</t>
  </si>
  <si>
    <t>DIRECCIÓN DE PREVENCIÓN Y ATENCIÓN DE EMERGENCIAS</t>
  </si>
  <si>
    <t>Estudio de Riesgos por Remoción en Masa, evaluación de Alternativas de Mitigación y Diseños Detallados de las Obras Recomendadas en los Barrios Mirador del Norte, Villa Nidia y El Codito</t>
  </si>
  <si>
    <t>GIA Consultores LTDA -GEOCING</t>
  </si>
  <si>
    <t>MUNICIPIO DE BUCARAMANGA</t>
  </si>
  <si>
    <t>ESTUDIO DE RIESGOS POR PROCESOS DE REMOCIÓN EN MASA, EVALUACIÓN DE  ALTERNATIVAS Y DISEÑO DE MEDIDAS DE MITIGACIÓN, EN LOS BARRIOS DIVINO NIÑO Y CERROS DEL SUR, INCLUIDA LA PARTE BAJA DE LAS MICROCUENCAS LA TROMPETA Y EL INFIERNO DE LA LOCALIDAD DE CIUDAD BOLIVAR DE LA CIUDAD DE BOGOTÁ, D.C.</t>
  </si>
  <si>
    <t>9677-04-487-2014</t>
  </si>
  <si>
    <t>715-2012</t>
  </si>
  <si>
    <t>379-2022</t>
  </si>
  <si>
    <t>ELABORAR LOS ESTUDIOS Y DISEÑOS DE LA ESTABILIZACION DEL PUNTO CRITICO DEL RUBÍ</t>
  </si>
  <si>
    <t>ESTUDIO DE RIESGO POR PROCESOS DE REMOCION EN MASA, EVALUACION DE ALTERNATIVAS DISEÑOS Y PRESUPUESTO DETALLADO DE OBRAS DE MITIGACION EN EL BARRIO PORVENIR SEGUNDO SECTOR COSTADO ORIENTAL DE LA LOCALIDAD DE USME DE LA CIUDAD DE BOGOTA D.C</t>
  </si>
  <si>
    <t>REQUISITO &gt;=0,40*230
&gt;=92 SMMLV</t>
  </si>
  <si>
    <t>CONSORCIO CC-SOFAN-DUMAR</t>
  </si>
  <si>
    <t>FONDO DE DESARROLLO LOCAL DE USME</t>
  </si>
  <si>
    <t>FONDO DE PREVENCIÓN Y ATENCIÓN DE EMERGENCIAS DE BOGOTÁ</t>
  </si>
  <si>
    <t>Elaboración de estudios y diseños para obras de mitigación por procesos de remoción en masa en el barrio Madrid de la localidad de Rafael Uribe Uribe de la Ciudad de Bogota, D.C.</t>
  </si>
  <si>
    <t>Elaboración de estudios y diseños para obras de mitigación por procesos de remoción en masa en el barrio Sotavento de la localidad de Ciudad Bolívar de la Ciudad de Bogota, D.C.</t>
  </si>
  <si>
    <t>Estudio de Amenaza por remoción en masa, alternativas de mitigación y diseños detallados de las obras recomendadas para estabilizar los escarpes y laderas ubicadas en el barrio Cordillera de la localidad de Ciudad Bolívar en Bogotá D.C.</t>
  </si>
  <si>
    <t>CONSULTORIA TOTAL LA CELIA</t>
  </si>
  <si>
    <t>(MAURICIO CASTRO SORIANO 70%) SOCIO EJE GROUP S.A.S</t>
  </si>
  <si>
    <t>MUNICIPIO DE LA CELIA</t>
  </si>
  <si>
    <t>Consorcio CONSULTORIA TOTAL LA CELIA</t>
  </si>
  <si>
    <t>PROPONENTE: GIA CL</t>
  </si>
  <si>
    <t>PROPONENTE: JHS INGENIERIA LIMITADA</t>
  </si>
  <si>
    <t>Estudio de Riesgos por fenómenos de remoción en masa y evaluación de alternativas de mitigación para la planta Villeta, de la Vicepresidencia de Transporte de ECOPETROL S. A.</t>
  </si>
  <si>
    <t>811015
801116
811518
811517
811016
811519
811516</t>
  </si>
  <si>
    <t>JHS INGENIERIA LIMITADA</t>
  </si>
  <si>
    <t>Ingeniería Básica de la perforación horizontal dirigida del sector la Primavera (El Raizal) poliducto Medellín-Cartago de 10" K51+250 al K52+000 de propiedad de CENIT Transporte y Logística de Hidrocarburos S.A.S.</t>
  </si>
  <si>
    <t>TGI S.A. E.S.P</t>
  </si>
  <si>
    <t>Ingeniería básica y el diagnóstico ambiental de alternativas –DAA -, para la construcción de los sistemas regionales de transporte Cundi Suroccidental y Cundi Noroccidental</t>
  </si>
  <si>
    <t>811015
801116
811518
811517
811016
811015
811519
811516</t>
  </si>
  <si>
    <t>TIPIEL S.A.</t>
  </si>
  <si>
    <t>Servicio geotécnico para la realización de la Ingeniería Básica de 16 cruces de corrientes de los sistemas de transporte de la VIT ECOPETROL</t>
  </si>
  <si>
    <t>GRUPO DE ENERGIA DE BOGOTA “GEB” S.A. E.S.P</t>
  </si>
  <si>
    <t>Servicios de consultoría para Elaboración de la caracterización por riesgos geotécnicos estabilidad y geomorfodinamica, de los corredores de las líneas de trasmisión de propiedad de la empresa</t>
  </si>
  <si>
    <t xml:space="preserve">811015
801116
811518
811517
811016
811015
811519
811516
</t>
  </si>
  <si>
    <t>ISMOCOL S.A.</t>
  </si>
  <si>
    <t>Ejecución de estudios especializados para la elaboración de la Ingenieria de detalle para los cinco (5) cruces subfluviales PHD en el campo cantagallo de Ecopetrol s.a. como parte del contrato principal no. 3021072 suscrito entre Ecopetrol e Ismocol, el cual tiene como objeto "diseño detallado y construcción de cruces subfluviales mediante el método de perforación horizontal dirigida para el campo cantagallo</t>
  </si>
  <si>
    <t xml:space="preserve">811015
801116
811518
811517
811016
811519
811516
</t>
  </si>
  <si>
    <t>PROCESOS Y DISEÑOS ENERGETICOS S.A.</t>
  </si>
  <si>
    <t>General</t>
  </si>
  <si>
    <t>Específica</t>
  </si>
  <si>
    <t>CLASIFICADOR DE BIENES Y SERVICIOS</t>
  </si>
  <si>
    <t xml:space="preserve">INSTITUTO NACIONAL DE VÍAS - INVIAS, </t>
  </si>
  <si>
    <t xml:space="preserve">ESTUDIOS Y DISEÑOS PARA EL MEJORAMIENTO Y MANTENIMIENTO DE LA CARRETERA MAMBU PR 50+000 – SANTA CECILIA PR 73+0600 RUTA 50 TRAMO 02 Y SANTA CECILIA PR 0+0000 – PUEBLO RICO PR 32+0000 RUTA 50 TRAMO03- DEPARTAMENTOS DEL CHOCO Y RISARALDA. </t>
  </si>
  <si>
    <t xml:space="preserve">CONSORCIO INCOLSAN con NIT. No. 900.176.336 </t>
  </si>
  <si>
    <t>Corporación Autónoma Regional del Alto Magdalena – CAM</t>
  </si>
  <si>
    <t>CONSULTORÍA PARA LOS ESTUDIOS DE AMENAZA, VULNERABILIDAD Y RIESGO DETALLADOS POR MOVIMIENTOS EN MASA, INUNDACIONES Y AVENIDAS TORRENCIALES; Y ACOTAMIENTO DE LAS RONDAS HIDRICA EN LA ZONA DE INFLUENCIA DE LOS CASCOS URBANOS DE LOS MUNICIPIOS DESUAZA, ISNOS, ELIAS, TELLO Y TESALIA TENIENDO EN CUENTA LOS LINEAMIENTOS DE LOS DECRETOS 1077 DE 2015 Y 2245 de 2017</t>
  </si>
  <si>
    <t>CONSORCIO ANANDA, identificado con NIT 901.523.587-4</t>
  </si>
  <si>
    <t>REALIZAR LOS ESTUDIOS DE AMENAZA, VULNERABILIDAD Y RIESGO DETALLADOS POR FENÓMENOS DE REMOCIÓN EN MASA, INUNDACIONES Y AVENIDAS TORRENCIALES; Y ACOTAMIENTO DE LAS RONDAS HIDRICA EN LA ZONA DE INFLUENCIA DE LOS CASCOS URBANOS DE LOS MUNICIPIOS DE GIGANTE, HOBO, OPORAPA, PAICOL Y PITAL, TENIENDO EN CUENTA LOS LINEAMIENTOS DE LOS DECRETOS 1077 DE 2015 Y 2245. DE 2017</t>
  </si>
  <si>
    <t xml:space="preserve">CONSORCIO IKIGAI, con NIT No901.405.180-5 </t>
  </si>
  <si>
    <t>ESTUDIOS DE AMENAZA VULNERABILIDAD Y RIESGO DETALLADOS POR FENOMENOS NATURALES DE INUNCACION, AVENIDA TORRENCIAL Y MOVIMIENTOS EN MASA DEL SECTOR MANZANA 10 DE LA COMUNA 8 DEL MUNICIPIO DE BUCARAMANGA</t>
  </si>
  <si>
    <t>Alcaldía de Bucaramanga</t>
  </si>
  <si>
    <t>GEOESTABILIZACIONES SOLHER SAS, NIT 901133716-4</t>
  </si>
  <si>
    <t>Batallón de Ingenieros No. 5 Francisco José de Caldas</t>
  </si>
  <si>
    <t>ESTUDIOS Y DISEÑOS PARA LA PAVIMENTACIÓN DE LAS VÍAS SAN VICENTE DE CHUCURÍ Y EL CARMEN DE CHUCURÍ – TRONCAL DEL MAGDALENA MEDIO ”, registrado en el RUP como  EL ACCIONISTA, SOCIO O CONSTITUYENTE DEL PROPONENTE</t>
  </si>
  <si>
    <t xml:space="preserve">CARLOS RENÉ SANTAMARIA RODRIGUEZ (GECONSI INGENIERIA S.A.S.)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</si>
</sst>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9" x14ac:knownFonts="1">
    <font>
      <sz val="11"/>
      <color theme="1"/>
      <name val="Calibri"/>
      <family val="2"/>
      <scheme val="minor"/>
    </font>
    <font>
      <sz val="11"/>
      <color theme="1"/>
      <name val="Calibri"/>
      <family val="2"/>
      <scheme val="minor"/>
    </font>
    <font>
      <sz val="8"/>
      <name val="Calibri"/>
      <family val="2"/>
      <scheme val="minor"/>
    </font>
    <font>
      <sz val="10"/>
      <color theme="1"/>
      <name val="Calibri"/>
      <family val="2"/>
      <scheme val="minor"/>
    </font>
    <font>
      <b/>
      <sz val="10"/>
      <color theme="1"/>
      <name val="Calibri"/>
      <family val="2"/>
      <scheme val="minor"/>
    </font>
    <font>
      <b/>
      <sz val="20"/>
      <color theme="1"/>
      <name val="Calibri"/>
      <family val="2"/>
      <scheme val="minor"/>
    </font>
    <font>
      <sz val="12"/>
      <color theme="1"/>
      <name val="Arial Narrow"/>
      <family val="2"/>
    </font>
    <font>
      <sz val="10"/>
      <name val="Arial"/>
      <family val="2"/>
    </font>
    <font>
      <sz val="12"/>
      <name val="Arial Narrow"/>
      <family val="2"/>
    </font>
    <font>
      <sz val="10"/>
      <color theme="1"/>
      <name val="Calibri Light"/>
      <family val="2"/>
      <scheme val="major"/>
    </font>
    <font>
      <b/>
      <sz val="10"/>
      <color theme="1"/>
      <name val="Calibri Light"/>
      <family val="2"/>
      <scheme val="major"/>
    </font>
    <font>
      <b/>
      <sz val="20"/>
      <color theme="1"/>
      <name val="Calibri Light"/>
      <family val="2"/>
      <scheme val="major"/>
    </font>
    <font>
      <sz val="10"/>
      <name val="Calibri Light"/>
      <family val="2"/>
      <scheme val="major"/>
    </font>
    <font>
      <b/>
      <sz val="10"/>
      <color theme="1"/>
      <name val="Arial"/>
      <family val="2"/>
    </font>
    <font>
      <sz val="10"/>
      <color theme="1"/>
      <name val="Arial"/>
      <family val="2"/>
    </font>
    <font>
      <sz val="12"/>
      <color theme="1"/>
      <name val="Arial"/>
      <family val="2"/>
    </font>
    <font>
      <sz val="12"/>
      <name val="Arial"/>
      <family val="2"/>
    </font>
    <font>
      <b/>
      <sz val="20"/>
      <color theme="1"/>
      <name val="Arial"/>
      <family val="2"/>
    </font>
    <font>
      <sz val="11"/>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hair">
        <color auto="1"/>
      </top>
      <bottom style="hair">
        <color auto="1"/>
      </bottom>
      <diagonal/>
    </border>
    <border>
      <left/>
      <right/>
      <top style="thin">
        <color indexed="64"/>
      </top>
      <bottom/>
      <diagonal/>
    </border>
    <border>
      <left style="thin">
        <color indexed="64"/>
      </left>
      <right style="thin">
        <color indexed="64"/>
      </right>
      <top/>
      <bottom/>
      <diagonal/>
    </border>
  </borders>
  <cellStyleXfs count="3">
    <xf numFmtId="0" fontId="0" fillId="0" borderId="0"/>
    <xf numFmtId="9" fontId="1" fillId="0" borderId="0" applyFont="0" applyFill="0" applyBorder="0" applyAlignment="0" applyProtection="0"/>
    <xf numFmtId="0" fontId="7" fillId="0" borderId="0"/>
  </cellStyleXfs>
  <cellXfs count="58">
    <xf numFmtId="0" fontId="0" fillId="0" borderId="0" xfId="0"/>
    <xf numFmtId="0" fontId="3" fillId="0" borderId="0" xfId="0" applyFont="1"/>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3" fillId="0" borderId="1" xfId="0" applyFont="1" applyBorder="1" applyAlignment="1">
      <alignment horizontal="left" vertical="top"/>
    </xf>
    <xf numFmtId="0" fontId="3" fillId="0" borderId="1" xfId="0" applyFont="1" applyBorder="1" applyAlignment="1">
      <alignment horizontal="left" vertical="top" wrapText="1"/>
    </xf>
    <xf numFmtId="0" fontId="3" fillId="0" borderId="1" xfId="0" applyFont="1" applyBorder="1" applyAlignment="1">
      <alignment horizontal="center" vertical="center" wrapText="1"/>
    </xf>
    <xf numFmtId="9" fontId="3" fillId="0" borderId="1" xfId="1"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2" borderId="0" xfId="0" applyFont="1" applyFill="1" applyAlignment="1">
      <alignment horizontal="center"/>
    </xf>
    <xf numFmtId="6" fontId="3" fillId="0" borderId="0" xfId="0" applyNumberFormat="1" applyFont="1"/>
    <xf numFmtId="8" fontId="3" fillId="0" borderId="0" xfId="0" applyNumberFormat="1" applyFont="1"/>
    <xf numFmtId="0" fontId="6" fillId="0" borderId="2" xfId="0" applyFont="1" applyBorder="1" applyAlignment="1">
      <alignment horizontal="center" vertical="center" wrapText="1"/>
    </xf>
    <xf numFmtId="0" fontId="8" fillId="0" borderId="2" xfId="2" applyFont="1" applyBorder="1" applyAlignment="1">
      <alignment horizontal="justify" vertical="center" wrapText="1"/>
    </xf>
    <xf numFmtId="0" fontId="9" fillId="0" borderId="0" xfId="0" applyFont="1"/>
    <xf numFmtId="0" fontId="10"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1" xfId="0" applyFont="1" applyBorder="1" applyAlignment="1">
      <alignment horizontal="center" vertical="center" wrapText="1"/>
    </xf>
    <xf numFmtId="9" fontId="9" fillId="0" borderId="1" xfId="1" applyFont="1" applyBorder="1" applyAlignment="1">
      <alignment horizontal="center" vertical="center"/>
    </xf>
    <xf numFmtId="0" fontId="9" fillId="0" borderId="1" xfId="0" applyFont="1" applyBorder="1" applyAlignment="1">
      <alignment horizontal="center" vertical="center"/>
    </xf>
    <xf numFmtId="0" fontId="9" fillId="0" borderId="0" xfId="0" applyFont="1" applyAlignment="1">
      <alignment horizontal="center" vertical="center"/>
    </xf>
    <xf numFmtId="0" fontId="10" fillId="2" borderId="0" xfId="0" applyFont="1" applyFill="1" applyAlignment="1">
      <alignment horizontal="center"/>
    </xf>
    <xf numFmtId="6" fontId="9" fillId="0" borderId="0" xfId="0" applyNumberFormat="1" applyFont="1"/>
    <xf numFmtId="8" fontId="9" fillId="0" borderId="0" xfId="0" applyNumberFormat="1" applyFont="1"/>
    <xf numFmtId="0" fontId="12" fillId="0" borderId="1" xfId="2" applyFont="1" applyBorder="1" applyAlignment="1">
      <alignment horizontal="center" vertical="center" wrapText="1"/>
    </xf>
    <xf numFmtId="0" fontId="12" fillId="0" borderId="1" xfId="2" applyFont="1" applyBorder="1" applyAlignment="1">
      <alignment horizontal="justify" vertical="center" wrapText="1"/>
    </xf>
    <xf numFmtId="0" fontId="14" fillId="0" borderId="0" xfId="0" applyFont="1"/>
    <xf numFmtId="0" fontId="13" fillId="2" borderId="1" xfId="0" applyFont="1" applyFill="1" applyBorder="1" applyAlignment="1">
      <alignment horizontal="center" vertical="center" wrapText="1"/>
    </xf>
    <xf numFmtId="0" fontId="13" fillId="2" borderId="1" xfId="0" applyFont="1" applyFill="1" applyBorder="1" applyAlignment="1">
      <alignment horizontal="center" vertical="center"/>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0" fontId="7" fillId="0" borderId="1" xfId="2" applyBorder="1" applyAlignment="1">
      <alignment horizontal="justify" vertical="center" wrapText="1"/>
    </xf>
    <xf numFmtId="9" fontId="14" fillId="0" borderId="1" xfId="1" applyFont="1" applyBorder="1" applyAlignment="1">
      <alignment horizontal="center" vertical="center"/>
    </xf>
    <xf numFmtId="0" fontId="14" fillId="0" borderId="0" xfId="0" applyFont="1" applyAlignment="1">
      <alignment horizontal="center" vertical="center"/>
    </xf>
    <xf numFmtId="0" fontId="15" fillId="0" borderId="2" xfId="0" applyFont="1" applyBorder="1" applyAlignment="1">
      <alignment horizontal="center" vertical="center" wrapText="1"/>
    </xf>
    <xf numFmtId="0" fontId="16" fillId="0" borderId="2" xfId="2" applyFont="1" applyBorder="1" applyAlignment="1">
      <alignment horizontal="justify" vertical="center" wrapText="1"/>
    </xf>
    <xf numFmtId="0" fontId="14" fillId="0" borderId="1" xfId="0" applyFont="1" applyBorder="1" applyAlignment="1">
      <alignment horizontal="left" vertical="top"/>
    </xf>
    <xf numFmtId="0" fontId="14" fillId="0" borderId="1" xfId="0" applyFont="1" applyBorder="1" applyAlignment="1">
      <alignment horizontal="left" vertical="top" wrapText="1"/>
    </xf>
    <xf numFmtId="0" fontId="13" fillId="2" borderId="0" xfId="0" applyFont="1" applyFill="1" applyAlignment="1">
      <alignment horizontal="center"/>
    </xf>
    <xf numFmtId="0" fontId="7" fillId="0" borderId="1" xfId="2" applyBorder="1" applyAlignment="1">
      <alignment horizontal="center" vertical="center" wrapText="1"/>
    </xf>
    <xf numFmtId="0" fontId="18" fillId="0" borderId="0" xfId="0" applyFont="1"/>
    <xf numFmtId="6" fontId="14" fillId="0" borderId="0" xfId="0" applyNumberFormat="1" applyFont="1"/>
    <xf numFmtId="8" fontId="14" fillId="0" borderId="0" xfId="0" applyNumberFormat="1" applyFont="1"/>
    <xf numFmtId="0" fontId="4" fillId="2" borderId="1" xfId="0" applyFont="1" applyFill="1" applyBorder="1" applyAlignment="1">
      <alignment horizontal="center"/>
    </xf>
    <xf numFmtId="0" fontId="5" fillId="0" borderId="1" xfId="0" applyFont="1" applyBorder="1" applyAlignment="1">
      <alignment horizontal="center" vertical="center"/>
    </xf>
    <xf numFmtId="0" fontId="10" fillId="2" borderId="1" xfId="0" applyFont="1" applyFill="1" applyBorder="1" applyAlignment="1">
      <alignment horizontal="center"/>
    </xf>
    <xf numFmtId="0" fontId="11" fillId="0" borderId="1" xfId="0" applyFont="1" applyBorder="1" applyAlignment="1">
      <alignment horizontal="center" vertical="center"/>
    </xf>
    <xf numFmtId="0" fontId="13" fillId="2" borderId="1" xfId="0" applyFont="1" applyFill="1" applyBorder="1" applyAlignment="1">
      <alignment horizontal="center"/>
    </xf>
    <xf numFmtId="0" fontId="17" fillId="0" borderId="1" xfId="0" applyFont="1" applyBorder="1" applyAlignment="1">
      <alignment horizontal="center" vertical="center"/>
    </xf>
    <xf numFmtId="0" fontId="14" fillId="0" borderId="3" xfId="0" applyFont="1" applyBorder="1" applyAlignment="1">
      <alignment horizontal="center" vertical="center"/>
    </xf>
    <xf numFmtId="0" fontId="14" fillId="0" borderId="0" xfId="0" applyFont="1" applyAlignment="1">
      <alignment horizontal="center" vertical="center"/>
    </xf>
    <xf numFmtId="0" fontId="9" fillId="0" borderId="1" xfId="0" applyFont="1" applyFill="1" applyBorder="1" applyAlignment="1">
      <alignment horizontal="center" vertical="center" wrapText="1"/>
    </xf>
    <xf numFmtId="0" fontId="12" fillId="0" borderId="1" xfId="2" applyFont="1" applyFill="1" applyBorder="1" applyAlignment="1">
      <alignment horizontal="justify" vertical="center" wrapText="1"/>
    </xf>
    <xf numFmtId="0" fontId="9" fillId="0" borderId="4" xfId="0" applyFont="1" applyBorder="1" applyAlignment="1">
      <alignment horizontal="center" vertical="center" wrapText="1"/>
    </xf>
    <xf numFmtId="0" fontId="9" fillId="3" borderId="1" xfId="0" applyFont="1" applyFill="1" applyBorder="1" applyAlignment="1">
      <alignment horizontal="center" vertical="center"/>
    </xf>
  </cellXfs>
  <cellStyles count="3">
    <cellStyle name="Normal" xfId="0" builtinId="0"/>
    <cellStyle name="Normal_Hoja1" xfId="2" xr:uid="{694603CE-2A99-4CF6-8BCD-B2D80C369DAC}"/>
    <cellStyle name="Porcentaje" xfId="1" builtinId="5"/>
  </cellStyles>
  <dxfs count="20">
    <dxf>
      <font>
        <color rgb="FF9C0006"/>
      </font>
      <fill>
        <patternFill>
          <bgColor rgb="FFFFC7CE"/>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rgb="FF9C0006"/>
      </font>
      <fill>
        <patternFill>
          <bgColor rgb="FFFFC7CE"/>
        </patternFill>
      </fill>
    </dxf>
    <dxf>
      <font>
        <color rgb="FF9C0006"/>
      </font>
      <fill>
        <patternFill>
          <bgColor rgb="FFFFC7CE"/>
        </patternFill>
      </fill>
    </dxf>
    <dxf>
      <fill>
        <patternFill>
          <bgColor theme="7" tint="0.79998168889431442"/>
        </patternFill>
      </fill>
    </dxf>
    <dxf>
      <fill>
        <patternFill>
          <bgColor theme="7" tint="0.79998168889431442"/>
        </patternFill>
      </fill>
    </dxf>
    <dxf>
      <font>
        <color rgb="FF9C0006"/>
      </font>
      <fill>
        <patternFill>
          <bgColor rgb="FFFFC7CE"/>
        </patternFill>
      </fill>
    </dxf>
  </dxfs>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81B97-9B81-4316-9056-3EF3BFF5BFAD}">
  <sheetPr>
    <pageSetUpPr fitToPage="1"/>
  </sheetPr>
  <dimension ref="B2:N26"/>
  <sheetViews>
    <sheetView zoomScale="70" zoomScaleNormal="70" workbookViewId="0">
      <selection activeCell="K3" sqref="K3"/>
    </sheetView>
  </sheetViews>
  <sheetFormatPr baseColWidth="10" defaultRowHeight="12.75" x14ac:dyDescent="0.2"/>
  <cols>
    <col min="1" max="1" width="11.42578125" style="1"/>
    <col min="2" max="2" width="15.85546875" style="1" customWidth="1"/>
    <col min="3" max="3" width="22.7109375" style="1" customWidth="1"/>
    <col min="4" max="4" width="53.7109375" style="1" customWidth="1"/>
    <col min="5" max="5" width="43.7109375" style="1" customWidth="1"/>
    <col min="6" max="6" width="17.85546875" style="1" customWidth="1"/>
    <col min="7" max="7" width="14.140625" style="1" bestFit="1" customWidth="1"/>
    <col min="8" max="8" width="16.5703125" style="1" customWidth="1"/>
    <col min="9" max="9" width="11.42578125" style="1"/>
    <col min="10" max="10" width="19.7109375" style="1" customWidth="1"/>
    <col min="11" max="11" width="13.85546875" style="1" customWidth="1"/>
    <col min="12" max="12" width="19" style="1" customWidth="1"/>
    <col min="13" max="13" width="20.28515625" style="1" customWidth="1"/>
    <col min="14" max="16384" width="11.42578125" style="1"/>
  </cols>
  <sheetData>
    <row r="2" spans="2:14" x14ac:dyDescent="0.2">
      <c r="B2" s="46" t="s">
        <v>17</v>
      </c>
      <c r="C2" s="46"/>
      <c r="D2" s="46"/>
      <c r="E2" s="46"/>
      <c r="F2" s="46"/>
      <c r="G2" s="46"/>
    </row>
    <row r="3" spans="2:14" ht="57.75" customHeight="1" x14ac:dyDescent="0.2">
      <c r="B3" s="2" t="s">
        <v>0</v>
      </c>
      <c r="C3" s="3" t="s">
        <v>1</v>
      </c>
      <c r="D3" s="3" t="s">
        <v>2</v>
      </c>
      <c r="E3" s="3" t="s">
        <v>9</v>
      </c>
      <c r="F3" s="2" t="s">
        <v>78</v>
      </c>
      <c r="G3" s="2" t="s">
        <v>3</v>
      </c>
      <c r="H3" s="2" t="s">
        <v>4</v>
      </c>
      <c r="I3" s="2" t="s">
        <v>3</v>
      </c>
      <c r="J3" s="2" t="s">
        <v>6</v>
      </c>
      <c r="K3" s="2" t="s">
        <v>47</v>
      </c>
      <c r="L3" s="2" t="s">
        <v>5</v>
      </c>
      <c r="M3" s="2" t="s">
        <v>7</v>
      </c>
    </row>
    <row r="4" spans="2:14" ht="89.25" customHeight="1" x14ac:dyDescent="0.2">
      <c r="B4" s="8">
        <v>117</v>
      </c>
      <c r="C4" s="6" t="s">
        <v>56</v>
      </c>
      <c r="D4" s="6" t="s">
        <v>54</v>
      </c>
      <c r="E4" s="6" t="s">
        <v>55</v>
      </c>
      <c r="F4" s="6">
        <v>811015</v>
      </c>
      <c r="G4" s="6">
        <v>747.32</v>
      </c>
      <c r="H4" s="7">
        <v>0.7</v>
      </c>
      <c r="I4" s="6">
        <f>G4</f>
        <v>747.32</v>
      </c>
      <c r="J4" s="8">
        <f>I4*H4</f>
        <v>523.12400000000002</v>
      </c>
      <c r="K4" s="8">
        <v>92</v>
      </c>
      <c r="L4" s="8" t="str">
        <f>IF(J4&gt;K4,"Cumple","No cumple")</f>
        <v>Cumple</v>
      </c>
      <c r="M4" s="8" t="s">
        <v>25</v>
      </c>
      <c r="N4" s="9"/>
    </row>
    <row r="5" spans="2:14" x14ac:dyDescent="0.2">
      <c r="B5" s="4"/>
      <c r="C5" s="5"/>
      <c r="D5" s="5"/>
      <c r="E5" s="6"/>
      <c r="F5" s="6"/>
      <c r="G5" s="6"/>
      <c r="H5" s="7"/>
      <c r="I5" s="6"/>
      <c r="J5" s="8"/>
      <c r="K5" s="8"/>
      <c r="L5" s="8"/>
      <c r="M5" s="8"/>
      <c r="N5" s="9"/>
    </row>
    <row r="6" spans="2:14" x14ac:dyDescent="0.2">
      <c r="I6" s="10">
        <f>SUM(J4:J5)</f>
        <v>523.12400000000002</v>
      </c>
    </row>
    <row r="7" spans="2:14" ht="62.25" customHeight="1" x14ac:dyDescent="0.2">
      <c r="B7" s="2" t="s">
        <v>0</v>
      </c>
      <c r="C7" s="3" t="s">
        <v>1</v>
      </c>
      <c r="D7" s="3" t="s">
        <v>2</v>
      </c>
      <c r="E7" s="3" t="s">
        <v>9</v>
      </c>
      <c r="F7" s="2" t="s">
        <v>78</v>
      </c>
      <c r="G7" s="2" t="s">
        <v>3</v>
      </c>
      <c r="H7" s="2" t="s">
        <v>4</v>
      </c>
      <c r="I7" s="2" t="s">
        <v>3</v>
      </c>
      <c r="J7" s="2" t="s">
        <v>6</v>
      </c>
      <c r="K7" s="2" t="s">
        <v>14</v>
      </c>
      <c r="L7" s="2" t="s">
        <v>15</v>
      </c>
      <c r="M7" s="2" t="s">
        <v>7</v>
      </c>
    </row>
    <row r="8" spans="2:14" ht="105" customHeight="1" x14ac:dyDescent="0.2">
      <c r="B8" s="8">
        <v>42</v>
      </c>
      <c r="C8" s="6" t="s">
        <v>19</v>
      </c>
      <c r="D8" s="6" t="s">
        <v>18</v>
      </c>
      <c r="E8" s="6" t="s">
        <v>57</v>
      </c>
      <c r="F8" s="6">
        <v>81101500</v>
      </c>
      <c r="G8" s="8">
        <v>194.65</v>
      </c>
      <c r="H8" s="7">
        <v>1</v>
      </c>
      <c r="I8" s="6">
        <f>G8</f>
        <v>194.65</v>
      </c>
      <c r="J8" s="8">
        <f t="shared" ref="J8" si="0">I8*H8</f>
        <v>194.65</v>
      </c>
      <c r="K8" s="7">
        <f>J8/230</f>
        <v>0.84630434782608699</v>
      </c>
      <c r="L8" s="47">
        <f>_xlfn.IFS($M$14=3,48.5,$M$14=2,20,$M$14=1,10)</f>
        <v>10</v>
      </c>
      <c r="M8" s="8" t="str">
        <f>IF(G8&gt;=230,"Cumple","No cumple")</f>
        <v>No cumple</v>
      </c>
      <c r="N8" s="9"/>
    </row>
    <row r="9" spans="2:14" ht="113.25" customHeight="1" x14ac:dyDescent="0.2">
      <c r="B9" s="8">
        <v>36</v>
      </c>
      <c r="C9" s="6" t="s">
        <v>19</v>
      </c>
      <c r="D9" s="6" t="s">
        <v>20</v>
      </c>
      <c r="E9" s="6" t="s">
        <v>21</v>
      </c>
      <c r="F9" s="6">
        <v>81101500</v>
      </c>
      <c r="G9" s="8">
        <v>562.44000000000005</v>
      </c>
      <c r="H9" s="7">
        <v>1</v>
      </c>
      <c r="I9" s="6">
        <f>G9</f>
        <v>562.44000000000005</v>
      </c>
      <c r="J9" s="8">
        <f t="shared" ref="J9:J10" si="1">I9*H9</f>
        <v>562.44000000000005</v>
      </c>
      <c r="K9" s="7">
        <f>J9/230</f>
        <v>2.4453913043478264</v>
      </c>
      <c r="L9" s="47"/>
      <c r="M9" s="8" t="str">
        <f t="shared" ref="M9:M10" si="2">IF(G9&gt;=230,"Cumple","No cumple")</f>
        <v>Cumple</v>
      </c>
      <c r="N9" s="9"/>
    </row>
    <row r="10" spans="2:14" ht="171" customHeight="1" x14ac:dyDescent="0.2">
      <c r="B10" s="8">
        <v>177</v>
      </c>
      <c r="C10" s="6" t="s">
        <v>23</v>
      </c>
      <c r="D10" s="6" t="s">
        <v>22</v>
      </c>
      <c r="E10" s="6" t="s">
        <v>21</v>
      </c>
      <c r="F10" s="6">
        <v>81101500</v>
      </c>
      <c r="G10" s="8">
        <v>80.510000000000005</v>
      </c>
      <c r="H10" s="7">
        <v>1</v>
      </c>
      <c r="I10" s="6">
        <f>G10</f>
        <v>80.510000000000005</v>
      </c>
      <c r="J10" s="8">
        <f t="shared" si="1"/>
        <v>80.510000000000005</v>
      </c>
      <c r="K10" s="7">
        <f>J10/230</f>
        <v>0.35004347826086957</v>
      </c>
      <c r="L10" s="47"/>
      <c r="M10" s="8" t="str">
        <f t="shared" si="2"/>
        <v>No cumple</v>
      </c>
      <c r="N10" s="9"/>
    </row>
    <row r="11" spans="2:14" ht="15" x14ac:dyDescent="0.25">
      <c r="C11" t="str">
        <f>CONCATENATE("Aporta Certificado expedido por  ",C4,"  con objeto  "," ",D4," a nombre de ",E4," con los códigos ",F4," por valor de ",G4," con participación de   ",I4,"%  con consecutivo en el RUP  ",H4,"  con condición  ",M4)</f>
        <v>Aporta Certificado expedido por  MUNICIPIO DE LA CELIA  con objeto   CONSULTORIA TOTAL LA CELIA a nombre de (MAURICIO CASTRO SORIANO 70%) SOCIO EJE GROUP S.A.S con los códigos 811015 por valor de 747,32 con participación de   747,32%  con consecutivo en el RUP  0,7  con condición  Cumple</v>
      </c>
    </row>
    <row r="12" spans="2:14" ht="15" x14ac:dyDescent="0.25">
      <c r="C12"/>
    </row>
    <row r="13" spans="2:14" ht="15" x14ac:dyDescent="0.25">
      <c r="C13"/>
    </row>
    <row r="14" spans="2:14" x14ac:dyDescent="0.2">
      <c r="G14" s="11"/>
      <c r="L14" s="1" t="s">
        <v>25</v>
      </c>
      <c r="M14" s="1">
        <f>COUNTIF(M8:M10,"Cumple")</f>
        <v>1</v>
      </c>
    </row>
    <row r="15" spans="2:14" x14ac:dyDescent="0.2">
      <c r="L15" s="1" t="s">
        <v>24</v>
      </c>
      <c r="M15" s="1">
        <f>COUNTIF(M8:M10,"No cumple")</f>
        <v>2</v>
      </c>
    </row>
    <row r="26" spans="2:2" x14ac:dyDescent="0.2">
      <c r="B26" s="12"/>
    </row>
  </sheetData>
  <mergeCells count="2">
    <mergeCell ref="B2:G2"/>
    <mergeCell ref="L8:L10"/>
  </mergeCells>
  <phoneticPr fontId="2" type="noConversion"/>
  <conditionalFormatting sqref="L4:M4">
    <cfRule type="cellIs" dxfId="19" priority="1" operator="equal">
      <formula>"No cumple"</formula>
    </cfRule>
    <cfRule type="cellIs" dxfId="18" priority="2" operator="equal">
      <formula>"Cumple"</formula>
    </cfRule>
  </conditionalFormatting>
  <conditionalFormatting sqref="M8:M10">
    <cfRule type="cellIs" dxfId="17" priority="5" operator="equal">
      <formula>"Cumple"</formula>
    </cfRule>
    <cfRule type="cellIs" dxfId="16" priority="6" operator="equal">
      <formula>"No cumple"</formula>
    </cfRule>
  </conditionalFormatting>
  <pageMargins left="0.70866141732283472" right="0.70866141732283472" top="0.74803149606299213" bottom="0.74803149606299213" header="0.31496062992125984" footer="0.31496062992125984"/>
  <pageSetup paperSize="119" scale="45" orientation="landscape" r:id="rId1"/>
  <headerFooter>
    <oddHeader>&amp;C&amp;A
Puntaje Proponente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2FD38-0F68-404C-874C-C342B4CA73C2}">
  <sheetPr>
    <pageSetUpPr fitToPage="1"/>
  </sheetPr>
  <dimension ref="B2:N27"/>
  <sheetViews>
    <sheetView zoomScale="70" zoomScaleNormal="70" workbookViewId="0">
      <selection activeCell="K6" sqref="K6"/>
    </sheetView>
  </sheetViews>
  <sheetFormatPr baseColWidth="10" defaultRowHeight="12.75" x14ac:dyDescent="0.2"/>
  <cols>
    <col min="1" max="1" width="11.42578125" style="1"/>
    <col min="2" max="2" width="15.85546875" style="1" customWidth="1"/>
    <col min="3" max="3" width="22.7109375" style="1" customWidth="1"/>
    <col min="4" max="4" width="53.7109375" style="1" customWidth="1"/>
    <col min="5" max="5" width="43.7109375" style="1" customWidth="1"/>
    <col min="6" max="6" width="19.140625" style="1" customWidth="1"/>
    <col min="7" max="7" width="14.140625" style="1" bestFit="1" customWidth="1"/>
    <col min="8" max="9" width="11.42578125" style="1"/>
    <col min="10" max="10" width="24.42578125" style="1" customWidth="1"/>
    <col min="11" max="11" width="16.140625" style="1" customWidth="1"/>
    <col min="12" max="12" width="19" style="1" customWidth="1"/>
    <col min="13" max="13" width="23.7109375" style="1" customWidth="1"/>
    <col min="14" max="16384" width="11.42578125" style="1"/>
  </cols>
  <sheetData>
    <row r="2" spans="2:14" x14ac:dyDescent="0.2">
      <c r="B2" s="46" t="s">
        <v>11</v>
      </c>
      <c r="C2" s="46"/>
      <c r="D2" s="46"/>
      <c r="E2" s="46"/>
      <c r="F2" s="46"/>
      <c r="G2" s="46"/>
    </row>
    <row r="3" spans="2:14" ht="56.25" customHeight="1" x14ac:dyDescent="0.2">
      <c r="B3" s="2" t="s">
        <v>0</v>
      </c>
      <c r="C3" s="3" t="s">
        <v>1</v>
      </c>
      <c r="D3" s="3" t="s">
        <v>2</v>
      </c>
      <c r="E3" s="3" t="s">
        <v>9</v>
      </c>
      <c r="F3" s="2" t="s">
        <v>78</v>
      </c>
      <c r="G3" s="2" t="s">
        <v>3</v>
      </c>
      <c r="H3" s="2" t="s">
        <v>4</v>
      </c>
      <c r="I3" s="2" t="s">
        <v>3</v>
      </c>
      <c r="J3" s="2" t="s">
        <v>6</v>
      </c>
      <c r="K3" s="2" t="s">
        <v>47</v>
      </c>
      <c r="L3" s="2" t="s">
        <v>5</v>
      </c>
      <c r="M3" s="2" t="s">
        <v>7</v>
      </c>
    </row>
    <row r="4" spans="2:14" ht="89.25" customHeight="1" x14ac:dyDescent="0.2">
      <c r="B4" s="8">
        <v>88</v>
      </c>
      <c r="C4" s="6" t="s">
        <v>48</v>
      </c>
      <c r="D4" s="6" t="s">
        <v>45</v>
      </c>
      <c r="E4" s="6" t="s">
        <v>26</v>
      </c>
      <c r="F4" s="6" t="s">
        <v>27</v>
      </c>
      <c r="G4" s="6">
        <v>365.79</v>
      </c>
      <c r="H4" s="7">
        <v>1</v>
      </c>
      <c r="I4" s="6">
        <f>G4</f>
        <v>365.79</v>
      </c>
      <c r="J4" s="8">
        <f>I4*H4</f>
        <v>365.79</v>
      </c>
      <c r="K4" s="8">
        <v>92</v>
      </c>
      <c r="L4" s="8" t="str">
        <f>IF(J4&gt;K4,"Cumple","No cumple")</f>
        <v>Cumple</v>
      </c>
      <c r="M4" s="8" t="s">
        <v>25</v>
      </c>
      <c r="N4" s="9"/>
    </row>
    <row r="5" spans="2:14" ht="79.5" customHeight="1" x14ac:dyDescent="0.2">
      <c r="B5" s="8">
        <v>60</v>
      </c>
      <c r="C5" s="6" t="s">
        <v>49</v>
      </c>
      <c r="D5" s="6" t="s">
        <v>46</v>
      </c>
      <c r="E5" s="6" t="s">
        <v>26</v>
      </c>
      <c r="F5" s="6" t="s">
        <v>28</v>
      </c>
      <c r="G5" s="6">
        <v>342.26</v>
      </c>
      <c r="H5" s="7">
        <v>1</v>
      </c>
      <c r="I5" s="6">
        <f>G5</f>
        <v>342.26</v>
      </c>
      <c r="J5" s="8">
        <f>I5*H5</f>
        <v>342.26</v>
      </c>
      <c r="K5" s="8">
        <v>92</v>
      </c>
      <c r="L5" s="8" t="str">
        <f>IF(J5&gt;K5,"Cumple","No cumple")</f>
        <v>Cumple</v>
      </c>
      <c r="M5" s="8" t="s">
        <v>25</v>
      </c>
      <c r="N5" s="9"/>
    </row>
    <row r="6" spans="2:14" x14ac:dyDescent="0.2">
      <c r="B6" s="4"/>
      <c r="C6" s="5"/>
      <c r="D6" s="5"/>
      <c r="E6" s="6"/>
      <c r="F6" s="6"/>
      <c r="G6" s="6"/>
      <c r="H6" s="7"/>
      <c r="I6" s="6"/>
      <c r="J6" s="8"/>
      <c r="K6" s="8"/>
      <c r="L6" s="8"/>
      <c r="M6" s="8"/>
      <c r="N6" s="9"/>
    </row>
    <row r="7" spans="2:14" x14ac:dyDescent="0.2">
      <c r="I7" s="10">
        <f>SUM(J4:J6)</f>
        <v>708.05</v>
      </c>
    </row>
    <row r="8" spans="2:14" ht="67.5" customHeight="1" x14ac:dyDescent="0.2">
      <c r="B8" s="2" t="s">
        <v>0</v>
      </c>
      <c r="C8" s="3" t="s">
        <v>1</v>
      </c>
      <c r="D8" s="3" t="s">
        <v>2</v>
      </c>
      <c r="E8" s="3" t="s">
        <v>9</v>
      </c>
      <c r="F8" s="2" t="s">
        <v>78</v>
      </c>
      <c r="G8" s="2" t="s">
        <v>3</v>
      </c>
      <c r="H8" s="2" t="s">
        <v>4</v>
      </c>
      <c r="I8" s="2" t="s">
        <v>3</v>
      </c>
      <c r="J8" s="2" t="s">
        <v>6</v>
      </c>
      <c r="K8" s="2" t="s">
        <v>14</v>
      </c>
      <c r="L8" s="2" t="s">
        <v>15</v>
      </c>
      <c r="M8" s="2" t="s">
        <v>7</v>
      </c>
    </row>
    <row r="9" spans="2:14" ht="105" customHeight="1" x14ac:dyDescent="0.2">
      <c r="B9" s="8" t="s">
        <v>42</v>
      </c>
      <c r="C9" s="6" t="s">
        <v>13</v>
      </c>
      <c r="D9" s="6" t="s">
        <v>12</v>
      </c>
      <c r="E9" s="6" t="s">
        <v>26</v>
      </c>
      <c r="F9" s="6" t="s">
        <v>27</v>
      </c>
      <c r="G9" s="8">
        <v>764.08</v>
      </c>
      <c r="H9" s="7">
        <v>1</v>
      </c>
      <c r="I9" s="6">
        <f>G9</f>
        <v>764.08</v>
      </c>
      <c r="J9" s="8">
        <f t="shared" ref="J9:J11" si="0">I9*H9</f>
        <v>764.08</v>
      </c>
      <c r="K9" s="7">
        <f>J9/230</f>
        <v>3.3220869565217392</v>
      </c>
      <c r="L9" s="47">
        <f>_xlfn.IFS($M$15=3,48.5,$M$15=2,20,$M$15=1,10)</f>
        <v>48.5</v>
      </c>
      <c r="M9" s="8" t="str">
        <f>IF(G9&gt;=230,"Cumple","No cumple")</f>
        <v>Cumple</v>
      </c>
      <c r="N9" s="9"/>
    </row>
    <row r="10" spans="2:14" ht="153" customHeight="1" x14ac:dyDescent="0.2">
      <c r="B10" s="8" t="s">
        <v>43</v>
      </c>
      <c r="C10" s="6" t="s">
        <v>13</v>
      </c>
      <c r="D10" s="6" t="s">
        <v>41</v>
      </c>
      <c r="E10" s="6" t="s">
        <v>26</v>
      </c>
      <c r="F10" s="6" t="s">
        <v>28</v>
      </c>
      <c r="G10" s="8">
        <v>769.4</v>
      </c>
      <c r="H10" s="7">
        <v>1</v>
      </c>
      <c r="I10" s="6">
        <f>G10</f>
        <v>769.4</v>
      </c>
      <c r="J10" s="8">
        <f t="shared" si="0"/>
        <v>769.4</v>
      </c>
      <c r="K10" s="7">
        <f>J10/230</f>
        <v>3.3452173913043479</v>
      </c>
      <c r="L10" s="47"/>
      <c r="M10" s="8" t="str">
        <f>IF(G10&gt;=230,"Cumple","No cumple")</f>
        <v>Cumple</v>
      </c>
      <c r="N10" s="9"/>
    </row>
    <row r="11" spans="2:14" ht="171" customHeight="1" x14ac:dyDescent="0.2">
      <c r="B11" s="8" t="s">
        <v>44</v>
      </c>
      <c r="C11" s="6" t="s">
        <v>40</v>
      </c>
      <c r="D11" s="6" t="s">
        <v>29</v>
      </c>
      <c r="E11" s="6" t="s">
        <v>26</v>
      </c>
      <c r="F11" s="6" t="s">
        <v>30</v>
      </c>
      <c r="G11" s="8">
        <v>1136.01</v>
      </c>
      <c r="H11" s="7">
        <v>1</v>
      </c>
      <c r="I11" s="6">
        <f>G11</f>
        <v>1136.01</v>
      </c>
      <c r="J11" s="8">
        <f t="shared" si="0"/>
        <v>1136.01</v>
      </c>
      <c r="K11" s="7">
        <f>J11/230</f>
        <v>4.9391739130434784</v>
      </c>
      <c r="L11" s="47"/>
      <c r="M11" s="8" t="str">
        <f>IF(G11&gt;=230,"Cumple","No cumple")</f>
        <v>Cumple</v>
      </c>
      <c r="N11" s="9"/>
    </row>
    <row r="12" spans="2:14" ht="15" x14ac:dyDescent="0.25">
      <c r="C12" t="str">
        <f>CONCATENATE("Aporta Certificado expedido por  ",C4,"  con objeto  "," ",D4," a nombre de ",E4," con los códigos ",F4," por valor de ",G4," con participación de   ",I4,"%  con consecutivo en el RUP  ",H4,"  con condición  ",M4)</f>
        <v>Aporta Certificado expedido por  CONSORCIO CC-SOFAN-DUMAR  con objeto   ELABORAR LOS ESTUDIOS Y DISEÑOS DE LA ESTABILIZACION DEL PUNTO CRITICO DEL RUBÍ a nombre de CONSULTORES EN INGENIERIA
Y MEDIO AMBIENTE con los códigos 81101500
71151300 por valor de 365,79 con participación de   365,79%  con consecutivo en el RUP  1  con condición  Cumple</v>
      </c>
    </row>
    <row r="13" spans="2:14" ht="15" x14ac:dyDescent="0.25">
      <c r="C13" t="str">
        <f t="shared" ref="C13:C14" si="1">CONCATENATE("Aporta Certificado expedido por  ",C5,"  con objeto  "," ",D5," a nombre de ",E5," con los códigos ",F5," por valor de ",G5," con participación de   ",I5,"%  con consecutivo en el RUP  ",H5,"  con condición  ",M5)</f>
        <v>Aporta Certificado expedido por  FONDO DE DESARROLLO LOCAL DE USME  con objeto   ESTUDIO DE RIESGO POR PROCESOS DE REMOCION EN MASA, EVALUACION DE ALTERNATIVAS DISEÑOS Y PRESUPUESTO DETALLADO DE OBRAS DE MITIGACION EN EL BARRIO PORVENIR SEGUNDO SECTOR COSTADO ORIENTAL DE LA LOCALIDAD DE USME DE LA CIUDAD DE BOGOTA D.C a nombre de CONSULTORES EN INGENIERIA
Y MEDIO AMBIENTE con los códigos 81101500
71151301 por valor de 342,26 con participación de   342,26%  con consecutivo en el RUP  1  con condición  Cumple</v>
      </c>
    </row>
    <row r="14" spans="2:14" ht="15" x14ac:dyDescent="0.25">
      <c r="C14" t="str">
        <f t="shared" si="1"/>
        <v xml:space="preserve">Aporta Certificado expedido por    con objeto    a nombre de  con los códigos  por valor de  con participación de   %  con consecutivo en el RUP    con condición  </v>
      </c>
    </row>
    <row r="15" spans="2:14" x14ac:dyDescent="0.2">
      <c r="G15" s="11"/>
      <c r="L15" s="1" t="s">
        <v>25</v>
      </c>
      <c r="M15" s="1">
        <f>COUNTIF(M9:M11,"Cumple")</f>
        <v>3</v>
      </c>
    </row>
    <row r="16" spans="2:14" x14ac:dyDescent="0.2">
      <c r="L16" s="1" t="s">
        <v>24</v>
      </c>
      <c r="M16" s="1">
        <f>COUNTIF(M9:M11,"No cumple")</f>
        <v>0</v>
      </c>
    </row>
    <row r="27" spans="2:2" x14ac:dyDescent="0.2">
      <c r="B27" s="12"/>
    </row>
  </sheetData>
  <mergeCells count="2">
    <mergeCell ref="B2:G2"/>
    <mergeCell ref="L9:L11"/>
  </mergeCells>
  <phoneticPr fontId="2" type="noConversion"/>
  <conditionalFormatting sqref="L4:M5">
    <cfRule type="cellIs" dxfId="15" priority="1" operator="equal">
      <formula>"No cumple"</formula>
    </cfRule>
    <cfRule type="cellIs" dxfId="14" priority="2" operator="equal">
      <formula>"Cumple"</formula>
    </cfRule>
  </conditionalFormatting>
  <conditionalFormatting sqref="M9:M11">
    <cfRule type="cellIs" dxfId="13" priority="5" operator="equal">
      <formula>"Cumple"</formula>
    </cfRule>
    <cfRule type="cellIs" dxfId="12" priority="6" operator="equal">
      <formula>"No cumple"</formula>
    </cfRule>
  </conditionalFormatting>
  <printOptions horizontalCentered="1" verticalCentered="1"/>
  <pageMargins left="0.70866141732283472" right="0.70866141732283472" top="0.74803149606299213" bottom="0.74803149606299213" header="0.31496062992125984" footer="0.31496062992125984"/>
  <pageSetup paperSize="119" scale="44" orientation="landscape" r:id="rId1"/>
  <headerFooter>
    <oddHeader>&amp;C&amp;A
Puntaje Proponente</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0807E-EAE1-4D2B-8AAD-6CFBD1EF9A82}">
  <sheetPr>
    <pageSetUpPr fitToPage="1"/>
  </sheetPr>
  <dimension ref="B2:N28"/>
  <sheetViews>
    <sheetView zoomScale="70" zoomScaleNormal="70" workbookViewId="0">
      <selection activeCell="K7" sqref="K7"/>
    </sheetView>
  </sheetViews>
  <sheetFormatPr baseColWidth="10" defaultRowHeight="12.75" x14ac:dyDescent="0.2"/>
  <cols>
    <col min="1" max="1" width="11.42578125" style="15"/>
    <col min="2" max="2" width="15.85546875" style="15" customWidth="1"/>
    <col min="3" max="3" width="22.7109375" style="15" customWidth="1"/>
    <col min="4" max="4" width="53.7109375" style="15" customWidth="1"/>
    <col min="5" max="5" width="43.7109375" style="15" customWidth="1"/>
    <col min="6" max="6" width="15.85546875" style="15" customWidth="1"/>
    <col min="7" max="7" width="14.140625" style="15" bestFit="1" customWidth="1"/>
    <col min="8" max="9" width="11.42578125" style="15"/>
    <col min="10" max="10" width="22.7109375" style="15" customWidth="1"/>
    <col min="11" max="11" width="17.5703125" style="15" customWidth="1"/>
    <col min="12" max="12" width="19" style="15" customWidth="1"/>
    <col min="13" max="13" width="20.85546875" style="15" customWidth="1"/>
    <col min="14" max="16384" width="11.42578125" style="15"/>
  </cols>
  <sheetData>
    <row r="2" spans="2:14" x14ac:dyDescent="0.2">
      <c r="B2" s="48" t="s">
        <v>58</v>
      </c>
      <c r="C2" s="48"/>
      <c r="D2" s="48"/>
      <c r="E2" s="48"/>
      <c r="F2" s="48"/>
      <c r="G2" s="48"/>
    </row>
    <row r="3" spans="2:14" ht="57.75" customHeight="1" x14ac:dyDescent="0.2">
      <c r="B3" s="16" t="s">
        <v>0</v>
      </c>
      <c r="C3" s="17" t="s">
        <v>1</v>
      </c>
      <c r="D3" s="17" t="s">
        <v>2</v>
      </c>
      <c r="E3" s="17" t="s">
        <v>9</v>
      </c>
      <c r="F3" s="16" t="s">
        <v>78</v>
      </c>
      <c r="G3" s="16" t="s">
        <v>3</v>
      </c>
      <c r="H3" s="16" t="s">
        <v>4</v>
      </c>
      <c r="I3" s="16" t="s">
        <v>3</v>
      </c>
      <c r="J3" s="16" t="s">
        <v>6</v>
      </c>
      <c r="K3" s="16" t="s">
        <v>47</v>
      </c>
      <c r="L3" s="16" t="s">
        <v>5</v>
      </c>
      <c r="M3" s="16" t="s">
        <v>7</v>
      </c>
    </row>
    <row r="4" spans="2:14" ht="89.25" customHeight="1" x14ac:dyDescent="0.2">
      <c r="B4" s="22">
        <v>44</v>
      </c>
      <c r="C4" s="20" t="s">
        <v>50</v>
      </c>
      <c r="D4" s="28" t="s">
        <v>51</v>
      </c>
      <c r="E4" s="20" t="s">
        <v>32</v>
      </c>
      <c r="F4" s="20">
        <v>811015</v>
      </c>
      <c r="G4" s="20">
        <v>174.95</v>
      </c>
      <c r="H4" s="21">
        <v>1</v>
      </c>
      <c r="I4" s="20">
        <f>G4</f>
        <v>174.95</v>
      </c>
      <c r="J4" s="22">
        <f>I4*H4</f>
        <v>174.95</v>
      </c>
      <c r="K4" s="22">
        <v>92</v>
      </c>
      <c r="L4" s="22" t="str">
        <f>IF(J4&gt;K4,"Cumple","No cumple")</f>
        <v>Cumple</v>
      </c>
      <c r="M4" s="22" t="s">
        <v>25</v>
      </c>
      <c r="N4" s="23"/>
    </row>
    <row r="5" spans="2:14" ht="79.5" customHeight="1" x14ac:dyDescent="0.2">
      <c r="B5" s="22">
        <v>45</v>
      </c>
      <c r="C5" s="20" t="s">
        <v>50</v>
      </c>
      <c r="D5" s="28" t="s">
        <v>52</v>
      </c>
      <c r="E5" s="20" t="s">
        <v>32</v>
      </c>
      <c r="F5" s="20">
        <v>811015</v>
      </c>
      <c r="G5" s="20">
        <v>187.52</v>
      </c>
      <c r="H5" s="21">
        <v>1</v>
      </c>
      <c r="I5" s="20">
        <f>G5</f>
        <v>187.52</v>
      </c>
      <c r="J5" s="22">
        <f>I5*H5</f>
        <v>187.52</v>
      </c>
      <c r="K5" s="22">
        <v>92</v>
      </c>
      <c r="L5" s="22" t="str">
        <f>IF(J5&gt;K5,"Cumple","No cumple")</f>
        <v>Cumple</v>
      </c>
      <c r="M5" s="22" t="s">
        <v>25</v>
      </c>
      <c r="N5" s="23"/>
    </row>
    <row r="6" spans="2:14" ht="79.5" customHeight="1" x14ac:dyDescent="0.2">
      <c r="B6" s="22">
        <v>42</v>
      </c>
      <c r="C6" s="13" t="s">
        <v>37</v>
      </c>
      <c r="D6" s="14" t="s">
        <v>53</v>
      </c>
      <c r="E6" s="20" t="s">
        <v>32</v>
      </c>
      <c r="F6" s="20">
        <v>811015</v>
      </c>
      <c r="G6" s="20">
        <v>183.37</v>
      </c>
      <c r="H6" s="21">
        <v>0.6</v>
      </c>
      <c r="I6" s="20">
        <f>G6</f>
        <v>183.37</v>
      </c>
      <c r="J6" s="22">
        <f>I6*H6</f>
        <v>110.02200000000001</v>
      </c>
      <c r="K6" s="22">
        <v>92</v>
      </c>
      <c r="L6" s="22" t="str">
        <f>IF(J6&gt;K6,"Cumple","No cumple")</f>
        <v>Cumple</v>
      </c>
      <c r="M6" s="22" t="s">
        <v>25</v>
      </c>
      <c r="N6" s="23"/>
    </row>
    <row r="7" spans="2:14" x14ac:dyDescent="0.2">
      <c r="B7" s="18"/>
      <c r="C7" s="19"/>
      <c r="D7" s="19"/>
      <c r="E7" s="20"/>
      <c r="F7" s="20"/>
      <c r="G7" s="20"/>
      <c r="H7" s="21"/>
      <c r="I7" s="20"/>
      <c r="J7" s="22"/>
      <c r="K7" s="22"/>
      <c r="L7" s="22"/>
      <c r="M7" s="22"/>
      <c r="N7" s="23"/>
    </row>
    <row r="8" spans="2:14" x14ac:dyDescent="0.2">
      <c r="I8" s="24">
        <f>SUM(J4:J7)</f>
        <v>472.49200000000002</v>
      </c>
    </row>
    <row r="9" spans="2:14" ht="62.25" customHeight="1" x14ac:dyDescent="0.2">
      <c r="B9" s="16" t="s">
        <v>0</v>
      </c>
      <c r="C9" s="17" t="s">
        <v>1</v>
      </c>
      <c r="D9" s="17" t="s">
        <v>2</v>
      </c>
      <c r="E9" s="17" t="s">
        <v>9</v>
      </c>
      <c r="F9" s="16" t="s">
        <v>78</v>
      </c>
      <c r="G9" s="16" t="s">
        <v>3</v>
      </c>
      <c r="H9" s="16" t="s">
        <v>4</v>
      </c>
      <c r="I9" s="16" t="s">
        <v>3</v>
      </c>
      <c r="J9" s="16" t="s">
        <v>6</v>
      </c>
      <c r="K9" s="16" t="s">
        <v>14</v>
      </c>
      <c r="L9" s="16" t="s">
        <v>15</v>
      </c>
      <c r="M9" s="16" t="s">
        <v>7</v>
      </c>
    </row>
    <row r="10" spans="2:14" ht="105" customHeight="1" x14ac:dyDescent="0.2">
      <c r="B10" s="27" t="s">
        <v>31</v>
      </c>
      <c r="C10" s="20" t="s">
        <v>8</v>
      </c>
      <c r="D10" s="20" t="s">
        <v>10</v>
      </c>
      <c r="E10" s="20" t="s">
        <v>32</v>
      </c>
      <c r="F10" s="20" t="s">
        <v>33</v>
      </c>
      <c r="G10" s="22">
        <v>515.49</v>
      </c>
      <c r="H10" s="21">
        <v>1</v>
      </c>
      <c r="I10" s="20">
        <f>G10</f>
        <v>515.49</v>
      </c>
      <c r="J10" s="22">
        <f t="shared" ref="J10:J12" si="0">I10*H10</f>
        <v>515.49</v>
      </c>
      <c r="K10" s="21">
        <f>J10/230</f>
        <v>2.2412608695652176</v>
      </c>
      <c r="L10" s="49">
        <f>_xlfn.IFS($M$16=3,48.5,$M$16=2,20,$M$16=1,10)</f>
        <v>48.5</v>
      </c>
      <c r="M10" s="22" t="str">
        <f>IF(G10&gt;=230,"Cumple","No cumple")</f>
        <v>Cumple</v>
      </c>
      <c r="N10" s="23"/>
    </row>
    <row r="11" spans="2:14" ht="153" customHeight="1" x14ac:dyDescent="0.2">
      <c r="B11" s="27" t="s">
        <v>34</v>
      </c>
      <c r="C11" s="20" t="s">
        <v>35</v>
      </c>
      <c r="D11" s="28" t="s">
        <v>16</v>
      </c>
      <c r="E11" s="20" t="s">
        <v>32</v>
      </c>
      <c r="F11" s="20" t="s">
        <v>33</v>
      </c>
      <c r="G11" s="22">
        <v>738.11</v>
      </c>
      <c r="H11" s="21">
        <v>1</v>
      </c>
      <c r="I11" s="20">
        <f>G11</f>
        <v>738.11</v>
      </c>
      <c r="J11" s="22">
        <f t="shared" si="0"/>
        <v>738.11</v>
      </c>
      <c r="K11" s="21">
        <f>J11/230</f>
        <v>3.2091739130434784</v>
      </c>
      <c r="L11" s="49"/>
      <c r="M11" s="22" t="str">
        <f t="shared" ref="M11:M12" si="1">IF(G11&gt;=230,"Cumple","No cumple")</f>
        <v>Cumple</v>
      </c>
      <c r="N11" s="23"/>
    </row>
    <row r="12" spans="2:14" ht="171" customHeight="1" x14ac:dyDescent="0.2">
      <c r="B12" s="27" t="s">
        <v>36</v>
      </c>
      <c r="C12" s="20" t="s">
        <v>37</v>
      </c>
      <c r="D12" s="28" t="s">
        <v>38</v>
      </c>
      <c r="E12" s="20" t="s">
        <v>39</v>
      </c>
      <c r="F12" s="20" t="s">
        <v>33</v>
      </c>
      <c r="G12" s="22">
        <v>663.07</v>
      </c>
      <c r="H12" s="21">
        <v>0.5</v>
      </c>
      <c r="I12" s="20">
        <f>G12</f>
        <v>663.07</v>
      </c>
      <c r="J12" s="22">
        <f t="shared" si="0"/>
        <v>331.53500000000003</v>
      </c>
      <c r="K12" s="21">
        <f>J12/230</f>
        <v>1.4414565217391306</v>
      </c>
      <c r="L12" s="49"/>
      <c r="M12" s="22" t="str">
        <f t="shared" si="1"/>
        <v>Cumple</v>
      </c>
      <c r="N12" s="23"/>
    </row>
    <row r="13" spans="2:14" ht="15" x14ac:dyDescent="0.25">
      <c r="C13" t="str">
        <f>CONCATENATE("Aporta Certificado expedido por  ",C4,"  con objeto  "," ",D4," a nombre de ",E4," con los códigos ",F4," por valor de ",G4," con participación de   ",I4,"%  con consecutivo en el RUP  ",H4,"  con condición  ",M4)</f>
        <v>Aporta Certificado expedido por  FONDO DE PREVENCIÓN Y ATENCIÓN DE EMERGENCIAS DE BOGOTÁ  con objeto   Elaboración de estudios y diseños para obras de mitigación por procesos de remoción en masa en el barrio Madrid de la localidad de Rafael Uribe Uribe de la Ciudad de Bogota, D.C. a nombre de GIA Consultores LTDA con los códigos 811015 por valor de 174,95 con participación de   174,95%  con consecutivo en el RUP  1  con condición  Cumple</v>
      </c>
    </row>
    <row r="14" spans="2:14" ht="15" x14ac:dyDescent="0.25">
      <c r="C14" t="str">
        <f t="shared" ref="C14:C15" si="2">CONCATENATE("Aporta Certificado expedido por  ",C5,"  con objeto  "," ",D5," a nombre de ",E5," con los códigos ",F5," por valor de ",G5," con participación de   ",I5,"%  con consecutivo en el RUP  ",H5,"  con condición  ",N8)</f>
        <v xml:space="preserve">Aporta Certificado expedido por  FONDO DE PREVENCIÓN Y ATENCIÓN DE EMERGENCIAS DE BOGOTÁ  con objeto   Elaboración de estudios y diseños para obras de mitigación por procesos de remoción en masa en el barrio Sotavento de la localidad de Ciudad Bolívar de la Ciudad de Bogota, D.C. a nombre de GIA Consultores LTDA con los códigos 811015 por valor de 187,52 con participación de   187,52%  con consecutivo en el RUP  1  con condición  </v>
      </c>
    </row>
    <row r="15" spans="2:14" ht="15" x14ac:dyDescent="0.25">
      <c r="C15" t="str">
        <f t="shared" si="2"/>
        <v xml:space="preserve">Aporta Certificado expedido por  DIRECCIÓN DE PREVENCIÓN Y ATENCIÓN DE EMERGENCIAS  con objeto   Estudio de Amenaza por remoción en masa, alternativas de mitigación y diseños detallados de las obras recomendadas para estabilizar los escarpes y laderas ubicadas en el barrio Cordillera de la localidad de Ciudad Bolívar en Bogotá D.C. a nombre de GIA Consultores LTDA con los códigos 811015 por valor de 183,37 con participación de   183,37%  con consecutivo en el RUP  0,6  con condición  </v>
      </c>
    </row>
    <row r="16" spans="2:14" x14ac:dyDescent="0.2">
      <c r="G16" s="25"/>
      <c r="L16" s="15" t="s">
        <v>25</v>
      </c>
      <c r="M16" s="15">
        <f>COUNTIF(M10:M12,"Cumple")</f>
        <v>3</v>
      </c>
    </row>
    <row r="17" spans="2:13" x14ac:dyDescent="0.2">
      <c r="L17" s="15" t="s">
        <v>24</v>
      </c>
      <c r="M17" s="15">
        <f>COUNTIF(M10:M12,"No cumple")</f>
        <v>0</v>
      </c>
    </row>
    <row r="28" spans="2:13" x14ac:dyDescent="0.2">
      <c r="B28" s="26"/>
    </row>
  </sheetData>
  <mergeCells count="2">
    <mergeCell ref="B2:G2"/>
    <mergeCell ref="L10:L12"/>
  </mergeCells>
  <conditionalFormatting sqref="L4:M6">
    <cfRule type="cellIs" dxfId="11" priority="1" operator="equal">
      <formula>"No cumple"</formula>
    </cfRule>
    <cfRule type="cellIs" dxfId="10" priority="2" operator="equal">
      <formula>"Cumple"</formula>
    </cfRule>
  </conditionalFormatting>
  <conditionalFormatting sqref="M10:M12">
    <cfRule type="cellIs" dxfId="9" priority="5" operator="equal">
      <formula>"Cumple"</formula>
    </cfRule>
    <cfRule type="cellIs" dxfId="8" priority="6" operator="equal">
      <formula>"No cumple"</formula>
    </cfRule>
  </conditionalFormatting>
  <pageMargins left="0.70866141732283472" right="0.70866141732283472" top="0.74803149606299213" bottom="0.74803149606299213" header="0.31496062992125984" footer="0.31496062992125984"/>
  <pageSetup paperSize="119" scale="45" orientation="landscape" r:id="rId1"/>
  <headerFooter>
    <oddHeader xml:space="preserve">&amp;C&amp;A
Puntaje Proponente
</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B88FC-E71E-405B-9B1D-504886168140}">
  <sheetPr>
    <pageSetUpPr fitToPage="1"/>
  </sheetPr>
  <dimension ref="B2:N28"/>
  <sheetViews>
    <sheetView zoomScale="70" zoomScaleNormal="70" workbookViewId="0">
      <selection activeCell="K7" sqref="K7"/>
    </sheetView>
  </sheetViews>
  <sheetFormatPr baseColWidth="10" defaultRowHeight="12.75" x14ac:dyDescent="0.2"/>
  <cols>
    <col min="1" max="1" width="11.42578125" style="29"/>
    <col min="2" max="2" width="15.85546875" style="29" customWidth="1"/>
    <col min="3" max="3" width="22.7109375" style="29" customWidth="1"/>
    <col min="4" max="4" width="53.7109375" style="29" customWidth="1"/>
    <col min="5" max="5" width="43.7109375" style="29" customWidth="1"/>
    <col min="6" max="6" width="16.5703125" style="29" customWidth="1"/>
    <col min="7" max="7" width="14.140625" style="29" bestFit="1" customWidth="1"/>
    <col min="8" max="9" width="11.42578125" style="29"/>
    <col min="10" max="10" width="22.7109375" style="29" customWidth="1"/>
    <col min="11" max="11" width="17.5703125" style="29" customWidth="1"/>
    <col min="12" max="12" width="19" style="29" customWidth="1"/>
    <col min="13" max="13" width="20.85546875" style="29" customWidth="1"/>
    <col min="14" max="16384" width="11.42578125" style="29"/>
  </cols>
  <sheetData>
    <row r="2" spans="2:14" x14ac:dyDescent="0.2">
      <c r="B2" s="50" t="s">
        <v>59</v>
      </c>
      <c r="C2" s="50"/>
      <c r="D2" s="50"/>
      <c r="E2" s="50"/>
      <c r="F2" s="50"/>
      <c r="G2" s="50"/>
    </row>
    <row r="3" spans="2:14" ht="38.25" x14ac:dyDescent="0.2">
      <c r="B3" s="30" t="s">
        <v>0</v>
      </c>
      <c r="C3" s="31" t="s">
        <v>1</v>
      </c>
      <c r="D3" s="31" t="s">
        <v>2</v>
      </c>
      <c r="E3" s="31" t="s">
        <v>9</v>
      </c>
      <c r="F3" s="30" t="s">
        <v>78</v>
      </c>
      <c r="G3" s="30" t="s">
        <v>3</v>
      </c>
      <c r="H3" s="30" t="s">
        <v>4</v>
      </c>
      <c r="I3" s="30" t="s">
        <v>3</v>
      </c>
      <c r="J3" s="30" t="s">
        <v>6</v>
      </c>
      <c r="K3" s="30" t="s">
        <v>47</v>
      </c>
      <c r="L3" s="30" t="s">
        <v>5</v>
      </c>
      <c r="M3" s="30" t="s">
        <v>7</v>
      </c>
    </row>
    <row r="4" spans="2:14" ht="89.25" customHeight="1" x14ac:dyDescent="0.2">
      <c r="B4" s="32">
        <v>89</v>
      </c>
      <c r="C4" s="33" t="s">
        <v>75</v>
      </c>
      <c r="D4" s="34" t="s">
        <v>60</v>
      </c>
      <c r="E4" s="33" t="s">
        <v>62</v>
      </c>
      <c r="F4" s="33" t="s">
        <v>61</v>
      </c>
      <c r="G4" s="33">
        <v>576.45000000000005</v>
      </c>
      <c r="H4" s="35">
        <v>1</v>
      </c>
      <c r="I4" s="33">
        <f>G4</f>
        <v>576.45000000000005</v>
      </c>
      <c r="J4" s="32">
        <f>I4*H4</f>
        <v>576.45000000000005</v>
      </c>
      <c r="K4" s="32">
        <v>92</v>
      </c>
      <c r="L4" s="32" t="str">
        <f>IF(J4&gt;K4,"Cumple","No cumple")</f>
        <v>Cumple</v>
      </c>
      <c r="M4" s="32" t="s">
        <v>25</v>
      </c>
      <c r="N4" s="36"/>
    </row>
    <row r="5" spans="2:14" ht="79.5" customHeight="1" x14ac:dyDescent="0.2">
      <c r="B5" s="32">
        <v>67</v>
      </c>
      <c r="C5" s="33" t="s">
        <v>50</v>
      </c>
      <c r="D5" s="34" t="s">
        <v>63</v>
      </c>
      <c r="E5" s="33" t="s">
        <v>62</v>
      </c>
      <c r="F5" s="33" t="s">
        <v>66</v>
      </c>
      <c r="G5" s="33">
        <v>836.07</v>
      </c>
      <c r="H5" s="35">
        <v>1</v>
      </c>
      <c r="I5" s="33">
        <f>G5</f>
        <v>836.07</v>
      </c>
      <c r="J5" s="32">
        <f>I5*H5</f>
        <v>836.07</v>
      </c>
      <c r="K5" s="32">
        <v>92</v>
      </c>
      <c r="L5" s="32" t="str">
        <f>IF(J5&gt;K5,"Cumple","No cumple")</f>
        <v>Cumple</v>
      </c>
      <c r="M5" s="32" t="s">
        <v>25</v>
      </c>
      <c r="N5" s="36"/>
    </row>
    <row r="6" spans="2:14" ht="79.5" customHeight="1" x14ac:dyDescent="0.2">
      <c r="B6" s="32">
        <v>70</v>
      </c>
      <c r="C6" s="37" t="s">
        <v>64</v>
      </c>
      <c r="D6" s="38" t="s">
        <v>65</v>
      </c>
      <c r="E6" s="33" t="s">
        <v>62</v>
      </c>
      <c r="F6" s="33" t="s">
        <v>66</v>
      </c>
      <c r="G6" s="33">
        <v>3424.59</v>
      </c>
      <c r="H6" s="35">
        <v>1</v>
      </c>
      <c r="I6" s="33">
        <f>G6</f>
        <v>3424.59</v>
      </c>
      <c r="J6" s="32">
        <f>I6*H6</f>
        <v>3424.59</v>
      </c>
      <c r="K6" s="32">
        <v>92</v>
      </c>
      <c r="L6" s="32" t="str">
        <f>IF(J6&gt;K6,"Cumple","No cumple")</f>
        <v>Cumple</v>
      </c>
      <c r="M6" s="32" t="s">
        <v>25</v>
      </c>
      <c r="N6" s="36"/>
    </row>
    <row r="7" spans="2:14" x14ac:dyDescent="0.2">
      <c r="B7" s="39"/>
      <c r="C7" s="40"/>
      <c r="D7" s="40"/>
      <c r="E7" s="33"/>
      <c r="F7" s="33"/>
      <c r="G7" s="33"/>
      <c r="H7" s="35"/>
      <c r="I7" s="33"/>
      <c r="J7" s="32"/>
      <c r="K7" s="32"/>
      <c r="L7" s="32"/>
      <c r="M7" s="32"/>
      <c r="N7" s="36"/>
    </row>
    <row r="8" spans="2:14" x14ac:dyDescent="0.2">
      <c r="I8" s="41">
        <f>SUM(J4:J7)</f>
        <v>4837.1100000000006</v>
      </c>
    </row>
    <row r="9" spans="2:14" ht="62.25" customHeight="1" x14ac:dyDescent="0.2">
      <c r="B9" s="30" t="s">
        <v>0</v>
      </c>
      <c r="C9" s="31" t="s">
        <v>1</v>
      </c>
      <c r="D9" s="31" t="s">
        <v>2</v>
      </c>
      <c r="E9" s="31" t="s">
        <v>9</v>
      </c>
      <c r="F9" s="30" t="s">
        <v>78</v>
      </c>
      <c r="G9" s="30" t="s">
        <v>3</v>
      </c>
      <c r="H9" s="30" t="s">
        <v>4</v>
      </c>
      <c r="I9" s="30" t="s">
        <v>3</v>
      </c>
      <c r="J9" s="30" t="s">
        <v>6</v>
      </c>
      <c r="K9" s="30" t="s">
        <v>14</v>
      </c>
      <c r="L9" s="30" t="s">
        <v>15</v>
      </c>
      <c r="M9" s="30" t="s">
        <v>7</v>
      </c>
    </row>
    <row r="10" spans="2:14" ht="105" customHeight="1" x14ac:dyDescent="0.2">
      <c r="B10" s="42">
        <v>81</v>
      </c>
      <c r="C10" s="33" t="s">
        <v>67</v>
      </c>
      <c r="D10" s="33" t="s">
        <v>68</v>
      </c>
      <c r="E10" s="33" t="s">
        <v>62</v>
      </c>
      <c r="F10" s="33" t="s">
        <v>71</v>
      </c>
      <c r="G10" s="32">
        <v>8771.7199999999993</v>
      </c>
      <c r="H10" s="35">
        <v>1</v>
      </c>
      <c r="I10" s="33">
        <f>G10</f>
        <v>8771.7199999999993</v>
      </c>
      <c r="J10" s="32">
        <f t="shared" ref="J10:J12" si="0">I10*H10</f>
        <v>8771.7199999999993</v>
      </c>
      <c r="K10" s="35">
        <f>J10/230</f>
        <v>38.137913043478257</v>
      </c>
      <c r="L10" s="51">
        <f>_xlfn.IFS($M$16=3,48.5,$M$16=2,20,$M$16=1,10)</f>
        <v>48.5</v>
      </c>
      <c r="M10" s="32" t="str">
        <f>IF(G10&gt;=230,"Cumple","No cumple")</f>
        <v>Cumple</v>
      </c>
      <c r="N10" s="36"/>
    </row>
    <row r="11" spans="2:14" ht="153" customHeight="1" x14ac:dyDescent="0.2">
      <c r="B11" s="42">
        <v>45</v>
      </c>
      <c r="C11" s="33" t="s">
        <v>69</v>
      </c>
      <c r="D11" s="34" t="s">
        <v>70</v>
      </c>
      <c r="E11" s="33" t="s">
        <v>62</v>
      </c>
      <c r="F11" s="33" t="s">
        <v>71</v>
      </c>
      <c r="G11" s="32">
        <v>1166.8399999999999</v>
      </c>
      <c r="H11" s="35">
        <v>1</v>
      </c>
      <c r="I11" s="33">
        <f>G11</f>
        <v>1166.8399999999999</v>
      </c>
      <c r="J11" s="32">
        <f t="shared" si="0"/>
        <v>1166.8399999999999</v>
      </c>
      <c r="K11" s="35">
        <f>J11/230</f>
        <v>5.0732173913043477</v>
      </c>
      <c r="L11" s="51"/>
      <c r="M11" s="32" t="str">
        <f t="shared" ref="M11:M12" si="1">IF(G11&gt;=230,"Cumple","No cumple")</f>
        <v>Cumple</v>
      </c>
      <c r="N11" s="36"/>
    </row>
    <row r="12" spans="2:14" ht="171" customHeight="1" x14ac:dyDescent="0.2">
      <c r="B12" s="42">
        <v>47</v>
      </c>
      <c r="C12" s="33" t="s">
        <v>72</v>
      </c>
      <c r="D12" s="34" t="s">
        <v>73</v>
      </c>
      <c r="E12" s="33" t="s">
        <v>62</v>
      </c>
      <c r="F12" s="33" t="s">
        <v>74</v>
      </c>
      <c r="G12" s="32">
        <v>896.9</v>
      </c>
      <c r="H12" s="35">
        <v>1</v>
      </c>
      <c r="I12" s="33">
        <f>G12</f>
        <v>896.9</v>
      </c>
      <c r="J12" s="32">
        <f t="shared" si="0"/>
        <v>896.9</v>
      </c>
      <c r="K12" s="35">
        <f>J12/230</f>
        <v>3.8995652173913045</v>
      </c>
      <c r="L12" s="51"/>
      <c r="M12" s="32" t="str">
        <f t="shared" si="1"/>
        <v>Cumple</v>
      </c>
      <c r="N12" s="36"/>
    </row>
    <row r="13" spans="2:14" ht="14.25" x14ac:dyDescent="0.2">
      <c r="B13" s="52" t="s">
        <v>76</v>
      </c>
      <c r="C13" s="43" t="str">
        <f>CONCATENATE("Aporta Certificado expedido por  ",C4,", con objeto  "," ",D4,",  a nombre de ",E4,", con los códigos ",F4,", por valor en smmlv de ",G4,", con participación de   ",H4,"00%, con consecutivo en el RUP  ",B4,",  con condición  ",M4)</f>
        <v>Aporta Certificado expedido por  PROCESOS Y DISEÑOS ENERGETICOS S.A., con objeto   Estudio de Riesgos por fenómenos de remoción en masa y evaluación de alternativas de mitigación para la planta Villeta, de la Vicepresidencia de Transporte de ECOPETROL S. A.,  a nombre de JHS INGENIERIA LIMITADA, con los códigos 811015
801116
811518
811517
811016
811519
811516, por valor en smmlv de 576,45, con participación de   100%, con consecutivo en el RUP  89,  con condición  Cumple</v>
      </c>
    </row>
    <row r="14" spans="2:14" ht="14.25" x14ac:dyDescent="0.2">
      <c r="B14" s="53"/>
      <c r="C14" s="43" t="str">
        <f t="shared" ref="C14:C15" si="2">CONCATENATE("Aporta Certificado expedido por  ",C5,", con objeto  "," ",D5,",  a nombre de ",E5,", con los códigos ",F5,", por valor en smmlv de ",G5,", con participación de   ",H5,"00%, con consecutivo en el RUP  ",B5,",  con condición  ",M5)</f>
        <v>Aporta Certificado expedido por  FONDO DE PREVENCIÓN Y ATENCIÓN DE EMERGENCIAS DE BOGOTÁ, con objeto   Ingeniería Básica de la perforación horizontal dirigida del sector la Primavera (El Raizal) poliducto Medellín-Cartago de 10" K51+250 al K52+000 de propiedad de CENIT Transporte y Logística de Hidrocarburos S.A.S.,  a nombre de JHS INGENIERIA LIMITADA, con los códigos 811015
801116
811518
811517
811016
811015
811519
811516, por valor en smmlv de 836,07, con participación de   100%, con consecutivo en el RUP  67,  con condición  Cumple</v>
      </c>
    </row>
    <row r="15" spans="2:14" ht="14.25" x14ac:dyDescent="0.2">
      <c r="B15" s="53"/>
      <c r="C15" s="43" t="str">
        <f t="shared" si="2"/>
        <v>Aporta Certificado expedido por  TGI S.A. E.S.P, con objeto   Ingeniería básica y el diagnóstico ambiental de alternativas –DAA -, para la construcción de los sistemas regionales de transporte Cundi Suroccidental y Cundi Noroccidental,  a nombre de JHS INGENIERIA LIMITADA, con los códigos 811015
801116
811518
811517
811016
811015
811519
811516, por valor en smmlv de 3424,59, con participación de   100%, con consecutivo en el RUP  70,  con condición  Cumple</v>
      </c>
    </row>
    <row r="16" spans="2:14" x14ac:dyDescent="0.2">
      <c r="G16" s="44"/>
      <c r="L16" s="29" t="s">
        <v>25</v>
      </c>
      <c r="M16" s="29">
        <f>COUNTIF(M10:M12,"Cumple")</f>
        <v>3</v>
      </c>
    </row>
    <row r="17" spans="2:13" ht="14.25" x14ac:dyDescent="0.2">
      <c r="B17" s="29" t="s">
        <v>77</v>
      </c>
      <c r="C17" s="43" t="str">
        <f>CONCATENATE("Aporta Certificado expedido por  ",C4,", con objeto  "," ",D4,",  a nombre de ",E4,", con los códigos ",F4,", por valor en smmlv de ",G4,", con participación de   ",H4,"00%, con consecutivo en el RUP  ",B4,",  relacionads con Estudios y Diseños de obras de estabilización de taludes con condición y corresponde al  ",K4,"% del presupueto oficial")</f>
        <v>Aporta Certificado expedido por  PROCESOS Y DISEÑOS ENERGETICOS S.A., con objeto   Estudio de Riesgos por fenómenos de remoción en masa y evaluación de alternativas de mitigación para la planta Villeta, de la Vicepresidencia de Transporte de ECOPETROL S. A.,  a nombre de JHS INGENIERIA LIMITADA, con los códigos 811015
801116
811518
811517
811016
811519
811516, por valor en smmlv de 576,45, con participación de   100%, con consecutivo en el RUP  89,  relacionads con Estudios y Diseños de obras de estabilización de taludes con condición y corresponde al  92% del presupueto oficial</v>
      </c>
      <c r="L17" s="29" t="s">
        <v>24</v>
      </c>
      <c r="M17" s="29">
        <f>COUNTIF(M10:M12,"No cumple")</f>
        <v>0</v>
      </c>
    </row>
    <row r="21" spans="2:13" x14ac:dyDescent="0.2">
      <c r="H21" s="29">
        <f>48/30</f>
        <v>1.6</v>
      </c>
      <c r="I21" s="29">
        <f>1800000*H21</f>
        <v>2880000</v>
      </c>
    </row>
    <row r="28" spans="2:13" x14ac:dyDescent="0.2">
      <c r="B28" s="45"/>
    </row>
  </sheetData>
  <mergeCells count="3">
    <mergeCell ref="B2:G2"/>
    <mergeCell ref="L10:L12"/>
    <mergeCell ref="B13:B15"/>
  </mergeCells>
  <conditionalFormatting sqref="L4:M6">
    <cfRule type="cellIs" dxfId="7" priority="1" operator="equal">
      <formula>"No cumple"</formula>
    </cfRule>
    <cfRule type="cellIs" dxfId="6" priority="2" operator="equal">
      <formula>"Cumple"</formula>
    </cfRule>
  </conditionalFormatting>
  <conditionalFormatting sqref="M10:M12">
    <cfRule type="cellIs" dxfId="5" priority="3" operator="equal">
      <formula>"Cumple"</formula>
    </cfRule>
    <cfRule type="cellIs" dxfId="4" priority="4" operator="equal">
      <formula>"No cumple"</formula>
    </cfRule>
  </conditionalFormatting>
  <pageMargins left="0.70866141732283472" right="0.70866141732283472" top="0.74803149606299213" bottom="0.74803149606299213" header="0.31496062992125984" footer="0.31496062992125984"/>
  <pageSetup paperSize="119" scale="45" orientation="landscape" r:id="rId1"/>
  <headerFooter>
    <oddHeader>&amp;C&amp;A
Puntaje Proponente</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9DE22-A3BF-4827-B9F2-EB426A799D9F}">
  <sheetPr>
    <pageSetUpPr fitToPage="1"/>
  </sheetPr>
  <dimension ref="B2:N30"/>
  <sheetViews>
    <sheetView tabSelected="1" zoomScale="70" zoomScaleNormal="70" workbookViewId="0">
      <selection activeCell="Q13" sqref="Q13"/>
    </sheetView>
  </sheetViews>
  <sheetFormatPr baseColWidth="10" defaultRowHeight="12.75" x14ac:dyDescent="0.2"/>
  <cols>
    <col min="1" max="1" width="11.42578125" style="15"/>
    <col min="2" max="2" width="15.85546875" style="15" customWidth="1"/>
    <col min="3" max="3" width="22.7109375" style="15" customWidth="1"/>
    <col min="4" max="4" width="53.7109375" style="15" customWidth="1"/>
    <col min="5" max="5" width="43.7109375" style="15" customWidth="1"/>
    <col min="6" max="6" width="15.85546875" style="15" customWidth="1"/>
    <col min="7" max="7" width="14.140625" style="15" bestFit="1" customWidth="1"/>
    <col min="8" max="9" width="11.42578125" style="15"/>
    <col min="10" max="10" width="22.7109375" style="15" customWidth="1"/>
    <col min="11" max="11" width="17.5703125" style="15" customWidth="1"/>
    <col min="12" max="12" width="19" style="15" customWidth="1"/>
    <col min="13" max="13" width="20.85546875" style="15" customWidth="1"/>
    <col min="14" max="16384" width="11.42578125" style="15"/>
  </cols>
  <sheetData>
    <row r="2" spans="2:14" x14ac:dyDescent="0.2">
      <c r="B2" s="48" t="s">
        <v>58</v>
      </c>
      <c r="C2" s="48"/>
      <c r="D2" s="48"/>
      <c r="E2" s="48"/>
      <c r="F2" s="48"/>
      <c r="G2" s="48"/>
    </row>
    <row r="3" spans="2:14" ht="57.75" customHeight="1" x14ac:dyDescent="0.2">
      <c r="B3" s="16" t="s">
        <v>0</v>
      </c>
      <c r="C3" s="17" t="s">
        <v>1</v>
      </c>
      <c r="D3" s="17" t="s">
        <v>2</v>
      </c>
      <c r="E3" s="17" t="s">
        <v>9</v>
      </c>
      <c r="F3" s="16" t="s">
        <v>78</v>
      </c>
      <c r="G3" s="16" t="s">
        <v>3</v>
      </c>
      <c r="H3" s="16" t="s">
        <v>4</v>
      </c>
      <c r="I3" s="16" t="s">
        <v>3</v>
      </c>
      <c r="J3" s="16" t="s">
        <v>6</v>
      </c>
      <c r="K3" s="16" t="s">
        <v>47</v>
      </c>
      <c r="L3" s="16" t="s">
        <v>5</v>
      </c>
      <c r="M3" s="16" t="s">
        <v>7</v>
      </c>
    </row>
    <row r="4" spans="2:14" ht="89.25" customHeight="1" x14ac:dyDescent="0.2">
      <c r="B4" s="22">
        <v>62</v>
      </c>
      <c r="C4" s="54" t="s">
        <v>79</v>
      </c>
      <c r="D4" s="55" t="s">
        <v>80</v>
      </c>
      <c r="E4" s="54" t="s">
        <v>81</v>
      </c>
      <c r="F4" s="54">
        <v>811015</v>
      </c>
      <c r="G4" s="20">
        <v>1525.14</v>
      </c>
      <c r="H4" s="21">
        <v>0.9</v>
      </c>
      <c r="I4" s="20">
        <f>G4</f>
        <v>1525.14</v>
      </c>
      <c r="J4" s="22">
        <f>I4*H4</f>
        <v>1372.6260000000002</v>
      </c>
      <c r="K4" s="57">
        <v>92</v>
      </c>
      <c r="L4" s="22" t="str">
        <f>IF(J4&gt;K4,"Cumple","No cumple")</f>
        <v>Cumple</v>
      </c>
      <c r="M4" s="22" t="s">
        <v>25</v>
      </c>
      <c r="N4" s="23"/>
    </row>
    <row r="5" spans="2:14" ht="123.75" customHeight="1" x14ac:dyDescent="0.2">
      <c r="B5" s="57">
        <v>29</v>
      </c>
      <c r="C5" s="20" t="s">
        <v>82</v>
      </c>
      <c r="D5" s="28" t="s">
        <v>83</v>
      </c>
      <c r="E5" s="20" t="s">
        <v>84</v>
      </c>
      <c r="F5" s="20">
        <v>811015</v>
      </c>
      <c r="G5" s="20">
        <v>1435.88</v>
      </c>
      <c r="H5" s="21">
        <v>0.5</v>
      </c>
      <c r="I5" s="20">
        <f>G5</f>
        <v>1435.88</v>
      </c>
      <c r="J5" s="22">
        <f>I5*H5</f>
        <v>717.94</v>
      </c>
      <c r="K5" s="57">
        <v>92</v>
      </c>
      <c r="L5" s="22" t="str">
        <f>IF(J5&gt;K5,"Cumple","No cumple")</f>
        <v>Cumple</v>
      </c>
      <c r="M5" s="22" t="s">
        <v>25</v>
      </c>
      <c r="N5" s="23"/>
    </row>
    <row r="6" spans="2:14" ht="123.75" customHeight="1" x14ac:dyDescent="0.2">
      <c r="B6" s="57">
        <v>26</v>
      </c>
      <c r="C6" s="20" t="s">
        <v>82</v>
      </c>
      <c r="D6" s="28" t="s">
        <v>85</v>
      </c>
      <c r="E6" s="20" t="s">
        <v>86</v>
      </c>
      <c r="F6" s="20">
        <v>811015</v>
      </c>
      <c r="G6" s="20">
        <v>1414.37</v>
      </c>
      <c r="H6" s="21">
        <v>0.5</v>
      </c>
      <c r="I6" s="20">
        <f>G6</f>
        <v>1414.37</v>
      </c>
      <c r="J6" s="22">
        <f>I6*H6</f>
        <v>707.18499999999995</v>
      </c>
      <c r="K6" s="57">
        <v>92</v>
      </c>
      <c r="L6" s="22" t="str">
        <f>IF(J6&gt;K6,"Cumple","No cumple")</f>
        <v>Cumple</v>
      </c>
      <c r="M6" s="22" t="s">
        <v>25</v>
      </c>
      <c r="N6" s="23"/>
    </row>
    <row r="7" spans="2:14" ht="79.5" customHeight="1" x14ac:dyDescent="0.2">
      <c r="B7" s="57">
        <v>33</v>
      </c>
      <c r="C7" s="20" t="s">
        <v>88</v>
      </c>
      <c r="D7" s="28" t="s">
        <v>87</v>
      </c>
      <c r="E7" s="20" t="s">
        <v>89</v>
      </c>
      <c r="F7" s="20">
        <v>811015</v>
      </c>
      <c r="G7" s="20">
        <v>382.21</v>
      </c>
      <c r="H7" s="21">
        <v>1</v>
      </c>
      <c r="I7" s="20">
        <f>G7</f>
        <v>382.21</v>
      </c>
      <c r="J7" s="22">
        <f>I7*H7</f>
        <v>382.21</v>
      </c>
      <c r="K7" s="57">
        <v>92</v>
      </c>
      <c r="L7" s="22" t="str">
        <f>IF(J7&gt;K7,"Cumple","No cumple")</f>
        <v>Cumple</v>
      </c>
      <c r="M7" s="22" t="s">
        <v>25</v>
      </c>
      <c r="N7" s="23"/>
    </row>
    <row r="8" spans="2:14" ht="79.5" customHeight="1" x14ac:dyDescent="0.2">
      <c r="B8" s="22">
        <v>80</v>
      </c>
      <c r="C8" s="56" t="s">
        <v>90</v>
      </c>
      <c r="D8" s="14" t="s">
        <v>91</v>
      </c>
      <c r="E8" s="20" t="s">
        <v>92</v>
      </c>
      <c r="F8" s="20">
        <v>811015</v>
      </c>
      <c r="G8" s="20">
        <v>804.51</v>
      </c>
      <c r="H8" s="21">
        <v>1</v>
      </c>
      <c r="I8" s="20">
        <f>G8</f>
        <v>804.51</v>
      </c>
      <c r="J8" s="22">
        <f>I8*H8</f>
        <v>804.51</v>
      </c>
      <c r="K8" s="57">
        <v>92</v>
      </c>
      <c r="L8" s="22" t="str">
        <f>IF(J8&gt;K8,"Cumple","No cumple")</f>
        <v>Cumple</v>
      </c>
      <c r="M8" s="22" t="s">
        <v>25</v>
      </c>
      <c r="N8" s="23"/>
    </row>
    <row r="9" spans="2:14" x14ac:dyDescent="0.2">
      <c r="B9" s="18"/>
      <c r="C9" s="19"/>
      <c r="D9" s="19"/>
      <c r="E9" s="20"/>
      <c r="F9" s="20"/>
      <c r="G9" s="20"/>
      <c r="H9" s="21"/>
      <c r="I9" s="20"/>
      <c r="J9" s="22"/>
      <c r="K9" s="22"/>
      <c r="L9" s="22"/>
      <c r="M9" s="22"/>
      <c r="N9" s="23"/>
    </row>
    <row r="10" spans="2:14" x14ac:dyDescent="0.2">
      <c r="I10" s="24">
        <f>SUM(J4:J9)</f>
        <v>3984.4710000000005</v>
      </c>
    </row>
    <row r="11" spans="2:14" ht="62.25" customHeight="1" x14ac:dyDescent="0.2">
      <c r="B11" s="16" t="s">
        <v>0</v>
      </c>
      <c r="C11" s="17" t="s">
        <v>1</v>
      </c>
      <c r="D11" s="17" t="s">
        <v>2</v>
      </c>
      <c r="E11" s="17" t="s">
        <v>9</v>
      </c>
      <c r="F11" s="16" t="s">
        <v>78</v>
      </c>
      <c r="G11" s="16" t="s">
        <v>3</v>
      </c>
      <c r="H11" s="16" t="s">
        <v>4</v>
      </c>
      <c r="I11" s="16" t="s">
        <v>3</v>
      </c>
      <c r="J11" s="16" t="s">
        <v>6</v>
      </c>
      <c r="K11" s="16" t="s">
        <v>14</v>
      </c>
      <c r="L11" s="16" t="s">
        <v>15</v>
      </c>
      <c r="M11" s="16" t="s">
        <v>7</v>
      </c>
    </row>
    <row r="12" spans="2:14" ht="105" customHeight="1" x14ac:dyDescent="0.2">
      <c r="B12" s="57">
        <v>29</v>
      </c>
      <c r="C12" s="20" t="s">
        <v>82</v>
      </c>
      <c r="D12" s="28" t="s">
        <v>83</v>
      </c>
      <c r="E12" s="20" t="s">
        <v>84</v>
      </c>
      <c r="F12" s="20">
        <v>811015</v>
      </c>
      <c r="G12" s="20">
        <v>1435.88</v>
      </c>
      <c r="H12" s="21">
        <v>0.5</v>
      </c>
      <c r="I12" s="20">
        <f>G12</f>
        <v>1435.88</v>
      </c>
      <c r="J12" s="22">
        <f t="shared" ref="J12:J14" si="0">I12*H12</f>
        <v>717.94</v>
      </c>
      <c r="K12" s="21">
        <f>J12/230</f>
        <v>3.1214782608695653</v>
      </c>
      <c r="L12" s="49">
        <f>_xlfn.IFS($M$18=3,48.5,$M$18=2,20,$M$18=1,10)</f>
        <v>48.5</v>
      </c>
      <c r="M12" s="22" t="str">
        <f>IF(G12&gt;=230,"Cumple","No cumple")</f>
        <v>Cumple</v>
      </c>
      <c r="N12" s="23"/>
    </row>
    <row r="13" spans="2:14" ht="153" customHeight="1" x14ac:dyDescent="0.2">
      <c r="B13" s="57">
        <v>26</v>
      </c>
      <c r="C13" s="20" t="s">
        <v>82</v>
      </c>
      <c r="D13" s="28" t="s">
        <v>85</v>
      </c>
      <c r="E13" s="20" t="s">
        <v>86</v>
      </c>
      <c r="F13" s="20">
        <v>811015</v>
      </c>
      <c r="G13" s="20">
        <v>1414.37</v>
      </c>
      <c r="H13" s="21">
        <v>0.5</v>
      </c>
      <c r="I13" s="20">
        <f>G13</f>
        <v>1414.37</v>
      </c>
      <c r="J13" s="22">
        <f t="shared" si="0"/>
        <v>707.18499999999995</v>
      </c>
      <c r="K13" s="21">
        <f>J13/230</f>
        <v>3.0747173913043477</v>
      </c>
      <c r="L13" s="49"/>
      <c r="M13" s="22" t="str">
        <f t="shared" ref="M13:M14" si="1">IF(G13&gt;=230,"Cumple","No cumple")</f>
        <v>Cumple</v>
      </c>
      <c r="N13" s="23"/>
    </row>
    <row r="14" spans="2:14" ht="171" customHeight="1" x14ac:dyDescent="0.2">
      <c r="B14" s="57">
        <v>33</v>
      </c>
      <c r="C14" s="20" t="s">
        <v>88</v>
      </c>
      <c r="D14" s="28" t="s">
        <v>87</v>
      </c>
      <c r="E14" s="20" t="s">
        <v>89</v>
      </c>
      <c r="F14" s="20">
        <v>811015</v>
      </c>
      <c r="G14" s="20">
        <v>382.21</v>
      </c>
      <c r="H14" s="21">
        <v>1</v>
      </c>
      <c r="I14" s="20">
        <f>G14</f>
        <v>382.21</v>
      </c>
      <c r="J14" s="22">
        <f t="shared" si="0"/>
        <v>382.21</v>
      </c>
      <c r="K14" s="21">
        <f>J14/230</f>
        <v>1.661782608695652</v>
      </c>
      <c r="L14" s="49"/>
      <c r="M14" s="22" t="str">
        <f t="shared" si="1"/>
        <v>Cumple</v>
      </c>
      <c r="N14" s="23"/>
    </row>
    <row r="15" spans="2:14" ht="15" x14ac:dyDescent="0.25">
      <c r="C15" t="str">
        <f>CONCATENATE("Aporta Certificado expedido por  ",C4,"  con objeto  "," ",D4," a nombre de ",E4," con los códigos ",F4," por valor de ",G4," con participación de   ",I4,"%  con consecutivo en el RUP  ",H4,"  con condición  ",M4)</f>
        <v>Aporta Certificado expedido por  INSTITUTO NACIONAL DE VÍAS - INVIAS,   con objeto   ESTUDIOS Y DISEÑOS PARA EL MEJORAMIENTO Y MANTENIMIENTO DE LA CARRETERA MAMBU PR 50+000 – SANTA CECILIA PR 73+0600 RUTA 50 TRAMO 02 Y SANTA CECILIA PR 0+0000 – PUEBLO RICO PR 32+0000 RUTA 50 TRAMO03- DEPARTAMENTOS DEL CHOCO Y RISARALDA.  a nombre de CONSORCIO INCOLSAN con NIT. No. 900.176.336  con los códigos 811015 por valor de 1525,14 con participación de   1525,14%  con consecutivo en el RUP  0,9  con condición  Cumple</v>
      </c>
    </row>
    <row r="16" spans="2:14" ht="15" x14ac:dyDescent="0.25">
      <c r="C16" t="str">
        <f>CONCATENATE("Aporta Certificado expedido por  ",C5,"  con objeto  "," ",D5," a nombre de ",E5," con los códigos ",F5," por valor de ",G5," con participación de   ",I5,"%  con consecutivo en el RUP  ",H5,"  con condición  ",N10)</f>
        <v xml:space="preserve">Aporta Certificado expedido por  Corporación Autónoma Regional del Alto Magdalena – CAM  con objeto   CONSULTORÍA PARA LOS ESTUDIOS DE AMENAZA, VULNERABILIDAD Y RIESGO DETALLADOS POR MOVIMIENTOS EN MASA, INUNDACIONES Y AVENIDAS TORRENCIALES; Y ACOTAMIENTO DE LAS RONDAS HIDRICA EN LA ZONA DE INFLUENCIA DE LOS CASCOS URBANOS DE LOS MUNICIPIOS DESUAZA, ISNOS, ELIAS, TELLO Y TESALIA TENIENDO EN CUENTA LOS LINEAMIENTOS DE LOS DECRETOS 1077 DE 2015 Y 2245 de 2017 a nombre de CONSORCIO ANANDA, identificado con NIT 901.523.587-4 con los códigos 811015 por valor de 1435,88 con participación de   1435,88%  con consecutivo en el RUP  0,5  con condición  </v>
      </c>
    </row>
    <row r="17" spans="2:13" ht="15" x14ac:dyDescent="0.25">
      <c r="C17" t="str">
        <f t="shared" ref="C17" si="2">CONCATENATE("Aporta Certificado expedido por  ",C8,"  con objeto  "," ",D8," a nombre de ",E8," con los códigos ",F8," por valor de ",G8," con participación de   ",I8,"%  con consecutivo en el RUP  ",H8,"  con condición  ",N11)</f>
        <v xml:space="preserve">Aporta Certificado expedido por  Batallón de Ingenieros No. 5 Francisco José de Caldas  con objeto   ESTUDIOS Y DISEÑOS PARA LA PAVIMENTACIÓN DE LAS VÍAS SAN VICENTE DE CHUCURÍ Y EL CARMEN DE CHUCURÍ – TRONCAL DEL MAGDALENA MEDIO ”, registrado en el RUP como  EL ACCIONISTA, SOCIO O CONSTITUYENTE DEL PROPONENTE a nombre de CARLOS RENÉ SANTAMARIA RODRIGUEZ (GECONSI INGENIERIA S.A.S.)   con los códigos 811015 por valor de 804,51 con participación de   804,51%  con consecutivo en el RUP  1  con condición  </v>
      </c>
    </row>
    <row r="18" spans="2:13" x14ac:dyDescent="0.2">
      <c r="G18" s="25"/>
      <c r="L18" s="15" t="s">
        <v>25</v>
      </c>
      <c r="M18" s="15">
        <f>COUNTIF(M12:M14,"Cumple")</f>
        <v>3</v>
      </c>
    </row>
    <row r="19" spans="2:13" x14ac:dyDescent="0.2">
      <c r="L19" s="15" t="s">
        <v>24</v>
      </c>
      <c r="M19" s="15">
        <f>COUNTIF(M12:M14,"No cumple")</f>
        <v>0</v>
      </c>
    </row>
    <row r="30" spans="2:13" x14ac:dyDescent="0.2">
      <c r="B30" s="26"/>
    </row>
  </sheetData>
  <mergeCells count="2">
    <mergeCell ref="B2:G2"/>
    <mergeCell ref="L12:L14"/>
  </mergeCells>
  <conditionalFormatting sqref="L4:M8">
    <cfRule type="cellIs" dxfId="3" priority="1" operator="equal">
      <formula>"No cumple"</formula>
    </cfRule>
    <cfRule type="cellIs" dxfId="2" priority="2" operator="equal">
      <formula>"Cumple"</formula>
    </cfRule>
  </conditionalFormatting>
  <conditionalFormatting sqref="M12:M14">
    <cfRule type="cellIs" dxfId="1" priority="3" operator="equal">
      <formula>"Cumple"</formula>
    </cfRule>
    <cfRule type="cellIs" dxfId="0" priority="4" operator="equal">
      <formula>"No cumple"</formula>
    </cfRule>
  </conditionalFormatting>
  <pageMargins left="0.70866141732283472" right="0.70866141732283472" top="0.74803149606299213" bottom="0.74803149606299213" header="0.31496062992125984" footer="0.31496062992125984"/>
  <pageSetup paperSize="119" scale="45" orientation="landscape" r:id="rId1"/>
  <headerFooter>
    <oddHeader xml:space="preserve">&amp;C&amp;A
Puntaje Proponente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EJE GROUP</vt:lpstr>
      <vt:lpstr>CONSULTORES EN INGENIERIA</vt:lpstr>
      <vt:lpstr>GIA CL</vt:lpstr>
      <vt:lpstr>JHS INGENIERÍA</vt:lpstr>
      <vt:lpstr>CONSORCIO GECSOL</vt:lpstr>
      <vt:lpstr>'CONSORCIO GECSOL'!Área_de_impresión</vt:lpstr>
      <vt:lpstr>'CONSULTORES EN INGENIERIA'!Área_de_impresión</vt:lpstr>
      <vt:lpstr>'EJE GROUP'!Área_de_impresión</vt:lpstr>
      <vt:lpstr>'GIA CL'!Área_de_impresión</vt:lpstr>
      <vt:lpstr>'JHS INGENIERÍA'!Área_de_impresión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Ocampo Arias</dc:creator>
  <cp:lastModifiedBy>Jaime Guzman Giraldo</cp:lastModifiedBy>
  <cp:lastPrinted>2024-10-30T20:38:50Z</cp:lastPrinted>
  <dcterms:created xsi:type="dcterms:W3CDTF">2022-12-03T15:51:31Z</dcterms:created>
  <dcterms:modified xsi:type="dcterms:W3CDTF">2024-11-01T21:26:35Z</dcterms:modified>
</cp:coreProperties>
</file>