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autoCompressPictures="0" defaultThemeVersion="124226"/>
  <mc:AlternateContent xmlns:mc="http://schemas.openxmlformats.org/markup-compatibility/2006">
    <mc:Choice Requires="x15">
      <x15ac:absPath xmlns:x15ac="http://schemas.microsoft.com/office/spreadsheetml/2010/11/ac" url="I:\Mi unidad\1. AEROCIVIL\5. LETICIA\1. Estructuracion\2. Mantenimiento\5. Evaluacion\LA\"/>
    </mc:Choice>
  </mc:AlternateContent>
  <xr:revisionPtr revIDLastSave="0" documentId="13_ncr:1_{B85AE8A5-98F3-4419-AB1C-45D3B51A7CA3}" xr6:coauthVersionLast="47" xr6:coauthVersionMax="47" xr10:uidLastSave="{00000000-0000-0000-0000-000000000000}"/>
  <bookViews>
    <workbookView xWindow="-120" yWindow="-120" windowWidth="29040" windowHeight="15840" tabRatio="902" firstSheet="3" activeTab="3" xr2:uid="{00000000-000D-0000-FFFF-FFFF00000000}"/>
  </bookViews>
  <sheets>
    <sheet name="RESUM (2)" sheetId="180" state="hidden" r:id="rId1"/>
    <sheet name="SALARIOS" sheetId="365" state="hidden" r:id="rId2"/>
    <sheet name="consideraciones" sheetId="404" state="hidden" r:id="rId3"/>
    <sheet name="RESUMEN" sheetId="480" r:id="rId4"/>
    <sheet name="1" sheetId="488" r:id="rId5"/>
    <sheet name="2" sheetId="492" r:id="rId6"/>
    <sheet name="3" sheetId="495" r:id="rId7"/>
    <sheet name="4" sheetId="486" r:id="rId8"/>
    <sheet name="5" sheetId="496" r:id="rId9"/>
    <sheet name="6" sheetId="487" r:id="rId10"/>
    <sheet name="7" sheetId="476" r:id="rId11"/>
  </sheets>
  <definedNames>
    <definedName name="_xlnm._FilterDatabase" localSheetId="4" hidden="1">'1'!$A$1:$R$11</definedName>
    <definedName name="_xlnm._FilterDatabase" localSheetId="5" hidden="1">'2'!$A$1:$R$11</definedName>
    <definedName name="_xlnm._FilterDatabase" localSheetId="6" hidden="1">'3'!$A$1:$R$11</definedName>
    <definedName name="_xlnm._FilterDatabase" localSheetId="7" hidden="1">'4'!$A$1:$R$11</definedName>
    <definedName name="_xlnm._FilterDatabase" localSheetId="8" hidden="1">'5'!$A$1:$R$11</definedName>
    <definedName name="_xlnm._FilterDatabase" localSheetId="9" hidden="1">'6'!$A$1:$R$11</definedName>
    <definedName name="_xlnm._FilterDatabase" localSheetId="10" hidden="1">'7'!$A$1:$R$11</definedName>
    <definedName name="_xlnm._FilterDatabase" localSheetId="3" hidden="1">RESUMEN!$A$2:$S$9</definedName>
    <definedName name="_xlnm.Print_Area" localSheetId="4">'1'!$A$1:$O$63</definedName>
    <definedName name="_xlnm.Print_Area" localSheetId="5">'2'!$A$1:$O$63</definedName>
    <definedName name="_xlnm.Print_Area" localSheetId="6">'3'!$A$1:$O$63</definedName>
    <definedName name="_xlnm.Print_Area" localSheetId="7">'4'!$A$1:$O$63</definedName>
    <definedName name="_xlnm.Print_Area" localSheetId="8">'5'!$A$1:$O$63</definedName>
    <definedName name="_xlnm.Print_Area" localSheetId="9">'6'!$A$1:$O$63</definedName>
    <definedName name="_xlnm.Print_Area" localSheetId="10">'7'!$A$1:$O$63</definedName>
    <definedName name="_xlnm.Print_Titles" localSheetId="0">'RESUM (2)'!$1:$6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 i="480" l="1"/>
  <c r="L28" i="496"/>
  <c r="A17" i="496"/>
  <c r="L19" i="496"/>
  <c r="L17" i="496"/>
  <c r="L29" i="492"/>
  <c r="L28" i="492"/>
  <c r="L18" i="492"/>
  <c r="L17" i="492"/>
  <c r="K28" i="486" l="1"/>
  <c r="A17" i="486"/>
  <c r="K17" i="486"/>
  <c r="K28" i="488"/>
  <c r="K18" i="488"/>
  <c r="K17" i="488"/>
  <c r="A17" i="487" l="1"/>
  <c r="S28" i="495" l="1"/>
  <c r="N23" i="495"/>
  <c r="O17" i="495"/>
  <c r="A28" i="476"/>
  <c r="A28" i="487"/>
  <c r="A28" i="496"/>
  <c r="A28" i="486"/>
  <c r="A28" i="495"/>
  <c r="A28" i="492"/>
  <c r="N21" i="487"/>
  <c r="O21" i="487"/>
  <c r="N22" i="487"/>
  <c r="O22" i="487"/>
  <c r="M11" i="476"/>
  <c r="M11" i="487"/>
  <c r="M11" i="496"/>
  <c r="M11" i="486"/>
  <c r="M11" i="495"/>
  <c r="M11" i="492"/>
  <c r="A28" i="488"/>
  <c r="L3" i="480" l="1"/>
  <c r="N7" i="480" l="1"/>
  <c r="S21" i="496"/>
  <c r="T21" i="496" s="1"/>
  <c r="T20" i="496"/>
  <c r="A17" i="476" l="1"/>
  <c r="A17" i="495"/>
  <c r="A17" i="492"/>
  <c r="Q7" i="480" l="1"/>
  <c r="P7" i="480"/>
  <c r="O7" i="480"/>
  <c r="M7" i="480"/>
  <c r="L7" i="480"/>
  <c r="Q5" i="480"/>
  <c r="P5" i="480"/>
  <c r="O5" i="480"/>
  <c r="N5" i="480"/>
  <c r="L5" i="480"/>
  <c r="Q4" i="480"/>
  <c r="P4" i="480"/>
  <c r="O4" i="480"/>
  <c r="N4" i="480"/>
  <c r="M4" i="480"/>
  <c r="L4" i="480"/>
  <c r="Q3" i="480"/>
  <c r="P3" i="480"/>
  <c r="O3" i="480"/>
  <c r="N3" i="480"/>
  <c r="M3" i="480"/>
  <c r="M60" i="496"/>
  <c r="M60" i="495"/>
  <c r="M60" i="492"/>
  <c r="M60" i="488"/>
  <c r="M60" i="486"/>
  <c r="M60" i="476"/>
  <c r="M60" i="487"/>
  <c r="Q8" i="480"/>
  <c r="P8" i="480"/>
  <c r="O8" i="480"/>
  <c r="N8" i="480"/>
  <c r="M8" i="480"/>
  <c r="L8" i="480"/>
  <c r="Q6" i="480"/>
  <c r="P6" i="480"/>
  <c r="O6" i="480"/>
  <c r="N6" i="480"/>
  <c r="M6" i="480"/>
  <c r="L6" i="480"/>
  <c r="Q9" i="480"/>
  <c r="P9" i="480"/>
  <c r="O9" i="480"/>
  <c r="N9" i="480"/>
  <c r="M9" i="480"/>
  <c r="L9" i="480"/>
  <c r="O28" i="492" l="1"/>
  <c r="N28" i="492"/>
  <c r="O28" i="496" l="1"/>
  <c r="N29" i="496"/>
  <c r="N21" i="496"/>
  <c r="N18" i="496"/>
  <c r="R18" i="496" s="1"/>
  <c r="N17" i="496"/>
  <c r="O20" i="496"/>
  <c r="O19" i="496"/>
  <c r="O18" i="496"/>
  <c r="O17" i="496"/>
  <c r="O17" i="492"/>
  <c r="O10" i="496"/>
  <c r="O28" i="495"/>
  <c r="N28" i="495"/>
  <c r="O20" i="495"/>
  <c r="N20" i="495"/>
  <c r="R20" i="495" s="1"/>
  <c r="O20" i="492"/>
  <c r="N20" i="492"/>
  <c r="R20" i="492" s="1"/>
  <c r="O19" i="495"/>
  <c r="N19" i="492"/>
  <c r="N18" i="492"/>
  <c r="R18" i="492" s="1"/>
  <c r="N19" i="495"/>
  <c r="N17" i="492"/>
  <c r="O10" i="492"/>
  <c r="O18" i="495"/>
  <c r="N18" i="495"/>
  <c r="O10" i="495"/>
  <c r="N29" i="488"/>
  <c r="N18" i="488"/>
  <c r="N17" i="487"/>
  <c r="N23" i="492" l="1"/>
  <c r="R17" i="492"/>
  <c r="J7" i="480"/>
  <c r="I7" i="480"/>
  <c r="H7" i="480"/>
  <c r="G7" i="480"/>
  <c r="F7" i="480"/>
  <c r="J5" i="480"/>
  <c r="I5" i="480"/>
  <c r="H5" i="480"/>
  <c r="G5" i="480"/>
  <c r="F5" i="480"/>
  <c r="J4" i="480"/>
  <c r="I4" i="480"/>
  <c r="H4" i="480"/>
  <c r="G4" i="480"/>
  <c r="F4" i="480"/>
  <c r="J3" i="480"/>
  <c r="I3" i="480"/>
  <c r="H3" i="480"/>
  <c r="G3" i="480"/>
  <c r="F3" i="480"/>
  <c r="J8" i="480"/>
  <c r="I8" i="480"/>
  <c r="H8" i="480"/>
  <c r="G8" i="480"/>
  <c r="F8" i="480"/>
  <c r="J6" i="480"/>
  <c r="I6" i="480"/>
  <c r="H6" i="480"/>
  <c r="G6" i="480"/>
  <c r="F6" i="480"/>
  <c r="J9" i="480"/>
  <c r="I9" i="480"/>
  <c r="H9" i="480"/>
  <c r="G9" i="480"/>
  <c r="F9" i="480"/>
  <c r="O10" i="488" l="1"/>
  <c r="O10" i="487"/>
  <c r="O10" i="486"/>
  <c r="O10" i="476"/>
  <c r="O29" i="496" l="1"/>
  <c r="N28" i="496"/>
  <c r="N31" i="496" s="1"/>
  <c r="O22" i="496"/>
  <c r="N22" i="496"/>
  <c r="R22" i="496" s="1"/>
  <c r="O21" i="496"/>
  <c r="P9" i="496"/>
  <c r="P8" i="496"/>
  <c r="P7" i="496"/>
  <c r="P6" i="496"/>
  <c r="P5" i="496"/>
  <c r="P4" i="496"/>
  <c r="B4" i="496"/>
  <c r="O29" i="495"/>
  <c r="N29" i="495"/>
  <c r="N31" i="495" s="1"/>
  <c r="R27" i="495"/>
  <c r="T26" i="495"/>
  <c r="S26" i="495" s="1"/>
  <c r="T25" i="495"/>
  <c r="O22" i="495"/>
  <c r="N22" i="495"/>
  <c r="O21" i="495"/>
  <c r="N21" i="495"/>
  <c r="P9" i="495"/>
  <c r="P8" i="495"/>
  <c r="P7" i="495"/>
  <c r="P6" i="495"/>
  <c r="P5" i="495"/>
  <c r="P4" i="495"/>
  <c r="B4" i="495"/>
  <c r="O29" i="492"/>
  <c r="R29" i="492" s="1"/>
  <c r="N29" i="492"/>
  <c r="N31" i="492" s="1"/>
  <c r="O22" i="492"/>
  <c r="N22" i="492"/>
  <c r="O21" i="492"/>
  <c r="N21" i="492"/>
  <c r="O19" i="492"/>
  <c r="O18" i="492"/>
  <c r="O23" i="492" s="1"/>
  <c r="K4" i="480" s="1"/>
  <c r="P9" i="492"/>
  <c r="P8" i="492"/>
  <c r="P7" i="492"/>
  <c r="P6" i="492"/>
  <c r="P5" i="492"/>
  <c r="P4" i="492"/>
  <c r="B4" i="492"/>
  <c r="O29" i="488"/>
  <c r="O28" i="488"/>
  <c r="N28" i="488"/>
  <c r="N31" i="488" s="1"/>
  <c r="T26" i="488"/>
  <c r="S26" i="488" s="1"/>
  <c r="T25" i="488"/>
  <c r="O22" i="488"/>
  <c r="N22" i="488"/>
  <c r="O21" i="488"/>
  <c r="N21" i="488"/>
  <c r="O20" i="488"/>
  <c r="N20" i="488"/>
  <c r="O19" i="488"/>
  <c r="N19" i="488"/>
  <c r="O18" i="488"/>
  <c r="O17" i="488"/>
  <c r="N17" i="488"/>
  <c r="M11" i="488"/>
  <c r="A17" i="488" s="1"/>
  <c r="R18" i="488" s="1"/>
  <c r="P9" i="488"/>
  <c r="P8" i="488"/>
  <c r="P7" i="488"/>
  <c r="P6" i="488"/>
  <c r="P5" i="488"/>
  <c r="P4" i="488"/>
  <c r="B4" i="488"/>
  <c r="O29" i="487"/>
  <c r="N29" i="487"/>
  <c r="O28" i="487"/>
  <c r="N28" i="487"/>
  <c r="O20" i="487"/>
  <c r="N20" i="487"/>
  <c r="R20" i="487" s="1"/>
  <c r="O19" i="487"/>
  <c r="N19" i="487"/>
  <c r="O18" i="487"/>
  <c r="N18" i="487"/>
  <c r="R17" i="487" s="1"/>
  <c r="O17" i="487"/>
  <c r="P9" i="487"/>
  <c r="P8" i="487"/>
  <c r="P7" i="487"/>
  <c r="P6" i="487"/>
  <c r="P5" i="487"/>
  <c r="P4" i="487"/>
  <c r="B4" i="487"/>
  <c r="O29" i="486"/>
  <c r="N29" i="486"/>
  <c r="O28" i="486"/>
  <c r="N28" i="486"/>
  <c r="N31" i="486" s="1"/>
  <c r="R27" i="486"/>
  <c r="T26" i="486"/>
  <c r="S26" i="486"/>
  <c r="T25" i="486"/>
  <c r="O22" i="486"/>
  <c r="N22" i="486"/>
  <c r="O21" i="486"/>
  <c r="N21" i="486"/>
  <c r="O20" i="486"/>
  <c r="N20" i="486"/>
  <c r="O19" i="486"/>
  <c r="N19" i="486"/>
  <c r="O18" i="486"/>
  <c r="N18" i="486"/>
  <c r="R18" i="486" s="1"/>
  <c r="O17" i="486"/>
  <c r="N17" i="486"/>
  <c r="R17" i="486" s="1"/>
  <c r="P9" i="486"/>
  <c r="P8" i="486"/>
  <c r="P7" i="486"/>
  <c r="P6" i="486"/>
  <c r="P5" i="486"/>
  <c r="P4" i="486"/>
  <c r="B4" i="486"/>
  <c r="N28" i="476"/>
  <c r="B4" i="476"/>
  <c r="N23" i="486" l="1"/>
  <c r="O31" i="486"/>
  <c r="E6" i="480" s="1"/>
  <c r="N23" i="488"/>
  <c r="O23" i="488" s="1"/>
  <c r="R17" i="488"/>
  <c r="D4" i="480"/>
  <c r="R29" i="496"/>
  <c r="O31" i="496"/>
  <c r="R29" i="488"/>
  <c r="O31" i="488"/>
  <c r="N31" i="487"/>
  <c r="N23" i="487"/>
  <c r="O23" i="487" s="1"/>
  <c r="R29" i="495"/>
  <c r="O31" i="495"/>
  <c r="O31" i="492"/>
  <c r="O23" i="486"/>
  <c r="O33" i="486" l="1"/>
  <c r="O31" i="487"/>
  <c r="E8" i="480" s="1"/>
  <c r="O33" i="495"/>
  <c r="E5" i="480"/>
  <c r="O33" i="492"/>
  <c r="E4" i="480"/>
  <c r="D6" i="480"/>
  <c r="K6" i="480"/>
  <c r="D8" i="480"/>
  <c r="K8" i="480"/>
  <c r="D3" i="480"/>
  <c r="K3" i="480"/>
  <c r="E7" i="480"/>
  <c r="O33" i="496"/>
  <c r="E3" i="480"/>
  <c r="O33" i="488"/>
  <c r="R29" i="487"/>
  <c r="R29" i="486"/>
  <c r="O33" i="487" l="1"/>
  <c r="S3" i="480"/>
  <c r="O29" i="476"/>
  <c r="O28" i="476"/>
  <c r="O18" i="476"/>
  <c r="N18" i="476"/>
  <c r="R18" i="476" s="1"/>
  <c r="N29" i="476" l="1"/>
  <c r="N31" i="476" s="1"/>
  <c r="R16" i="476" l="1"/>
  <c r="O31" i="476" l="1"/>
  <c r="E9" i="480" s="1"/>
  <c r="O22" i="476"/>
  <c r="N22" i="476"/>
  <c r="O21" i="476"/>
  <c r="N21" i="476"/>
  <c r="O20" i="476"/>
  <c r="N20" i="476"/>
  <c r="O19" i="476"/>
  <c r="N19" i="476"/>
  <c r="O17" i="476"/>
  <c r="N17" i="476"/>
  <c r="R17" i="476" s="1"/>
  <c r="P9" i="476"/>
  <c r="P8" i="476"/>
  <c r="P7" i="476"/>
  <c r="P6" i="476"/>
  <c r="P5" i="476"/>
  <c r="P4" i="476"/>
  <c r="N23" i="476" l="1"/>
  <c r="O23" i="476" s="1"/>
  <c r="K9" i="480" s="1"/>
  <c r="D9" i="480" l="1"/>
  <c r="O33" i="476"/>
  <c r="R29" i="476"/>
  <c r="E7" i="180" l="1"/>
  <c r="M7" i="180"/>
  <c r="J7" i="180"/>
  <c r="I7" i="180"/>
  <c r="G7" i="180"/>
  <c r="F7" i="180"/>
  <c r="D7" i="180"/>
  <c r="B7" i="180"/>
  <c r="A3" i="180"/>
  <c r="K7" i="180"/>
  <c r="C7" i="180" l="1"/>
  <c r="H7" i="180" l="1"/>
  <c r="L7" i="180" s="1"/>
  <c r="N17" i="495"/>
  <c r="R17" i="495" s="1"/>
  <c r="O23" i="495" l="1"/>
  <c r="D5" i="480" s="1"/>
  <c r="N19" i="496"/>
  <c r="R17" i="496" s="1"/>
  <c r="S19" i="496"/>
  <c r="T19" i="496" s="1"/>
  <c r="N20" i="496"/>
  <c r="N23" i="496" s="1"/>
  <c r="O23" i="496" s="1"/>
  <c r="K5" i="480" l="1"/>
  <c r="R20" i="496"/>
  <c r="K7" i="480"/>
  <c r="D7" i="480"/>
  <c r="S9" i="480" l="1"/>
  <c r="S8" i="480"/>
  <c r="S5" i="480"/>
  <c r="S4" i="480"/>
  <c r="S7" i="480"/>
  <c r="S6" i="480"/>
  <c r="T6" i="480" l="1"/>
  <c r="T5" i="480"/>
  <c r="T9" i="480"/>
  <c r="T3" i="480"/>
  <c r="B13" i="480" a="1"/>
  <c r="B13" i="480" s="1"/>
  <c r="D13" i="480" s="1"/>
  <c r="F13" i="480" s="1"/>
  <c r="T7" i="480"/>
  <c r="T4" i="480"/>
  <c r="T8" i="480"/>
  <c r="D23" i="480" l="1"/>
  <c r="F18" i="480"/>
  <c r="F22" i="480"/>
  <c r="D19" i="480"/>
  <c r="G20" i="480"/>
  <c r="D21" i="480"/>
  <c r="G22" i="480"/>
  <c r="F19" i="480"/>
  <c r="F23" i="480"/>
  <c r="D20" i="480"/>
  <c r="G21" i="480"/>
  <c r="G18" i="480"/>
  <c r="F20" i="480"/>
  <c r="F21" i="480"/>
  <c r="D18" i="480"/>
  <c r="D22" i="480"/>
  <c r="G19" i="480"/>
  <c r="G23" i="480"/>
  <c r="G17" i="480"/>
  <c r="F17" i="480"/>
  <c r="D17" i="48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Gomez</author>
  </authors>
  <commentList>
    <comment ref="L17" authorId="0" shapeId="0" xr:uid="{AAB5ECEB-9287-4AD4-9BE8-95B7DCFD6943}">
      <text>
        <r>
          <rPr>
            <b/>
            <sz val="9"/>
            <color indexed="81"/>
            <rFont val="Tahoma"/>
            <family val="2"/>
          </rPr>
          <t>29,358,9</t>
        </r>
      </text>
    </comment>
    <comment ref="L18" authorId="0" shapeId="0" xr:uid="{AB55889E-50A7-4196-85AE-BA2569E40F41}">
      <text>
        <r>
          <rPr>
            <b/>
            <sz val="9"/>
            <color indexed="81"/>
            <rFont val="Tahoma"/>
            <family val="2"/>
          </rPr>
          <t>29,358,9</t>
        </r>
      </text>
    </comment>
    <comment ref="L28" authorId="0" shapeId="0" xr:uid="{7F0495FE-D338-42E6-B079-D48AE6F40AB0}">
      <text>
        <r>
          <rPr>
            <b/>
            <sz val="9"/>
            <color indexed="81"/>
            <rFont val="Tahoma"/>
            <family val="2"/>
          </rPr>
          <t>29,358,9</t>
        </r>
      </text>
    </comment>
    <comment ref="L29" authorId="0" shapeId="0" xr:uid="{74CB88B0-D4D0-4847-A100-C7D6901AAEC2}">
      <text>
        <r>
          <rPr>
            <b/>
            <sz val="9"/>
            <color indexed="81"/>
            <rFont val="Tahoma"/>
            <family val="2"/>
          </rPr>
          <t>29,358,9</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<sst xmlns="http://schemas.openxmlformats.org/spreadsheetml/2006/main" count="900" uniqueCount="177">
  <si>
    <t>UNIDAD ADMINISTRATIVA ESPECIAL DE AERONAUTICA CIVIL</t>
  </si>
  <si>
    <t>OBJETO:REALIZAR LA INTERVENTORIA INTEGRAL A ESTUDIOS, DISEÑOS Y MANTENIMIENTO DE LA PISTA, CALLE DE RODAJE Y PLATAFORMA DEL AEROPUERTO DE MONTELÍBANO, CÓRDOBA.</t>
  </si>
  <si>
    <t>PROPONENTES</t>
  </si>
  <si>
    <t>REQUISITOS HABILITANTES</t>
  </si>
  <si>
    <t>REQUISITOS DE PONDERACION</t>
  </si>
  <si>
    <t xml:space="preserve">EVALUACION FINAL </t>
  </si>
  <si>
    <t>PUNTAJE TOTAL</t>
  </si>
  <si>
    <t>OBSERVACIONES</t>
  </si>
  <si>
    <r>
      <t xml:space="preserve">EXPERIENCIA GENERAL DEL PROPONENTE
 MIN </t>
    </r>
    <r>
      <rPr>
        <b/>
        <sz val="12"/>
        <color rgb="FFFF0000"/>
        <rFont val="Calibri"/>
        <family val="2"/>
        <scheme val="minor"/>
      </rPr>
      <t>XXXXX SMMLV</t>
    </r>
    <r>
      <rPr>
        <b/>
        <sz val="12"/>
        <color theme="1"/>
        <rFont val="Calibri"/>
        <family val="2"/>
        <scheme val="minor"/>
      </rPr>
      <t xml:space="preserve">
 (811015 O 801016)</t>
    </r>
  </si>
  <si>
    <t>EXPERIENCIA EQUIPO DE TRABAJO</t>
  </si>
  <si>
    <t>EXPERIENCIA PONDERABLE DEL PROPONENTE</t>
  </si>
  <si>
    <t>PERSONAL EN CONDICION DE DISCAPACIDAD</t>
  </si>
  <si>
    <t>APOYO A LA INDUSTRIA NACIONAL</t>
  </si>
  <si>
    <t>Contrato No.1</t>
  </si>
  <si>
    <t>Contrato No.2</t>
  </si>
  <si>
    <t>Contrato No.3</t>
  </si>
  <si>
    <t>Contrato No.4</t>
  </si>
  <si>
    <r>
      <t xml:space="preserve">CARTA DE COMPROMISO </t>
    </r>
    <r>
      <rPr>
        <b/>
        <sz val="10"/>
        <color rgb="FFFF0000"/>
        <rFont val="Calibri"/>
        <family val="2"/>
        <scheme val="minor"/>
      </rPr>
      <t>DIRECTOR DE INTERVENTORIA Y RESIDENTE DE INTERVENTORIA</t>
    </r>
  </si>
  <si>
    <t>PUNTAJE
 (MAX 89)</t>
  </si>
  <si>
    <t>PUNTAJE
 (MAX 1 PTO)</t>
  </si>
  <si>
    <t>PUNTAJE 
(MAX 10 PTS)</t>
  </si>
  <si>
    <t>No.</t>
  </si>
  <si>
    <t>PROPONENTE</t>
  </si>
  <si>
    <t>EXPERIENCIA GENERAL</t>
  </si>
  <si>
    <t>EXPERIENCIA ESPECIFICA</t>
  </si>
  <si>
    <t>TRATO NACIONAL</t>
  </si>
  <si>
    <t>DISCAPACIDAD</t>
  </si>
  <si>
    <t>FACTOR DE CALIDAD</t>
  </si>
  <si>
    <t>EMPRENDIMIENTO MUJER</t>
  </si>
  <si>
    <t>MIPYME</t>
  </si>
  <si>
    <t>23001258 H4 2023</t>
  </si>
  <si>
    <t>SI</t>
  </si>
  <si>
    <t>CUMPLE</t>
  </si>
  <si>
    <t>NO</t>
  </si>
  <si>
    <t>NO CUMPLE</t>
  </si>
  <si>
    <t>% PO</t>
  </si>
  <si>
    <t>APORTANTE DE LA EXPERIENCIA - GENERAL</t>
  </si>
  <si>
    <t>JMS INGENIERIA S.A.S.</t>
  </si>
  <si>
    <t>De 1 hasta 2</t>
  </si>
  <si>
    <t>Hasta 5</t>
  </si>
  <si>
    <t>TOTAL</t>
  </si>
  <si>
    <t>CODIGOS</t>
  </si>
  <si>
    <t>PRESUPUESTO A EVALUAR  (P.O)</t>
  </si>
  <si>
    <t>PO SMMLV</t>
  </si>
  <si>
    <t>Registro Nacional de Obras Civiles Inconclusas</t>
  </si>
  <si>
    <t>REQUISITOS HABILITANTES (CUMPLE /NO CUMPLE)</t>
  </si>
  <si>
    <t xml:space="preserve">EXPERIENCIA GENERAL PROPONENTE </t>
  </si>
  <si>
    <t>CTO´S</t>
  </si>
  <si>
    <t>No. CONSECUTIVO EN EL RUP</t>
  </si>
  <si>
    <t>CONTRATANTE</t>
  </si>
  <si>
    <t>INFO DEL CONTRATO</t>
  </si>
  <si>
    <t>PRESENTA DOCUMENTOS ENLISTADOS</t>
  </si>
  <si>
    <t>CUMPLE EXPERIENCIA?</t>
  </si>
  <si>
    <t>QUIEN APORTA LA EXPERIENCIA?</t>
  </si>
  <si>
    <t>AÑO DE TERMINACION DEL CONTRATO</t>
  </si>
  <si>
    <t>VALOR TOTAL EN PESOS</t>
  </si>
  <si>
    <t>VALOR TOTAL SMMLV - RUP</t>
  </si>
  <si>
    <t>% PARTICIPACION</t>
  </si>
  <si>
    <t>VALOR TOTAL AFECTADO</t>
  </si>
  <si>
    <t>CUMPLE / NO CUMPLE</t>
  </si>
  <si>
    <t>30% PO</t>
  </si>
  <si>
    <t>CTO 1</t>
  </si>
  <si>
    <t>CTO 2</t>
  </si>
  <si>
    <t>CONTRATO 58 JMS INGENIERIA S.A.S.</t>
  </si>
  <si>
    <t>REALIZARLAREHABILITACIONDELAPISTAYCALLESDERODAJE,AMPLIACIONDELAPLATAFORMACONSTRUCCIONDELACALLEDERODAJE,ADECUACIONDEFRANJASDESEGURIDADYMANTO.LADOAIREYTIERRADEL AEROPUERTO DE ARAUCA</t>
  </si>
  <si>
    <t>CTO 3</t>
  </si>
  <si>
    <t>Ok</t>
  </si>
  <si>
    <t>CTO 4</t>
  </si>
  <si>
    <t>CTO 5</t>
  </si>
  <si>
    <t>CTO 6</t>
  </si>
  <si>
    <t xml:space="preserve">EVALUACION EXPERIENCIA GENERAL PROPONENTE </t>
  </si>
  <si>
    <t xml:space="preserve">EXPERIENCIA ESPECIFICA PROPONENTE </t>
  </si>
  <si>
    <t>50% PO</t>
  </si>
  <si>
    <t>EVALUACION OFERTA ECONOMICA</t>
  </si>
  <si>
    <t>PUNTAJE ASIGNADO</t>
  </si>
  <si>
    <t>EVALUACIÓN APOYO A LA INDUSTRIA NACIONAL( MAX 20 PUNTOS) NUMERAL 4.3.</t>
  </si>
  <si>
    <t>SERVICIOS NACIONALES</t>
  </si>
  <si>
    <t>Para que el proponente obtenga puntaje por servicios nacionales debe presentar: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las Cámaras de Comercio.</t>
  </si>
  <si>
    <t>PROPONENTE EXTRANJERO PUNTAJE POR TRATO NACIONAL</t>
  </si>
  <si>
    <t>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
Para asignar el puntaje por servicios nacionales o por trato nacional el proponente nacional o 
extranjero con trato nacional no deben presentar el Formato 7 – Puntaje de Industria Nacional. 
Únicamente deberán presentar los documentos señalados en esta sección.</t>
  </si>
  <si>
    <r>
      <rPr>
        <b/>
        <sz val="18"/>
        <color theme="1"/>
        <rFont val="Arial"/>
        <family val="2"/>
      </rPr>
      <t xml:space="preserve">NOTA: </t>
    </r>
    <r>
      <rPr>
        <sz val="18"/>
        <color theme="1"/>
        <rFont val="Arial"/>
        <family val="2"/>
      </rPr>
      <t xml:space="preserve">La entidad asignará veinte (20) puntos a un proponente plural cuando todos sus integrantes 
cumplan con las anteriores condiciones. Cuando uno de sus integrantes no cumpla con las 
condiciones descritas no obtendrá puntaje por servicios nacionales o trato Nacional.
El Formato 7 – Puntaje de Industria Nacional únicamente debe ser aportado por los proponentes 
extranjeros sin derecho a trato nacional que opten por incorporar personal calificado. En el evento 
que un proponente nacional o extranjero con trato nacional lo presente, no será una razón para no 
otorgar el puntaje de promoción de servicios nacionales o con trato nacional. </t>
    </r>
  </si>
  <si>
    <t>EVALUACIÓN VINCULACIÓN DE PERSONAS CON DISCAPACIDAD. (MAX 1 PUNTO) NUMERAL 4.4.</t>
  </si>
  <si>
    <t>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t>
  </si>
  <si>
    <t>Para esto debe presentar: i) el Formato 6 – Vinculación de personas en condición de discapacidad suscrito por la persona natural, el representante legal o el revisor fiscal, según corresponda en el cual certifique el número total de trabajadores vinculados a la planta de personal del proponente o sus integrantes a la fecha de cierre del proceso de selección, ii) acreditar el número mínimo de personas con discapacidad en su planta de personal, de conformidad con lo señalado en el certificado expedido por el Ministerio de Trabajo, el cual deberá estar vigente a la fecha de cierre del proceso de selección.</t>
  </si>
  <si>
    <t>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3.8.1, sin importar si la experiencia es general o específica.</t>
  </si>
  <si>
    <t>FACTOR DE CALIDAD (19 PTS)</t>
  </si>
  <si>
    <t>(i) implementación del programa de gerencia de proyectos (19)
La entidad asignará 19 puntos, al proponente que se comprometa a instaurar un programa de gerencia de proyectos mediante la suscripción del Formato 7A – Programa de gerencia de proyectos, en el cual bajo la gravedad de juramento conste el compromiso que en este sentido asume.</t>
  </si>
  <si>
    <t>EMPRENDIMIENTO MUJERES</t>
  </si>
  <si>
    <t>Para que el Proponente obtenga este puntaje debe diligenciar el Formato 12 – Acreditación de emprendimientos y empresas de mujeres y aportar la documentación requerida.
Tratándose de Proponentes Plurales este puntaje solo se otorgará si por lo menos uno de los integrantes acredita la calidad de emprendimientos y empresas de mujeres y tiene una participación igual o superior al diez por ciento (10 %) en el Consorcio o en la Unión Temporal.</t>
  </si>
  <si>
    <t>MiPYME</t>
  </si>
  <si>
    <t>Así las cosas, para obtener el puntaje, el Proponente entregará copia del certificado del Registro Único de Proponentes, el cual deberá encontrarse vigente y en firme al momento de su presentación
Tratándose de Proponentes Plurales este puntaje se otorgará si por lo menos uno de los integrantes acredita la calidad de Mipyme y tiene una participación igual o superior al diez por ciento (10 %) en el Consorcio o en la Unión Temporal</t>
  </si>
  <si>
    <t>OBRAS CIVILES INCONCLUSAS</t>
  </si>
  <si>
    <t>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En todo caso, no se descontará el puntaje en los términos previstos en el inciso anterior cuando el Proponente no oferte el factor de calidad, por lo que éste obtendrá cero (0) puntos en este criterio de evaluación. En esta circunstancia, la Entidad no podrá reducir el puntaje de la sumatoria obtenida en los demás factores de ponderación.</t>
  </si>
  <si>
    <t>EVALUACION FINAL</t>
  </si>
  <si>
    <t>Obra Inconclusa</t>
  </si>
  <si>
    <t>Puntaje oferta economica</t>
  </si>
  <si>
    <t>Total</t>
  </si>
  <si>
    <t>De 3 hasta 4</t>
  </si>
  <si>
    <t>CONSIDERACIONES PARA LA VALIDEZ DE LA EXPERIENCIA REQUERIDA</t>
  </si>
  <si>
    <t>PROPONENTE CON EL MAYOR PUNTAJE</t>
  </si>
  <si>
    <t>Maximo Putaje</t>
  </si>
  <si>
    <t>Consorcio con el mayor puntaje</t>
  </si>
  <si>
    <t>No. De proponente</t>
  </si>
  <si>
    <t>ORDEN</t>
  </si>
  <si>
    <t>PUNTAJE</t>
  </si>
  <si>
    <t>NOMBRE DEL CONSORCIO O UT O EMPRESA</t>
  </si>
  <si>
    <t>Consorcio AERO JK 24</t>
  </si>
  <si>
    <t>Consorcio CSLA LETICIA</t>
  </si>
  <si>
    <t>CONSTRUCTORA Y FERRETERIA LA SABANA SAS</t>
  </si>
  <si>
    <t>AIR LETICIA 2024</t>
  </si>
  <si>
    <t>CONSORCIO CALIDAD LETICIA 2024</t>
  </si>
  <si>
    <t>CONSORCIO TARQUI</t>
  </si>
  <si>
    <t>CONSORCIO IF LETICIA</t>
  </si>
  <si>
    <t>OBRAS DE CONSTRUCCIÓN O RECONSTRUCCIÓN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</si>
  <si>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</si>
  <si>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72101500
72141000
72141100
72151500
72154100
72102900
72103300</t>
  </si>
  <si>
    <t>CUMPLE CODIGOS
72101500
72141000
72141100
72151500
72154100
72102900
72103300</t>
  </si>
  <si>
    <t>REALIZAR EL MANTENIMIENTO DE LA INFRAESTRUCTURA FÍSICA LADO AIRE DEL AEROPUERTO VÁSQUEZ COBO DE LA CIUDAD DE LETICIA (VF)</t>
  </si>
  <si>
    <t>Evaluador</t>
  </si>
  <si>
    <t>Guillermo Linares</t>
  </si>
  <si>
    <t>Juan Gomez</t>
  </si>
  <si>
    <t>Michell Moreno</t>
  </si>
  <si>
    <t>AERONAUTICA CIVIL</t>
  </si>
  <si>
    <t>COOPEMUN</t>
  </si>
  <si>
    <t>EJECUCIÓN DE LAS OBRAS DE RECUPERACIÓN DE LAS ZONAS DE SEGURIDAD Y CANALES. PISTA, PLATAFORMA, Y VIA DE ACCESO DEL AEROPUERTO ''MÓRELA'' DE PUERTO BERRIO (ANTIOQUIA)</t>
  </si>
  <si>
    <t>CONTRATAR LAS OBRAS
PARA EL MEJORAMIENTO DE
LA PISTA DEL AEROPUERTO
DEL ESPINO BOYACA</t>
  </si>
  <si>
    <t>ANA CLOVIS PUENTES</t>
  </si>
  <si>
    <t>GUSTAVO TENJO RODRIGUEZ</t>
  </si>
  <si>
    <t>CONSTRUCTORA &amp; FERRETERIA LA SABANA</t>
  </si>
  <si>
    <t>Guillermo Andrés
Galán Echeverri</t>
  </si>
  <si>
    <t>Luis Fernando Galán
Echeverri</t>
  </si>
  <si>
    <t>UNIDAD ADMINISTRATIVA ESPECIAL DE AERONAUTICA CIVIL-UAEAC</t>
  </si>
  <si>
    <t>MUNICIPIO DE COTA</t>
  </si>
  <si>
    <t>MEJORAMIENTO DE LAS ZONAS DE SEGURIDAD DEL AEROPUERTO DE GUAYMARAL, MANTENIMIENTO DE LA PLATAFORMA DELA AEROPUERTO DE FLORENCIA, MANTENIMIENTO DE LA PISTA Y ZONAS DE SEGURIDAD DEL AEROPUERTO DE SAN VICENTE DEL CAGUAN Y MANTENIMIENTO DE LA PISTA DEL AEROPUERTO DE MITU</t>
  </si>
  <si>
    <t>MEJORAMIENTO Y REHABILITACIÓN DEL SEGMENTO VIAL VARIANTE COTA CHÍA EN EL MUNICIPIO DE COTA CUNDINAMARCA</t>
  </si>
  <si>
    <t>JOSE GUILLERMO 
GALAN GOMEZ 
(35%)</t>
  </si>
  <si>
    <t>INGENIERÍA DE PROYECTOS AML (75%)</t>
  </si>
  <si>
    <t>si</t>
  </si>
  <si>
    <t>Diego Mauricio Galán Echeverri</t>
  </si>
  <si>
    <t>INFINIA S.A.S NIT. 901.519.839-1</t>
  </si>
  <si>
    <t>GRUPO FAO SAS NIT. 901.484.861-1</t>
  </si>
  <si>
    <t>ORDOÑEZ S A NIT. 900.079.438-7</t>
  </si>
  <si>
    <t>INSTITUTO DE INFRAESTRUCTURA Y CONCESIONES DE CUNDINAMARCA</t>
  </si>
  <si>
    <t>REALIZAR LA AMPLIACION  DE  LA  PLATAFORMA  DE GIRO, CABECERAS Y REPAVIMENTACION  DE  LA  CALLE  DE RODAJE B (BRAVO) DEL AEROPUERTO INTERNACIONAL SIMON BOLIVAR DE LA CIUDAD DE SANTA MARTA</t>
  </si>
  <si>
    <t>MANTENIMIENTO Y REHABILITACIÓN DEL PASO URBANO DEL MUNICIPIO DE VILLETA VÍA BOGOTÁ – VILLETA, EN EL DEPARTAMENTO DE CUNDINAMARCA</t>
  </si>
  <si>
    <t>INFINIA SAS</t>
  </si>
  <si>
    <t>GRUPO FAO SAS</t>
  </si>
  <si>
    <t>JMS INGENIERIA SAS</t>
  </si>
  <si>
    <t>KOUMI SAS</t>
  </si>
  <si>
    <t>UNIDAD ADMINISTRATIVA ESPECIAL DE AERONAUTICACIVIL</t>
  </si>
  <si>
    <t>CONTRATO 66 JMS INGENIERIA S.A.S.</t>
  </si>
  <si>
    <t>CONSORCIO RUTA 40</t>
  </si>
  <si>
    <t>REALIZAR LAS OBRAS CIVILES PARA LA CONSTRUCCIÓN DE LA GLORIETA LAS PALMAS DE LA UNIDAD FUNCIONAL 4</t>
  </si>
  <si>
    <t>CQK CONSTRUCCIONES S.A.S.</t>
  </si>
  <si>
    <t>CONSTRUCTORA SAN MARINO S.A.S.</t>
  </si>
  <si>
    <t>CONTRATO 30 CONSTRUCTORA SAN MARINO S.A.S.</t>
  </si>
  <si>
    <t>MANTENIMIENTO DE LA PISTA DEL AEROPUERTO DE PROVIDENCIA ISLA</t>
  </si>
  <si>
    <t>Observaciones:</t>
  </si>
  <si>
    <t>SOCIEDAD COLOMBIANA DE INGENIERIA Y CONSTRUCCIÓN S.A.S</t>
  </si>
  <si>
    <t>CONALTEC INGENIERIA S.A.S</t>
  </si>
  <si>
    <t>CONTRATO 39 Sociedad colombiana de ingenieria y construcciones SAS</t>
  </si>
  <si>
    <t>AEROCIVIL</t>
  </si>
  <si>
    <t xml:space="preserve">REALIZAR LA REHABILITACION DE LA PISTA Y CALLE DE RODAJE; ADECUACION DE LOS CANALES Y ZONAS DE SEGURIDAD Y MANTENIMIENTO RUTINARIO DE LAS AREAS LADO AIRE Y LADO TIERRA DEL AEROPUERTO PALONEGRO DE BUCARAMANGA </t>
  </si>
  <si>
    <t>CONTRATO 09 Conaltec INGENIERIA SAS</t>
  </si>
  <si>
    <t>FUERZA AEREA COLOMBIANA</t>
  </si>
  <si>
    <t xml:space="preserve">OBRA PÚBLICA PARA EL MANTENIMIENTO Y ADECUACIÓN DEL AERÓDROMO DEL COMANDO AÉREO DE COMBATE </t>
  </si>
  <si>
    <t>Observaciones: EL FORMATO No3 - "Experiencia - Documentos tipo de selección abreviada de menor cuantia de infraestructura del transporte - version 2" - el oferente no realiza el diligenciamiento del valor de los contratos anexos en pesos.  Asi mismo se presenta el  CTO 2 "CONTRATO 06 CONSULTORIA Y CONSTRUCCIONES SAS"  como experiencia especifica, cuyo objeto contractual no cumple.</t>
  </si>
  <si>
    <t>CONSULTORIA Y CONSTRUCCIONES DARLEV SAS</t>
  </si>
  <si>
    <t>CALING SAS</t>
  </si>
  <si>
    <t>CONTRATO 08 CONSULTORIA Y CONSTRUCCIONES SAS</t>
  </si>
  <si>
    <t>CONTRATAR LAS OBRAS DE MANTENIMIEENTO PISTA EN EL AEROPUERTO ANTONIO NARIÑO DE PASTO PRIMERA ETAPA</t>
  </si>
  <si>
    <t>CONSULTORIA Y CONSTRUCCIONES SAS</t>
  </si>
  <si>
    <t>CONTRATO 63 CALINGG SAS</t>
  </si>
  <si>
    <t>CALINGG SAS</t>
  </si>
  <si>
    <t>CONTRATO 06 CONSULTORIA Y CONSTRUCCIONES SAS</t>
  </si>
  <si>
    <t>INSTITUTO NACIONAL DE VIAS</t>
  </si>
  <si>
    <t>MEJORAMIENTO Y MANTENIMIENTO DE LAS CARRETERAS PUENTE REAL PR40+050 RUTA 40CNB PASO POR CHIPAQUE RUTA 40CNB Y EL PORTAL - EL ANTOJO RUTA 40CN01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</si>
</sst>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_);\(&quot;$&quot;#,##0\)"/>
    <numFmt numFmtId="165" formatCode="_(* #,##0.00_);_(* \(#,##0.00\);_(* &quot;-&quot;??_);_(@_)"/>
    <numFmt numFmtId="166" formatCode="_-&quot;$&quot;* #,##0_-;\-&quot;$&quot;* #,##0_-;_-&quot;$&quot;* &quot;-&quot;_-;_-@_-"/>
    <numFmt numFmtId="167" formatCode="_-&quot;$&quot;* #,##0.00_-;\-&quot;$&quot;* #,##0.00_-;_-&quot;$&quot;* &quot;-&quot;??_-;_-@_-"/>
    <numFmt numFmtId="168" formatCode="_-* #,##0.00\ &quot;€&quot;_-;\-* #,##0.00\ &quot;€&quot;_-;_-* &quot;-&quot;??\ &quot;€&quot;_-;_-@_-"/>
    <numFmt numFmtId="169" formatCode="_(&quot;$&quot;\ * #,##0.00_);_(&quot;$&quot;\ * \(#,##0.00\);_(&quot;$&quot;\ * &quot;-&quot;??_);_(@_)"/>
    <numFmt numFmtId="170" formatCode="_([$€]* #,##0.00_);_([$€]* \(#,##0.00\);_([$€]* &quot;-&quot;??_);_(@_)"/>
    <numFmt numFmtId="171" formatCode="_ * #,##0.00_ ;_ * \-#,##0.00_ ;_ * &quot;-&quot;??_ ;_ @_ "/>
    <numFmt numFmtId="172" formatCode="_(* #.##0.00_);_(* \(#.##0.00\);_(* &quot;-&quot;??_);_(@_)"/>
    <numFmt numFmtId="173" formatCode="_-* #,##0.00\ &quot;Pts&quot;_-;\-* #,##0.00\ &quot;Pts&quot;_-;_-* &quot;-&quot;??\ &quot;Pts&quot;_-;_-@_-"/>
    <numFmt numFmtId="174" formatCode="_ &quot;$&quot;\ * #,##0.00_ ;_ &quot;$&quot;\ * \-#,##0.00_ ;_ &quot;$&quot;\ * &quot;-&quot;??_ ;_ @_ "/>
    <numFmt numFmtId="175" formatCode="_-&quot;$&quot;* #.##0.00_-;\-&quot;$&quot;* #.##0.00_-;_-&quot;$&quot;* &quot;-&quot;??_-;_-@_-"/>
    <numFmt numFmtId="176" formatCode="_ * #,##0_ ;_ * \-#,##0_ ;_ * &quot;-&quot;_ ;_ @_ "/>
    <numFmt numFmtId="177" formatCode="&quot;$&quot;#.00"/>
    <numFmt numFmtId="178" formatCode="m\o\n\th\ d\,\ yyyy"/>
    <numFmt numFmtId="179" formatCode="#.00"/>
    <numFmt numFmtId="180" formatCode="#."/>
    <numFmt numFmtId="181" formatCode="_-* #,##0\ _P_t_s_-;\-* #,##0\ _P_t_s_-;_-* &quot;-&quot;\ _P_t_s_-;_-@_-"/>
    <numFmt numFmtId="182" formatCode="#,##0.00_ ;\-#,##0.00\ "/>
    <numFmt numFmtId="183" formatCode="_(* #,##0_);_(* \(#,##0\);_(* &quot;-&quot;??_);_(@_)"/>
    <numFmt numFmtId="184" formatCode="_([$$-409]* #,##0.00_);_([$$-409]* \(#,##0.00\);_([$$-409]* &quot;-&quot;??_);_(@_)"/>
    <numFmt numFmtId="185" formatCode="_(* #,##0.0_);_(* \(#,##0.0\);_(* &quot;-&quot;??_);_(@_)"/>
    <numFmt numFmtId="186" formatCode="_ &quot;$&quot;\ * #,##0_ ;_ &quot;$&quot;\ * \-#,##0_ ;_ &quot;$&quot;\ * &quot;-&quot;_ ;_ @_ "/>
    <numFmt numFmtId="187" formatCode="&quot;$&quot;\ #,##0.00;[Red]&quot;$&quot;\ \-#,##0.00"/>
    <numFmt numFmtId="188" formatCode="_(&quot;C$&quot;* #,##0.00_);_(&quot;C$&quot;* \(#,##0.00\);_(&quot;C$&quot;* &quot;-&quot;??_);_(@_)"/>
    <numFmt numFmtId="189" formatCode="_-&quot;$&quot;\ * #,##0.00_-;\-&quot;$&quot;\ * #,##0.00_-;_-&quot;$&quot;\ * &quot;-&quot;_-;_-@_-"/>
  </numFmts>
  <fonts count="90">
    <font>
      <sz val="11"/>
      <color theme="1"/>
      <name val="Calibri"/>
      <family val="2"/>
      <scheme val="minor"/>
    </font>
    <font>
      <sz val="11"/>
      <color theme="1"/>
      <name val="Calibri"/>
      <family val="2"/>
      <scheme val="minor"/>
    </font>
    <font>
      <sz val="10"/>
      <name val="Arial"/>
      <family val="2"/>
    </font>
    <font>
      <b/>
      <sz val="18"/>
      <name val="Arial"/>
      <family val="2"/>
    </font>
    <font>
      <sz val="11"/>
      <color indexed="8"/>
      <name val="Calibri"/>
      <family val="2"/>
    </font>
    <font>
      <u/>
      <sz val="11"/>
      <color theme="1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1"/>
      <color indexed="60"/>
      <name val="Calibri"/>
      <family val="2"/>
    </font>
    <font>
      <sz val="10"/>
      <color indexed="64"/>
      <name val="Arial"/>
      <family val="2"/>
    </font>
    <font>
      <sz val="10"/>
      <color indexed="8"/>
      <name val="MS Sans Serif"/>
      <family val="2"/>
    </font>
    <font>
      <sz val="10"/>
      <name val="Century Gothic"/>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8"/>
      <name val="Arial"/>
      <family val="2"/>
    </font>
    <font>
      <sz val="10"/>
      <name val="MS Sans Serif"/>
      <family val="2"/>
    </font>
    <font>
      <sz val="1"/>
      <color indexed="8"/>
      <name val="Courier"/>
      <family val="3"/>
    </font>
    <font>
      <sz val="10"/>
      <name val="Helv"/>
      <charset val="204"/>
    </font>
    <font>
      <b/>
      <sz val="1"/>
      <color indexed="8"/>
      <name val="Courier"/>
      <family val="3"/>
    </font>
    <font>
      <u/>
      <sz val="10"/>
      <color indexed="12"/>
      <name val="Arial"/>
      <family val="2"/>
    </font>
    <font>
      <b/>
      <sz val="12"/>
      <name val="Arial"/>
      <family val="2"/>
    </font>
    <font>
      <i/>
      <sz val="1"/>
      <color indexed="8"/>
      <name val="Courier"/>
      <family val="3"/>
    </font>
    <font>
      <b/>
      <sz val="14"/>
      <color theme="1"/>
      <name val="Arial"/>
      <family val="2"/>
    </font>
    <font>
      <sz val="11"/>
      <color theme="1"/>
      <name val="Arial"/>
      <family val="2"/>
    </font>
    <font>
      <b/>
      <sz val="11"/>
      <color theme="1"/>
      <name val="Arial"/>
      <family val="2"/>
    </font>
    <font>
      <b/>
      <sz val="11"/>
      <color theme="1"/>
      <name val="Calibri"/>
      <family val="2"/>
      <scheme val="minor"/>
    </font>
    <font>
      <b/>
      <sz val="18"/>
      <color theme="1"/>
      <name val="Calibri"/>
      <family val="2"/>
      <scheme val="minor"/>
    </font>
    <font>
      <b/>
      <sz val="18"/>
      <color theme="1"/>
      <name val="Arial"/>
      <family val="2"/>
    </font>
    <font>
      <b/>
      <sz val="16"/>
      <color theme="1"/>
      <name val="Calibri"/>
      <family val="2"/>
      <scheme val="minor"/>
    </font>
    <font>
      <b/>
      <sz val="12"/>
      <color theme="1"/>
      <name val="Calibri"/>
      <family val="2"/>
      <scheme val="minor"/>
    </font>
    <font>
      <b/>
      <sz val="18"/>
      <color rgb="FF0070C0"/>
      <name val="Calibri"/>
      <family val="2"/>
      <scheme val="minor"/>
    </font>
    <font>
      <b/>
      <sz val="18"/>
      <name val="Calibri"/>
      <family val="2"/>
      <scheme val="minor"/>
    </font>
    <font>
      <sz val="11"/>
      <color theme="0"/>
      <name val="Arial"/>
      <family val="2"/>
    </font>
    <font>
      <b/>
      <sz val="14"/>
      <name val="Calibri"/>
      <family val="2"/>
      <scheme val="minor"/>
    </font>
    <font>
      <sz val="48"/>
      <color theme="1"/>
      <name val="Arial"/>
      <family val="2"/>
    </font>
    <font>
      <b/>
      <sz val="12"/>
      <color rgb="FFFF0000"/>
      <name val="Arial"/>
      <family val="2"/>
    </font>
    <font>
      <b/>
      <sz val="24"/>
      <color theme="1"/>
      <name val="Arial"/>
      <family val="2"/>
    </font>
    <font>
      <sz val="14"/>
      <color theme="1"/>
      <name val="Arial"/>
      <family val="2"/>
    </font>
    <font>
      <b/>
      <sz val="26"/>
      <color theme="1"/>
      <name val="Arial"/>
      <family val="2"/>
    </font>
    <font>
      <b/>
      <sz val="22"/>
      <color theme="1"/>
      <name val="Arial"/>
      <family val="2"/>
    </font>
    <font>
      <b/>
      <sz val="12"/>
      <color theme="1"/>
      <name val="Arial"/>
      <family val="2"/>
    </font>
    <font>
      <b/>
      <i/>
      <sz val="18"/>
      <color theme="1"/>
      <name val="Arial"/>
      <family val="2"/>
    </font>
    <font>
      <sz val="12"/>
      <color theme="1"/>
      <name val="Arial"/>
      <family val="2"/>
    </font>
    <font>
      <b/>
      <i/>
      <sz val="14"/>
      <color theme="1"/>
      <name val="Arial"/>
      <family val="2"/>
    </font>
    <font>
      <sz val="12"/>
      <name val="Arial"/>
      <family val="2"/>
    </font>
    <font>
      <b/>
      <sz val="20"/>
      <color rgb="FF002060"/>
      <name val="Arial"/>
      <family val="2"/>
    </font>
    <font>
      <b/>
      <sz val="10"/>
      <name val="Arial"/>
      <family val="2"/>
    </font>
    <font>
      <b/>
      <sz val="18"/>
      <color theme="0"/>
      <name val="Arial"/>
      <family val="2"/>
    </font>
    <font>
      <b/>
      <sz val="14"/>
      <color theme="1"/>
      <name val="Calibri"/>
      <family val="2"/>
      <scheme val="minor"/>
    </font>
    <font>
      <b/>
      <sz val="10"/>
      <color rgb="FFFF0000"/>
      <name val="Calibri"/>
      <family val="2"/>
      <scheme val="minor"/>
    </font>
    <font>
      <sz val="12"/>
      <color theme="1"/>
      <name val="Calibri"/>
      <family val="2"/>
      <scheme val="minor"/>
    </font>
    <font>
      <b/>
      <sz val="12"/>
      <color rgb="FFFF0000"/>
      <name val="Calibri"/>
      <family val="2"/>
      <scheme val="minor"/>
    </font>
    <font>
      <sz val="14"/>
      <color theme="1"/>
      <name val="Calibri"/>
      <family val="2"/>
      <scheme val="minor"/>
    </font>
    <font>
      <b/>
      <sz val="11"/>
      <color rgb="FFFF0000"/>
      <name val="Arial"/>
      <family val="2"/>
    </font>
    <font>
      <b/>
      <sz val="20"/>
      <color rgb="FFFF0000"/>
      <name val="Arial"/>
      <family val="2"/>
    </font>
    <font>
      <b/>
      <sz val="10"/>
      <color rgb="FF000000"/>
      <name val="Arial Narrow Special G1"/>
      <family val="2"/>
      <charset val="2"/>
    </font>
    <font>
      <b/>
      <sz val="22"/>
      <color theme="0"/>
      <name val="Arial"/>
      <family val="2"/>
    </font>
    <font>
      <b/>
      <i/>
      <sz val="14"/>
      <color theme="0"/>
      <name val="Arial"/>
      <family val="2"/>
    </font>
    <font>
      <sz val="9"/>
      <color theme="1"/>
      <name val="Arial"/>
      <family val="2"/>
    </font>
    <font>
      <u/>
      <sz val="14"/>
      <color theme="10"/>
      <name val="Calibri"/>
      <family val="2"/>
      <scheme val="minor"/>
    </font>
    <font>
      <b/>
      <sz val="14"/>
      <color rgb="FFFF0000"/>
      <name val="Arial"/>
      <family val="2"/>
    </font>
    <font>
      <b/>
      <sz val="26"/>
      <color rgb="FF002060"/>
      <name val="Arial"/>
      <family val="2"/>
    </font>
    <font>
      <b/>
      <sz val="14"/>
      <name val="Arial"/>
      <family val="2"/>
    </font>
    <font>
      <sz val="22"/>
      <name val="Arial"/>
      <family val="2"/>
    </font>
    <font>
      <u/>
      <sz val="20"/>
      <color theme="10"/>
      <name val="Calibri"/>
      <family val="2"/>
      <scheme val="minor"/>
    </font>
    <font>
      <sz val="12"/>
      <color rgb="FF333333"/>
      <name val="Open Sans"/>
      <family val="2"/>
    </font>
    <font>
      <i/>
      <sz val="22"/>
      <color theme="1"/>
      <name val="Arial"/>
      <family val="2"/>
    </font>
    <font>
      <sz val="18"/>
      <color theme="1"/>
      <name val="Arial"/>
      <family val="2"/>
    </font>
    <font>
      <b/>
      <sz val="20"/>
      <color theme="1"/>
      <name val="Arial"/>
      <family val="2"/>
    </font>
    <font>
      <b/>
      <sz val="12"/>
      <color rgb="FF002060"/>
      <name val="Arial"/>
      <family val="2"/>
    </font>
    <font>
      <b/>
      <sz val="16"/>
      <color theme="1"/>
      <name val="Arial"/>
      <family val="2"/>
    </font>
    <font>
      <sz val="11"/>
      <name val="Arial"/>
      <family val="2"/>
    </font>
    <font>
      <b/>
      <sz val="11"/>
      <name val="Arial"/>
      <family val="2"/>
    </font>
    <font>
      <sz val="8"/>
      <color theme="1"/>
      <name val="Calibri"/>
      <family val="2"/>
      <scheme val="minor"/>
    </font>
    <font>
      <sz val="11"/>
      <color rgb="FF000000"/>
      <name val="Calibri"/>
      <family val="2"/>
    </font>
    <font>
      <sz val="10"/>
      <color rgb="FF000000"/>
      <name val="Times New Roman"/>
      <family val="1"/>
    </font>
    <font>
      <sz val="10"/>
      <color rgb="FF000000"/>
      <name val="Times New Roman"/>
      <family val="1"/>
    </font>
    <font>
      <sz val="11"/>
      <name val="Franklin Gothic Medium"/>
      <family val="2"/>
    </font>
    <font>
      <b/>
      <sz val="9"/>
      <color indexed="81"/>
      <name val="Tahoma"/>
      <family val="2"/>
    </font>
  </fonts>
  <fills count="40">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1"/>
        <bgColor indexed="64"/>
      </patternFill>
    </fill>
    <fill>
      <patternFill patternType="solid">
        <fgColor rgb="FF50F828"/>
        <bgColor indexed="64"/>
      </patternFill>
    </fill>
    <fill>
      <patternFill patternType="solid">
        <fgColor rgb="FF00206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AFAFA"/>
        <bgColor indexed="64"/>
      </patternFill>
    </fill>
    <fill>
      <patternFill patternType="solid">
        <fgColor rgb="FFEEEEE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FF"/>
        <bgColor rgb="FF000000"/>
      </patternFill>
    </fill>
  </fills>
  <borders count="76">
    <border>
      <left/>
      <right/>
      <top/>
      <bottom/>
      <diagonal/>
    </border>
    <border>
      <left/>
      <right/>
      <top/>
      <bottom style="thin">
        <color auto="1"/>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auto="1"/>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rgb="FFC0C0C0"/>
      </left>
      <right/>
      <top style="medium">
        <color rgb="FFC0C0C0"/>
      </top>
      <bottom/>
      <diagonal/>
    </border>
    <border>
      <left style="medium">
        <color rgb="FFC0C0C0"/>
      </left>
      <right/>
      <top style="thick">
        <color rgb="FF0091D5"/>
      </top>
      <bottom/>
      <diagonal/>
    </border>
    <border>
      <left style="medium">
        <color rgb="FFC0C0C0"/>
      </left>
      <right style="medium">
        <color rgb="FFC0C0C0"/>
      </right>
      <top style="thick">
        <color rgb="FF0091D5"/>
      </top>
      <bottom/>
      <diagonal/>
    </border>
    <border>
      <left style="medium">
        <color rgb="FFC0C0C0"/>
      </left>
      <right style="medium">
        <color rgb="FFC0C0C0"/>
      </right>
      <top style="medium">
        <color rgb="FFC0C0C0"/>
      </top>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style="medium">
        <color rgb="FFC0C0C0"/>
      </bottom>
      <diagonal/>
    </border>
    <border>
      <left style="thin">
        <color indexed="64"/>
      </left>
      <right style="thin">
        <color auto="1"/>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style="medium">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C0C0C0"/>
      </left>
      <right/>
      <top/>
      <bottom/>
      <diagonal/>
    </border>
    <border>
      <left style="medium">
        <color rgb="FFC0C0C0"/>
      </left>
      <right style="medium">
        <color rgb="FFC0C0C0"/>
      </right>
      <top/>
      <bottom/>
      <diagonal/>
    </border>
    <border>
      <left style="medium">
        <color indexed="64"/>
      </left>
      <right style="medium">
        <color indexed="64"/>
      </right>
      <top style="medium">
        <color indexed="64"/>
      </top>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right style="thin">
        <color indexed="64"/>
      </right>
      <top/>
      <bottom style="dotted">
        <color indexed="64"/>
      </bottom>
      <diagonal/>
    </border>
    <border>
      <left style="thin">
        <color rgb="FF000000"/>
      </left>
      <right style="thin">
        <color rgb="FF000000"/>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indexed="64"/>
      </right>
      <top/>
      <bottom style="medium">
        <color indexed="64"/>
      </bottom>
      <diagonal/>
    </border>
    <border>
      <left style="thin">
        <color indexed="64"/>
      </left>
      <right/>
      <top style="medium">
        <color indexed="64"/>
      </top>
      <bottom style="medium">
        <color indexed="64"/>
      </bottom>
      <diagonal/>
    </border>
    <border>
      <left style="double">
        <color auto="1"/>
      </left>
      <right style="double">
        <color auto="1"/>
      </right>
      <top style="double">
        <color auto="1"/>
      </top>
      <bottom style="double">
        <color auto="1"/>
      </bottom>
      <diagonal/>
    </border>
  </borders>
  <cellStyleXfs count="331">
    <xf numFmtId="0" fontId="0" fillId="0" borderId="0"/>
    <xf numFmtId="9" fontId="1" fillId="0" borderId="0" applyFont="0" applyFill="0" applyBorder="0" applyAlignment="0" applyProtection="0"/>
    <xf numFmtId="0" fontId="2" fillId="0" borderId="0"/>
    <xf numFmtId="165" fontId="4" fillId="0" borderId="0" applyFont="0" applyFill="0" applyBorder="0" applyAlignment="0" applyProtection="0"/>
    <xf numFmtId="0" fontId="5" fillId="0" borderId="0" applyNumberFormat="0" applyFill="0" applyBorder="0" applyAlignment="0" applyProtection="0"/>
    <xf numFmtId="0" fontId="2" fillId="0" borderId="0"/>
    <xf numFmtId="0" fontId="2"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7" fillId="4" borderId="0" applyNumberFormat="0" applyBorder="0" applyAlignment="0" applyProtection="0"/>
    <xf numFmtId="0" fontId="8" fillId="5" borderId="0" applyNumberFormat="0" applyBorder="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10" fillId="22" borderId="8" applyNumberFormat="0" applyAlignment="0" applyProtection="0"/>
    <xf numFmtId="0" fontId="11" fillId="0" borderId="9" applyNumberFormat="0" applyFill="0" applyAlignment="0" applyProtection="0"/>
    <xf numFmtId="0" fontId="10" fillId="22" borderId="8" applyNumberFormat="0" applyAlignment="0" applyProtection="0"/>
    <xf numFmtId="0" fontId="12" fillId="0" borderId="0" applyNumberFormat="0" applyFill="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170" fontId="2" fillId="0" borderId="0" applyFont="0" applyFill="0" applyBorder="0" applyAlignment="0" applyProtection="0"/>
    <xf numFmtId="0" fontId="14" fillId="0" borderId="0" applyNumberFormat="0" applyFill="0" applyBorder="0" applyAlignment="0" applyProtection="0"/>
    <xf numFmtId="0" fontId="8" fillId="5" borderId="0" applyNumberFormat="0" applyBorder="0" applyAlignment="0" applyProtection="0"/>
    <xf numFmtId="0" fontId="15" fillId="0" borderId="10" applyNumberFormat="0" applyFill="0" applyAlignment="0" applyProtection="0"/>
    <xf numFmtId="0" fontId="16" fillId="0" borderId="11" applyNumberFormat="0" applyFill="0" applyAlignment="0" applyProtection="0"/>
    <xf numFmtId="0" fontId="12" fillId="0" borderId="12" applyNumberFormat="0" applyFill="0" applyAlignment="0" applyProtection="0"/>
    <xf numFmtId="0" fontId="12" fillId="0" borderId="0" applyNumberFormat="0" applyFill="0" applyBorder="0" applyAlignment="0" applyProtection="0"/>
    <xf numFmtId="0" fontId="7" fillId="4" borderId="0" applyNumberFormat="0" applyBorder="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1" fillId="0" borderId="9" applyNumberFormat="0" applyFill="0" applyAlignment="0" applyProtection="0"/>
    <xf numFmtId="165" fontId="2" fillId="0" borderId="0" applyFont="0" applyFill="0" applyBorder="0" applyAlignment="0" applyProtection="0"/>
    <xf numFmtId="171" fontId="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2"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8" fontId="2" fillId="0" borderId="0" applyFont="0" applyFill="0" applyBorder="0" applyAlignment="0" applyProtection="0"/>
    <xf numFmtId="168" fontId="4" fillId="0" borderId="0" applyFont="0" applyFill="0" applyBorder="0" applyAlignment="0" applyProtection="0"/>
    <xf numFmtId="173" fontId="2" fillId="0" borderId="0" applyFont="0" applyFill="0" applyBorder="0" applyAlignment="0" applyProtection="0"/>
    <xf numFmtId="168" fontId="4" fillId="0" borderId="0" applyFont="0" applyFill="0" applyBorder="0" applyAlignment="0" applyProtection="0"/>
    <xf numFmtId="174" fontId="2" fillId="0" borderId="0" applyFont="0" applyFill="0" applyBorder="0" applyAlignment="0" applyProtection="0"/>
    <xf numFmtId="175"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0" fontId="17" fillId="23" borderId="0" applyNumberFormat="0" applyBorder="0" applyAlignment="0" applyProtection="0"/>
    <xf numFmtId="0" fontId="2" fillId="0" borderId="0"/>
    <xf numFmtId="0" fontId="18" fillId="0" borderId="0"/>
    <xf numFmtId="0" fontId="1" fillId="0" borderId="0"/>
    <xf numFmtId="0" fontId="2" fillId="0" borderId="0"/>
    <xf numFmtId="0" fontId="19" fillId="0" borderId="0"/>
    <xf numFmtId="0" fontId="2" fillId="0" borderId="0"/>
    <xf numFmtId="0" fontId="20" fillId="0" borderId="0"/>
    <xf numFmtId="0" fontId="2" fillId="0" borderId="0"/>
    <xf numFmtId="0" fontId="2" fillId="0" borderId="0"/>
    <xf numFmtId="0" fontId="2" fillId="0" borderId="0"/>
    <xf numFmtId="0" fontId="19" fillId="0" borderId="0"/>
    <xf numFmtId="0" fontId="1" fillId="0" borderId="0"/>
    <xf numFmtId="0" fontId="2" fillId="0" borderId="0"/>
    <xf numFmtId="0" fontId="2" fillId="0" borderId="0"/>
    <xf numFmtId="0" fontId="1" fillId="0" borderId="0"/>
    <xf numFmtId="0" fontId="2" fillId="0" borderId="0"/>
    <xf numFmtId="0" fontId="1" fillId="0" borderId="0"/>
    <xf numFmtId="0" fontId="19" fillId="0" borderId="0"/>
    <xf numFmtId="0" fontId="1" fillId="0" borderId="0"/>
    <xf numFmtId="0" fontId="2" fillId="0" borderId="0"/>
    <xf numFmtId="0" fontId="2" fillId="0" borderId="0"/>
    <xf numFmtId="0" fontId="19" fillId="0" borderId="0"/>
    <xf numFmtId="0" fontId="2" fillId="0" borderId="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15" fillId="0" borderId="10" applyNumberFormat="0" applyFill="0" applyAlignment="0" applyProtection="0"/>
    <xf numFmtId="0" fontId="16" fillId="0" borderId="11" applyNumberFormat="0" applyFill="0" applyAlignment="0" applyProtection="0"/>
    <xf numFmtId="0" fontId="12" fillId="0" borderId="12" applyNumberFormat="0" applyFill="0" applyAlignment="0" applyProtection="0"/>
    <xf numFmtId="0" fontId="23" fillId="0" borderId="0" applyNumberFormat="0" applyFill="0" applyBorder="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2" fillId="0" borderId="0" applyNumberFormat="0" applyFill="0" applyBorder="0" applyAlignment="0" applyProtection="0"/>
    <xf numFmtId="4" fontId="27" fillId="0" borderId="0">
      <protection locked="0"/>
    </xf>
    <xf numFmtId="177" fontId="27" fillId="0" borderId="0">
      <protection locked="0"/>
    </xf>
    <xf numFmtId="178" fontId="27" fillId="0" borderId="0">
      <protection locked="0"/>
    </xf>
    <xf numFmtId="0" fontId="3" fillId="0" borderId="0" applyNumberFormat="0" applyFill="0" applyBorder="0" applyAlignment="0" applyProtection="0"/>
    <xf numFmtId="0" fontId="31" fillId="0" borderId="0" applyNumberFormat="0" applyFill="0" applyBorder="0" applyAlignment="0" applyProtection="0"/>
    <xf numFmtId="0" fontId="28" fillId="0" borderId="0"/>
    <xf numFmtId="170" fontId="2" fillId="0" borderId="0" applyFont="0" applyFill="0" applyBorder="0" applyAlignment="0" applyProtection="0"/>
    <xf numFmtId="0" fontId="27" fillId="0" borderId="0">
      <protection locked="0"/>
    </xf>
    <xf numFmtId="0" fontId="27" fillId="0" borderId="0">
      <protection locked="0"/>
    </xf>
    <xf numFmtId="0" fontId="32" fillId="0" borderId="0">
      <protection locked="0"/>
    </xf>
    <xf numFmtId="0" fontId="27" fillId="0" borderId="0">
      <protection locked="0"/>
    </xf>
    <xf numFmtId="0" fontId="27" fillId="0" borderId="0">
      <protection locked="0"/>
    </xf>
    <xf numFmtId="0" fontId="27" fillId="0" borderId="0">
      <protection locked="0"/>
    </xf>
    <xf numFmtId="0" fontId="32" fillId="0" borderId="0">
      <protection locked="0"/>
    </xf>
    <xf numFmtId="0"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179" fontId="27" fillId="0" borderId="0">
      <protection locked="0"/>
    </xf>
    <xf numFmtId="180" fontId="29" fillId="0" borderId="0">
      <protection locked="0"/>
    </xf>
    <xf numFmtId="180" fontId="29" fillId="0" borderId="0">
      <protection locked="0"/>
    </xf>
    <xf numFmtId="0" fontId="30" fillId="0" borderId="0" applyNumberFormat="0" applyFill="0" applyBorder="0" applyAlignment="0" applyProtection="0">
      <alignment vertical="top"/>
      <protection locked="0"/>
    </xf>
    <xf numFmtId="176" fontId="25"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4"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4" fillId="0" borderId="0" applyFont="0" applyFill="0" applyBorder="0" applyAlignment="0" applyProtection="0"/>
    <xf numFmtId="171" fontId="20" fillId="0" borderId="0" applyFont="0" applyFill="0" applyBorder="0" applyAlignment="0" applyProtection="0"/>
    <xf numFmtId="165" fontId="2" fillId="0" borderId="0" applyFont="0" applyFill="0" applyBorder="0" applyAlignment="0" applyProtection="0"/>
    <xf numFmtId="181" fontId="2" fillId="0" borderId="0" applyFont="0" applyFill="0" applyBorder="0" applyAlignment="0" applyProtection="0"/>
    <xf numFmtId="169" fontId="1"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6" fillId="0" borderId="0"/>
    <xf numFmtId="0" fontId="1" fillId="0" borderId="0"/>
    <xf numFmtId="0" fontId="2" fillId="0" borderId="0"/>
    <xf numFmtId="0" fontId="25" fillId="0" borderId="0"/>
    <xf numFmtId="0" fontId="2" fillId="0" borderId="0"/>
    <xf numFmtId="0" fontId="2" fillId="0" borderId="0"/>
    <xf numFmtId="0" fontId="20" fillId="0" borderId="0"/>
    <xf numFmtId="0" fontId="4" fillId="0" borderId="0"/>
    <xf numFmtId="0" fontId="4" fillId="0" borderId="0"/>
    <xf numFmtId="0" fontId="25" fillId="0" borderId="0"/>
    <xf numFmtId="0" fontId="25" fillId="0" borderId="0"/>
    <xf numFmtId="9" fontId="1" fillId="0" borderId="0" applyFont="0" applyFill="0" applyBorder="0" applyAlignment="0" applyProtection="0"/>
    <xf numFmtId="9" fontId="2" fillId="0" borderId="0" applyFont="0" applyFill="0" applyBorder="0" applyAlignment="0" applyProtection="0"/>
    <xf numFmtId="9" fontId="25"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0" fontId="2"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74" fontId="2" fillId="0" borderId="0" applyFont="0" applyFill="0" applyBorder="0" applyAlignment="0" applyProtection="0"/>
    <xf numFmtId="166"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4" fontId="1" fillId="0" borderId="0" applyFont="0" applyFill="0" applyBorder="0" applyAlignment="0" applyProtection="0"/>
    <xf numFmtId="0" fontId="1" fillId="0" borderId="0" applyFont="0" applyFill="0" applyBorder="0" applyAlignment="0" applyProtection="0"/>
    <xf numFmtId="0" fontId="1" fillId="0" borderId="0"/>
    <xf numFmtId="0" fontId="1" fillId="0" borderId="0"/>
    <xf numFmtId="0" fontId="2" fillId="0" borderId="0"/>
    <xf numFmtId="0" fontId="2" fillId="0" borderId="0"/>
    <xf numFmtId="186" fontId="2" fillId="0" borderId="0" applyFont="0" applyFill="0" applyBorder="0" applyAlignment="0" applyProtection="0"/>
    <xf numFmtId="187"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0" fontId="85" fillId="0" borderId="0" applyNumberFormat="0" applyBorder="0" applyAlignment="0"/>
    <xf numFmtId="0" fontId="85" fillId="0" borderId="0" applyNumberFormat="0" applyBorder="0" applyAlignment="0"/>
    <xf numFmtId="43" fontId="1" fillId="0" borderId="0" applyFont="0" applyFill="0" applyBorder="0" applyAlignment="0" applyProtection="0"/>
    <xf numFmtId="188" fontId="2" fillId="0" borderId="0" applyFont="0" applyFill="0" applyBorder="0" applyAlignment="0" applyProtection="0"/>
    <xf numFmtId="0" fontId="85" fillId="0" borderId="0" applyFont="0" applyFill="0" applyBorder="0" applyAlignment="0" applyProtection="0"/>
    <xf numFmtId="43" fontId="8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6" fillId="0" borderId="0"/>
    <xf numFmtId="0" fontId="1" fillId="0" borderId="0"/>
    <xf numFmtId="43" fontId="1" fillId="0" borderId="0" applyFont="0" applyFill="0" applyBorder="0" applyAlignment="0" applyProtection="0"/>
    <xf numFmtId="0" fontId="87"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43">
    <xf numFmtId="0" fontId="0" fillId="0" borderId="0" xfId="0"/>
    <xf numFmtId="0" fontId="0" fillId="0" borderId="0" xfId="0" applyAlignment="1">
      <alignment wrapText="1"/>
    </xf>
    <xf numFmtId="0" fontId="34" fillId="0" borderId="0" xfId="0" applyFont="1"/>
    <xf numFmtId="184" fontId="34" fillId="0" borderId="0" xfId="0" applyNumberFormat="1" applyFont="1"/>
    <xf numFmtId="0" fontId="46" fillId="0" borderId="0" xfId="0" applyFont="1" applyAlignment="1">
      <alignment vertical="center" wrapText="1"/>
    </xf>
    <xf numFmtId="0" fontId="48" fillId="0" borderId="0" xfId="0" applyFont="1"/>
    <xf numFmtId="183" fontId="34" fillId="0" borderId="0" xfId="0" applyNumberFormat="1" applyFont="1"/>
    <xf numFmtId="0" fontId="43" fillId="2" borderId="0" xfId="37" applyFont="1" applyFill="1" applyBorder="1" applyAlignment="1">
      <alignment horizontal="center" vertical="center"/>
    </xf>
    <xf numFmtId="0" fontId="34" fillId="2" borderId="0" xfId="0" applyFont="1" applyFill="1"/>
    <xf numFmtId="0" fontId="34" fillId="2" borderId="0" xfId="159" applyFont="1" applyFill="1" applyAlignment="1">
      <alignment horizontal="center" vertical="center"/>
    </xf>
    <xf numFmtId="0" fontId="33" fillId="2" borderId="0" xfId="0" applyFont="1" applyFill="1" applyAlignment="1">
      <alignment vertical="center"/>
    </xf>
    <xf numFmtId="9" fontId="34" fillId="2" borderId="32" xfId="1" applyFont="1" applyFill="1" applyBorder="1" applyAlignment="1">
      <alignment horizontal="center"/>
    </xf>
    <xf numFmtId="4" fontId="34" fillId="0" borderId="0" xfId="0" applyNumberFormat="1" applyFont="1"/>
    <xf numFmtId="0" fontId="66" fillId="0" borderId="0" xfId="0" applyFont="1" applyAlignment="1">
      <alignment horizontal="left" vertical="center" readingOrder="1"/>
    </xf>
    <xf numFmtId="42" fontId="34" fillId="0" borderId="0" xfId="294" applyFont="1"/>
    <xf numFmtId="0" fontId="64" fillId="29" borderId="37" xfId="0" applyFont="1" applyFill="1" applyBorder="1" applyAlignment="1">
      <alignment horizontal="center"/>
    </xf>
    <xf numFmtId="0" fontId="33" fillId="29" borderId="34" xfId="0" applyFont="1" applyFill="1" applyBorder="1" applyAlignment="1">
      <alignment horizontal="center"/>
    </xf>
    <xf numFmtId="0" fontId="33" fillId="29" borderId="36" xfId="0" applyFont="1" applyFill="1" applyBorder="1"/>
    <xf numFmtId="0" fontId="68" fillId="29" borderId="36" xfId="0" applyFont="1" applyFill="1" applyBorder="1" applyAlignment="1">
      <alignment horizontal="right"/>
    </xf>
    <xf numFmtId="0" fontId="68" fillId="29" borderId="37" xfId="0" applyFont="1" applyFill="1" applyBorder="1" applyAlignment="1">
      <alignment horizontal="right"/>
    </xf>
    <xf numFmtId="4" fontId="52" fillId="29" borderId="38" xfId="0" applyNumberFormat="1" applyFont="1" applyFill="1" applyBorder="1"/>
    <xf numFmtId="4" fontId="54" fillId="29" borderId="38" xfId="0" applyNumberFormat="1" applyFont="1" applyFill="1" applyBorder="1"/>
    <xf numFmtId="4" fontId="52" fillId="29" borderId="38" xfId="0" applyNumberFormat="1" applyFont="1" applyFill="1" applyBorder="1" applyAlignment="1">
      <alignment horizontal="left"/>
    </xf>
    <xf numFmtId="4" fontId="52" fillId="29" borderId="36" xfId="0" applyNumberFormat="1" applyFont="1" applyFill="1" applyBorder="1" applyAlignment="1">
      <alignment horizontal="left"/>
    </xf>
    <xf numFmtId="4" fontId="52" fillId="29" borderId="39" xfId="0" applyNumberFormat="1" applyFont="1" applyFill="1" applyBorder="1" applyAlignment="1">
      <alignment horizontal="left"/>
    </xf>
    <xf numFmtId="0" fontId="34" fillId="2" borderId="0" xfId="0" applyFont="1" applyFill="1" applyAlignment="1">
      <alignment wrapText="1"/>
    </xf>
    <xf numFmtId="0" fontId="70" fillId="32" borderId="0" xfId="293" applyFont="1" applyFill="1" applyAlignment="1">
      <alignment horizontal="center" vertical="center" wrapText="1"/>
    </xf>
    <xf numFmtId="0" fontId="70" fillId="32" borderId="0" xfId="293" applyFont="1" applyFill="1" applyBorder="1" applyAlignment="1">
      <alignment horizontal="center" vertical="center" wrapText="1"/>
    </xf>
    <xf numFmtId="0" fontId="71" fillId="32" borderId="0" xfId="0" applyFont="1" applyFill="1" applyAlignment="1">
      <alignment horizontal="center" vertical="center" wrapText="1"/>
    </xf>
    <xf numFmtId="3" fontId="34" fillId="0" borderId="0" xfId="0" applyNumberFormat="1" applyFont="1"/>
    <xf numFmtId="6" fontId="34" fillId="0" borderId="0" xfId="294" applyNumberFormat="1" applyFont="1" applyAlignment="1">
      <alignment horizontal="left"/>
    </xf>
    <xf numFmtId="0" fontId="34" fillId="0" borderId="0" xfId="0" applyFont="1" applyAlignment="1">
      <alignment horizontal="left"/>
    </xf>
    <xf numFmtId="6" fontId="34" fillId="0" borderId="0" xfId="0" applyNumberFormat="1" applyFont="1" applyAlignment="1">
      <alignment horizontal="left"/>
    </xf>
    <xf numFmtId="0" fontId="57" fillId="26" borderId="38" xfId="0" applyFont="1" applyFill="1" applyBorder="1" applyAlignment="1">
      <alignment horizontal="center" vertical="center" wrapText="1"/>
    </xf>
    <xf numFmtId="183" fontId="56" fillId="2" borderId="34" xfId="0" applyNumberFormat="1" applyFont="1" applyFill="1" applyBorder="1" applyAlignment="1">
      <alignment vertical="center" wrapText="1"/>
    </xf>
    <xf numFmtId="9" fontId="55" fillId="2" borderId="34" xfId="1" applyFont="1" applyFill="1" applyBorder="1" applyAlignment="1">
      <alignment horizontal="center" vertical="center" wrapText="1"/>
    </xf>
    <xf numFmtId="2" fontId="50" fillId="34" borderId="0" xfId="0" applyNumberFormat="1" applyFont="1" applyFill="1" applyAlignment="1">
      <alignment horizontal="center" vertical="center"/>
    </xf>
    <xf numFmtId="0" fontId="75" fillId="0" borderId="0" xfId="293" applyFont="1" applyBorder="1" applyAlignment="1">
      <alignment horizontal="center" vertical="center" wrapText="1"/>
    </xf>
    <xf numFmtId="0" fontId="76" fillId="35" borderId="41" xfId="0" applyFont="1" applyFill="1" applyBorder="1" applyAlignment="1">
      <alignment vertical="center" wrapText="1"/>
    </xf>
    <xf numFmtId="0" fontId="76" fillId="35" borderId="42" xfId="0" applyFont="1" applyFill="1" applyBorder="1" applyAlignment="1">
      <alignment vertical="center" wrapText="1"/>
    </xf>
    <xf numFmtId="3" fontId="76" fillId="35" borderId="43" xfId="0" applyNumberFormat="1" applyFont="1" applyFill="1" applyBorder="1" applyAlignment="1">
      <alignment vertical="center" wrapText="1"/>
    </xf>
    <xf numFmtId="3" fontId="76" fillId="35" borderId="44" xfId="0" applyNumberFormat="1" applyFont="1" applyFill="1" applyBorder="1" applyAlignment="1">
      <alignment vertical="center" wrapText="1"/>
    </xf>
    <xf numFmtId="0" fontId="76" fillId="36" borderId="45" xfId="0" applyFont="1" applyFill="1" applyBorder="1" applyAlignment="1">
      <alignment vertical="center" wrapText="1"/>
    </xf>
    <xf numFmtId="3" fontId="76" fillId="36" borderId="46" xfId="0" applyNumberFormat="1" applyFont="1" applyFill="1" applyBorder="1" applyAlignment="1">
      <alignment vertical="center" wrapText="1"/>
    </xf>
    <xf numFmtId="0" fontId="53" fillId="2" borderId="34" xfId="0" applyFont="1" applyFill="1" applyBorder="1" applyAlignment="1">
      <alignment horizontal="center" vertical="center"/>
    </xf>
    <xf numFmtId="0" fontId="55" fillId="2" borderId="34" xfId="0" applyFont="1" applyFill="1" applyBorder="1" applyAlignment="1">
      <alignment horizontal="center" vertical="center" wrapText="1"/>
    </xf>
    <xf numFmtId="3" fontId="55" fillId="2" borderId="34" xfId="0" applyNumberFormat="1" applyFont="1" applyFill="1" applyBorder="1" applyAlignment="1">
      <alignment horizontal="center" vertical="center" wrapText="1"/>
    </xf>
    <xf numFmtId="41" fontId="55" fillId="2" borderId="34" xfId="288" applyFont="1" applyFill="1" applyBorder="1" applyAlignment="1">
      <alignment horizontal="center" vertical="center" wrapText="1"/>
    </xf>
    <xf numFmtId="0" fontId="47" fillId="2" borderId="36" xfId="0" applyFont="1" applyFill="1" applyBorder="1" applyAlignment="1">
      <alignment horizontal="center" vertical="center" wrapText="1"/>
    </xf>
    <xf numFmtId="0" fontId="47" fillId="2" borderId="39" xfId="0" applyFont="1" applyFill="1" applyBorder="1" applyAlignment="1">
      <alignment horizontal="center" vertical="center" wrapText="1"/>
    </xf>
    <xf numFmtId="0" fontId="53" fillId="2" borderId="36" xfId="0" applyFont="1" applyFill="1" applyBorder="1" applyAlignment="1">
      <alignment horizontal="center" vertical="center" wrapText="1"/>
    </xf>
    <xf numFmtId="0" fontId="34" fillId="0" borderId="0" xfId="0" applyFont="1" applyAlignment="1">
      <alignment horizontal="center" vertical="center" wrapText="1"/>
    </xf>
    <xf numFmtId="183" fontId="56" fillId="2" borderId="36" xfId="0" applyNumberFormat="1" applyFont="1" applyFill="1" applyBorder="1" applyAlignment="1">
      <alignment horizontal="center" vertical="center" wrapText="1"/>
    </xf>
    <xf numFmtId="183" fontId="56" fillId="2" borderId="37" xfId="0" applyNumberFormat="1" applyFont="1" applyFill="1" applyBorder="1" applyAlignment="1">
      <alignment vertical="center" wrapText="1"/>
    </xf>
    <xf numFmtId="0" fontId="33" fillId="2" borderId="32" xfId="0" applyFont="1" applyFill="1" applyBorder="1" applyAlignment="1">
      <alignment horizontal="center" vertical="center"/>
    </xf>
    <xf numFmtId="0" fontId="58" fillId="2" borderId="35" xfId="0" applyFont="1" applyFill="1" applyBorder="1" applyAlignment="1">
      <alignment horizontal="center" vertical="center"/>
    </xf>
    <xf numFmtId="0" fontId="58" fillId="2" borderId="36" xfId="0" applyFont="1" applyFill="1" applyBorder="1" applyAlignment="1">
      <alignment horizontal="center" vertical="center"/>
    </xf>
    <xf numFmtId="183" fontId="56" fillId="2" borderId="35" xfId="0" applyNumberFormat="1" applyFont="1" applyFill="1" applyBorder="1" applyAlignment="1">
      <alignment horizontal="center" vertical="center" wrapText="1"/>
    </xf>
    <xf numFmtId="0" fontId="53" fillId="2" borderId="35"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78" fillId="2" borderId="50" xfId="0" applyFont="1" applyFill="1" applyBorder="1" applyAlignment="1">
      <alignment vertical="center" wrapText="1"/>
    </xf>
    <xf numFmtId="0" fontId="78" fillId="2" borderId="6" xfId="0" applyFont="1" applyFill="1" applyBorder="1" applyAlignment="1">
      <alignment vertical="center" wrapText="1"/>
    </xf>
    <xf numFmtId="0" fontId="31" fillId="26" borderId="38" xfId="0" applyFont="1" applyFill="1" applyBorder="1" applyAlignment="1">
      <alignment horizontal="center" vertical="center" wrapText="1"/>
    </xf>
    <xf numFmtId="0" fontId="53" fillId="0" borderId="34" xfId="0" applyFont="1" applyBorder="1" applyAlignment="1">
      <alignment horizontal="center" vertical="center"/>
    </xf>
    <xf numFmtId="0" fontId="53" fillId="0" borderId="34" xfId="0" applyFont="1" applyBorder="1" applyAlignment="1">
      <alignment horizontal="center" vertical="center" wrapText="1"/>
    </xf>
    <xf numFmtId="9" fontId="53" fillId="0" borderId="34" xfId="1" applyFont="1" applyBorder="1" applyAlignment="1">
      <alignment horizontal="center" vertical="center"/>
    </xf>
    <xf numFmtId="14" fontId="53" fillId="0" borderId="34" xfId="0" applyNumberFormat="1" applyFont="1" applyBorder="1" applyAlignment="1">
      <alignment horizontal="center" vertical="center"/>
    </xf>
    <xf numFmtId="4" fontId="53" fillId="0" borderId="34" xfId="0" applyNumberFormat="1" applyFont="1" applyBorder="1" applyAlignment="1">
      <alignment horizontal="center" vertical="center"/>
    </xf>
    <xf numFmtId="43" fontId="46" fillId="0" borderId="0" xfId="0" applyNumberFormat="1" applyFont="1" applyAlignment="1">
      <alignment vertical="center" wrapText="1"/>
    </xf>
    <xf numFmtId="14" fontId="53" fillId="2" borderId="34" xfId="0" applyNumberFormat="1" applyFont="1" applyFill="1" applyBorder="1" applyAlignment="1">
      <alignment horizontal="center" vertical="center" wrapText="1"/>
    </xf>
    <xf numFmtId="42" fontId="53" fillId="0" borderId="34" xfId="294" applyFont="1" applyBorder="1" applyAlignment="1">
      <alignment horizontal="center" vertical="center"/>
    </xf>
    <xf numFmtId="42" fontId="70" fillId="32" borderId="0" xfId="293" applyNumberFormat="1" applyFont="1" applyFill="1" applyBorder="1" applyAlignment="1">
      <alignment horizontal="center" vertical="center" wrapText="1"/>
    </xf>
    <xf numFmtId="0" fontId="79" fillId="2" borderId="24" xfId="0" applyFont="1" applyFill="1" applyBorder="1" applyAlignment="1">
      <alignment horizontal="center" vertical="center" wrapText="1"/>
    </xf>
    <xf numFmtId="0" fontId="31" fillId="26" borderId="34" xfId="0" applyFont="1" applyFill="1" applyBorder="1" applyAlignment="1">
      <alignment horizontal="center" vertical="center" wrapText="1"/>
    </xf>
    <xf numFmtId="0" fontId="57" fillId="26" borderId="34" xfId="0" applyFont="1" applyFill="1" applyBorder="1" applyAlignment="1">
      <alignment horizontal="center" vertical="center" wrapText="1"/>
    </xf>
    <xf numFmtId="0" fontId="40" fillId="26" borderId="38" xfId="0" applyFont="1" applyFill="1" applyBorder="1" applyAlignment="1">
      <alignment horizontal="center" vertical="center" wrapText="1"/>
    </xf>
    <xf numFmtId="0" fontId="36" fillId="26" borderId="38" xfId="0" applyFont="1" applyFill="1" applyBorder="1" applyAlignment="1">
      <alignment vertical="center" wrapText="1"/>
    </xf>
    <xf numFmtId="0" fontId="36" fillId="26" borderId="40" xfId="0" applyFont="1" applyFill="1" applyBorder="1" applyAlignment="1">
      <alignment horizontal="center" vertical="center" wrapText="1"/>
    </xf>
    <xf numFmtId="0" fontId="40" fillId="26" borderId="40" xfId="0" applyFont="1" applyFill="1" applyBorder="1" applyAlignment="1">
      <alignment horizontal="center" vertical="center" wrapText="1"/>
    </xf>
    <xf numFmtId="0" fontId="61" fillId="2" borderId="33" xfId="0" applyFont="1" applyFill="1" applyBorder="1" applyAlignment="1">
      <alignment horizontal="center" vertical="center" wrapText="1"/>
    </xf>
    <xf numFmtId="0" fontId="61" fillId="0" borderId="34" xfId="0" applyFont="1" applyBorder="1" applyAlignment="1">
      <alignment horizontal="left" vertical="center" wrapText="1"/>
    </xf>
    <xf numFmtId="0" fontId="40" fillId="0" borderId="38" xfId="0" applyFont="1" applyBorder="1" applyAlignment="1">
      <alignment horizontal="center" vertical="center" wrapText="1"/>
    </xf>
    <xf numFmtId="0" fontId="37" fillId="0" borderId="34" xfId="0" applyFont="1" applyBorder="1" applyAlignment="1">
      <alignment horizontal="center" vertical="center" wrapText="1"/>
    </xf>
    <xf numFmtId="0" fontId="59" fillId="0" borderId="38" xfId="0" applyFont="1" applyBorder="1" applyAlignment="1">
      <alignment horizontal="center" vertical="center" wrapText="1"/>
    </xf>
    <xf numFmtId="9" fontId="35" fillId="2" borderId="32" xfId="1" applyFont="1" applyFill="1" applyBorder="1" applyAlignment="1">
      <alignment horizontal="center"/>
    </xf>
    <xf numFmtId="4" fontId="52" fillId="30" borderId="38" xfId="0" applyNumberFormat="1" applyFont="1" applyFill="1" applyBorder="1"/>
    <xf numFmtId="0" fontId="31" fillId="26" borderId="33" xfId="0" applyFont="1" applyFill="1" applyBorder="1" applyAlignment="1">
      <alignment horizontal="center" vertical="center" wrapText="1"/>
    </xf>
    <xf numFmtId="0" fontId="31" fillId="26" borderId="34" xfId="0" applyFont="1" applyFill="1" applyBorder="1" applyAlignment="1">
      <alignment vertical="center" wrapText="1"/>
    </xf>
    <xf numFmtId="0" fontId="73" fillId="26" borderId="38" xfId="0" applyFont="1" applyFill="1" applyBorder="1" applyAlignment="1">
      <alignment horizontal="center" vertical="center" wrapText="1"/>
    </xf>
    <xf numFmtId="0" fontId="31" fillId="26" borderId="32" xfId="0" applyFont="1" applyFill="1" applyBorder="1" applyAlignment="1">
      <alignment horizontal="center" vertical="center" wrapText="1"/>
    </xf>
    <xf numFmtId="0" fontId="31" fillId="2" borderId="34" xfId="0" applyFont="1" applyFill="1" applyBorder="1" applyAlignment="1">
      <alignment horizontal="center" vertical="center" wrapText="1"/>
    </xf>
    <xf numFmtId="182" fontId="31" fillId="28" borderId="34" xfId="0" applyNumberFormat="1" applyFont="1" applyFill="1" applyBorder="1" applyAlignment="1">
      <alignment horizontal="center" vertical="center"/>
    </xf>
    <xf numFmtId="0" fontId="51" fillId="28" borderId="32" xfId="0" applyFont="1" applyFill="1" applyBorder="1" applyAlignment="1">
      <alignment horizontal="center" vertical="center" wrapText="1"/>
    </xf>
    <xf numFmtId="0" fontId="57" fillId="26" borderId="32" xfId="0" applyFont="1" applyFill="1" applyBorder="1" applyAlignment="1">
      <alignment horizontal="center" vertical="center" wrapText="1"/>
    </xf>
    <xf numFmtId="0" fontId="79" fillId="30" borderId="32" xfId="0" applyFont="1" applyFill="1" applyBorder="1" applyAlignment="1">
      <alignment horizontal="center" vertical="center"/>
    </xf>
    <xf numFmtId="0" fontId="64" fillId="0" borderId="3" xfId="0" applyFont="1" applyBorder="1" applyAlignment="1">
      <alignment horizontal="center"/>
    </xf>
    <xf numFmtId="9" fontId="50" fillId="2" borderId="34" xfId="0" applyNumberFormat="1" applyFont="1" applyFill="1" applyBorder="1" applyAlignment="1">
      <alignment vertical="center"/>
    </xf>
    <xf numFmtId="0" fontId="33" fillId="2" borderId="3" xfId="0" applyFont="1" applyFill="1" applyBorder="1" applyAlignment="1">
      <alignment horizontal="center" wrapText="1"/>
    </xf>
    <xf numFmtId="0" fontId="0" fillId="0" borderId="34" xfId="0" applyBorder="1" applyAlignment="1">
      <alignment horizontal="center"/>
    </xf>
    <xf numFmtId="0" fontId="76" fillId="35" borderId="60" xfId="0" applyFont="1" applyFill="1" applyBorder="1" applyAlignment="1">
      <alignment vertical="center" wrapText="1"/>
    </xf>
    <xf numFmtId="3" fontId="76" fillId="35" borderId="61" xfId="0" applyNumberFormat="1" applyFont="1" applyFill="1" applyBorder="1" applyAlignment="1">
      <alignment vertical="center" wrapText="1"/>
    </xf>
    <xf numFmtId="0" fontId="36" fillId="0" borderId="58" xfId="0" applyFont="1" applyBorder="1"/>
    <xf numFmtId="0" fontId="36" fillId="37" borderId="57" xfId="0" applyFont="1" applyFill="1" applyBorder="1" applyAlignment="1">
      <alignment horizontal="center" vertical="center"/>
    </xf>
    <xf numFmtId="0" fontId="36" fillId="37" borderId="59" xfId="0" applyFont="1" applyFill="1" applyBorder="1" applyAlignment="1">
      <alignment horizontal="center" vertical="center" wrapText="1"/>
    </xf>
    <xf numFmtId="0" fontId="36" fillId="38" borderId="57" xfId="0" applyFont="1" applyFill="1" applyBorder="1"/>
    <xf numFmtId="0" fontId="0" fillId="38" borderId="34" xfId="0" applyFill="1" applyBorder="1" applyAlignment="1">
      <alignment horizontal="center"/>
    </xf>
    <xf numFmtId="0" fontId="36" fillId="0" borderId="34" xfId="0" applyFont="1" applyBorder="1" applyAlignment="1">
      <alignment horizontal="left"/>
    </xf>
    <xf numFmtId="0" fontId="36" fillId="38" borderId="34" xfId="0" applyFont="1" applyFill="1" applyBorder="1" applyAlignment="1">
      <alignment horizontal="left"/>
    </xf>
    <xf numFmtId="0" fontId="79" fillId="2" borderId="62" xfId="0" applyFont="1" applyFill="1" applyBorder="1" applyAlignment="1">
      <alignment horizontal="center" vertical="center" wrapText="1"/>
    </xf>
    <xf numFmtId="0" fontId="81" fillId="30" borderId="22" xfId="0" applyFont="1" applyFill="1" applyBorder="1" applyAlignment="1">
      <alignment horizontal="centerContinuous" vertical="center" wrapText="1"/>
    </xf>
    <xf numFmtId="0" fontId="81" fillId="30" borderId="23" xfId="0" applyFont="1" applyFill="1" applyBorder="1" applyAlignment="1">
      <alignment horizontal="centerContinuous" vertical="center" wrapText="1"/>
    </xf>
    <xf numFmtId="0" fontId="81" fillId="30" borderId="24" xfId="0" applyFont="1" applyFill="1" applyBorder="1" applyAlignment="1">
      <alignment horizontal="centerContinuous" vertical="center" wrapText="1"/>
    </xf>
    <xf numFmtId="0" fontId="50" fillId="30" borderId="22" xfId="0" applyFont="1" applyFill="1" applyBorder="1" applyAlignment="1">
      <alignment horizontal="centerContinuous" vertical="center" wrapText="1"/>
    </xf>
    <xf numFmtId="0" fontId="50" fillId="30" borderId="24" xfId="0" applyFont="1" applyFill="1" applyBorder="1" applyAlignment="1">
      <alignment horizontal="centerContinuous" vertical="center" wrapText="1"/>
    </xf>
    <xf numFmtId="0" fontId="58" fillId="25" borderId="33" xfId="0" applyFont="1" applyFill="1" applyBorder="1" applyAlignment="1">
      <alignment horizontal="centerContinuous" vertical="center"/>
    </xf>
    <xf numFmtId="0" fontId="58" fillId="25" borderId="34" xfId="0" applyFont="1" applyFill="1" applyBorder="1" applyAlignment="1">
      <alignment horizontal="centerContinuous" vertical="center"/>
    </xf>
    <xf numFmtId="0" fontId="58" fillId="25" borderId="32" xfId="0" applyFont="1" applyFill="1" applyBorder="1" applyAlignment="1">
      <alignment horizontal="centerContinuous" vertical="center"/>
    </xf>
    <xf numFmtId="0" fontId="58" fillId="25" borderId="52" xfId="0" applyFont="1" applyFill="1" applyBorder="1" applyAlignment="1">
      <alignment horizontal="centerContinuous" vertical="center"/>
    </xf>
    <xf numFmtId="0" fontId="58" fillId="25" borderId="47" xfId="0" applyFont="1" applyFill="1" applyBorder="1" applyAlignment="1">
      <alignment horizontal="centerContinuous" vertical="center"/>
    </xf>
    <xf numFmtId="0" fontId="58" fillId="25" borderId="51" xfId="0" applyFont="1" applyFill="1" applyBorder="1" applyAlignment="1">
      <alignment horizontal="centerContinuous" vertical="center"/>
    </xf>
    <xf numFmtId="0" fontId="58" fillId="25" borderId="53" xfId="0" applyFont="1" applyFill="1" applyBorder="1" applyAlignment="1">
      <alignment horizontal="centerContinuous" vertical="center"/>
    </xf>
    <xf numFmtId="0" fontId="58" fillId="25" borderId="3" xfId="0" applyFont="1" applyFill="1" applyBorder="1" applyAlignment="1">
      <alignment horizontal="centerContinuous" vertical="center"/>
    </xf>
    <xf numFmtId="0" fontId="58" fillId="25" borderId="16" xfId="0" applyFont="1" applyFill="1" applyBorder="1" applyAlignment="1">
      <alignment horizontal="centerContinuous" vertical="center"/>
    </xf>
    <xf numFmtId="0" fontId="58" fillId="25" borderId="54" xfId="0" applyFont="1" applyFill="1" applyBorder="1" applyAlignment="1">
      <alignment horizontal="centerContinuous" vertical="center"/>
    </xf>
    <xf numFmtId="0" fontId="34" fillId="0" borderId="1" xfId="0" applyFont="1" applyBorder="1" applyAlignment="1">
      <alignment horizontal="centerContinuous"/>
    </xf>
    <xf numFmtId="0" fontId="34" fillId="0" borderId="6" xfId="0" applyFont="1" applyBorder="1" applyAlignment="1">
      <alignment horizontal="centerContinuous"/>
    </xf>
    <xf numFmtId="0" fontId="79" fillId="0" borderId="5" xfId="0" applyFont="1" applyBorder="1" applyAlignment="1">
      <alignment horizontal="centerContinuous" vertical="center"/>
    </xf>
    <xf numFmtId="14" fontId="53" fillId="0" borderId="34" xfId="0" applyNumberFormat="1" applyFont="1" applyBorder="1" applyAlignment="1">
      <alignment horizontal="center" vertical="center" wrapText="1"/>
    </xf>
    <xf numFmtId="42" fontId="53" fillId="0" borderId="34" xfId="294" applyFont="1" applyBorder="1" applyAlignment="1">
      <alignment horizontal="center" vertical="center" wrapText="1"/>
    </xf>
    <xf numFmtId="4" fontId="53" fillId="0" borderId="34" xfId="0" applyNumberFormat="1" applyFont="1" applyBorder="1" applyAlignment="1">
      <alignment horizontal="center" vertical="center" wrapText="1"/>
    </xf>
    <xf numFmtId="9" fontId="53" fillId="0" borderId="34" xfId="1" applyFont="1" applyBorder="1" applyAlignment="1">
      <alignment horizontal="center" vertical="center" wrapText="1"/>
    </xf>
    <xf numFmtId="0" fontId="82" fillId="39" borderId="63" xfId="0" applyFont="1" applyFill="1" applyBorder="1"/>
    <xf numFmtId="0" fontId="82" fillId="39" borderId="65" xfId="0" applyFont="1" applyFill="1" applyBorder="1"/>
    <xf numFmtId="0" fontId="83" fillId="39" borderId="63" xfId="0" applyFont="1" applyFill="1" applyBorder="1" applyAlignment="1">
      <alignment wrapText="1"/>
    </xf>
    <xf numFmtId="0" fontId="83" fillId="0" borderId="65" xfId="0" applyFont="1" applyBorder="1" applyAlignment="1">
      <alignment wrapText="1"/>
    </xf>
    <xf numFmtId="0" fontId="83" fillId="0" borderId="63" xfId="0" applyFont="1" applyBorder="1" applyAlignment="1">
      <alignment wrapText="1"/>
    </xf>
    <xf numFmtId="0" fontId="83" fillId="39" borderId="64" xfId="0" applyFont="1" applyFill="1" applyBorder="1" applyAlignment="1">
      <alignment wrapText="1"/>
    </xf>
    <xf numFmtId="0" fontId="83" fillId="0" borderId="64" xfId="0" applyFont="1" applyBorder="1" applyAlignment="1">
      <alignment wrapText="1"/>
    </xf>
    <xf numFmtId="14" fontId="83" fillId="0" borderId="66" xfId="0" applyNumberFormat="1" applyFont="1" applyBorder="1" applyAlignment="1">
      <alignment wrapText="1"/>
    </xf>
    <xf numFmtId="0" fontId="83" fillId="39" borderId="67" xfId="0" applyFont="1" applyFill="1" applyBorder="1" applyAlignment="1">
      <alignment wrapText="1"/>
    </xf>
    <xf numFmtId="0" fontId="83" fillId="0" borderId="67" xfId="0" applyFont="1" applyBorder="1" applyAlignment="1">
      <alignment wrapText="1"/>
    </xf>
    <xf numFmtId="0" fontId="83" fillId="0" borderId="4" xfId="0" applyFont="1" applyBorder="1" applyAlignment="1">
      <alignment wrapText="1"/>
    </xf>
    <xf numFmtId="0" fontId="79" fillId="2" borderId="30" xfId="0" applyFont="1" applyFill="1" applyBorder="1" applyAlignment="1">
      <alignment vertical="center" wrapText="1"/>
    </xf>
    <xf numFmtId="0" fontId="79" fillId="2" borderId="0" xfId="0" applyFont="1" applyFill="1" applyBorder="1" applyAlignment="1">
      <alignment vertical="center" wrapText="1"/>
    </xf>
    <xf numFmtId="0" fontId="79" fillId="2" borderId="0" xfId="0" applyFont="1" applyFill="1" applyBorder="1" applyAlignment="1">
      <alignment horizontal="centerContinuous" vertical="center" wrapText="1"/>
    </xf>
    <xf numFmtId="0" fontId="34" fillId="0" borderId="29" xfId="0" applyFont="1" applyBorder="1"/>
    <xf numFmtId="0" fontId="79" fillId="2" borderId="31" xfId="0" applyFont="1" applyFill="1" applyBorder="1" applyAlignment="1">
      <alignment vertical="center" wrapText="1"/>
    </xf>
    <xf numFmtId="0" fontId="79" fillId="2" borderId="25" xfId="0" applyFont="1" applyFill="1" applyBorder="1" applyAlignment="1">
      <alignment vertical="center" wrapText="1"/>
    </xf>
    <xf numFmtId="0" fontId="79" fillId="2" borderId="21" xfId="0" applyFont="1" applyFill="1" applyBorder="1" applyAlignment="1">
      <alignment vertical="center" wrapText="1"/>
    </xf>
    <xf numFmtId="0" fontId="79" fillId="2" borderId="25" xfId="0" applyFont="1" applyFill="1" applyBorder="1" applyAlignment="1">
      <alignment horizontal="centerContinuous" vertical="center" wrapText="1"/>
    </xf>
    <xf numFmtId="0" fontId="79" fillId="2" borderId="21" xfId="0" applyFont="1" applyFill="1" applyBorder="1" applyAlignment="1">
      <alignment horizontal="centerContinuous" vertical="center" wrapText="1"/>
    </xf>
    <xf numFmtId="0" fontId="79" fillId="2" borderId="26" xfId="0" applyFont="1" applyFill="1" applyBorder="1" applyAlignment="1">
      <alignment vertical="center" wrapText="1"/>
    </xf>
    <xf numFmtId="0" fontId="79" fillId="2" borderId="27" xfId="0" applyFont="1" applyFill="1" applyBorder="1" applyAlignment="1">
      <alignment vertical="center" wrapText="1"/>
    </xf>
    <xf numFmtId="0" fontId="79" fillId="2" borderId="28" xfId="0" applyFont="1" applyFill="1" applyBorder="1" applyAlignment="1">
      <alignment vertical="center" wrapText="1"/>
    </xf>
    <xf numFmtId="0" fontId="36" fillId="37" borderId="68" xfId="0" applyFont="1" applyFill="1" applyBorder="1" applyAlignment="1">
      <alignment horizontal="center" vertical="center" wrapText="1"/>
    </xf>
    <xf numFmtId="0" fontId="36" fillId="0" borderId="57" xfId="0" applyFont="1" applyBorder="1"/>
    <xf numFmtId="0" fontId="36" fillId="38" borderId="58" xfId="0" applyFont="1" applyFill="1" applyBorder="1"/>
    <xf numFmtId="43" fontId="75" fillId="0" borderId="0" xfId="293" applyNumberFormat="1" applyFont="1" applyBorder="1" applyAlignment="1">
      <alignment horizontal="center" vertical="center" wrapText="1"/>
    </xf>
    <xf numFmtId="43" fontId="70" fillId="32" borderId="0" xfId="293" applyNumberFormat="1" applyFont="1" applyFill="1" applyBorder="1" applyAlignment="1">
      <alignment horizontal="center" vertical="center" wrapText="1"/>
    </xf>
    <xf numFmtId="0" fontId="0" fillId="38" borderId="69" xfId="0" applyFill="1" applyBorder="1" applyAlignment="1">
      <alignment horizontal="center"/>
    </xf>
    <xf numFmtId="0" fontId="0" fillId="38" borderId="71"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28" borderId="34" xfId="0" applyFill="1" applyBorder="1" applyAlignment="1">
      <alignment horizontal="center"/>
    </xf>
    <xf numFmtId="0" fontId="0" fillId="0" borderId="37" xfId="0" applyBorder="1"/>
    <xf numFmtId="0" fontId="0" fillId="0" borderId="34" xfId="0" applyBorder="1" applyAlignment="1">
      <alignment horizontal="center"/>
    </xf>
    <xf numFmtId="0" fontId="0" fillId="0" borderId="37" xfId="0" applyBorder="1"/>
    <xf numFmtId="42" fontId="53" fillId="0" borderId="34" xfId="294" applyFont="1" applyBorder="1" applyAlignment="1">
      <alignment horizontal="center" vertical="center"/>
    </xf>
    <xf numFmtId="14" fontId="53" fillId="0" borderId="34" xfId="0" applyNumberFormat="1" applyFont="1" applyBorder="1" applyAlignment="1">
      <alignment horizontal="center" vertical="center"/>
    </xf>
    <xf numFmtId="0" fontId="31" fillId="2" borderId="34" xfId="0" applyFont="1" applyFill="1" applyBorder="1" applyAlignment="1">
      <alignment horizontal="center" vertical="center" wrapText="1"/>
    </xf>
    <xf numFmtId="0" fontId="53" fillId="0" borderId="34" xfId="0" applyFont="1" applyBorder="1" applyAlignment="1">
      <alignment horizontal="center" vertical="center" wrapText="1"/>
    </xf>
    <xf numFmtId="182" fontId="31" fillId="28" borderId="47" xfId="0" applyNumberFormat="1" applyFont="1" applyFill="1" applyBorder="1" applyAlignment="1">
      <alignment horizontal="center" vertical="center"/>
    </xf>
    <xf numFmtId="0" fontId="0" fillId="0" borderId="38" xfId="0" applyBorder="1" applyAlignment="1">
      <alignment horizontal="center"/>
    </xf>
    <xf numFmtId="0" fontId="0" fillId="28" borderId="38" xfId="0" applyFill="1" applyBorder="1" applyAlignment="1">
      <alignment horizontal="center"/>
    </xf>
    <xf numFmtId="9" fontId="34" fillId="34" borderId="32" xfId="1" applyFont="1" applyFill="1" applyBorder="1" applyAlignment="1">
      <alignment horizontal="center"/>
    </xf>
    <xf numFmtId="0" fontId="36" fillId="37" borderId="59" xfId="0" applyFont="1" applyFill="1" applyBorder="1" applyAlignment="1">
      <alignment horizontal="center" vertical="center"/>
    </xf>
    <xf numFmtId="0" fontId="0" fillId="38" borderId="23" xfId="0" applyFill="1" applyBorder="1" applyAlignment="1">
      <alignment horizontal="center"/>
    </xf>
    <xf numFmtId="0" fontId="0" fillId="0" borderId="27" xfId="0" applyBorder="1" applyAlignment="1">
      <alignment horizontal="center"/>
    </xf>
    <xf numFmtId="0" fontId="83" fillId="0" borderId="63" xfId="2" applyFont="1" applyBorder="1" applyAlignment="1">
      <alignment horizontal="center" vertical="center" wrapText="1"/>
    </xf>
    <xf numFmtId="0" fontId="82" fillId="0" borderId="75" xfId="2" applyFont="1" applyBorder="1" applyAlignment="1">
      <alignment horizontal="center" vertical="center" wrapText="1"/>
    </xf>
    <xf numFmtId="0" fontId="88" fillId="0" borderId="75" xfId="146" applyFont="1" applyBorder="1" applyAlignment="1">
      <alignment horizontal="justify" vertical="center" wrapText="1"/>
    </xf>
    <xf numFmtId="15" fontId="55" fillId="0" borderId="75" xfId="146" applyNumberFormat="1" applyFont="1" applyBorder="1" applyAlignment="1">
      <alignment horizontal="center" vertical="center"/>
    </xf>
    <xf numFmtId="0" fontId="82" fillId="0" borderId="63" xfId="2" applyFont="1" applyBorder="1" applyAlignment="1">
      <alignment horizontal="center" vertical="center" wrapText="1"/>
    </xf>
    <xf numFmtId="189" fontId="53" fillId="0" borderId="34" xfId="294" applyNumberFormat="1" applyFont="1" applyBorder="1" applyAlignment="1">
      <alignment horizontal="center" vertical="center"/>
    </xf>
    <xf numFmtId="0" fontId="63" fillId="0" borderId="34" xfId="0" applyFont="1" applyBorder="1" applyAlignment="1">
      <alignment horizontal="justify" vertical="center" wrapText="1"/>
    </xf>
    <xf numFmtId="0" fontId="41" fillId="2" borderId="2" xfId="0" applyFont="1" applyFill="1" applyBorder="1" applyAlignment="1">
      <alignment horizontal="center" wrapText="1"/>
    </xf>
    <xf numFmtId="0" fontId="41" fillId="2" borderId="0" xfId="0" applyFont="1" applyFill="1" applyAlignment="1">
      <alignment horizontal="center" wrapText="1"/>
    </xf>
    <xf numFmtId="0" fontId="37" fillId="2" borderId="2" xfId="0" applyFont="1" applyFill="1" applyBorder="1" applyAlignment="1">
      <alignment horizontal="center" vertical="center" wrapText="1"/>
    </xf>
    <xf numFmtId="0" fontId="37" fillId="2" borderId="0" xfId="0" applyFont="1" applyFill="1" applyAlignment="1">
      <alignment horizontal="center" vertical="center" wrapText="1"/>
    </xf>
    <xf numFmtId="0" fontId="42" fillId="2" borderId="2" xfId="0" applyFont="1" applyFill="1" applyBorder="1" applyAlignment="1">
      <alignment horizontal="center" wrapText="1"/>
    </xf>
    <xf numFmtId="0" fontId="42" fillId="2" borderId="0" xfId="0" applyFont="1" applyFill="1" applyAlignment="1">
      <alignment horizontal="center" wrapText="1"/>
    </xf>
    <xf numFmtId="0" fontId="44" fillId="26" borderId="34" xfId="0" applyFont="1" applyFill="1" applyBorder="1" applyAlignment="1">
      <alignment horizontal="center" vertical="center" wrapText="1"/>
    </xf>
    <xf numFmtId="0" fontId="59" fillId="26" borderId="38" xfId="0" applyFont="1" applyFill="1" applyBorder="1" applyAlignment="1">
      <alignment horizontal="center" vertical="center" wrapText="1"/>
    </xf>
    <xf numFmtId="0" fontId="59" fillId="26" borderId="36" xfId="0" applyFont="1" applyFill="1" applyBorder="1" applyAlignment="1">
      <alignment horizontal="center" vertical="center" wrapText="1"/>
    </xf>
    <xf numFmtId="0" fontId="59" fillId="26" borderId="37" xfId="0" applyFont="1" applyFill="1" applyBorder="1" applyAlignment="1">
      <alignment horizontal="center" vertical="center" wrapText="1"/>
    </xf>
    <xf numFmtId="0" fontId="39" fillId="26" borderId="47" xfId="0" applyFont="1" applyFill="1" applyBorder="1" applyAlignment="1">
      <alignment horizontal="center" vertical="center" wrapText="1"/>
    </xf>
    <xf numFmtId="0" fontId="39" fillId="26" borderId="16" xfId="0" applyFont="1" applyFill="1" applyBorder="1" applyAlignment="1">
      <alignment horizontal="center" vertical="center" wrapText="1"/>
    </xf>
    <xf numFmtId="0" fontId="39" fillId="26" borderId="3" xfId="0" applyFont="1" applyFill="1" applyBorder="1" applyAlignment="1">
      <alignment horizontal="center" vertical="center" wrapText="1"/>
    </xf>
    <xf numFmtId="0" fontId="37" fillId="26" borderId="40" xfId="0" applyFont="1" applyFill="1" applyBorder="1" applyAlignment="1">
      <alignment horizontal="center" vertical="center" wrapText="1"/>
    </xf>
    <xf numFmtId="0" fontId="37" fillId="26" borderId="48" xfId="0" applyFont="1" applyFill="1" applyBorder="1" applyAlignment="1">
      <alignment horizontal="center" vertical="center" wrapText="1"/>
    </xf>
    <xf numFmtId="0" fontId="37" fillId="26" borderId="2" xfId="0" applyFont="1" applyFill="1" applyBorder="1" applyAlignment="1">
      <alignment horizontal="center" vertical="center" wrapText="1"/>
    </xf>
    <xf numFmtId="0" fontId="37" fillId="26" borderId="4" xfId="0" applyFont="1" applyFill="1" applyBorder="1" applyAlignment="1">
      <alignment horizontal="center" vertical="center" wrapText="1"/>
    </xf>
    <xf numFmtId="0" fontId="37" fillId="26" borderId="5" xfId="0" applyFont="1" applyFill="1" applyBorder="1" applyAlignment="1">
      <alignment horizontal="center" vertical="center" wrapText="1"/>
    </xf>
    <xf numFmtId="0" fontId="37" fillId="26" borderId="6" xfId="0" applyFont="1" applyFill="1" applyBorder="1" applyAlignment="1">
      <alignment horizontal="center" vertical="center" wrapText="1"/>
    </xf>
    <xf numFmtId="0" fontId="40" fillId="26" borderId="38" xfId="0" applyFont="1" applyFill="1" applyBorder="1" applyAlignment="1">
      <alignment horizontal="center" vertical="center" wrapText="1"/>
    </xf>
    <xf numFmtId="0" fontId="40" fillId="26" borderId="36" xfId="0" applyFont="1" applyFill="1" applyBorder="1" applyAlignment="1">
      <alignment horizontal="center" vertical="center" wrapText="1"/>
    </xf>
    <xf numFmtId="0" fontId="40" fillId="26" borderId="37" xfId="0" applyFont="1" applyFill="1" applyBorder="1" applyAlignment="1">
      <alignment horizontal="center" vertical="center" wrapText="1"/>
    </xf>
    <xf numFmtId="0" fontId="0" fillId="0" borderId="38" xfId="0" applyBorder="1" applyAlignment="1">
      <alignment horizontal="center"/>
    </xf>
    <xf numFmtId="0" fontId="0" fillId="0" borderId="37" xfId="0" applyBorder="1" applyAlignment="1">
      <alignment horizontal="center"/>
    </xf>
    <xf numFmtId="0" fontId="36" fillId="28" borderId="22" xfId="0" applyFont="1" applyFill="1" applyBorder="1" applyAlignment="1">
      <alignment horizontal="center"/>
    </xf>
    <xf numFmtId="0" fontId="36" fillId="28" borderId="23" xfId="0" applyFont="1" applyFill="1" applyBorder="1" applyAlignment="1">
      <alignment horizontal="center"/>
    </xf>
    <xf numFmtId="0" fontId="36" fillId="28" borderId="24" xfId="0" applyFont="1" applyFill="1" applyBorder="1" applyAlignment="1">
      <alignment horizontal="center"/>
    </xf>
    <xf numFmtId="0" fontId="84" fillId="38" borderId="74" xfId="0" applyFont="1" applyFill="1" applyBorder="1" applyAlignment="1">
      <alignment horizontal="center"/>
    </xf>
    <xf numFmtId="0" fontId="84" fillId="38" borderId="70" xfId="0" applyFont="1" applyFill="1" applyBorder="1" applyAlignment="1">
      <alignment horizontal="center"/>
    </xf>
    <xf numFmtId="0" fontId="0" fillId="0" borderId="74" xfId="0" applyBorder="1" applyAlignment="1">
      <alignment horizontal="center"/>
    </xf>
    <xf numFmtId="0" fontId="0" fillId="0" borderId="70" xfId="0" applyBorder="1" applyAlignment="1">
      <alignment horizontal="center"/>
    </xf>
    <xf numFmtId="0" fontId="40" fillId="37" borderId="34" xfId="0" applyFont="1" applyFill="1" applyBorder="1" applyAlignment="1">
      <alignment horizontal="center"/>
    </xf>
    <xf numFmtId="0" fontId="0" fillId="28" borderId="38" xfId="0" applyFill="1" applyBorder="1" applyAlignment="1">
      <alignment horizontal="center"/>
    </xf>
    <xf numFmtId="0" fontId="0" fillId="28" borderId="37" xfId="0" applyFill="1" applyBorder="1" applyAlignment="1">
      <alignment horizontal="center"/>
    </xf>
    <xf numFmtId="185" fontId="49" fillId="2" borderId="22" xfId="0" applyNumberFormat="1" applyFont="1" applyFill="1" applyBorder="1" applyAlignment="1">
      <alignment horizontal="center"/>
    </xf>
    <xf numFmtId="185" fontId="49" fillId="2" borderId="23" xfId="0" applyNumberFormat="1" applyFont="1" applyFill="1" applyBorder="1" applyAlignment="1">
      <alignment horizontal="center"/>
    </xf>
    <xf numFmtId="185" fontId="49" fillId="2" borderId="24" xfId="0" applyNumberFormat="1" applyFont="1" applyFill="1" applyBorder="1" applyAlignment="1">
      <alignment horizontal="center"/>
    </xf>
    <xf numFmtId="0" fontId="65" fillId="0" borderId="29" xfId="0" applyFont="1" applyBorder="1" applyAlignment="1">
      <alignment horizontal="justify" vertical="center"/>
    </xf>
    <xf numFmtId="0" fontId="65" fillId="0" borderId="30" xfId="0" applyFont="1" applyBorder="1" applyAlignment="1">
      <alignment horizontal="justify" vertical="center"/>
    </xf>
    <xf numFmtId="0" fontId="65" fillId="0" borderId="31" xfId="0" applyFont="1" applyBorder="1" applyAlignment="1">
      <alignment horizontal="justify" vertical="center"/>
    </xf>
    <xf numFmtId="0" fontId="65" fillId="0" borderId="25" xfId="0" applyFont="1" applyBorder="1" applyAlignment="1">
      <alignment horizontal="justify" vertical="center"/>
    </xf>
    <xf numFmtId="0" fontId="65" fillId="0" borderId="0" xfId="0" applyFont="1" applyAlignment="1">
      <alignment horizontal="justify" vertical="center"/>
    </xf>
    <xf numFmtId="0" fontId="65" fillId="0" borderId="21" xfId="0" applyFont="1" applyBorder="1" applyAlignment="1">
      <alignment horizontal="justify" vertical="center"/>
    </xf>
    <xf numFmtId="0" fontId="65" fillId="0" borderId="26" xfId="0" applyFont="1" applyBorder="1" applyAlignment="1">
      <alignment horizontal="justify" vertical="center"/>
    </xf>
    <xf numFmtId="0" fontId="65" fillId="0" borderId="27" xfId="0" applyFont="1" applyBorder="1" applyAlignment="1">
      <alignment horizontal="justify" vertical="center"/>
    </xf>
    <xf numFmtId="0" fontId="65" fillId="0" borderId="28" xfId="0" applyFont="1" applyBorder="1" applyAlignment="1">
      <alignment horizontal="justify" vertical="center"/>
    </xf>
    <xf numFmtId="0" fontId="78" fillId="2" borderId="49" xfId="0" applyFont="1" applyFill="1" applyBorder="1" applyAlignment="1">
      <alignment horizontal="center" vertical="center" wrapText="1"/>
    </xf>
    <xf numFmtId="0" fontId="78" fillId="2" borderId="56" xfId="0" applyFont="1" applyFill="1" applyBorder="1" applyAlignment="1">
      <alignment horizontal="center" vertical="center" wrapText="1"/>
    </xf>
    <xf numFmtId="0" fontId="58" fillId="29" borderId="26" xfId="0" applyFont="1" applyFill="1" applyBorder="1" applyAlignment="1">
      <alignment horizontal="right" vertical="center" wrapText="1"/>
    </xf>
    <xf numFmtId="0" fontId="58" fillId="29" borderId="27" xfId="0" applyFont="1" applyFill="1" applyBorder="1" applyAlignment="1">
      <alignment horizontal="right" vertical="center" wrapText="1"/>
    </xf>
    <xf numFmtId="0" fontId="47" fillId="2" borderId="22" xfId="0" applyFont="1" applyFill="1" applyBorder="1" applyAlignment="1">
      <alignment horizontal="center"/>
    </xf>
    <xf numFmtId="0" fontId="47" fillId="2" borderId="23" xfId="0" applyFont="1" applyFill="1" applyBorder="1" applyAlignment="1">
      <alignment horizontal="center"/>
    </xf>
    <xf numFmtId="0" fontId="47" fillId="2" borderId="24" xfId="0" applyFont="1" applyFill="1" applyBorder="1" applyAlignment="1">
      <alignment horizontal="center"/>
    </xf>
    <xf numFmtId="0" fontId="78" fillId="2" borderId="35" xfId="0" applyFont="1" applyFill="1" applyBorder="1" applyAlignment="1">
      <alignment horizontal="center" vertical="center" wrapText="1"/>
    </xf>
    <xf numFmtId="0" fontId="78" fillId="2" borderId="36" xfId="0" applyFont="1" applyFill="1" applyBorder="1" applyAlignment="1">
      <alignment horizontal="center" vertical="center" wrapText="1"/>
    </xf>
    <xf numFmtId="0" fontId="78" fillId="2" borderId="22" xfId="0" applyFont="1" applyFill="1" applyBorder="1" applyAlignment="1">
      <alignment horizontal="center" vertical="center" wrapText="1"/>
    </xf>
    <xf numFmtId="0" fontId="78" fillId="2" borderId="23" xfId="0" applyFont="1" applyFill="1" applyBorder="1" applyAlignment="1">
      <alignment horizontal="center" vertical="center" wrapText="1"/>
    </xf>
    <xf numFmtId="0" fontId="78" fillId="2" borderId="24" xfId="0" applyFont="1" applyFill="1" applyBorder="1" applyAlignment="1">
      <alignment horizontal="center" vertical="center" wrapText="1"/>
    </xf>
    <xf numFmtId="0" fontId="78" fillId="2" borderId="37" xfId="0" applyFont="1" applyFill="1" applyBorder="1" applyAlignment="1">
      <alignment horizontal="center" vertical="center" wrapText="1"/>
    </xf>
    <xf numFmtId="0" fontId="78" fillId="2" borderId="38" xfId="0" applyFont="1" applyFill="1" applyBorder="1" applyAlignment="1">
      <alignment horizontal="center" vertical="center" wrapText="1"/>
    </xf>
    <xf numFmtId="0" fontId="33" fillId="27" borderId="40" xfId="0" applyFont="1" applyFill="1" applyBorder="1" applyAlignment="1">
      <alignment horizontal="center" vertical="center" wrapText="1"/>
    </xf>
    <xf numFmtId="0" fontId="33" fillId="27" borderId="56" xfId="0" applyFont="1" applyFill="1" applyBorder="1" applyAlignment="1">
      <alignment horizontal="center" vertical="center" wrapText="1"/>
    </xf>
    <xf numFmtId="0" fontId="33" fillId="27" borderId="55" xfId="0" applyFont="1" applyFill="1" applyBorder="1" applyAlignment="1">
      <alignment horizontal="center" vertical="center" wrapText="1"/>
    </xf>
    <xf numFmtId="0" fontId="58" fillId="25" borderId="35" xfId="0" applyFont="1" applyFill="1" applyBorder="1" applyAlignment="1">
      <alignment horizontal="center" vertical="center"/>
    </xf>
    <xf numFmtId="0" fontId="58" fillId="25" borderId="36" xfId="0" applyFont="1" applyFill="1" applyBorder="1" applyAlignment="1">
      <alignment horizontal="center" vertical="center"/>
    </xf>
    <xf numFmtId="0" fontId="58" fillId="25" borderId="39" xfId="0" applyFont="1" applyFill="1" applyBorder="1" applyAlignment="1">
      <alignment horizontal="center" vertical="center"/>
    </xf>
    <xf numFmtId="0" fontId="77" fillId="2" borderId="35" xfId="0" applyFont="1" applyFill="1" applyBorder="1" applyAlignment="1">
      <alignment horizontal="center" vertical="center" wrapText="1"/>
    </xf>
    <xf numFmtId="0" fontId="77" fillId="2" borderId="36" xfId="0" applyFont="1" applyFill="1" applyBorder="1" applyAlignment="1">
      <alignment horizontal="center" vertical="center" wrapText="1"/>
    </xf>
    <xf numFmtId="0" fontId="77" fillId="2" borderId="37" xfId="0" applyFont="1" applyFill="1" applyBorder="1" applyAlignment="1">
      <alignment horizontal="center" vertical="center" wrapText="1"/>
    </xf>
    <xf numFmtId="0" fontId="58" fillId="25" borderId="33" xfId="0" applyFont="1" applyFill="1" applyBorder="1" applyAlignment="1">
      <alignment horizontal="center" vertical="center"/>
    </xf>
    <xf numFmtId="0" fontId="58" fillId="25" borderId="34" xfId="0" applyFont="1" applyFill="1" applyBorder="1" applyAlignment="1">
      <alignment horizontal="center" vertical="center"/>
    </xf>
    <xf numFmtId="0" fontId="58" fillId="25" borderId="32" xfId="0" applyFont="1" applyFill="1" applyBorder="1" applyAlignment="1">
      <alignment horizontal="center" vertical="center"/>
    </xf>
    <xf numFmtId="0" fontId="78" fillId="2" borderId="33" xfId="0" applyFont="1" applyFill="1" applyBorder="1" applyAlignment="1">
      <alignment horizontal="center" vertical="center" wrapText="1"/>
    </xf>
    <xf numFmtId="0" fontId="78" fillId="2" borderId="34" xfId="0" applyFont="1" applyFill="1" applyBorder="1" applyAlignment="1">
      <alignment horizontal="center" vertical="center" wrapText="1"/>
    </xf>
    <xf numFmtId="0" fontId="78" fillId="2" borderId="40" xfId="0" applyFont="1" applyFill="1" applyBorder="1" applyAlignment="1">
      <alignment horizontal="center" vertical="center" wrapText="1"/>
    </xf>
    <xf numFmtId="0" fontId="78" fillId="2" borderId="48" xfId="0" applyFont="1" applyFill="1" applyBorder="1" applyAlignment="1">
      <alignment horizontal="center" vertical="center" wrapText="1"/>
    </xf>
    <xf numFmtId="0" fontId="78" fillId="2" borderId="2" xfId="0" applyFont="1" applyFill="1" applyBorder="1" applyAlignment="1">
      <alignment horizontal="center" vertical="center" wrapText="1"/>
    </xf>
    <xf numFmtId="0" fontId="78" fillId="2" borderId="0" xfId="0" applyFont="1" applyFill="1" applyAlignment="1">
      <alignment horizontal="center" vertical="center" wrapText="1"/>
    </xf>
    <xf numFmtId="0" fontId="78" fillId="2" borderId="5" xfId="0" applyFont="1" applyFill="1" applyBorder="1" applyAlignment="1">
      <alignment horizontal="center" vertical="center" wrapText="1"/>
    </xf>
    <xf numFmtId="0" fontId="78" fillId="2" borderId="1" xfId="0" applyFont="1" applyFill="1" applyBorder="1" applyAlignment="1">
      <alignment horizontal="center" vertical="center" wrapText="1"/>
    </xf>
    <xf numFmtId="0" fontId="78" fillId="2" borderId="50" xfId="0" applyFont="1" applyFill="1" applyBorder="1" applyAlignment="1">
      <alignment horizontal="center" vertical="center" wrapText="1"/>
    </xf>
    <xf numFmtId="0" fontId="78" fillId="2" borderId="6" xfId="0" applyFont="1" applyFill="1" applyBorder="1" applyAlignment="1">
      <alignment horizontal="center" vertical="center" wrapText="1"/>
    </xf>
    <xf numFmtId="183" fontId="56" fillId="2" borderId="36" xfId="0" applyNumberFormat="1" applyFont="1" applyFill="1" applyBorder="1" applyAlignment="1">
      <alignment horizontal="center" vertical="center" wrapText="1"/>
    </xf>
    <xf numFmtId="0" fontId="74" fillId="2" borderId="35" xfId="0" applyFont="1" applyFill="1" applyBorder="1" applyAlignment="1">
      <alignment horizontal="center" vertical="center" wrapText="1"/>
    </xf>
    <xf numFmtId="0" fontId="74" fillId="2" borderId="36" xfId="0" applyFont="1" applyFill="1" applyBorder="1" applyAlignment="1">
      <alignment horizontal="center" vertical="center" wrapText="1"/>
    </xf>
    <xf numFmtId="0" fontId="74" fillId="2" borderId="39" xfId="0" applyFont="1" applyFill="1" applyBorder="1" applyAlignment="1">
      <alignment horizontal="center" vertical="center" wrapText="1"/>
    </xf>
    <xf numFmtId="0" fontId="69" fillId="0" borderId="0" xfId="0" applyFont="1" applyAlignment="1">
      <alignment horizontal="center" wrapText="1"/>
    </xf>
    <xf numFmtId="165" fontId="80" fillId="26" borderId="33" xfId="0" applyNumberFormat="1" applyFont="1" applyFill="1" applyBorder="1" applyAlignment="1">
      <alignment horizontal="center" vertical="center" textRotation="90" wrapText="1"/>
    </xf>
    <xf numFmtId="165" fontId="72" fillId="26" borderId="36" xfId="0" applyNumberFormat="1" applyFont="1" applyFill="1" applyBorder="1" applyAlignment="1">
      <alignment horizontal="center" vertical="center" textRotation="90" wrapText="1"/>
    </xf>
    <xf numFmtId="165" fontId="72" fillId="26" borderId="37" xfId="0" applyNumberFormat="1" applyFont="1" applyFill="1" applyBorder="1" applyAlignment="1">
      <alignment horizontal="center" vertical="center" textRotation="90" wrapText="1"/>
    </xf>
    <xf numFmtId="0" fontId="58" fillId="25" borderId="37" xfId="0" applyFont="1" applyFill="1" applyBorder="1" applyAlignment="1">
      <alignment horizontal="center" vertical="center"/>
    </xf>
    <xf numFmtId="0" fontId="33" fillId="26" borderId="33" xfId="0" applyFont="1" applyFill="1" applyBorder="1" applyAlignment="1">
      <alignment horizontal="center" vertical="center"/>
    </xf>
    <xf numFmtId="0" fontId="33" fillId="26" borderId="34" xfId="0" applyFont="1" applyFill="1" applyBorder="1" applyAlignment="1">
      <alignment horizontal="center" vertical="center"/>
    </xf>
    <xf numFmtId="0" fontId="33" fillId="26" borderId="32" xfId="0" applyFont="1" applyFill="1" applyBorder="1" applyAlignment="1">
      <alignment horizontal="center" vertical="center"/>
    </xf>
    <xf numFmtId="165" fontId="72" fillId="26" borderId="52" xfId="0" applyNumberFormat="1" applyFont="1" applyFill="1" applyBorder="1" applyAlignment="1">
      <alignment horizontal="center" vertical="center" textRotation="90" wrapText="1"/>
    </xf>
    <xf numFmtId="165" fontId="72" fillId="26" borderId="53" xfId="0" applyNumberFormat="1" applyFont="1" applyFill="1" applyBorder="1" applyAlignment="1">
      <alignment horizontal="center" vertical="center" textRotation="90" wrapText="1"/>
    </xf>
    <xf numFmtId="182" fontId="31" fillId="28" borderId="38" xfId="0" applyNumberFormat="1" applyFont="1" applyFill="1" applyBorder="1" applyAlignment="1">
      <alignment horizontal="center" vertical="center"/>
    </xf>
    <xf numFmtId="182" fontId="31" fillId="28" borderId="39" xfId="0" applyNumberFormat="1" applyFont="1" applyFill="1" applyBorder="1" applyAlignment="1">
      <alignment horizontal="center" vertical="center"/>
    </xf>
    <xf numFmtId="0" fontId="38" fillId="0" borderId="0" xfId="0" applyFont="1" applyAlignment="1">
      <alignment horizontal="center"/>
    </xf>
    <xf numFmtId="0" fontId="68" fillId="31" borderId="5" xfId="0" applyFont="1" applyFill="1" applyBorder="1" applyAlignment="1">
      <alignment horizontal="center"/>
    </xf>
    <xf numFmtId="0" fontId="68" fillId="31" borderId="1" xfId="0" applyFont="1" applyFill="1" applyBorder="1" applyAlignment="1">
      <alignment horizontal="center"/>
    </xf>
    <xf numFmtId="0" fontId="68" fillId="31" borderId="6" xfId="0" applyFont="1" applyFill="1" applyBorder="1" applyAlignment="1">
      <alignment horizontal="center"/>
    </xf>
    <xf numFmtId="4" fontId="54" fillId="2" borderId="38" xfId="0" applyNumberFormat="1" applyFont="1" applyFill="1" applyBorder="1" applyAlignment="1">
      <alignment horizontal="center"/>
    </xf>
    <xf numFmtId="4" fontId="54" fillId="2" borderId="36" xfId="0" applyNumberFormat="1" applyFont="1" applyFill="1" applyBorder="1" applyAlignment="1">
      <alignment horizontal="center"/>
    </xf>
    <xf numFmtId="4" fontId="54" fillId="2" borderId="37" xfId="0" applyNumberFormat="1" applyFont="1" applyFill="1" applyBorder="1" applyAlignment="1">
      <alignment horizontal="center"/>
    </xf>
    <xf numFmtId="4" fontId="52" fillId="28" borderId="38" xfId="0" applyNumberFormat="1" applyFont="1" applyFill="1" applyBorder="1" applyAlignment="1">
      <alignment horizontal="left"/>
    </xf>
    <xf numFmtId="4" fontId="52" fillId="28" borderId="36" xfId="0" applyNumberFormat="1" applyFont="1" applyFill="1" applyBorder="1" applyAlignment="1">
      <alignment horizontal="left"/>
    </xf>
    <xf numFmtId="4" fontId="52" fillId="28" borderId="39" xfId="0" applyNumberFormat="1" applyFont="1" applyFill="1" applyBorder="1" applyAlignment="1">
      <alignment horizontal="left"/>
    </xf>
    <xf numFmtId="0" fontId="50" fillId="2" borderId="38" xfId="0" applyFont="1" applyFill="1" applyBorder="1" applyAlignment="1">
      <alignment horizontal="center" vertical="center"/>
    </xf>
    <xf numFmtId="0" fontId="50" fillId="2" borderId="37" xfId="0" applyFont="1" applyFill="1" applyBorder="1" applyAlignment="1">
      <alignment horizontal="center" vertical="center"/>
    </xf>
    <xf numFmtId="0" fontId="53" fillId="2" borderId="36" xfId="0" applyFont="1" applyFill="1" applyBorder="1" applyAlignment="1">
      <alignment horizontal="center" vertical="center" wrapText="1"/>
    </xf>
    <xf numFmtId="0" fontId="53" fillId="2" borderId="37" xfId="0" applyFont="1" applyFill="1" applyBorder="1" applyAlignment="1">
      <alignment horizontal="center" vertical="center" wrapText="1"/>
    </xf>
    <xf numFmtId="0" fontId="35" fillId="2" borderId="37" xfId="0" applyFont="1" applyFill="1" applyBorder="1" applyAlignment="1">
      <alignment horizontal="center"/>
    </xf>
    <xf numFmtId="0" fontId="35" fillId="2" borderId="34" xfId="0" applyFont="1" applyFill="1" applyBorder="1" applyAlignment="1">
      <alignment horizontal="center"/>
    </xf>
    <xf numFmtId="0" fontId="67" fillId="31" borderId="17" xfId="0" applyFont="1" applyFill="1" applyBorder="1" applyAlignment="1">
      <alignment horizontal="center" vertical="center"/>
    </xf>
    <xf numFmtId="0" fontId="67" fillId="31" borderId="18" xfId="0" applyFont="1" applyFill="1" applyBorder="1" applyAlignment="1">
      <alignment horizontal="center" vertical="center"/>
    </xf>
    <xf numFmtId="0" fontId="67" fillId="31" borderId="19" xfId="0" applyFont="1" applyFill="1" applyBorder="1" applyAlignment="1">
      <alignment horizontal="center" vertical="center"/>
    </xf>
    <xf numFmtId="0" fontId="58" fillId="31" borderId="33" xfId="0" applyFont="1" applyFill="1" applyBorder="1" applyAlignment="1">
      <alignment horizontal="center"/>
    </xf>
    <xf numFmtId="0" fontId="58" fillId="31" borderId="34" xfId="0" applyFont="1" applyFill="1" applyBorder="1" applyAlignment="1">
      <alignment horizontal="center"/>
    </xf>
    <xf numFmtId="0" fontId="58" fillId="31" borderId="32" xfId="0" applyFont="1" applyFill="1" applyBorder="1" applyAlignment="1">
      <alignment horizontal="center"/>
    </xf>
    <xf numFmtId="0" fontId="3" fillId="33" borderId="49" xfId="0" applyFont="1" applyFill="1" applyBorder="1" applyAlignment="1">
      <alignment horizontal="center" vertical="center" wrapText="1"/>
    </xf>
    <xf numFmtId="0" fontId="3" fillId="33" borderId="56" xfId="0" applyFont="1" applyFill="1" applyBorder="1" applyAlignment="1">
      <alignment horizontal="center" vertical="center" wrapText="1"/>
    </xf>
    <xf numFmtId="0" fontId="3" fillId="33" borderId="36" xfId="0" applyFont="1" applyFill="1" applyBorder="1" applyAlignment="1">
      <alignment horizontal="center" vertical="center" wrapText="1"/>
    </xf>
    <xf numFmtId="0" fontId="3" fillId="33" borderId="39" xfId="0" applyFont="1" applyFill="1" applyBorder="1" applyAlignment="1">
      <alignment horizontal="center" vertical="center" wrapText="1"/>
    </xf>
    <xf numFmtId="0" fontId="45" fillId="2" borderId="34" xfId="0" applyFont="1" applyFill="1" applyBorder="1" applyAlignment="1">
      <alignment horizontal="center" vertical="center"/>
    </xf>
    <xf numFmtId="0" fontId="50" fillId="2" borderId="40" xfId="0" applyFont="1" applyFill="1" applyBorder="1" applyAlignment="1">
      <alignment horizontal="center" vertical="center"/>
    </xf>
    <xf numFmtId="0" fontId="50" fillId="2" borderId="56" xfId="0" applyFont="1" applyFill="1" applyBorder="1" applyAlignment="1">
      <alignment horizontal="center" vertical="center"/>
    </xf>
    <xf numFmtId="0" fontId="50" fillId="2" borderId="48" xfId="0" applyFont="1" applyFill="1" applyBorder="1" applyAlignment="1">
      <alignment horizontal="center" vertical="center"/>
    </xf>
    <xf numFmtId="0" fontId="50" fillId="2" borderId="2" xfId="0" applyFont="1" applyFill="1" applyBorder="1" applyAlignment="1">
      <alignment horizontal="center" vertical="center"/>
    </xf>
    <xf numFmtId="0" fontId="50" fillId="2" borderId="0" xfId="0" applyFont="1" applyFill="1" applyAlignment="1">
      <alignment horizontal="center" vertical="center"/>
    </xf>
    <xf numFmtId="0" fontId="50" fillId="2" borderId="4" xfId="0" applyFont="1" applyFill="1" applyBorder="1" applyAlignment="1">
      <alignment horizontal="center" vertical="center"/>
    </xf>
    <xf numFmtId="0" fontId="50" fillId="2" borderId="5" xfId="0" applyFont="1" applyFill="1" applyBorder="1" applyAlignment="1">
      <alignment horizontal="center" vertical="center"/>
    </xf>
    <xf numFmtId="0" fontId="50" fillId="2" borderId="1" xfId="0" applyFont="1" applyFill="1" applyBorder="1" applyAlignment="1">
      <alignment horizontal="center" vertical="center"/>
    </xf>
    <xf numFmtId="0" fontId="50" fillId="2" borderId="6" xfId="0" applyFont="1" applyFill="1" applyBorder="1" applyAlignment="1">
      <alignment horizontal="center" vertical="center"/>
    </xf>
    <xf numFmtId="0" fontId="53" fillId="34" borderId="37" xfId="0" applyFont="1" applyFill="1" applyBorder="1" applyAlignment="1">
      <alignment horizontal="center" vertical="center" wrapText="1"/>
    </xf>
    <xf numFmtId="0" fontId="53" fillId="34" borderId="34" xfId="0" applyFont="1" applyFill="1" applyBorder="1" applyAlignment="1">
      <alignment horizontal="center" vertical="center" wrapText="1"/>
    </xf>
    <xf numFmtId="0" fontId="53" fillId="34" borderId="36" xfId="0" applyFont="1" applyFill="1" applyBorder="1" applyAlignment="1">
      <alignment horizontal="center"/>
    </xf>
    <xf numFmtId="0" fontId="53" fillId="34" borderId="37" xfId="0" applyFont="1" applyFill="1" applyBorder="1" applyAlignment="1">
      <alignment horizontal="center"/>
    </xf>
    <xf numFmtId="0" fontId="53" fillId="34" borderId="36" xfId="0" applyFont="1" applyFill="1" applyBorder="1" applyAlignment="1">
      <alignment horizontal="center" vertical="center" wrapText="1"/>
    </xf>
    <xf numFmtId="165" fontId="80" fillId="26" borderId="33" xfId="0" applyNumberFormat="1" applyFont="1" applyFill="1" applyBorder="1" applyAlignment="1">
      <alignment vertical="center" textRotation="90" wrapText="1"/>
    </xf>
    <xf numFmtId="0" fontId="34" fillId="34" borderId="36" xfId="0" applyFont="1" applyFill="1" applyBorder="1" applyAlignment="1">
      <alignment horizontal="center"/>
    </xf>
    <xf numFmtId="0" fontId="34" fillId="34" borderId="37" xfId="0" applyFont="1" applyFill="1" applyBorder="1" applyAlignment="1">
      <alignment horizontal="center"/>
    </xf>
    <xf numFmtId="14" fontId="53" fillId="0" borderId="47" xfId="0" applyNumberFormat="1" applyFont="1" applyBorder="1" applyAlignment="1">
      <alignment horizontal="center" vertical="center"/>
    </xf>
    <xf numFmtId="14" fontId="53" fillId="0" borderId="3" xfId="0" applyNumberFormat="1" applyFont="1" applyBorder="1" applyAlignment="1">
      <alignment horizontal="center" vertical="center"/>
    </xf>
    <xf numFmtId="189" fontId="53" fillId="0" borderId="47" xfId="294" applyNumberFormat="1" applyFont="1" applyBorder="1" applyAlignment="1">
      <alignment horizontal="center" vertical="center"/>
    </xf>
    <xf numFmtId="189" fontId="53" fillId="0" borderId="3" xfId="294" applyNumberFormat="1" applyFont="1" applyBorder="1" applyAlignment="1">
      <alignment horizontal="center" vertical="center"/>
    </xf>
    <xf numFmtId="4" fontId="53" fillId="0" borderId="47" xfId="0" applyNumberFormat="1" applyFont="1" applyBorder="1" applyAlignment="1">
      <alignment horizontal="center" vertical="center"/>
    </xf>
    <xf numFmtId="4" fontId="53" fillId="0" borderId="3" xfId="0" applyNumberFormat="1" applyFont="1" applyBorder="1" applyAlignment="1">
      <alignment horizontal="center" vertical="center"/>
    </xf>
    <xf numFmtId="0" fontId="31" fillId="2" borderId="47" xfId="0" applyFont="1" applyFill="1" applyBorder="1" applyAlignment="1">
      <alignment horizontal="center" vertical="center" wrapText="1"/>
    </xf>
    <xf numFmtId="0" fontId="31" fillId="2" borderId="3" xfId="0" applyFont="1" applyFill="1" applyBorder="1" applyAlignment="1">
      <alignment horizontal="center" vertical="center" wrapText="1"/>
    </xf>
    <xf numFmtId="0" fontId="53" fillId="0" borderId="47" xfId="0" applyFont="1" applyBorder="1" applyAlignment="1">
      <alignment horizontal="center" vertical="center" wrapText="1"/>
    </xf>
    <xf numFmtId="0" fontId="53" fillId="0" borderId="3" xfId="0" applyFont="1" applyBorder="1" applyAlignment="1">
      <alignment horizontal="center" vertical="center" wrapText="1"/>
    </xf>
    <xf numFmtId="165" fontId="80" fillId="26" borderId="33" xfId="0" applyNumberFormat="1" applyFont="1" applyFill="1" applyBorder="1" applyAlignment="1">
      <alignment horizontal="right" vertical="center" textRotation="90" wrapText="1"/>
    </xf>
    <xf numFmtId="0" fontId="34" fillId="34" borderId="36" xfId="0" applyFont="1" applyFill="1" applyBorder="1" applyAlignment="1">
      <alignment horizontal="center" wrapText="1"/>
    </xf>
    <xf numFmtId="0" fontId="79" fillId="2" borderId="5" xfId="0" applyFont="1" applyFill="1" applyBorder="1" applyAlignment="1">
      <alignment horizontal="center" vertical="center" wrapText="1"/>
    </xf>
    <xf numFmtId="0" fontId="79" fillId="2" borderId="1" xfId="0" applyFont="1" applyFill="1" applyBorder="1" applyAlignment="1">
      <alignment horizontal="center" vertical="center" wrapText="1"/>
    </xf>
    <xf numFmtId="0" fontId="79" fillId="2" borderId="20" xfId="0" applyFont="1" applyFill="1" applyBorder="1" applyAlignment="1">
      <alignment horizontal="center" vertical="center" wrapText="1"/>
    </xf>
  </cellXfs>
  <cellStyles count="331">
    <cellStyle name="0,0_x000d__x000a_NA_x000d__x000a_" xfId="5" xr:uid="{00000000-0005-0000-0000-000000000000}"/>
    <cellStyle name="0,0_x000d__x000a_NA_x000d__x000a_ 2" xfId="6" xr:uid="{00000000-0005-0000-0000-000001000000}"/>
    <cellStyle name="20% - Accent1" xfId="7" xr:uid="{00000000-0005-0000-0000-000002000000}"/>
    <cellStyle name="20% - Accent2" xfId="8" xr:uid="{00000000-0005-0000-0000-000003000000}"/>
    <cellStyle name="20% - Accent3" xfId="9" xr:uid="{00000000-0005-0000-0000-000004000000}"/>
    <cellStyle name="20% - Accent4" xfId="10" xr:uid="{00000000-0005-0000-0000-000005000000}"/>
    <cellStyle name="20% - Accent5" xfId="11" xr:uid="{00000000-0005-0000-0000-000006000000}"/>
    <cellStyle name="20% - Accent6" xfId="12" xr:uid="{00000000-0005-0000-0000-000007000000}"/>
    <cellStyle name="20% - Énfasis1 2" xfId="13" xr:uid="{00000000-0005-0000-0000-000008000000}"/>
    <cellStyle name="20% - Énfasis2 2" xfId="14" xr:uid="{00000000-0005-0000-0000-000009000000}"/>
    <cellStyle name="20% - Énfasis3 2" xfId="15" xr:uid="{00000000-0005-0000-0000-00000A000000}"/>
    <cellStyle name="20% - Énfasis4 2" xfId="16" xr:uid="{00000000-0005-0000-0000-00000B000000}"/>
    <cellStyle name="20% - Énfasis5 2" xfId="17" xr:uid="{00000000-0005-0000-0000-00000C000000}"/>
    <cellStyle name="20% - Énfasis6 2" xfId="18" xr:uid="{00000000-0005-0000-0000-00000D000000}"/>
    <cellStyle name="40% - Accent1" xfId="19" xr:uid="{00000000-0005-0000-0000-00000E000000}"/>
    <cellStyle name="40% - Accent2" xfId="20" xr:uid="{00000000-0005-0000-0000-00000F000000}"/>
    <cellStyle name="40% - Accent3" xfId="21" xr:uid="{00000000-0005-0000-0000-000010000000}"/>
    <cellStyle name="40% - Accent4" xfId="22" xr:uid="{00000000-0005-0000-0000-000011000000}"/>
    <cellStyle name="40% - Accent5" xfId="23" xr:uid="{00000000-0005-0000-0000-000012000000}"/>
    <cellStyle name="40% - Accent6" xfId="24" xr:uid="{00000000-0005-0000-0000-000013000000}"/>
    <cellStyle name="40% - Énfasis1 2" xfId="25" xr:uid="{00000000-0005-0000-0000-000014000000}"/>
    <cellStyle name="40% - Énfasis2 2" xfId="26" xr:uid="{00000000-0005-0000-0000-000015000000}"/>
    <cellStyle name="40% - Énfasis3 2" xfId="27" xr:uid="{00000000-0005-0000-0000-000016000000}"/>
    <cellStyle name="40% - Énfasis4 2" xfId="28" xr:uid="{00000000-0005-0000-0000-000017000000}"/>
    <cellStyle name="40% - Énfasis5 2" xfId="29" xr:uid="{00000000-0005-0000-0000-000018000000}"/>
    <cellStyle name="40% - Énfasis6 2" xfId="30" xr:uid="{00000000-0005-0000-0000-000019000000}"/>
    <cellStyle name="60% - Accent1" xfId="31" xr:uid="{00000000-0005-0000-0000-00001A000000}"/>
    <cellStyle name="60% - Accent2" xfId="32" xr:uid="{00000000-0005-0000-0000-00001B000000}"/>
    <cellStyle name="60% - Accent3" xfId="33" xr:uid="{00000000-0005-0000-0000-00001C000000}"/>
    <cellStyle name="60% - Accent4" xfId="34" xr:uid="{00000000-0005-0000-0000-00001D000000}"/>
    <cellStyle name="60% - Accent5" xfId="35" xr:uid="{00000000-0005-0000-0000-00001E000000}"/>
    <cellStyle name="60% - Accent6" xfId="36" xr:uid="{00000000-0005-0000-0000-00001F000000}"/>
    <cellStyle name="60% - Énfasis1 2" xfId="37" xr:uid="{00000000-0005-0000-0000-000020000000}"/>
    <cellStyle name="60% - Énfasis2 2" xfId="38" xr:uid="{00000000-0005-0000-0000-000021000000}"/>
    <cellStyle name="60% - Énfasis3 2" xfId="39" xr:uid="{00000000-0005-0000-0000-000022000000}"/>
    <cellStyle name="60% - Énfasis4 2" xfId="40" xr:uid="{00000000-0005-0000-0000-000023000000}"/>
    <cellStyle name="60% - Énfasis5 2" xfId="41" xr:uid="{00000000-0005-0000-0000-000024000000}"/>
    <cellStyle name="60% - Énfasis6 2" xfId="42" xr:uid="{00000000-0005-0000-0000-000025000000}"/>
    <cellStyle name="Accent1" xfId="43" xr:uid="{00000000-0005-0000-0000-000026000000}"/>
    <cellStyle name="Accent2" xfId="44" xr:uid="{00000000-0005-0000-0000-000027000000}"/>
    <cellStyle name="Accent3" xfId="45" xr:uid="{00000000-0005-0000-0000-000028000000}"/>
    <cellStyle name="Accent4" xfId="46" xr:uid="{00000000-0005-0000-0000-000029000000}"/>
    <cellStyle name="Accent5" xfId="47" xr:uid="{00000000-0005-0000-0000-00002A000000}"/>
    <cellStyle name="Accent6" xfId="48" xr:uid="{00000000-0005-0000-0000-00002B000000}"/>
    <cellStyle name="Bad" xfId="49" xr:uid="{00000000-0005-0000-0000-00002C000000}"/>
    <cellStyle name="Buena 2" xfId="50" xr:uid="{00000000-0005-0000-0000-00002D000000}"/>
    <cellStyle name="Calculation" xfId="51" xr:uid="{00000000-0005-0000-0000-00002E000000}"/>
    <cellStyle name="Calculation 2" xfId="52" xr:uid="{00000000-0005-0000-0000-00002F000000}"/>
    <cellStyle name="Calculation 3" xfId="53" xr:uid="{00000000-0005-0000-0000-000030000000}"/>
    <cellStyle name="Calculation 4" xfId="54" xr:uid="{00000000-0005-0000-0000-000031000000}"/>
    <cellStyle name="Calculation 5" xfId="55" xr:uid="{00000000-0005-0000-0000-000032000000}"/>
    <cellStyle name="Calculation 6" xfId="56" xr:uid="{00000000-0005-0000-0000-000033000000}"/>
    <cellStyle name="Calculation 7" xfId="57" xr:uid="{00000000-0005-0000-0000-000034000000}"/>
    <cellStyle name="Calculation 8" xfId="58" xr:uid="{00000000-0005-0000-0000-000035000000}"/>
    <cellStyle name="Calculation 9" xfId="59" xr:uid="{00000000-0005-0000-0000-000036000000}"/>
    <cellStyle name="Cálculo 2" xfId="60" xr:uid="{00000000-0005-0000-0000-000037000000}"/>
    <cellStyle name="Cálculo 2 2" xfId="61" xr:uid="{00000000-0005-0000-0000-000038000000}"/>
    <cellStyle name="Cálculo 2 3" xfId="62" xr:uid="{00000000-0005-0000-0000-000039000000}"/>
    <cellStyle name="Cálculo 2 4" xfId="63" xr:uid="{00000000-0005-0000-0000-00003A000000}"/>
    <cellStyle name="Cálculo 2 5" xfId="64" xr:uid="{00000000-0005-0000-0000-00003B000000}"/>
    <cellStyle name="Cálculo 2 6" xfId="65" xr:uid="{00000000-0005-0000-0000-00003C000000}"/>
    <cellStyle name="Cálculo 2 7" xfId="66" xr:uid="{00000000-0005-0000-0000-00003D000000}"/>
    <cellStyle name="Cálculo 2 8" xfId="67" xr:uid="{00000000-0005-0000-0000-00003E000000}"/>
    <cellStyle name="Cálculo 2 9" xfId="68" xr:uid="{00000000-0005-0000-0000-00003F000000}"/>
    <cellStyle name="Celda de comprobación 2" xfId="69" xr:uid="{00000000-0005-0000-0000-000040000000}"/>
    <cellStyle name="Celda vinculada 2" xfId="70" xr:uid="{00000000-0005-0000-0000-000041000000}"/>
    <cellStyle name="Check Cell" xfId="71" xr:uid="{00000000-0005-0000-0000-000042000000}"/>
    <cellStyle name="Comma" xfId="231" xr:uid="{00000000-0005-0000-0000-000043000000}"/>
    <cellStyle name="Currency" xfId="232" xr:uid="{00000000-0005-0000-0000-000044000000}"/>
    <cellStyle name="Date" xfId="233" xr:uid="{00000000-0005-0000-0000-000045000000}"/>
    <cellStyle name="Encabezado 1" xfId="234" xr:uid="{00000000-0005-0000-0000-000046000000}"/>
    <cellStyle name="Encabezado 2" xfId="235" xr:uid="{00000000-0005-0000-0000-000047000000}"/>
    <cellStyle name="Encabezado 4 2" xfId="72" xr:uid="{00000000-0005-0000-0000-000048000000}"/>
    <cellStyle name="Énfasis1 2" xfId="73" xr:uid="{00000000-0005-0000-0000-000049000000}"/>
    <cellStyle name="Énfasis2 2" xfId="74" xr:uid="{00000000-0005-0000-0000-00004A000000}"/>
    <cellStyle name="Énfasis3 2" xfId="75" xr:uid="{00000000-0005-0000-0000-00004B000000}"/>
    <cellStyle name="Énfasis4 2" xfId="76" xr:uid="{00000000-0005-0000-0000-00004C000000}"/>
    <cellStyle name="Énfasis5 2" xfId="77" xr:uid="{00000000-0005-0000-0000-00004D000000}"/>
    <cellStyle name="Énfasis6 2" xfId="78" xr:uid="{00000000-0005-0000-0000-00004E000000}"/>
    <cellStyle name="Entrada 2" xfId="79" xr:uid="{00000000-0005-0000-0000-00004F000000}"/>
    <cellStyle name="Entrada 2 2" xfId="80" xr:uid="{00000000-0005-0000-0000-000050000000}"/>
    <cellStyle name="Entrada 2 3" xfId="81" xr:uid="{00000000-0005-0000-0000-000051000000}"/>
    <cellStyle name="Entrada 2 4" xfId="82" xr:uid="{00000000-0005-0000-0000-000052000000}"/>
    <cellStyle name="Entrada 2 5" xfId="83" xr:uid="{00000000-0005-0000-0000-000053000000}"/>
    <cellStyle name="Entrada 2 6" xfId="84" xr:uid="{00000000-0005-0000-0000-000054000000}"/>
    <cellStyle name="Entrada 2 7" xfId="85" xr:uid="{00000000-0005-0000-0000-000055000000}"/>
    <cellStyle name="Entrada 2 8" xfId="86" xr:uid="{00000000-0005-0000-0000-000056000000}"/>
    <cellStyle name="Entrada 2 9" xfId="87" xr:uid="{00000000-0005-0000-0000-000057000000}"/>
    <cellStyle name="Estilo 1" xfId="236" xr:uid="{00000000-0005-0000-0000-000058000000}"/>
    <cellStyle name="Euro" xfId="88" xr:uid="{00000000-0005-0000-0000-000059000000}"/>
    <cellStyle name="Euro 2" xfId="237" xr:uid="{00000000-0005-0000-0000-00005A000000}"/>
    <cellStyle name="Explanatory Text" xfId="89" xr:uid="{00000000-0005-0000-0000-00005B000000}"/>
    <cellStyle name="F2" xfId="238" xr:uid="{00000000-0005-0000-0000-00005C000000}"/>
    <cellStyle name="F3" xfId="239" xr:uid="{00000000-0005-0000-0000-00005D000000}"/>
    <cellStyle name="F4" xfId="240" xr:uid="{00000000-0005-0000-0000-00005E000000}"/>
    <cellStyle name="F5" xfId="241" xr:uid="{00000000-0005-0000-0000-00005F000000}"/>
    <cellStyle name="F6" xfId="242" xr:uid="{00000000-0005-0000-0000-000060000000}"/>
    <cellStyle name="F7" xfId="243" xr:uid="{00000000-0005-0000-0000-000061000000}"/>
    <cellStyle name="F8" xfId="244" xr:uid="{00000000-0005-0000-0000-000062000000}"/>
    <cellStyle name="Fecha" xfId="245" xr:uid="{00000000-0005-0000-0000-000063000000}"/>
    <cellStyle name="Fecha 2" xfId="246" xr:uid="{00000000-0005-0000-0000-000064000000}"/>
    <cellStyle name="Fijo" xfId="247" xr:uid="{00000000-0005-0000-0000-000065000000}"/>
    <cellStyle name="Fijo 2" xfId="248" xr:uid="{00000000-0005-0000-0000-000066000000}"/>
    <cellStyle name="Fixed" xfId="249" xr:uid="{00000000-0005-0000-0000-000067000000}"/>
    <cellStyle name="Good" xfId="90" xr:uid="{00000000-0005-0000-0000-000068000000}"/>
    <cellStyle name="Heading 1" xfId="91" xr:uid="{00000000-0005-0000-0000-000069000000}"/>
    <cellStyle name="Heading 2" xfId="92" xr:uid="{00000000-0005-0000-0000-00006A000000}"/>
    <cellStyle name="Heading 3" xfId="93" xr:uid="{00000000-0005-0000-0000-00006B000000}"/>
    <cellStyle name="Heading 4" xfId="94" xr:uid="{00000000-0005-0000-0000-00006C000000}"/>
    <cellStyle name="Heading1" xfId="250" xr:uid="{00000000-0005-0000-0000-00006D000000}"/>
    <cellStyle name="Heading2" xfId="251" xr:uid="{00000000-0005-0000-0000-00006E000000}"/>
    <cellStyle name="Hipervínculo" xfId="293" builtinId="8"/>
    <cellStyle name="Hipervínculo 2" xfId="4" xr:uid="{00000000-0005-0000-0000-000070000000}"/>
    <cellStyle name="Hipervínculo 2 2" xfId="252" xr:uid="{00000000-0005-0000-0000-000071000000}"/>
    <cellStyle name="Incorrecto 2" xfId="95" xr:uid="{00000000-0005-0000-0000-000072000000}"/>
    <cellStyle name="Input" xfId="96" xr:uid="{00000000-0005-0000-0000-000073000000}"/>
    <cellStyle name="Input 2" xfId="97" xr:uid="{00000000-0005-0000-0000-000074000000}"/>
    <cellStyle name="Input 3" xfId="98" xr:uid="{00000000-0005-0000-0000-000075000000}"/>
    <cellStyle name="Input 4" xfId="99" xr:uid="{00000000-0005-0000-0000-000076000000}"/>
    <cellStyle name="Input 5" xfId="100" xr:uid="{00000000-0005-0000-0000-000077000000}"/>
    <cellStyle name="Input 6" xfId="101" xr:uid="{00000000-0005-0000-0000-000078000000}"/>
    <cellStyle name="Input 7" xfId="102" xr:uid="{00000000-0005-0000-0000-000079000000}"/>
    <cellStyle name="Input 8" xfId="103" xr:uid="{00000000-0005-0000-0000-00007A000000}"/>
    <cellStyle name="Input 9" xfId="104" xr:uid="{00000000-0005-0000-0000-00007B000000}"/>
    <cellStyle name="Linked Cell" xfId="105" xr:uid="{00000000-0005-0000-0000-00007C000000}"/>
    <cellStyle name="Millares [0]" xfId="288" builtinId="6"/>
    <cellStyle name="Millares [0] 2" xfId="253" xr:uid="{00000000-0005-0000-0000-00007E000000}"/>
    <cellStyle name="Millares [0] 3" xfId="289" xr:uid="{00000000-0005-0000-0000-00007F000000}"/>
    <cellStyle name="Millares 10" xfId="291" xr:uid="{00000000-0005-0000-0000-000080000000}"/>
    <cellStyle name="Millares 11" xfId="295" xr:uid="{00000000-0005-0000-0000-000081000000}"/>
    <cellStyle name="Millares 12" xfId="292" xr:uid="{00000000-0005-0000-0000-000082000000}"/>
    <cellStyle name="Millares 13" xfId="321" xr:uid="{861E1995-7540-45E6-8DD2-A2A994B1864A}"/>
    <cellStyle name="Millares 14" xfId="328" xr:uid="{5CFEC0E0-054C-4F3B-9970-FB9E128CD69D}"/>
    <cellStyle name="Millares 15" xfId="327" xr:uid="{673F98AD-CCCE-4803-9C1D-30DD890D6FDE}"/>
    <cellStyle name="Millares 2" xfId="106" xr:uid="{00000000-0005-0000-0000-000083000000}"/>
    <cellStyle name="Millares 2 2" xfId="3" xr:uid="{00000000-0005-0000-0000-000084000000}"/>
    <cellStyle name="Millares 2 2 2" xfId="107" xr:uid="{00000000-0005-0000-0000-000085000000}"/>
    <cellStyle name="Millares 2 2 3" xfId="254" xr:uid="{00000000-0005-0000-0000-000086000000}"/>
    <cellStyle name="Millares 2 2 4" xfId="317" xr:uid="{3B6F1991-11B5-4C29-8770-FE896EA5E3E2}"/>
    <cellStyle name="Millares 2 3" xfId="108" xr:uid="{00000000-0005-0000-0000-000087000000}"/>
    <cellStyle name="Millares 2 3 2" xfId="255" xr:uid="{00000000-0005-0000-0000-000088000000}"/>
    <cellStyle name="Millares 2 3 3" xfId="325" xr:uid="{19030EFE-F99B-4915-9F06-0A75EBE3DB13}"/>
    <cellStyle name="Millares 2 4" xfId="109" xr:uid="{00000000-0005-0000-0000-000089000000}"/>
    <cellStyle name="Millares 2 5" xfId="110" xr:uid="{00000000-0005-0000-0000-00008A000000}"/>
    <cellStyle name="Millares 2 6" xfId="111" xr:uid="{00000000-0005-0000-0000-00008B000000}"/>
    <cellStyle name="Millares 2 7" xfId="311" xr:uid="{65EBC4D3-DCB0-4E46-ABB7-B294A3BD76F0}"/>
    <cellStyle name="Millares 3" xfId="112" xr:uid="{00000000-0005-0000-0000-00008C000000}"/>
    <cellStyle name="Millares 3 2" xfId="113" xr:uid="{00000000-0005-0000-0000-00008D000000}"/>
    <cellStyle name="Millares 3 2 2" xfId="258" xr:uid="{00000000-0005-0000-0000-00008E000000}"/>
    <cellStyle name="Millares 3 2 3" xfId="257" xr:uid="{00000000-0005-0000-0000-00008F000000}"/>
    <cellStyle name="Millares 3 3" xfId="114" xr:uid="{00000000-0005-0000-0000-000090000000}"/>
    <cellStyle name="Millares 3 3 2" xfId="259" xr:uid="{00000000-0005-0000-0000-000091000000}"/>
    <cellStyle name="Millares 3 4" xfId="256" xr:uid="{00000000-0005-0000-0000-000092000000}"/>
    <cellStyle name="Millares 3 5" xfId="320" xr:uid="{4936E234-E72C-4439-BDE2-9D510952FA34}"/>
    <cellStyle name="Millares 4" xfId="115" xr:uid="{00000000-0005-0000-0000-000093000000}"/>
    <cellStyle name="Millares 4 2" xfId="260" xr:uid="{00000000-0005-0000-0000-000094000000}"/>
    <cellStyle name="Millares 4 2 2" xfId="261" xr:uid="{00000000-0005-0000-0000-000095000000}"/>
    <cellStyle name="Millares 4 3" xfId="262" xr:uid="{00000000-0005-0000-0000-000096000000}"/>
    <cellStyle name="Millares 5" xfId="116" xr:uid="{00000000-0005-0000-0000-000097000000}"/>
    <cellStyle name="Millares 5 2" xfId="117" xr:uid="{00000000-0005-0000-0000-000098000000}"/>
    <cellStyle name="Millares 5 2 2" xfId="264" xr:uid="{00000000-0005-0000-0000-000099000000}"/>
    <cellStyle name="Millares 5 3" xfId="263" xr:uid="{00000000-0005-0000-0000-00009A000000}"/>
    <cellStyle name="Millares 6" xfId="118" xr:uid="{00000000-0005-0000-0000-00009B000000}"/>
    <cellStyle name="Millares 6 2" xfId="265" xr:uid="{00000000-0005-0000-0000-00009C000000}"/>
    <cellStyle name="Millares 7" xfId="119" xr:uid="{00000000-0005-0000-0000-00009D000000}"/>
    <cellStyle name="Millares 8" xfId="120" xr:uid="{00000000-0005-0000-0000-00009E000000}"/>
    <cellStyle name="Millares 9" xfId="290" xr:uid="{00000000-0005-0000-0000-00009F000000}"/>
    <cellStyle name="MillÔres [0]_LISTADO MAESTRO DE DOCUMENTOS" xfId="266" xr:uid="{00000000-0005-0000-0000-0000A0000000}"/>
    <cellStyle name="Moneda [0]" xfId="294" builtinId="7"/>
    <cellStyle name="Moneda [0] 2" xfId="297" xr:uid="{B9C55D7C-8593-4B22-B562-F05C53AF32FD}"/>
    <cellStyle name="Moneda 10" xfId="299" xr:uid="{D3D4799E-DD87-4B9D-AFF6-1802507BB9E9}"/>
    <cellStyle name="Moneda 11" xfId="300" xr:uid="{544FC93C-5E95-41BC-AD61-69E86C72AA99}"/>
    <cellStyle name="Moneda 12" xfId="301" xr:uid="{EA125A65-7310-4190-831B-5EF707EAAA25}"/>
    <cellStyle name="Moneda 13" xfId="298" xr:uid="{B2E49559-5F1A-473F-AA90-5855AFF2FEC6}"/>
    <cellStyle name="Moneda 14" xfId="302" xr:uid="{1B6F5A6D-563A-493E-82D6-1927D044FC3B}"/>
    <cellStyle name="Moneda 15" xfId="303" xr:uid="{A7099941-45B4-4749-A1D7-FEA178B39BF4}"/>
    <cellStyle name="Moneda 16" xfId="304" xr:uid="{62095A01-44EC-4674-9A5E-2FC9A5913B13}"/>
    <cellStyle name="Moneda 17" xfId="322" xr:uid="{464ACB98-5639-4CBA-8CC9-2D36A46CE1DF}"/>
    <cellStyle name="Moneda 18" xfId="329" xr:uid="{AB8C760B-5458-4926-B9C2-D37481B16BD2}"/>
    <cellStyle name="Moneda 19" xfId="330" xr:uid="{CFD95579-2B68-4ACD-BEB7-888E0B4E1C83}"/>
    <cellStyle name="Moneda 2" xfId="121" xr:uid="{00000000-0005-0000-0000-0000A2000000}"/>
    <cellStyle name="Moneda 2 10" xfId="267" xr:uid="{00000000-0005-0000-0000-0000A3000000}"/>
    <cellStyle name="Moneda 2 11" xfId="305" xr:uid="{FF82C83F-2DA6-49E7-9C14-3F834F6AE2F3}"/>
    <cellStyle name="Moneda 2 2" xfId="122" xr:uid="{00000000-0005-0000-0000-0000A4000000}"/>
    <cellStyle name="Moneda 2 2 2" xfId="123" xr:uid="{00000000-0005-0000-0000-0000A5000000}"/>
    <cellStyle name="Moneda 2 2 2 2 2" xfId="313" xr:uid="{2AF50BD4-A23A-4690-84F7-ECE9101CAC2E}"/>
    <cellStyle name="Moneda 2 2 3" xfId="124" xr:uid="{00000000-0005-0000-0000-0000A6000000}"/>
    <cellStyle name="Moneda 2 2 4" xfId="268" xr:uid="{00000000-0005-0000-0000-0000A7000000}"/>
    <cellStyle name="Moneda 2 2 5" xfId="312" xr:uid="{B4CBC50A-E31E-49C8-98E1-1A47F9CC4D22}"/>
    <cellStyle name="Moneda 2 3" xfId="125" xr:uid="{00000000-0005-0000-0000-0000A8000000}"/>
    <cellStyle name="Moneda 2 3 2" xfId="318" xr:uid="{1088714D-D96D-40AE-8E51-3EA74818DAF7}"/>
    <cellStyle name="Moneda 2 4" xfId="126" xr:uid="{00000000-0005-0000-0000-0000A9000000}"/>
    <cellStyle name="Moneda 2 5" xfId="127" xr:uid="{00000000-0005-0000-0000-0000AA000000}"/>
    <cellStyle name="Moneda 2 6" xfId="128" xr:uid="{00000000-0005-0000-0000-0000AB000000}"/>
    <cellStyle name="Moneda 2 7" xfId="129" xr:uid="{00000000-0005-0000-0000-0000AC000000}"/>
    <cellStyle name="Moneda 2 8" xfId="130" xr:uid="{00000000-0005-0000-0000-0000AD000000}"/>
    <cellStyle name="Moneda 2 8 2" xfId="131" xr:uid="{00000000-0005-0000-0000-0000AE000000}"/>
    <cellStyle name="Moneda 2 9" xfId="132" xr:uid="{00000000-0005-0000-0000-0000AF000000}"/>
    <cellStyle name="Moneda 3" xfId="133" xr:uid="{00000000-0005-0000-0000-0000B0000000}"/>
    <cellStyle name="Moneda 3 2" xfId="134" xr:uid="{00000000-0005-0000-0000-0000B1000000}"/>
    <cellStyle name="Moneda 4" xfId="135" xr:uid="{00000000-0005-0000-0000-0000B2000000}"/>
    <cellStyle name="Moneda 5" xfId="136" xr:uid="{00000000-0005-0000-0000-0000B3000000}"/>
    <cellStyle name="Moneda 6" xfId="137" xr:uid="{00000000-0005-0000-0000-0000B4000000}"/>
    <cellStyle name="Moneda 7" xfId="138" xr:uid="{00000000-0005-0000-0000-0000B5000000}"/>
    <cellStyle name="Moneda 8" xfId="139" xr:uid="{00000000-0005-0000-0000-0000B6000000}"/>
    <cellStyle name="Moneda 9" xfId="296" xr:uid="{AAC996C1-7F45-4859-AD45-701F5A463B91}"/>
    <cellStyle name="Moneda0" xfId="269" xr:uid="{00000000-0005-0000-0000-0000B7000000}"/>
    <cellStyle name="Moneda0 2" xfId="270" xr:uid="{00000000-0005-0000-0000-0000B8000000}"/>
    <cellStyle name="Neutral 2" xfId="140" xr:uid="{00000000-0005-0000-0000-0000B9000000}"/>
    <cellStyle name="Normal" xfId="0" builtinId="0"/>
    <cellStyle name="Normal 10" xfId="141" xr:uid="{00000000-0005-0000-0000-0000BB000000}"/>
    <cellStyle name="Normal 11" xfId="142" xr:uid="{00000000-0005-0000-0000-0000BC000000}"/>
    <cellStyle name="Normal 12" xfId="143" xr:uid="{00000000-0005-0000-0000-0000BD000000}"/>
    <cellStyle name="Normal 12 2" xfId="271" xr:uid="{00000000-0005-0000-0000-0000BE000000}"/>
    <cellStyle name="Normal 13" xfId="144" xr:uid="{00000000-0005-0000-0000-0000BF000000}"/>
    <cellStyle name="Normal 13 2" xfId="310" xr:uid="{D416240C-8F45-4699-B929-83AD80407812}"/>
    <cellStyle name="Normal 2" xfId="2" xr:uid="{00000000-0005-0000-0000-0000C0000000}"/>
    <cellStyle name="Normal 2 10 3" xfId="309" xr:uid="{C860A34B-5012-4B92-9323-B178AC8B81D3}"/>
    <cellStyle name="Normal 2 2" xfId="145" xr:uid="{00000000-0005-0000-0000-0000C1000000}"/>
    <cellStyle name="Normal 2 2 2" xfId="146" xr:uid="{00000000-0005-0000-0000-0000C2000000}"/>
    <cellStyle name="Normal 2 2 3" xfId="273" xr:uid="{00000000-0005-0000-0000-0000C3000000}"/>
    <cellStyle name="Normal 2 2 4" xfId="287" xr:uid="{00000000-0005-0000-0000-0000C4000000}"/>
    <cellStyle name="Normal 2 3" xfId="274" xr:uid="{00000000-0005-0000-0000-0000C5000000}"/>
    <cellStyle name="Normal 2 3 2" xfId="275" xr:uid="{00000000-0005-0000-0000-0000C6000000}"/>
    <cellStyle name="Normal 2 3 3" xfId="316" xr:uid="{5B445265-2C6A-455F-B2BC-8E756C45D13D}"/>
    <cellStyle name="Normal 2 4" xfId="276" xr:uid="{00000000-0005-0000-0000-0000C7000000}"/>
    <cellStyle name="Normal 2 5" xfId="272" xr:uid="{00000000-0005-0000-0000-0000C8000000}"/>
    <cellStyle name="Normal 20" xfId="324" xr:uid="{DD124F7C-483A-42A7-B3DE-3E92F79428BD}"/>
    <cellStyle name="Normal 3" xfId="147" xr:uid="{00000000-0005-0000-0000-0000C9000000}"/>
    <cellStyle name="Normal 3 11" xfId="308" xr:uid="{12122A58-29E3-47FD-9C3F-289EEEC72024}"/>
    <cellStyle name="Normal 3 2" xfId="148" xr:uid="{00000000-0005-0000-0000-0000CA000000}"/>
    <cellStyle name="Normal 3 2 2" xfId="149" xr:uid="{00000000-0005-0000-0000-0000CB000000}"/>
    <cellStyle name="Normal 3 2 3" xfId="150" xr:uid="{00000000-0005-0000-0000-0000CC000000}"/>
    <cellStyle name="Normal 3 2 4" xfId="277" xr:uid="{00000000-0005-0000-0000-0000CD000000}"/>
    <cellStyle name="Normal 3 3" xfId="315" xr:uid="{25684040-1BD7-4CF9-98BC-C721874DEDAB}"/>
    <cellStyle name="Normal 3 4" xfId="307" xr:uid="{8BFC0575-6D44-4A51-B611-FF136BA32217}"/>
    <cellStyle name="Normal 4" xfId="151" xr:uid="{00000000-0005-0000-0000-0000CE000000}"/>
    <cellStyle name="Normal 4 2" xfId="152" xr:uid="{00000000-0005-0000-0000-0000CF000000}"/>
    <cellStyle name="Normal 4 2 2" xfId="279" xr:uid="{00000000-0005-0000-0000-0000D0000000}"/>
    <cellStyle name="Normal 4 3" xfId="278" xr:uid="{00000000-0005-0000-0000-0000D1000000}"/>
    <cellStyle name="Normal 4 4" xfId="323" xr:uid="{1D82AEA9-CE82-451F-91E9-7834D0A88E18}"/>
    <cellStyle name="Normal 5" xfId="153" xr:uid="{00000000-0005-0000-0000-0000D2000000}"/>
    <cellStyle name="Normal 5 2" xfId="154" xr:uid="{00000000-0005-0000-0000-0000D3000000}"/>
    <cellStyle name="Normal 5 2 2" xfId="155" xr:uid="{00000000-0005-0000-0000-0000D4000000}"/>
    <cellStyle name="Normal 5 3" xfId="156" xr:uid="{00000000-0005-0000-0000-0000D5000000}"/>
    <cellStyle name="Normal 5 4" xfId="157" xr:uid="{00000000-0005-0000-0000-0000D6000000}"/>
    <cellStyle name="Normal 5 5" xfId="280" xr:uid="{00000000-0005-0000-0000-0000D7000000}"/>
    <cellStyle name="Normal 5 6" xfId="326" xr:uid="{F6C7966B-D636-46F3-B584-31A66F004CCA}"/>
    <cellStyle name="Normal 6" xfId="158" xr:uid="{00000000-0005-0000-0000-0000D8000000}"/>
    <cellStyle name="Normal 6 2" xfId="159" xr:uid="{00000000-0005-0000-0000-0000D9000000}"/>
    <cellStyle name="Normal 6 3" xfId="281" xr:uid="{00000000-0005-0000-0000-0000DA000000}"/>
    <cellStyle name="Normal 7" xfId="160" xr:uid="{00000000-0005-0000-0000-0000DB000000}"/>
    <cellStyle name="Normal 7 2" xfId="161" xr:uid="{00000000-0005-0000-0000-0000DC000000}"/>
    <cellStyle name="Normal 8" xfId="162" xr:uid="{00000000-0005-0000-0000-0000DD000000}"/>
    <cellStyle name="Normal 9" xfId="163" xr:uid="{00000000-0005-0000-0000-0000DE000000}"/>
    <cellStyle name="Notas 2" xfId="164" xr:uid="{00000000-0005-0000-0000-0000DF000000}"/>
    <cellStyle name="Notas 2 2" xfId="165" xr:uid="{00000000-0005-0000-0000-0000E0000000}"/>
    <cellStyle name="Notas 2 3" xfId="166" xr:uid="{00000000-0005-0000-0000-0000E1000000}"/>
    <cellStyle name="Notas 2 4" xfId="167" xr:uid="{00000000-0005-0000-0000-0000E2000000}"/>
    <cellStyle name="Notas 2 5" xfId="168" xr:uid="{00000000-0005-0000-0000-0000E3000000}"/>
    <cellStyle name="Notas 2 6" xfId="169" xr:uid="{00000000-0005-0000-0000-0000E4000000}"/>
    <cellStyle name="Notas 2 7" xfId="170" xr:uid="{00000000-0005-0000-0000-0000E5000000}"/>
    <cellStyle name="Notas 2 8" xfId="171" xr:uid="{00000000-0005-0000-0000-0000E6000000}"/>
    <cellStyle name="Notas 2 9" xfId="172" xr:uid="{00000000-0005-0000-0000-0000E7000000}"/>
    <cellStyle name="Note" xfId="173" xr:uid="{00000000-0005-0000-0000-0000E8000000}"/>
    <cellStyle name="Note 2" xfId="174" xr:uid="{00000000-0005-0000-0000-0000E9000000}"/>
    <cellStyle name="Note 3" xfId="175" xr:uid="{00000000-0005-0000-0000-0000EA000000}"/>
    <cellStyle name="Note 4" xfId="176" xr:uid="{00000000-0005-0000-0000-0000EB000000}"/>
    <cellStyle name="Note 5" xfId="177" xr:uid="{00000000-0005-0000-0000-0000EC000000}"/>
    <cellStyle name="Note 6" xfId="178" xr:uid="{00000000-0005-0000-0000-0000ED000000}"/>
    <cellStyle name="Note 7" xfId="179" xr:uid="{00000000-0005-0000-0000-0000EE000000}"/>
    <cellStyle name="Note 8" xfId="180" xr:uid="{00000000-0005-0000-0000-0000EF000000}"/>
    <cellStyle name="Note 9" xfId="181" xr:uid="{00000000-0005-0000-0000-0000F0000000}"/>
    <cellStyle name="Output" xfId="182" xr:uid="{00000000-0005-0000-0000-0000F1000000}"/>
    <cellStyle name="Output 2" xfId="183" xr:uid="{00000000-0005-0000-0000-0000F2000000}"/>
    <cellStyle name="Output 3" xfId="184" xr:uid="{00000000-0005-0000-0000-0000F3000000}"/>
    <cellStyle name="Output 4" xfId="185" xr:uid="{00000000-0005-0000-0000-0000F4000000}"/>
    <cellStyle name="Output 5" xfId="186" xr:uid="{00000000-0005-0000-0000-0000F5000000}"/>
    <cellStyle name="Output 6" xfId="187" xr:uid="{00000000-0005-0000-0000-0000F6000000}"/>
    <cellStyle name="Output 7" xfId="188" xr:uid="{00000000-0005-0000-0000-0000F7000000}"/>
    <cellStyle name="Output 8" xfId="189" xr:uid="{00000000-0005-0000-0000-0000F8000000}"/>
    <cellStyle name="Output 9" xfId="190" xr:uid="{00000000-0005-0000-0000-0000F9000000}"/>
    <cellStyle name="Percent" xfId="1" xr:uid="{00000000-0005-0000-0000-0000FA000000}"/>
    <cellStyle name="Porcentaje 2" xfId="191" xr:uid="{00000000-0005-0000-0000-0000FC000000}"/>
    <cellStyle name="Porcentaje 2 2" xfId="283" xr:uid="{00000000-0005-0000-0000-0000FD000000}"/>
    <cellStyle name="Porcentaje 2 2 2" xfId="314" xr:uid="{B3D171EA-132F-40F2-8DAD-DBCAE9F44448}"/>
    <cellStyle name="Porcentaje 2 3" xfId="282" xr:uid="{00000000-0005-0000-0000-0000FE000000}"/>
    <cellStyle name="Porcentaje 2 4" xfId="319" xr:uid="{D14EC8F2-957A-4828-88ED-0ACD5CE75133}"/>
    <cellStyle name="Porcentaje 3" xfId="192" xr:uid="{00000000-0005-0000-0000-0000FF000000}"/>
    <cellStyle name="Porcentaje 4" xfId="193" xr:uid="{00000000-0005-0000-0000-000000010000}"/>
    <cellStyle name="Porcentaje 5" xfId="306" xr:uid="{F02C998E-20E9-40E9-B40B-7343D2B31F73}"/>
    <cellStyle name="Porcentual 2" xfId="194" xr:uid="{00000000-0005-0000-0000-000001010000}"/>
    <cellStyle name="Porcentual 2 2" xfId="195" xr:uid="{00000000-0005-0000-0000-000002010000}"/>
    <cellStyle name="Porcentual 2 3" xfId="196" xr:uid="{00000000-0005-0000-0000-000003010000}"/>
    <cellStyle name="Porcentual 2 4" xfId="197" xr:uid="{00000000-0005-0000-0000-000004010000}"/>
    <cellStyle name="Porcentual 2 5" xfId="198" xr:uid="{00000000-0005-0000-0000-000005010000}"/>
    <cellStyle name="Porcentual 2 6" xfId="199" xr:uid="{00000000-0005-0000-0000-000006010000}"/>
    <cellStyle name="Porcentual 2 7" xfId="200" xr:uid="{00000000-0005-0000-0000-000007010000}"/>
    <cellStyle name="Porcentual 2 8" xfId="201" xr:uid="{00000000-0005-0000-0000-000008010000}"/>
    <cellStyle name="Porcentual 3" xfId="202" xr:uid="{00000000-0005-0000-0000-000009010000}"/>
    <cellStyle name="Porcentual 3 2" xfId="284" xr:uid="{00000000-0005-0000-0000-00000A010000}"/>
    <cellStyle name="Porcentual 4" xfId="203" xr:uid="{00000000-0005-0000-0000-00000B010000}"/>
    <cellStyle name="Porcentual 4 2" xfId="204" xr:uid="{00000000-0005-0000-0000-00000C010000}"/>
    <cellStyle name="Punto0" xfId="285" xr:uid="{00000000-0005-0000-0000-00000D010000}"/>
    <cellStyle name="Punto0 2" xfId="286" xr:uid="{00000000-0005-0000-0000-00000E010000}"/>
    <cellStyle name="Salida 2" xfId="205" xr:uid="{00000000-0005-0000-0000-00000F010000}"/>
    <cellStyle name="Salida 2 2" xfId="206" xr:uid="{00000000-0005-0000-0000-000010010000}"/>
    <cellStyle name="Salida 2 3" xfId="207" xr:uid="{00000000-0005-0000-0000-000011010000}"/>
    <cellStyle name="Salida 2 4" xfId="208" xr:uid="{00000000-0005-0000-0000-000012010000}"/>
    <cellStyle name="Salida 2 5" xfId="209" xr:uid="{00000000-0005-0000-0000-000013010000}"/>
    <cellStyle name="Salida 2 6" xfId="210" xr:uid="{00000000-0005-0000-0000-000014010000}"/>
    <cellStyle name="Salida 2 7" xfId="211" xr:uid="{00000000-0005-0000-0000-000015010000}"/>
    <cellStyle name="Salida 2 8" xfId="212" xr:uid="{00000000-0005-0000-0000-000016010000}"/>
    <cellStyle name="Salida 2 9" xfId="213" xr:uid="{00000000-0005-0000-0000-000017010000}"/>
    <cellStyle name="Texto de advertencia 2" xfId="214" xr:uid="{00000000-0005-0000-0000-000018010000}"/>
    <cellStyle name="Texto explicativo 2" xfId="215" xr:uid="{00000000-0005-0000-0000-000019010000}"/>
    <cellStyle name="Title" xfId="216" xr:uid="{00000000-0005-0000-0000-00001A010000}"/>
    <cellStyle name="Título 1 2" xfId="217" xr:uid="{00000000-0005-0000-0000-00001B010000}"/>
    <cellStyle name="Título 2 2" xfId="218" xr:uid="{00000000-0005-0000-0000-00001C010000}"/>
    <cellStyle name="Título 3 2" xfId="219" xr:uid="{00000000-0005-0000-0000-00001D010000}"/>
    <cellStyle name="Título 4" xfId="220" xr:uid="{00000000-0005-0000-0000-00001E010000}"/>
    <cellStyle name="Total 2" xfId="221" xr:uid="{00000000-0005-0000-0000-00001F010000}"/>
    <cellStyle name="Total 2 2" xfId="222" xr:uid="{00000000-0005-0000-0000-000020010000}"/>
    <cellStyle name="Total 2 3" xfId="223" xr:uid="{00000000-0005-0000-0000-000021010000}"/>
    <cellStyle name="Total 2 4" xfId="224" xr:uid="{00000000-0005-0000-0000-000022010000}"/>
    <cellStyle name="Total 2 5" xfId="225" xr:uid="{00000000-0005-0000-0000-000023010000}"/>
    <cellStyle name="Total 2 6" xfId="226" xr:uid="{00000000-0005-0000-0000-000024010000}"/>
    <cellStyle name="Total 2 7" xfId="227" xr:uid="{00000000-0005-0000-0000-000025010000}"/>
    <cellStyle name="Total 2 8" xfId="228" xr:uid="{00000000-0005-0000-0000-000026010000}"/>
    <cellStyle name="Total 2 9" xfId="229" xr:uid="{00000000-0005-0000-0000-000027010000}"/>
    <cellStyle name="Warning Text" xfId="230" xr:uid="{00000000-0005-0000-0000-000028010000}"/>
  </cellStyles>
  <dxfs count="327">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s>
  <tableStyles count="0" defaultTableStyle="TableStyleMedium2" defaultPivotStyle="PivotStyleLight16"/>
  <colors>
    <mruColors>
      <color rgb="FF50F828"/>
      <color rgb="FFFF00FF"/>
      <color rgb="FF00FFFF"/>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104775</xdr:rowOff>
    </xdr:from>
    <xdr:to>
      <xdr:col>1</xdr:col>
      <xdr:colOff>1081297</xdr:colOff>
      <xdr:row>2</xdr:row>
      <xdr:rowOff>266701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13334" t="14902" r="13939" b="12941"/>
        <a:stretch/>
      </xdr:blipFill>
      <xdr:spPr>
        <a:xfrm>
          <a:off x="342900" y="104775"/>
          <a:ext cx="1205122" cy="9239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23812</xdr:colOff>
      <xdr:row>0</xdr:row>
      <xdr:rowOff>23813</xdr:rowOff>
    </xdr:from>
    <xdr:to>
      <xdr:col>22</xdr:col>
      <xdr:colOff>403250</xdr:colOff>
      <xdr:row>80</xdr:row>
      <xdr:rowOff>92196</xdr:rowOff>
    </xdr:to>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1"/>
        <a:stretch>
          <a:fillRect/>
        </a:stretch>
      </xdr:blipFill>
      <xdr:spPr>
        <a:xfrm>
          <a:off x="23812" y="23813"/>
          <a:ext cx="17143438" cy="15308383"/>
        </a:xfrm>
        <a:prstGeom prst="rect">
          <a:avLst/>
        </a:prstGeom>
      </xdr:spPr>
    </xdr:pic>
    <xdr:clientData/>
  </xdr:twoCellAnchor>
  <xdr:twoCellAnchor editAs="oneCell">
    <xdr:from>
      <xdr:col>22</xdr:col>
      <xdr:colOff>333375</xdr:colOff>
      <xdr:row>0</xdr:row>
      <xdr:rowOff>0</xdr:rowOff>
    </xdr:from>
    <xdr:to>
      <xdr:col>29</xdr:col>
      <xdr:colOff>120459</xdr:colOff>
      <xdr:row>30</xdr:row>
      <xdr:rowOff>70605</xdr:rowOff>
    </xdr:to>
    <xdr:pic>
      <xdr:nvPicPr>
        <xdr:cNvPr id="24" name="Imagen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2">
          <a:duotone>
            <a:prstClr val="black"/>
            <a:schemeClr val="accent4">
              <a:tint val="45000"/>
              <a:satMod val="400000"/>
            </a:schemeClr>
          </a:duotone>
        </a:blip>
        <a:stretch>
          <a:fillRect/>
        </a:stretch>
      </xdr:blipFill>
      <xdr:spPr>
        <a:xfrm>
          <a:off x="17097375" y="0"/>
          <a:ext cx="5121084" cy="57856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754813</xdr:rowOff>
    </xdr:to>
    <xdr:pic>
      <xdr:nvPicPr>
        <xdr:cNvPr id="2" name="Imagen 1">
          <a:extLst>
            <a:ext uri="{FF2B5EF4-FFF2-40B4-BE49-F238E27FC236}">
              <a16:creationId xmlns:a16="http://schemas.microsoft.com/office/drawing/2014/main" id="{ABA715A7-E9D7-4F94-A4C0-AD77D577F615}"/>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26</xdr:row>
      <xdr:rowOff>1915130</xdr:rowOff>
    </xdr:to>
    <xdr:pic>
      <xdr:nvPicPr>
        <xdr:cNvPr id="2" name="Imagen 1">
          <a:extLst>
            <a:ext uri="{FF2B5EF4-FFF2-40B4-BE49-F238E27FC236}">
              <a16:creationId xmlns:a16="http://schemas.microsoft.com/office/drawing/2014/main" id="{F2D4EBDD-5353-4E89-B2E2-A25AC383D0F8}"/>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26</xdr:row>
      <xdr:rowOff>1915131</xdr:rowOff>
    </xdr:to>
    <xdr:pic>
      <xdr:nvPicPr>
        <xdr:cNvPr id="2" name="Imagen 1">
          <a:extLst>
            <a:ext uri="{FF2B5EF4-FFF2-40B4-BE49-F238E27FC236}">
              <a16:creationId xmlns:a16="http://schemas.microsoft.com/office/drawing/2014/main" id="{DB01D156-C2BF-4E35-970D-E98D1580E908}"/>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26</xdr:row>
      <xdr:rowOff>1897813</xdr:rowOff>
    </xdr:to>
    <xdr:pic>
      <xdr:nvPicPr>
        <xdr:cNvPr id="2" name="Imagen 1">
          <a:extLst>
            <a:ext uri="{FF2B5EF4-FFF2-40B4-BE49-F238E27FC236}">
              <a16:creationId xmlns:a16="http://schemas.microsoft.com/office/drawing/2014/main" id="{33612A93-74D4-43F0-83EB-F21430261DDF}"/>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454127</xdr:colOff>
      <xdr:row>26</xdr:row>
      <xdr:rowOff>1895908</xdr:rowOff>
    </xdr:to>
    <xdr:pic>
      <xdr:nvPicPr>
        <xdr:cNvPr id="2" name="Imagen 1">
          <a:extLst>
            <a:ext uri="{FF2B5EF4-FFF2-40B4-BE49-F238E27FC236}">
              <a16:creationId xmlns:a16="http://schemas.microsoft.com/office/drawing/2014/main" id="{5BF16E15-852B-44DC-BCDD-BEA874A0F381}"/>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26</xdr:row>
      <xdr:rowOff>1915130</xdr:rowOff>
    </xdr:to>
    <xdr:pic>
      <xdr:nvPicPr>
        <xdr:cNvPr id="2" name="Imagen 1">
          <a:extLst>
            <a:ext uri="{FF2B5EF4-FFF2-40B4-BE49-F238E27FC236}">
              <a16:creationId xmlns:a16="http://schemas.microsoft.com/office/drawing/2014/main" id="{6D296A37-605A-4510-B340-075A9F2437F0}"/>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26</xdr:row>
      <xdr:rowOff>1911420</xdr:rowOff>
    </xdr:to>
    <xdr:pic>
      <xdr:nvPicPr>
        <xdr:cNvPr id="2" name="Imagen 1">
          <a:extLst>
            <a:ext uri="{FF2B5EF4-FFF2-40B4-BE49-F238E27FC236}">
              <a16:creationId xmlns:a16="http://schemas.microsoft.com/office/drawing/2014/main" id="{CE83BA99-69EB-E498-878E-5DCE87755142}"/>
            </a:ext>
          </a:extLst>
        </xdr:cNvPr>
        <xdr:cNvPicPr>
          <a:picLocks noChangeAspect="1"/>
        </xdr:cNvPicPr>
      </xdr:nvPicPr>
      <xdr:blipFill>
        <a:blip xmlns:r="http://schemas.openxmlformats.org/officeDocument/2006/relationships" r:embed="rId1"/>
        <a:stretch>
          <a:fillRect/>
        </a:stretch>
      </xdr:blipFill>
      <xdr:spPr>
        <a:xfrm>
          <a:off x="34046849" y="14427681"/>
          <a:ext cx="7425884" cy="55209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1"/>
    <pageSetUpPr fitToPage="1"/>
  </sheetPr>
  <dimension ref="A1:N7"/>
  <sheetViews>
    <sheetView zoomScaleNormal="100" zoomScaleSheetLayoutView="100" workbookViewId="0">
      <selection activeCell="C17" sqref="C17"/>
    </sheetView>
  </sheetViews>
  <sheetFormatPr baseColWidth="10" defaultColWidth="11.42578125" defaultRowHeight="15"/>
  <cols>
    <col min="1" max="1" width="7" style="1" customWidth="1"/>
    <col min="2" max="2" width="20.42578125" style="1" customWidth="1"/>
    <col min="3" max="6" width="13.5703125" style="1" customWidth="1"/>
    <col min="7" max="7" width="23.140625" style="1" customWidth="1"/>
    <col min="8" max="8" width="18.42578125" style="1" customWidth="1"/>
    <col min="9" max="9" width="15.5703125" style="1" customWidth="1"/>
    <col min="10" max="10" width="14.85546875" style="1" customWidth="1"/>
    <col min="11" max="12" width="18.42578125" style="1" customWidth="1"/>
    <col min="13" max="13" width="61.42578125" style="1" customWidth="1"/>
    <col min="14" max="14" width="26.85546875" style="1" customWidth="1"/>
    <col min="15" max="16384" width="11.42578125" style="1"/>
  </cols>
  <sheetData>
    <row r="1" spans="1:14" ht="23.45" customHeight="1">
      <c r="A1" s="186" t="s">
        <v>0</v>
      </c>
      <c r="B1" s="187"/>
      <c r="C1" s="187"/>
      <c r="D1" s="187"/>
      <c r="E1" s="187"/>
      <c r="F1" s="187"/>
      <c r="G1" s="187"/>
      <c r="H1" s="187"/>
      <c r="I1" s="187"/>
      <c r="J1" s="187"/>
      <c r="K1" s="187"/>
      <c r="L1" s="187"/>
      <c r="M1" s="187"/>
      <c r="N1" s="187"/>
    </row>
    <row r="2" spans="1:14" ht="36.950000000000003" customHeight="1">
      <c r="A2" s="188" t="s">
        <v>1</v>
      </c>
      <c r="B2" s="189"/>
      <c r="C2" s="189"/>
      <c r="D2" s="189"/>
      <c r="E2" s="189"/>
      <c r="F2" s="189"/>
      <c r="G2" s="189"/>
      <c r="H2" s="189"/>
      <c r="I2" s="189"/>
      <c r="J2" s="189"/>
      <c r="K2" s="189"/>
      <c r="L2" s="189"/>
      <c r="M2" s="189"/>
      <c r="N2" s="189"/>
    </row>
    <row r="3" spans="1:14" ht="27" customHeight="1">
      <c r="A3" s="190" t="e">
        <f>#REF!</f>
        <v>#REF!</v>
      </c>
      <c r="B3" s="191"/>
      <c r="C3" s="191"/>
      <c r="D3" s="191"/>
      <c r="E3" s="191"/>
      <c r="F3" s="191"/>
      <c r="G3" s="191"/>
      <c r="H3" s="191"/>
      <c r="I3" s="191"/>
      <c r="J3" s="191"/>
      <c r="K3" s="191"/>
      <c r="L3" s="191"/>
      <c r="M3" s="191"/>
      <c r="N3" s="191"/>
    </row>
    <row r="4" spans="1:14" ht="21.2" customHeight="1">
      <c r="A4" s="192" t="s">
        <v>2</v>
      </c>
      <c r="B4" s="192"/>
      <c r="C4" s="193" t="s">
        <v>3</v>
      </c>
      <c r="D4" s="194"/>
      <c r="E4" s="194"/>
      <c r="F4" s="194"/>
      <c r="G4" s="195"/>
      <c r="H4" s="193" t="s">
        <v>4</v>
      </c>
      <c r="I4" s="194"/>
      <c r="J4" s="195"/>
      <c r="K4" s="196" t="s">
        <v>5</v>
      </c>
      <c r="L4" s="196" t="s">
        <v>6</v>
      </c>
      <c r="M4" s="199" t="s">
        <v>7</v>
      </c>
      <c r="N4" s="200"/>
    </row>
    <row r="5" spans="1:14" ht="47.25">
      <c r="A5" s="192"/>
      <c r="B5" s="192"/>
      <c r="C5" s="205" t="s">
        <v>8</v>
      </c>
      <c r="D5" s="206"/>
      <c r="E5" s="206"/>
      <c r="F5" s="207"/>
      <c r="G5" s="76" t="s">
        <v>9</v>
      </c>
      <c r="H5" s="76" t="s">
        <v>10</v>
      </c>
      <c r="I5" s="76" t="s">
        <v>11</v>
      </c>
      <c r="J5" s="76" t="s">
        <v>12</v>
      </c>
      <c r="K5" s="197"/>
      <c r="L5" s="197"/>
      <c r="M5" s="201"/>
      <c r="N5" s="202"/>
    </row>
    <row r="6" spans="1:14" ht="68.25">
      <c r="A6" s="192"/>
      <c r="B6" s="192"/>
      <c r="C6" s="77" t="s">
        <v>13</v>
      </c>
      <c r="D6" s="77" t="s">
        <v>14</v>
      </c>
      <c r="E6" s="77" t="s">
        <v>15</v>
      </c>
      <c r="F6" s="77" t="s">
        <v>16</v>
      </c>
      <c r="G6" s="78" t="s">
        <v>17</v>
      </c>
      <c r="H6" s="79" t="s">
        <v>18</v>
      </c>
      <c r="I6" s="79" t="s">
        <v>19</v>
      </c>
      <c r="J6" s="79" t="s">
        <v>20</v>
      </c>
      <c r="K6" s="198"/>
      <c r="L6" s="198"/>
      <c r="M6" s="203"/>
      <c r="N6" s="204"/>
    </row>
    <row r="7" spans="1:14" ht="23.25">
      <c r="A7" s="80">
        <v>1</v>
      </c>
      <c r="B7" s="81" t="e">
        <f>+#REF!</f>
        <v>#REF!</v>
      </c>
      <c r="C7" s="82" t="e">
        <f>+#REF!</f>
        <v>#REF!</v>
      </c>
      <c r="D7" s="82" t="e">
        <f>+#REF!</f>
        <v>#REF!</v>
      </c>
      <c r="E7" s="82" t="e">
        <f>+#REF!</f>
        <v>#REF!</v>
      </c>
      <c r="F7" s="82" t="e">
        <f>+#REF!</f>
        <v>#REF!</v>
      </c>
      <c r="G7" s="82" t="e">
        <f>+#REF!</f>
        <v>#REF!</v>
      </c>
      <c r="H7" s="83" t="e">
        <f>+#REF!</f>
        <v>#REF!</v>
      </c>
      <c r="I7" s="83" t="e">
        <f>+#REF!</f>
        <v>#REF!</v>
      </c>
      <c r="J7" s="83" t="e">
        <f>+#REF!+#REF!</f>
        <v>#REF!</v>
      </c>
      <c r="K7" s="84" t="e">
        <f>+#REF!</f>
        <v>#REF!</v>
      </c>
      <c r="L7" s="83" t="e">
        <f>+H7+I7+J7</f>
        <v>#REF!</v>
      </c>
      <c r="M7" s="185" t="e">
        <f>+#REF!</f>
        <v>#REF!</v>
      </c>
      <c r="N7" s="185"/>
    </row>
  </sheetData>
  <mergeCells count="11">
    <mergeCell ref="M7:N7"/>
    <mergeCell ref="A1:N1"/>
    <mergeCell ref="A2:N2"/>
    <mergeCell ref="A3:N3"/>
    <mergeCell ref="A4:B6"/>
    <mergeCell ref="C4:G4"/>
    <mergeCell ref="H4:J4"/>
    <mergeCell ref="K4:K6"/>
    <mergeCell ref="L4:L6"/>
    <mergeCell ref="M4:N6"/>
    <mergeCell ref="C5:F5"/>
  </mergeCells>
  <pageMargins left="0.70866141732283472" right="0.70866141732283472" top="0.74803149606299213" bottom="0.74803149606299213" header="0.31496062992125984" footer="0.31496062992125984"/>
  <pageSetup scale="43" fitToHeight="0" orientation="landscape" r:id="rId1"/>
  <colBreaks count="1" manualBreakCount="1">
    <brk id="1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B42"/>
  <sheetViews>
    <sheetView workbookViewId="0">
      <selection activeCell="C5" sqref="C5:D5"/>
    </sheetView>
  </sheetViews>
  <sheetFormatPr baseColWidth="10" defaultColWidth="11.42578125" defaultRowHeight="15"/>
  <cols>
    <col min="1" max="1" width="5.42578125" bestFit="1" customWidth="1"/>
    <col min="2" max="2" width="11.42578125" bestFit="1" customWidth="1"/>
  </cols>
  <sheetData>
    <row r="1" spans="1:2">
      <c r="A1" s="2"/>
      <c r="B1" s="2"/>
    </row>
    <row r="2" spans="1:2">
      <c r="A2" s="2">
        <v>1980</v>
      </c>
      <c r="B2" s="12">
        <v>4500</v>
      </c>
    </row>
    <row r="3" spans="1:2">
      <c r="A3" s="2">
        <v>1981</v>
      </c>
      <c r="B3" s="12">
        <v>5700</v>
      </c>
    </row>
    <row r="4" spans="1:2">
      <c r="A4" s="2">
        <v>1982</v>
      </c>
      <c r="B4" s="12">
        <v>7410</v>
      </c>
    </row>
    <row r="5" spans="1:2">
      <c r="A5" s="2">
        <v>1983</v>
      </c>
      <c r="B5" s="12">
        <v>9261</v>
      </c>
    </row>
    <row r="6" spans="1:2">
      <c r="A6" s="2">
        <v>1984</v>
      </c>
      <c r="B6" s="12">
        <v>11298</v>
      </c>
    </row>
    <row r="7" spans="1:2">
      <c r="A7" s="2">
        <v>1985</v>
      </c>
      <c r="B7" s="12">
        <v>13558</v>
      </c>
    </row>
    <row r="8" spans="1:2">
      <c r="A8" s="2">
        <v>1986</v>
      </c>
      <c r="B8" s="12">
        <v>16811</v>
      </c>
    </row>
    <row r="9" spans="1:2">
      <c r="A9" s="2">
        <v>1987</v>
      </c>
      <c r="B9" s="12">
        <v>20510</v>
      </c>
    </row>
    <row r="10" spans="1:2">
      <c r="A10" s="2">
        <v>1988</v>
      </c>
      <c r="B10" s="12">
        <v>25637</v>
      </c>
    </row>
    <row r="11" spans="1:2">
      <c r="A11" s="2">
        <v>1989</v>
      </c>
      <c r="B11" s="12">
        <v>32560</v>
      </c>
    </row>
    <row r="12" spans="1:2">
      <c r="A12" s="2">
        <v>1990</v>
      </c>
      <c r="B12" s="12">
        <v>41025</v>
      </c>
    </row>
    <row r="13" spans="1:2">
      <c r="A13" s="2">
        <v>1991</v>
      </c>
      <c r="B13" s="12">
        <v>51716</v>
      </c>
    </row>
    <row r="14" spans="1:2">
      <c r="A14" s="2">
        <v>1992</v>
      </c>
      <c r="B14" s="12">
        <v>65190</v>
      </c>
    </row>
    <row r="15" spans="1:2">
      <c r="A15" s="2">
        <v>1993</v>
      </c>
      <c r="B15" s="12">
        <v>81510</v>
      </c>
    </row>
    <row r="16" spans="1:2">
      <c r="A16" s="2">
        <v>1994</v>
      </c>
      <c r="B16" s="12">
        <v>98700</v>
      </c>
    </row>
    <row r="17" spans="1:2">
      <c r="A17" s="2">
        <v>1995</v>
      </c>
      <c r="B17" s="12">
        <v>118934</v>
      </c>
    </row>
    <row r="18" spans="1:2">
      <c r="A18" s="2">
        <v>1996</v>
      </c>
      <c r="B18" s="12">
        <v>142125</v>
      </c>
    </row>
    <row r="19" spans="1:2">
      <c r="A19" s="2">
        <v>1997</v>
      </c>
      <c r="B19" s="12">
        <v>172005</v>
      </c>
    </row>
    <row r="20" spans="1:2">
      <c r="A20" s="2">
        <v>1998</v>
      </c>
      <c r="B20" s="12">
        <v>203826</v>
      </c>
    </row>
    <row r="21" spans="1:2">
      <c r="A21" s="2">
        <v>1999</v>
      </c>
      <c r="B21" s="12">
        <v>236460</v>
      </c>
    </row>
    <row r="22" spans="1:2">
      <c r="A22" s="2">
        <v>2000</v>
      </c>
      <c r="B22" s="12">
        <v>260100</v>
      </c>
    </row>
    <row r="23" spans="1:2">
      <c r="A23" s="2">
        <v>2001</v>
      </c>
      <c r="B23" s="12">
        <v>286000</v>
      </c>
    </row>
    <row r="24" spans="1:2">
      <c r="A24" s="2">
        <v>2002</v>
      </c>
      <c r="B24" s="12">
        <v>309000</v>
      </c>
    </row>
    <row r="25" spans="1:2">
      <c r="A25" s="2">
        <v>2003</v>
      </c>
      <c r="B25" s="12">
        <v>332000</v>
      </c>
    </row>
    <row r="26" spans="1:2">
      <c r="A26" s="2">
        <v>2004</v>
      </c>
      <c r="B26" s="12">
        <v>358000</v>
      </c>
    </row>
    <row r="27" spans="1:2">
      <c r="A27" s="2">
        <v>2005</v>
      </c>
      <c r="B27" s="12">
        <v>381500</v>
      </c>
    </row>
    <row r="28" spans="1:2">
      <c r="A28" s="2">
        <v>2006</v>
      </c>
      <c r="B28" s="12">
        <v>408000</v>
      </c>
    </row>
    <row r="29" spans="1:2">
      <c r="A29" s="2">
        <v>2007</v>
      </c>
      <c r="B29" s="12">
        <v>433700</v>
      </c>
    </row>
    <row r="30" spans="1:2">
      <c r="A30" s="2">
        <v>2008</v>
      </c>
      <c r="B30" s="12">
        <v>461500</v>
      </c>
    </row>
    <row r="31" spans="1:2">
      <c r="A31" s="2">
        <v>2009</v>
      </c>
      <c r="B31" s="12">
        <v>496900</v>
      </c>
    </row>
    <row r="32" spans="1:2">
      <c r="A32" s="2">
        <v>2010</v>
      </c>
      <c r="B32" s="12">
        <v>515000</v>
      </c>
    </row>
    <row r="33" spans="1:2">
      <c r="A33" s="2">
        <v>2011</v>
      </c>
      <c r="B33" s="12">
        <v>535600</v>
      </c>
    </row>
    <row r="34" spans="1:2">
      <c r="A34" s="2">
        <v>2012</v>
      </c>
      <c r="B34" s="12">
        <v>566700</v>
      </c>
    </row>
    <row r="35" spans="1:2">
      <c r="A35" s="2">
        <v>2013</v>
      </c>
      <c r="B35" s="12">
        <v>589500</v>
      </c>
    </row>
    <row r="36" spans="1:2">
      <c r="A36" s="2">
        <v>2014</v>
      </c>
      <c r="B36" s="12">
        <v>616000</v>
      </c>
    </row>
    <row r="37" spans="1:2">
      <c r="A37" s="2">
        <v>2015</v>
      </c>
      <c r="B37" s="12">
        <v>644350</v>
      </c>
    </row>
    <row r="38" spans="1:2">
      <c r="A38" s="2">
        <v>2016</v>
      </c>
      <c r="B38" s="12">
        <v>689455</v>
      </c>
    </row>
    <row r="39" spans="1:2">
      <c r="A39" s="2">
        <v>2017</v>
      </c>
      <c r="B39" s="12">
        <v>737717</v>
      </c>
    </row>
    <row r="40" spans="1:2">
      <c r="A40" s="2">
        <v>2018</v>
      </c>
      <c r="B40" s="12">
        <v>781242</v>
      </c>
    </row>
    <row r="41" spans="1:2">
      <c r="A41" s="2">
        <v>2019</v>
      </c>
      <c r="B41" s="12">
        <v>828116</v>
      </c>
    </row>
    <row r="42" spans="1:2">
      <c r="A42" s="2">
        <v>2020</v>
      </c>
      <c r="B42" s="12">
        <v>877803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
  <sheetViews>
    <sheetView zoomScale="40" zoomScaleNormal="40" workbookViewId="0">
      <selection activeCell="AA21" sqref="AA21"/>
    </sheetView>
  </sheetViews>
  <sheetFormatPr baseColWidth="10" defaultColWidth="11.42578125"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64C5-6BB1-49D9-81CE-9797ACDCA3B3}">
  <dimension ref="A2:T23"/>
  <sheetViews>
    <sheetView tabSelected="1" topLeftCell="C1" zoomScaleNormal="100" workbookViewId="0">
      <selection activeCell="K17" sqref="K17"/>
    </sheetView>
  </sheetViews>
  <sheetFormatPr baseColWidth="10" defaultColWidth="9.140625" defaultRowHeight="15"/>
  <cols>
    <col min="1" max="1" width="4.140625" bestFit="1" customWidth="1"/>
    <col min="2" max="2" width="59.5703125" bestFit="1" customWidth="1"/>
    <col min="3" max="3" width="21.5703125" bestFit="1" customWidth="1"/>
    <col min="4" max="4" width="12.42578125" customWidth="1"/>
    <col min="5" max="5" width="35.85546875" bestFit="1" customWidth="1"/>
    <col min="6" max="6" width="20.28515625" bestFit="1" customWidth="1"/>
    <col min="7" max="7" width="19.85546875" bestFit="1" customWidth="1"/>
    <col min="8" max="8" width="13.28515625" customWidth="1"/>
    <col min="9" max="9" width="17.5703125" customWidth="1"/>
    <col min="10" max="10" width="8.5703125" bestFit="1" customWidth="1"/>
    <col min="11" max="11" width="20" customWidth="1"/>
    <col min="12" max="12" width="9.85546875" customWidth="1"/>
    <col min="18" max="18" width="18.28515625" bestFit="1" customWidth="1"/>
    <col min="19" max="19" width="11" bestFit="1" customWidth="1"/>
  </cols>
  <sheetData>
    <row r="2" spans="1:20" ht="44.25" customHeight="1">
      <c r="A2" s="103" t="s">
        <v>21</v>
      </c>
      <c r="B2" s="103" t="s">
        <v>22</v>
      </c>
      <c r="C2" s="176" t="s">
        <v>118</v>
      </c>
      <c r="D2" s="104" t="s">
        <v>23</v>
      </c>
      <c r="E2" s="104" t="s">
        <v>24</v>
      </c>
      <c r="F2" s="104" t="s">
        <v>25</v>
      </c>
      <c r="G2" s="104" t="s">
        <v>26</v>
      </c>
      <c r="H2" s="104" t="s">
        <v>27</v>
      </c>
      <c r="I2" s="104" t="s">
        <v>28</v>
      </c>
      <c r="J2" s="104" t="s">
        <v>29</v>
      </c>
      <c r="K2" s="104" t="s">
        <v>98</v>
      </c>
      <c r="L2" s="104" t="s">
        <v>25</v>
      </c>
      <c r="M2" s="104" t="s">
        <v>26</v>
      </c>
      <c r="N2" s="104" t="s">
        <v>27</v>
      </c>
      <c r="O2" s="104" t="s">
        <v>28</v>
      </c>
      <c r="P2" s="104" t="s">
        <v>29</v>
      </c>
      <c r="Q2" s="104" t="s">
        <v>94</v>
      </c>
      <c r="R2" s="155" t="s">
        <v>95</v>
      </c>
      <c r="S2" s="155" t="s">
        <v>96</v>
      </c>
    </row>
    <row r="3" spans="1:20">
      <c r="A3" s="102">
        <v>1</v>
      </c>
      <c r="B3" s="107" t="s">
        <v>106</v>
      </c>
      <c r="C3" s="107" t="s">
        <v>119</v>
      </c>
      <c r="D3" s="99" t="str">
        <f>+'1'!$O$23</f>
        <v>CUMPLE</v>
      </c>
      <c r="E3" s="99" t="str">
        <f>+'1'!$O$31</f>
        <v>CUMPLE</v>
      </c>
      <c r="F3" s="99" t="str">
        <f>+'1'!$M$40</f>
        <v>CUMPLE</v>
      </c>
      <c r="G3" s="99" t="str">
        <f>+'1'!$M$49</f>
        <v>CUMPLE</v>
      </c>
      <c r="H3" s="99" t="str">
        <f>+'1'!$M$52</f>
        <v>CUMPLE</v>
      </c>
      <c r="I3" s="99" t="str">
        <f>+'1'!$M$54</f>
        <v>CUMPLE</v>
      </c>
      <c r="J3" s="99" t="str">
        <f>+'1'!$M$56</f>
        <v>CUMPLE</v>
      </c>
      <c r="K3" s="99" t="str">
        <f>+'1'!$O$23</f>
        <v>CUMPLE</v>
      </c>
      <c r="L3" s="99">
        <f>+'1'!$M$44</f>
        <v>20</v>
      </c>
      <c r="M3" s="99">
        <f>+'1'!$M$50</f>
        <v>1</v>
      </c>
      <c r="N3" s="99">
        <f>+'1'!$O$52</f>
        <v>19</v>
      </c>
      <c r="O3" s="99">
        <f>+'1'!$O$54</f>
        <v>0.25</v>
      </c>
      <c r="P3" s="99">
        <f>+'1'!$O$56</f>
        <v>0.25</v>
      </c>
      <c r="Q3" s="99">
        <f>+'1'!$O$58</f>
        <v>0</v>
      </c>
      <c r="R3" s="166"/>
      <c r="S3" s="99">
        <f>IF(AND(D3="CUMPLE",E3="CUMPLE",F3="CUMPLE",G3="CUMPLE",H3="CUMPLE",I3="CUMPLE",J3="CUMPLE",K3="CUMPLE"),SUM(L3:R3),0)</f>
        <v>40.5</v>
      </c>
      <c r="T3">
        <f t="shared" ref="T3:T9" si="0">_xlfn.RANK.EQ(S3,$S$3:$S$9)</f>
        <v>1</v>
      </c>
    </row>
    <row r="4" spans="1:20">
      <c r="A4" s="156">
        <v>2</v>
      </c>
      <c r="B4" s="107" t="s">
        <v>107</v>
      </c>
      <c r="C4" s="107" t="s">
        <v>120</v>
      </c>
      <c r="D4" s="99" t="str">
        <f>+'2'!$O$23</f>
        <v>CUMPLE</v>
      </c>
      <c r="E4" s="99" t="str">
        <f>+'2'!$O$31</f>
        <v>CUMPLE</v>
      </c>
      <c r="F4" s="99" t="str">
        <f>+'2'!$M$40</f>
        <v>CUMPLE</v>
      </c>
      <c r="G4" s="99" t="str">
        <f>+'2'!$M$49</f>
        <v>CUMPLE</v>
      </c>
      <c r="H4" s="99" t="str">
        <f>+'2'!$M$52</f>
        <v>CUMPLE</v>
      </c>
      <c r="I4" s="99" t="str">
        <f>+'2'!$M$54</f>
        <v>CUMPLE</v>
      </c>
      <c r="J4" s="99" t="str">
        <f>+'2'!$M$56</f>
        <v>CUMPLE</v>
      </c>
      <c r="K4" s="166" t="str">
        <f>+'2'!$O$23</f>
        <v>CUMPLE</v>
      </c>
      <c r="L4" s="99">
        <f>+'2'!$M$44</f>
        <v>20</v>
      </c>
      <c r="M4" s="99">
        <f>+'2'!$M$50</f>
        <v>1</v>
      </c>
      <c r="N4" s="99">
        <f>+'2'!$O$52</f>
        <v>19</v>
      </c>
      <c r="O4" s="99">
        <f>+'2'!$O$54</f>
        <v>0.25</v>
      </c>
      <c r="P4" s="99">
        <f>+'2'!$O$56</f>
        <v>0.25</v>
      </c>
      <c r="Q4" s="99">
        <f>+'2'!$O$58</f>
        <v>0</v>
      </c>
      <c r="R4" s="166"/>
      <c r="S4" s="99">
        <f t="shared" ref="S4:S9" si="1">IF(AND(D4="CUMPLE",E4="CUMPLE",F4="CUMPLE",G4="CUMPLE",H4="CUMPLE",I4="CUMPLE",J4="CUMPLE",K4="CUMPLE"),SUM(L4:R4),0)</f>
        <v>40.5</v>
      </c>
      <c r="T4">
        <f t="shared" si="0"/>
        <v>1</v>
      </c>
    </row>
    <row r="5" spans="1:20">
      <c r="A5" s="157">
        <v>3</v>
      </c>
      <c r="B5" s="108" t="s">
        <v>108</v>
      </c>
      <c r="C5" s="108" t="s">
        <v>121</v>
      </c>
      <c r="D5" s="106" t="str">
        <f>+'3'!$O$23</f>
        <v>CUMPLE</v>
      </c>
      <c r="E5" s="106" t="str">
        <f>+'3'!$O$31</f>
        <v>CUMPLE</v>
      </c>
      <c r="F5" s="106" t="str">
        <f>+'3'!$M$40</f>
        <v>CUMPLE</v>
      </c>
      <c r="G5" s="106" t="str">
        <f>+'3'!$M$49</f>
        <v>CUMPLE</v>
      </c>
      <c r="H5" s="106" t="str">
        <f>+'3'!$M$52</f>
        <v>CUMPLE</v>
      </c>
      <c r="I5" s="106" t="str">
        <f>+'3'!$M$54</f>
        <v>CUMPLE</v>
      </c>
      <c r="J5" s="106" t="str">
        <f>+'3'!$M$56</f>
        <v>CUMPLE</v>
      </c>
      <c r="K5" s="106" t="str">
        <f>+'3'!$O$23</f>
        <v>CUMPLE</v>
      </c>
      <c r="L5" s="106">
        <f>+'3'!$M$44</f>
        <v>20</v>
      </c>
      <c r="M5" s="106">
        <f>+'3'!M50</f>
        <v>0</v>
      </c>
      <c r="N5" s="106">
        <f>+'3'!$O$52</f>
        <v>19</v>
      </c>
      <c r="O5" s="106">
        <f>+'3'!$O$54</f>
        <v>0.25</v>
      </c>
      <c r="P5" s="106">
        <f>+'3'!$O$56</f>
        <v>0.25</v>
      </c>
      <c r="Q5" s="106">
        <f>+'3'!$O$58</f>
        <v>0</v>
      </c>
      <c r="R5" s="106"/>
      <c r="S5" s="99">
        <f t="shared" si="1"/>
        <v>39.5</v>
      </c>
      <c r="T5">
        <f t="shared" si="0"/>
        <v>7</v>
      </c>
    </row>
    <row r="6" spans="1:20">
      <c r="A6" s="105">
        <v>4</v>
      </c>
      <c r="B6" s="108" t="s">
        <v>109</v>
      </c>
      <c r="C6" s="107" t="s">
        <v>119</v>
      </c>
      <c r="D6" s="106" t="str">
        <f>+'4'!$O$23</f>
        <v>CUMPLE</v>
      </c>
      <c r="E6" s="106" t="str">
        <f>+'4'!$O$31</f>
        <v>CUMPLE</v>
      </c>
      <c r="F6" s="106" t="str">
        <f>+'4'!$M$40</f>
        <v>CUMPLE</v>
      </c>
      <c r="G6" s="106" t="str">
        <f>+'4'!$M$49</f>
        <v>CUMPLE</v>
      </c>
      <c r="H6" s="106" t="str">
        <f>+'4'!$M$52</f>
        <v>CUMPLE</v>
      </c>
      <c r="I6" s="106" t="str">
        <f>+'4'!$M$54</f>
        <v>CUMPLE</v>
      </c>
      <c r="J6" s="106" t="str">
        <f>+'4'!$M$56</f>
        <v>CUMPLE</v>
      </c>
      <c r="K6" s="106" t="str">
        <f>+'4'!$O$23</f>
        <v>CUMPLE</v>
      </c>
      <c r="L6" s="106">
        <f>+'4'!$M$44</f>
        <v>20</v>
      </c>
      <c r="M6" s="106">
        <f>+'4'!$M$50</f>
        <v>1</v>
      </c>
      <c r="N6" s="106">
        <f>+'4'!$O$52</f>
        <v>19</v>
      </c>
      <c r="O6" s="106">
        <f>+'4'!$O$54</f>
        <v>0.25</v>
      </c>
      <c r="P6" s="106">
        <f>+'4'!$O$56</f>
        <v>0.25</v>
      </c>
      <c r="Q6" s="106">
        <f>+'4'!$O$58</f>
        <v>0</v>
      </c>
      <c r="R6" s="106"/>
      <c r="S6" s="99">
        <f t="shared" si="1"/>
        <v>40.5</v>
      </c>
      <c r="T6">
        <f t="shared" si="0"/>
        <v>1</v>
      </c>
    </row>
    <row r="7" spans="1:20">
      <c r="A7" s="102">
        <v>5</v>
      </c>
      <c r="B7" s="107" t="s">
        <v>110</v>
      </c>
      <c r="C7" s="107" t="s">
        <v>120</v>
      </c>
      <c r="D7" s="99" t="str">
        <f>+'5'!$O$23</f>
        <v>CUMPLE</v>
      </c>
      <c r="E7" s="99" t="str">
        <f>+'5'!$O$31</f>
        <v>CUMPLE</v>
      </c>
      <c r="F7" s="99" t="str">
        <f>+'5'!$M$40</f>
        <v>CUMPLE</v>
      </c>
      <c r="G7" s="99" t="str">
        <f>+'5'!$M$49</f>
        <v>CUMPLE</v>
      </c>
      <c r="H7" s="99" t="str">
        <f>+'5'!$M$52</f>
        <v>CUMPLE</v>
      </c>
      <c r="I7" s="99" t="str">
        <f>+'5'!$M$54</f>
        <v>CUMPLE</v>
      </c>
      <c r="J7" s="99" t="str">
        <f>+'5'!$M$56</f>
        <v>CUMPLE</v>
      </c>
      <c r="K7" s="99" t="str">
        <f>+'5'!$O$23</f>
        <v>CUMPLE</v>
      </c>
      <c r="L7" s="99">
        <f>+'5'!$M$44</f>
        <v>20</v>
      </c>
      <c r="M7" s="99">
        <f>+'5'!$M$50</f>
        <v>1</v>
      </c>
      <c r="N7" s="99">
        <f>+'5'!$O$52</f>
        <v>19</v>
      </c>
      <c r="O7" s="99">
        <f>+'5'!$O$54</f>
        <v>0.25</v>
      </c>
      <c r="P7" s="99">
        <f>+'5'!$O$56</f>
        <v>0.25</v>
      </c>
      <c r="Q7" s="99">
        <f>+'5'!$O$58</f>
        <v>0</v>
      </c>
      <c r="R7" s="166"/>
      <c r="S7" s="99">
        <f t="shared" si="1"/>
        <v>40.5</v>
      </c>
      <c r="T7">
        <f t="shared" si="0"/>
        <v>1</v>
      </c>
    </row>
    <row r="8" spans="1:20">
      <c r="A8" s="105">
        <v>6</v>
      </c>
      <c r="B8" s="108" t="s">
        <v>111</v>
      </c>
      <c r="C8" s="108" t="s">
        <v>120</v>
      </c>
      <c r="D8" s="106" t="str">
        <f>+'6'!$O$23</f>
        <v>CUMPLE</v>
      </c>
      <c r="E8" s="106" t="str">
        <f>+'6'!$O$31</f>
        <v>CUMPLE</v>
      </c>
      <c r="F8" s="106" t="str">
        <f>+'6'!$M$40</f>
        <v>CUMPLE</v>
      </c>
      <c r="G8" s="106" t="str">
        <f>+'6'!$M$49</f>
        <v>CUMPLE</v>
      </c>
      <c r="H8" s="106" t="str">
        <f>+'6'!$M$52</f>
        <v>CUMPLE</v>
      </c>
      <c r="I8" s="106" t="str">
        <f>+'6'!$M$54</f>
        <v>CUMPLE</v>
      </c>
      <c r="J8" s="106" t="str">
        <f>+'6'!$M$56</f>
        <v>CUMPLE</v>
      </c>
      <c r="K8" s="106" t="str">
        <f>+'6'!$O$23</f>
        <v>CUMPLE</v>
      </c>
      <c r="L8" s="106">
        <f>+'6'!M44</f>
        <v>20</v>
      </c>
      <c r="M8" s="106">
        <f>+'6'!M50</f>
        <v>1</v>
      </c>
      <c r="N8" s="106">
        <f>+'6'!O52</f>
        <v>19</v>
      </c>
      <c r="O8" s="106">
        <f>+'6'!O54</f>
        <v>0.25</v>
      </c>
      <c r="P8" s="106">
        <f>+'6'!O56</f>
        <v>0.25</v>
      </c>
      <c r="Q8" s="106">
        <f>+'6'!O58</f>
        <v>0</v>
      </c>
      <c r="R8" s="106"/>
      <c r="S8" s="99">
        <f t="shared" si="1"/>
        <v>40.5</v>
      </c>
      <c r="T8">
        <f t="shared" si="0"/>
        <v>1</v>
      </c>
    </row>
    <row r="9" spans="1:20">
      <c r="A9" s="102">
        <v>7</v>
      </c>
      <c r="B9" s="107" t="s">
        <v>112</v>
      </c>
      <c r="C9" s="107" t="s">
        <v>121</v>
      </c>
      <c r="D9" s="99" t="str">
        <f>+'7'!$O$23</f>
        <v>CUMPLE</v>
      </c>
      <c r="E9" s="99" t="str">
        <f>+'7'!$O$31</f>
        <v>CUMPLE</v>
      </c>
      <c r="F9" s="99" t="str">
        <f>+'7'!$M$40</f>
        <v>CUMPLE</v>
      </c>
      <c r="G9" s="99" t="str">
        <f>+'7'!$M$49</f>
        <v>CUMPLE</v>
      </c>
      <c r="H9" s="99" t="str">
        <f>+'7'!$M$52</f>
        <v>CUMPLE</v>
      </c>
      <c r="I9" s="99" t="str">
        <f>+'7'!$M$54</f>
        <v>CUMPLE</v>
      </c>
      <c r="J9" s="99" t="str">
        <f>+'7'!$M$56</f>
        <v>CUMPLE</v>
      </c>
      <c r="K9" s="106" t="str">
        <f>+'7'!$O$23</f>
        <v>CUMPLE</v>
      </c>
      <c r="L9" s="99">
        <f>+'7'!$M$44</f>
        <v>20</v>
      </c>
      <c r="M9" s="99">
        <f>+'7'!$M$50</f>
        <v>1</v>
      </c>
      <c r="N9" s="99">
        <f>+'7'!$O$52</f>
        <v>19</v>
      </c>
      <c r="O9" s="99">
        <f>+'7'!$O$54</f>
        <v>0.25</v>
      </c>
      <c r="P9" s="99">
        <f>+'7'!$O$56</f>
        <v>0.25</v>
      </c>
      <c r="Q9" s="99">
        <f>+'7'!$O$58</f>
        <v>0</v>
      </c>
      <c r="R9" s="166"/>
      <c r="S9" s="99">
        <f t="shared" si="1"/>
        <v>40.5</v>
      </c>
      <c r="T9">
        <f t="shared" si="0"/>
        <v>1</v>
      </c>
    </row>
    <row r="10" spans="1:20" ht="15.75" thickBot="1"/>
    <row r="11" spans="1:20" ht="15.75" thickBot="1">
      <c r="B11" s="210" t="s">
        <v>99</v>
      </c>
      <c r="C11" s="211"/>
      <c r="D11" s="211"/>
      <c r="E11" s="211"/>
      <c r="F11" s="212"/>
    </row>
    <row r="12" spans="1:20" ht="15.75" thickBot="1">
      <c r="B12" s="160" t="s">
        <v>100</v>
      </c>
      <c r="C12" s="177"/>
      <c r="D12" s="213" t="s">
        <v>101</v>
      </c>
      <c r="E12" s="214"/>
      <c r="F12" s="161" t="s">
        <v>102</v>
      </c>
    </row>
    <row r="13" spans="1:20" ht="15.75" thickBot="1">
      <c r="B13" s="162" cm="1">
        <f t="array" ref="B13">MAX(IF(ISERROR(S3:S9),0,S3:S9))</f>
        <v>40.5</v>
      </c>
      <c r="C13" s="178"/>
      <c r="D13" s="215" t="str">
        <f>_xlfn.XLOOKUP(B13,S3:S9,B3:B9)</f>
        <v>Consorcio AERO JK 24</v>
      </c>
      <c r="E13" s="216"/>
      <c r="F13" s="163">
        <f>+_xlfn.XLOOKUP(D13,B3:B9,A3:A9)</f>
        <v>1</v>
      </c>
    </row>
    <row r="15" spans="1:20" ht="15.75">
      <c r="B15" s="217"/>
      <c r="C15" s="217"/>
      <c r="D15" s="217"/>
      <c r="E15" s="217"/>
      <c r="F15" s="217"/>
      <c r="G15" s="217"/>
    </row>
    <row r="16" spans="1:20">
      <c r="B16" s="164" t="s">
        <v>103</v>
      </c>
      <c r="C16" s="174"/>
      <c r="D16" s="218" t="s">
        <v>105</v>
      </c>
      <c r="E16" s="219"/>
      <c r="F16" s="164" t="s">
        <v>102</v>
      </c>
      <c r="G16" s="164" t="s">
        <v>104</v>
      </c>
    </row>
    <row r="17" spans="2:7">
      <c r="B17" s="99">
        <v>1</v>
      </c>
      <c r="C17" s="173"/>
      <c r="D17" s="208" t="str">
        <f t="shared" ref="D17:D22" si="2">_xlfn.XLOOKUP(B17,$T$3:$T$9,$B$3:$B$9)</f>
        <v>Consorcio AERO JK 24</v>
      </c>
      <c r="E17" s="209"/>
      <c r="F17" s="99">
        <f t="shared" ref="F17:F23" si="3">+_xlfn.XLOOKUP(B17,$T$3:$T$9,$A$3:$A$9)</f>
        <v>1</v>
      </c>
      <c r="G17" s="165">
        <f t="shared" ref="G17:G23" si="4">+_xlfn.XLOOKUP(B17,$T$3:$T$9,$S$3:$S$9)</f>
        <v>40.5</v>
      </c>
    </row>
    <row r="18" spans="2:7">
      <c r="B18" s="99">
        <v>2</v>
      </c>
      <c r="C18" s="173"/>
      <c r="D18" s="208" t="e">
        <f t="shared" si="2"/>
        <v>#N/A</v>
      </c>
      <c r="E18" s="209"/>
      <c r="F18" s="166" t="e">
        <f t="shared" si="3"/>
        <v>#N/A</v>
      </c>
      <c r="G18" s="167" t="e">
        <f t="shared" si="4"/>
        <v>#N/A</v>
      </c>
    </row>
    <row r="19" spans="2:7">
      <c r="B19" s="99">
        <v>3</v>
      </c>
      <c r="C19" s="173"/>
      <c r="D19" s="208" t="e">
        <f t="shared" si="2"/>
        <v>#N/A</v>
      </c>
      <c r="E19" s="209"/>
      <c r="F19" s="166" t="e">
        <f t="shared" si="3"/>
        <v>#N/A</v>
      </c>
      <c r="G19" s="167" t="e">
        <f t="shared" si="4"/>
        <v>#N/A</v>
      </c>
    </row>
    <row r="20" spans="2:7">
      <c r="B20" s="99">
        <v>4</v>
      </c>
      <c r="C20" s="173"/>
      <c r="D20" s="208" t="e">
        <f t="shared" si="2"/>
        <v>#N/A</v>
      </c>
      <c r="E20" s="209"/>
      <c r="F20" s="166" t="e">
        <f t="shared" si="3"/>
        <v>#N/A</v>
      </c>
      <c r="G20" s="167" t="e">
        <f t="shared" si="4"/>
        <v>#N/A</v>
      </c>
    </row>
    <row r="21" spans="2:7">
      <c r="B21" s="99">
        <v>5</v>
      </c>
      <c r="C21" s="173"/>
      <c r="D21" s="208" t="e">
        <f t="shared" si="2"/>
        <v>#N/A</v>
      </c>
      <c r="E21" s="209"/>
      <c r="F21" s="166" t="e">
        <f t="shared" si="3"/>
        <v>#N/A</v>
      </c>
      <c r="G21" s="167" t="e">
        <f t="shared" si="4"/>
        <v>#N/A</v>
      </c>
    </row>
    <row r="22" spans="2:7">
      <c r="B22" s="99">
        <v>6</v>
      </c>
      <c r="C22" s="173"/>
      <c r="D22" s="208" t="e">
        <f t="shared" si="2"/>
        <v>#N/A</v>
      </c>
      <c r="E22" s="209"/>
      <c r="F22" s="166" t="e">
        <f t="shared" si="3"/>
        <v>#N/A</v>
      </c>
      <c r="G22" s="167" t="e">
        <f t="shared" si="4"/>
        <v>#N/A</v>
      </c>
    </row>
    <row r="23" spans="2:7">
      <c r="B23" s="99">
        <v>7</v>
      </c>
      <c r="C23" s="173"/>
      <c r="D23" s="208" t="str">
        <f>_xlfn.XLOOKUP(B23,$T$3:$T$9,$B$3:$B$9)</f>
        <v>CONSTRUCTORA Y FERRETERIA LA SABANA SAS</v>
      </c>
      <c r="E23" s="209"/>
      <c r="F23" s="166">
        <f t="shared" si="3"/>
        <v>3</v>
      </c>
      <c r="G23" s="167">
        <f t="shared" si="4"/>
        <v>39.5</v>
      </c>
    </row>
  </sheetData>
  <autoFilter ref="A2:S9" xr:uid="{523A64C5-6BB1-49D9-81CE-9797ACDCA3B3}">
    <sortState xmlns:xlrd2="http://schemas.microsoft.com/office/spreadsheetml/2017/richdata2" ref="A3:S9">
      <sortCondition ref="A2:A9"/>
    </sortState>
  </autoFilter>
  <mergeCells count="12">
    <mergeCell ref="D19:E19"/>
    <mergeCell ref="D20:E20"/>
    <mergeCell ref="D21:E21"/>
    <mergeCell ref="D22:E22"/>
    <mergeCell ref="D23:E23"/>
    <mergeCell ref="D18:E18"/>
    <mergeCell ref="B11:F11"/>
    <mergeCell ref="D12:E12"/>
    <mergeCell ref="D13:E13"/>
    <mergeCell ref="B15:G15"/>
    <mergeCell ref="D17:E17"/>
    <mergeCell ref="D16:E16"/>
  </mergeCells>
  <conditionalFormatting sqref="D3:S9">
    <cfRule type="containsText" dxfId="326" priority="5" operator="containsText" text="NO CUMPLE">
      <formula>NOT(ISERROR(SEARCH("NO CUMPLE",D3)))</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2321F-7350-4A44-A616-4BB83C773AF8}">
  <dimension ref="A1:W94"/>
  <sheetViews>
    <sheetView view="pageBreakPreview" topLeftCell="F15" zoomScale="85" zoomScaleNormal="63" zoomScaleSheetLayoutView="85" workbookViewId="0">
      <selection activeCell="I9" sqref="I9:N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49.710937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1</v>
      </c>
      <c r="B4" s="311" t="str">
        <f>_xlfn.XLOOKUP(A4,RESUMEN!$A$3:$A$9,RESUMEN!$B$3:$B$9)</f>
        <v>Consorcio AERO JK 24</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22" t="s">
        <v>147</v>
      </c>
      <c r="J5" s="322"/>
      <c r="K5" s="322"/>
      <c r="L5" s="322"/>
      <c r="M5" s="322"/>
      <c r="N5" s="323"/>
      <c r="O5" s="175">
        <v>0.9</v>
      </c>
      <c r="P5" s="2">
        <f>+I7</f>
        <v>0</v>
      </c>
      <c r="R5" s="2">
        <v>0</v>
      </c>
    </row>
    <row r="6" spans="1:23" ht="20.25" customHeight="1">
      <c r="A6" s="310"/>
      <c r="B6" s="314"/>
      <c r="C6" s="315"/>
      <c r="D6" s="315"/>
      <c r="E6" s="316"/>
      <c r="F6" s="314"/>
      <c r="G6" s="315"/>
      <c r="H6" s="316"/>
      <c r="I6" s="324" t="s">
        <v>148</v>
      </c>
      <c r="J6" s="324"/>
      <c r="K6" s="324"/>
      <c r="L6" s="324"/>
      <c r="M6" s="324"/>
      <c r="N6" s="320"/>
      <c r="O6" s="175">
        <v>0.1</v>
      </c>
      <c r="P6" s="2" t="str">
        <f>+I6</f>
        <v>KOUMI SAS</v>
      </c>
    </row>
    <row r="7" spans="1:23" ht="35.450000000000003" customHeight="1">
      <c r="A7" s="310"/>
      <c r="B7" s="314"/>
      <c r="C7" s="315"/>
      <c r="D7" s="315"/>
      <c r="E7" s="316"/>
      <c r="F7" s="317"/>
      <c r="G7" s="318"/>
      <c r="H7" s="319"/>
      <c r="I7" s="320"/>
      <c r="J7" s="321"/>
      <c r="K7" s="321"/>
      <c r="L7" s="321"/>
      <c r="M7" s="321"/>
      <c r="N7" s="321"/>
      <c r="O7" s="175"/>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127.5">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77.75"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c r="A17" s="273">
        <f>+M11*H8</f>
        <v>2329.6214942307693</v>
      </c>
      <c r="B17" s="170" t="s">
        <v>61</v>
      </c>
      <c r="C17" s="171" t="s">
        <v>63</v>
      </c>
      <c r="D17" s="171" t="s">
        <v>149</v>
      </c>
      <c r="E17" s="171" t="s">
        <v>64</v>
      </c>
      <c r="F17" s="171" t="s">
        <v>31</v>
      </c>
      <c r="G17" s="171" t="s">
        <v>31</v>
      </c>
      <c r="H17" s="171" t="s">
        <v>31</v>
      </c>
      <c r="I17" s="171" t="s">
        <v>37</v>
      </c>
      <c r="J17" s="128">
        <v>44763</v>
      </c>
      <c r="K17" s="129">
        <f>L17*W16</f>
        <v>18819940000</v>
      </c>
      <c r="L17" s="130">
        <v>18819.939999999999</v>
      </c>
      <c r="M17" s="131">
        <v>0.2</v>
      </c>
      <c r="N17" s="92">
        <f>L17*M17</f>
        <v>3763.9879999999998</v>
      </c>
      <c r="O17" s="93" t="str">
        <f t="shared" ref="O17:O22" si="0">+IF(AND(H17="SI",G17="SI"),"CUMPLE","NO CUMPLE")</f>
        <v>CUMPLE</v>
      </c>
      <c r="P17" s="4"/>
      <c r="Q17" s="4"/>
      <c r="R17" s="158">
        <f>+N17/A17</f>
        <v>1.6157079634272742</v>
      </c>
      <c r="S17" s="4"/>
      <c r="T17" s="72"/>
      <c r="V17" s="39">
        <v>2021</v>
      </c>
      <c r="W17" s="40">
        <v>908526</v>
      </c>
    </row>
    <row r="18" spans="1:23" ht="133.9" customHeight="1" thickBot="1">
      <c r="A18" s="273"/>
      <c r="B18" s="170" t="s">
        <v>62</v>
      </c>
      <c r="C18" s="171" t="s">
        <v>150</v>
      </c>
      <c r="D18" s="183" t="s">
        <v>151</v>
      </c>
      <c r="E18" s="183" t="s">
        <v>152</v>
      </c>
      <c r="F18" s="171" t="s">
        <v>31</v>
      </c>
      <c r="G18" s="171" t="s">
        <v>31</v>
      </c>
      <c r="H18" s="171" t="s">
        <v>31</v>
      </c>
      <c r="I18" s="171" t="s">
        <v>37</v>
      </c>
      <c r="J18" s="169">
        <v>44987</v>
      </c>
      <c r="K18" s="168">
        <f>L18*W15</f>
        <v>1452250400</v>
      </c>
      <c r="L18" s="68">
        <v>1251.94</v>
      </c>
      <c r="M18" s="66">
        <v>1</v>
      </c>
      <c r="N18" s="92">
        <f>L17*M18</f>
        <v>18819.939999999999</v>
      </c>
      <c r="O18" s="93" t="str">
        <f t="shared" si="0"/>
        <v>CUMPLE</v>
      </c>
      <c r="P18" s="4"/>
      <c r="Q18" s="4"/>
      <c r="R18" s="158">
        <f>+N18/A17</f>
        <v>8.078539817136372</v>
      </c>
      <c r="S18" s="4"/>
      <c r="T18" s="72"/>
      <c r="V18" s="100"/>
      <c r="W18" s="101"/>
    </row>
    <row r="19" spans="1:23" ht="157.69999999999999" customHeight="1" thickBot="1">
      <c r="A19" s="273"/>
      <c r="B19" s="170" t="s">
        <v>65</v>
      </c>
      <c r="C19" s="64"/>
      <c r="D19" s="171"/>
      <c r="E19" s="171"/>
      <c r="F19" s="171"/>
      <c r="G19" s="64"/>
      <c r="H19" s="64"/>
      <c r="I19" s="171"/>
      <c r="J19" s="169"/>
      <c r="K19" s="168"/>
      <c r="L19" s="68"/>
      <c r="M19" s="66"/>
      <c r="N19" s="92">
        <f>L19*M19</f>
        <v>0</v>
      </c>
      <c r="O19" s="93" t="str">
        <f t="shared" si="0"/>
        <v>NO CUMPLE</v>
      </c>
      <c r="P19" s="4"/>
      <c r="Q19" s="4"/>
      <c r="R19" s="37"/>
      <c r="S19" s="4"/>
      <c r="T19" s="72"/>
      <c r="V19" s="38">
        <v>2020</v>
      </c>
      <c r="W19" s="41">
        <v>877803</v>
      </c>
    </row>
    <row r="20" spans="1:23" ht="42.95" customHeight="1" thickBot="1">
      <c r="A20" s="273"/>
      <c r="B20" s="170" t="s">
        <v>67</v>
      </c>
      <c r="C20" s="64"/>
      <c r="D20" s="171"/>
      <c r="E20" s="171"/>
      <c r="F20" s="64"/>
      <c r="G20" s="64"/>
      <c r="H20" s="64"/>
      <c r="I20" s="171"/>
      <c r="J20" s="169"/>
      <c r="K20" s="168"/>
      <c r="L20" s="68"/>
      <c r="M20" s="66"/>
      <c r="N20" s="92">
        <f>IF(AND(G20="SI",H20="SI"),(L20*M20),0)</f>
        <v>0</v>
      </c>
      <c r="O20" s="93" t="str">
        <f t="shared" si="0"/>
        <v>NO CUMPLE</v>
      </c>
      <c r="P20" s="4"/>
      <c r="Q20" s="4"/>
      <c r="R20" s="37"/>
      <c r="S20" s="69"/>
      <c r="T20" s="72"/>
      <c r="V20" s="38">
        <v>2019</v>
      </c>
      <c r="W20" s="41">
        <v>828116</v>
      </c>
    </row>
    <row r="21" spans="1:23" ht="42.95" customHeight="1" thickBot="1">
      <c r="A21" s="273"/>
      <c r="B21" s="170" t="s">
        <v>68</v>
      </c>
      <c r="C21" s="64"/>
      <c r="D21" s="64"/>
      <c r="E21" s="64"/>
      <c r="F21" s="64"/>
      <c r="G21" s="64"/>
      <c r="H21" s="64"/>
      <c r="I21" s="64"/>
      <c r="J21" s="169"/>
      <c r="K21" s="64"/>
      <c r="L21" s="64"/>
      <c r="M21" s="66"/>
      <c r="N21" s="92">
        <f>IF(AND(G21="SI",H21="SI"),(L21*M21),0)</f>
        <v>0</v>
      </c>
      <c r="O21" s="93" t="str">
        <f t="shared" si="0"/>
        <v>NO CUMPLE</v>
      </c>
      <c r="P21" s="4"/>
      <c r="Q21" s="4"/>
      <c r="R21" s="37"/>
      <c r="S21" s="69"/>
      <c r="T21" s="27"/>
      <c r="V21" s="38">
        <v>2018</v>
      </c>
      <c r="W21" s="41">
        <v>781242</v>
      </c>
    </row>
    <row r="22" spans="1:23" ht="42.95" customHeight="1" thickBot="1">
      <c r="A22" s="273"/>
      <c r="B22" s="170" t="s">
        <v>69</v>
      </c>
      <c r="C22" s="44"/>
      <c r="D22" s="45"/>
      <c r="E22" s="45"/>
      <c r="F22" s="64"/>
      <c r="G22" s="70"/>
      <c r="H22" s="70"/>
      <c r="I22" s="64"/>
      <c r="J22" s="169"/>
      <c r="K22" s="46"/>
      <c r="L22" s="47"/>
      <c r="M22" s="35"/>
      <c r="N22" s="92">
        <f>IF(AND(G22="SI",H22="SI"),(L22*M22),0)</f>
        <v>0</v>
      </c>
      <c r="O22" s="93" t="str">
        <f t="shared" si="0"/>
        <v>NO CUMPLE</v>
      </c>
      <c r="P22" s="4"/>
      <c r="Q22" s="4"/>
      <c r="R22" s="37"/>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22583.928</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T25" s="2">
        <f>1949500000+6451200000</f>
        <v>8400700000</v>
      </c>
      <c r="V25" s="2">
        <v>2007</v>
      </c>
      <c r="W25" s="2">
        <v>433700</v>
      </c>
    </row>
    <row r="26" spans="1:23" ht="211.9" customHeight="1">
      <c r="A26" s="269" t="s">
        <v>114</v>
      </c>
      <c r="B26" s="270"/>
      <c r="C26" s="270"/>
      <c r="D26" s="270"/>
      <c r="E26" s="270"/>
      <c r="F26" s="270"/>
      <c r="G26" s="270"/>
      <c r="H26" s="270"/>
      <c r="I26" s="270"/>
      <c r="J26" s="270"/>
      <c r="K26" s="270"/>
      <c r="L26" s="270"/>
      <c r="M26" s="270"/>
      <c r="N26" s="270"/>
      <c r="O26" s="271"/>
      <c r="S26" s="2">
        <f>+T26*0.9</f>
        <v>17432.856813465529</v>
      </c>
      <c r="T26" s="26">
        <f>+T25/W25</f>
        <v>19369.840903850589</v>
      </c>
      <c r="V26" s="2">
        <v>2023</v>
      </c>
      <c r="W26" s="2">
        <v>1160000</v>
      </c>
    </row>
    <row r="27" spans="1:23" ht="91.15"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c r="S27" s="36" t="s">
        <v>72</v>
      </c>
      <c r="T27" s="27"/>
      <c r="V27" s="2">
        <v>2022</v>
      </c>
      <c r="W27" s="2">
        <v>1000000</v>
      </c>
    </row>
    <row r="28" spans="1:23" ht="145.5" customHeight="1" thickBot="1">
      <c r="A28" s="280">
        <f>M11*50%</f>
        <v>1553.0809961538462</v>
      </c>
      <c r="B28" s="170" t="s">
        <v>61</v>
      </c>
      <c r="C28" s="171" t="s">
        <v>63</v>
      </c>
      <c r="D28" s="171" t="s">
        <v>149</v>
      </c>
      <c r="E28" s="171" t="s">
        <v>64</v>
      </c>
      <c r="F28" s="171" t="s">
        <v>31</v>
      </c>
      <c r="G28" s="171" t="s">
        <v>31</v>
      </c>
      <c r="H28" s="171" t="s">
        <v>31</v>
      </c>
      <c r="I28" s="171" t="s">
        <v>37</v>
      </c>
      <c r="J28" s="128">
        <v>44763</v>
      </c>
      <c r="K28" s="129">
        <f>L28*W27</f>
        <v>18819940000</v>
      </c>
      <c r="L28" s="130">
        <v>18819.939999999999</v>
      </c>
      <c r="M28" s="131">
        <v>0.2</v>
      </c>
      <c r="N28" s="92">
        <f>L28*M28</f>
        <v>3763.9879999999998</v>
      </c>
      <c r="O28" s="93" t="str">
        <f>+IF(AND(H28="SI",G28="SI"),"CUMPLE","NO CUMPLE")</f>
        <v>CUMPLE</v>
      </c>
      <c r="P28" s="4"/>
      <c r="Q28" s="4"/>
      <c r="R28" s="36"/>
      <c r="S28" s="36"/>
      <c r="T28" s="27"/>
    </row>
    <row r="29" spans="1:23" ht="143.44999999999999" customHeight="1" thickTop="1" thickBot="1">
      <c r="A29" s="281"/>
      <c r="B29" s="170" t="s">
        <v>62</v>
      </c>
      <c r="C29" s="64"/>
      <c r="D29" s="171"/>
      <c r="E29" s="171"/>
      <c r="F29" s="171"/>
      <c r="G29" s="64"/>
      <c r="H29" s="64"/>
      <c r="I29" s="171"/>
      <c r="J29" s="169"/>
      <c r="K29" s="168"/>
      <c r="L29" s="68"/>
      <c r="M29" s="66"/>
      <c r="N29" s="92">
        <f>L28*M29</f>
        <v>0</v>
      </c>
      <c r="O29" s="93" t="str">
        <f>+IF(AND(H29="SI",G29="SI"),"CUMPLE","NO CUMPLE")</f>
        <v>NO CUMPLE</v>
      </c>
      <c r="P29" s="4"/>
      <c r="Q29" s="4"/>
      <c r="R29" s="37" t="str">
        <f>+IF(OR(O29="CUMPLE")*AND(N29&gt;=$R$16),"CUMPLE","NO CUMPLE")</f>
        <v>NO 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3763.9879999999998</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M48:O48"/>
    <mergeCell ref="A49:L49"/>
    <mergeCell ref="A35:O35"/>
    <mergeCell ref="A36:N36"/>
    <mergeCell ref="A38:O38"/>
    <mergeCell ref="A39:B42"/>
    <mergeCell ref="C39:L42"/>
    <mergeCell ref="M39:O39"/>
    <mergeCell ref="A43:B44"/>
    <mergeCell ref="C43:L44"/>
    <mergeCell ref="A54:L54"/>
    <mergeCell ref="A56:L56"/>
    <mergeCell ref="A50:L50"/>
    <mergeCell ref="A52:L52"/>
    <mergeCell ref="A45:B45"/>
    <mergeCell ref="C45:L45"/>
    <mergeCell ref="A48:L48"/>
    <mergeCell ref="R60:T60"/>
    <mergeCell ref="A61:O63"/>
    <mergeCell ref="A58:N58"/>
    <mergeCell ref="A59:H59"/>
    <mergeCell ref="I59:O59"/>
    <mergeCell ref="A60:H60"/>
    <mergeCell ref="I60:L60"/>
    <mergeCell ref="M60:O60"/>
  </mergeCells>
  <conditionalFormatting sqref="I60:L60 P34">
    <cfRule type="cellIs" dxfId="325" priority="50" operator="equal">
      <formula>100</formula>
    </cfRule>
  </conditionalFormatting>
  <conditionalFormatting sqref="I60:L60 P34">
    <cfRule type="cellIs" dxfId="324" priority="47" operator="equal">
      <formula>"NO CUMPLE"</formula>
    </cfRule>
    <cfRule type="cellIs" dxfId="323" priority="49" operator="equal">
      <formula>"CUMPLE"</formula>
    </cfRule>
  </conditionalFormatting>
  <conditionalFormatting sqref="O23 O34">
    <cfRule type="cellIs" dxfId="322" priority="46" operator="equal">
      <formula>100</formula>
    </cfRule>
  </conditionalFormatting>
  <conditionalFormatting sqref="O23 O34">
    <cfRule type="cellIs" dxfId="321" priority="44" operator="equal">
      <formula>"NO CUMPLE"</formula>
    </cfRule>
    <cfRule type="cellIs" dxfId="320" priority="45" operator="equal">
      <formula>"CUMPLE"</formula>
    </cfRule>
  </conditionalFormatting>
  <conditionalFormatting sqref="O36:O38">
    <cfRule type="cellIs" dxfId="319" priority="43" operator="equal">
      <formula>100</formula>
    </cfRule>
  </conditionalFormatting>
  <conditionalFormatting sqref="O36:O38">
    <cfRule type="cellIs" dxfId="318" priority="41" operator="equal">
      <formula>"NO CUMPLE"</formula>
    </cfRule>
    <cfRule type="cellIs" dxfId="317" priority="42" operator="equal">
      <formula>"CUMPLE"</formula>
    </cfRule>
  </conditionalFormatting>
  <conditionalFormatting sqref="P24">
    <cfRule type="cellIs" dxfId="316" priority="40" operator="equal">
      <formula>100</formula>
    </cfRule>
  </conditionalFormatting>
  <conditionalFormatting sqref="P24">
    <cfRule type="cellIs" dxfId="315" priority="38" operator="equal">
      <formula>"NO CUMPLE"</formula>
    </cfRule>
    <cfRule type="cellIs" dxfId="314" priority="39" operator="equal">
      <formula>"CUMPLE"</formula>
    </cfRule>
  </conditionalFormatting>
  <conditionalFormatting sqref="P36:P42 P44 P46">
    <cfRule type="cellIs" dxfId="313" priority="37" operator="equal">
      <formula>100</formula>
    </cfRule>
  </conditionalFormatting>
  <conditionalFormatting sqref="P36:P42 P44 P46">
    <cfRule type="cellIs" dxfId="312" priority="35" operator="equal">
      <formula>"NO CUMPLE"</formula>
    </cfRule>
    <cfRule type="cellIs" dxfId="311" priority="36" operator="equal">
      <formula>"CUMPLE"</formula>
    </cfRule>
  </conditionalFormatting>
  <conditionalFormatting sqref="I59">
    <cfRule type="cellIs" dxfId="310" priority="34" operator="equal">
      <formula>100</formula>
    </cfRule>
  </conditionalFormatting>
  <conditionalFormatting sqref="I59">
    <cfRule type="cellIs" dxfId="309" priority="32" operator="equal">
      <formula>"NO CUMPLE"</formula>
    </cfRule>
    <cfRule type="cellIs" dxfId="308" priority="33" operator="equal">
      <formula>"CUMPLE"</formula>
    </cfRule>
  </conditionalFormatting>
  <conditionalFormatting sqref="O32">
    <cfRule type="cellIs" dxfId="307" priority="31" operator="equal">
      <formula>100</formula>
    </cfRule>
  </conditionalFormatting>
  <conditionalFormatting sqref="O32">
    <cfRule type="cellIs" dxfId="306" priority="29" operator="equal">
      <formula>"NO CUMPLE"</formula>
    </cfRule>
    <cfRule type="cellIs" dxfId="305" priority="30" operator="equal">
      <formula>"CUMPLE"</formula>
    </cfRule>
  </conditionalFormatting>
  <conditionalFormatting sqref="P31:P32">
    <cfRule type="cellIs" dxfId="304" priority="28" operator="equal">
      <formula>100</formula>
    </cfRule>
  </conditionalFormatting>
  <conditionalFormatting sqref="P31:P32">
    <cfRule type="cellIs" dxfId="303" priority="26" operator="equal">
      <formula>"NO CUMPLE"</formula>
    </cfRule>
    <cfRule type="cellIs" dxfId="302" priority="27" operator="equal">
      <formula>"CUMPLE"</formula>
    </cfRule>
  </conditionalFormatting>
  <conditionalFormatting sqref="O33">
    <cfRule type="cellIs" dxfId="301" priority="25" operator="equal">
      <formula>100</formula>
    </cfRule>
  </conditionalFormatting>
  <conditionalFormatting sqref="O33">
    <cfRule type="cellIs" dxfId="300" priority="23" operator="equal">
      <formula>"NO CUMPLE"</formula>
    </cfRule>
    <cfRule type="cellIs" dxfId="299" priority="24" operator="equal">
      <formula>"CUMPLE"</formula>
    </cfRule>
  </conditionalFormatting>
  <conditionalFormatting sqref="P33">
    <cfRule type="cellIs" dxfId="298" priority="22" operator="equal">
      <formula>100</formula>
    </cfRule>
  </conditionalFormatting>
  <conditionalFormatting sqref="P33">
    <cfRule type="cellIs" dxfId="297" priority="20" operator="equal">
      <formula>"NO CUMPLE"</formula>
    </cfRule>
    <cfRule type="cellIs" dxfId="296" priority="21" operator="equal">
      <formula>"CUMPLE"</formula>
    </cfRule>
  </conditionalFormatting>
  <conditionalFormatting sqref="P43">
    <cfRule type="cellIs" dxfId="295" priority="19" operator="equal">
      <formula>100</formula>
    </cfRule>
  </conditionalFormatting>
  <conditionalFormatting sqref="P43">
    <cfRule type="cellIs" dxfId="294" priority="17" operator="equal">
      <formula>"NO CUMPLE"</formula>
    </cfRule>
    <cfRule type="cellIs" dxfId="293" priority="18" operator="equal">
      <formula>"CUMPLE"</formula>
    </cfRule>
  </conditionalFormatting>
  <conditionalFormatting sqref="P45">
    <cfRule type="cellIs" dxfId="292" priority="16" operator="equal">
      <formula>100</formula>
    </cfRule>
  </conditionalFormatting>
  <conditionalFormatting sqref="P45">
    <cfRule type="cellIs" dxfId="291" priority="14" operator="equal">
      <formula>"NO CUMPLE"</formula>
    </cfRule>
    <cfRule type="cellIs" dxfId="290" priority="15" operator="equal">
      <formula>"CUMPLE"</formula>
    </cfRule>
  </conditionalFormatting>
  <conditionalFormatting sqref="R60:T60">
    <cfRule type="cellIs" dxfId="289" priority="13" operator="equal">
      <formula>100</formula>
    </cfRule>
  </conditionalFormatting>
  <conditionalFormatting sqref="R60:T60">
    <cfRule type="cellIs" dxfId="288" priority="12" operator="lessThan">
      <formula>100</formula>
    </cfRule>
  </conditionalFormatting>
  <conditionalFormatting sqref="O46">
    <cfRule type="cellIs" dxfId="287" priority="11" operator="equal">
      <formula>100</formula>
    </cfRule>
  </conditionalFormatting>
  <conditionalFormatting sqref="O46">
    <cfRule type="cellIs" dxfId="286" priority="9" operator="equal">
      <formula>"NO CUMPLE"</formula>
    </cfRule>
    <cfRule type="cellIs" dxfId="285" priority="10" operator="equal">
      <formula>"CUMPLE"</formula>
    </cfRule>
  </conditionalFormatting>
  <conditionalFormatting sqref="O31">
    <cfRule type="cellIs" dxfId="284" priority="6" operator="equal">
      <formula>100</formula>
    </cfRule>
  </conditionalFormatting>
  <conditionalFormatting sqref="O31">
    <cfRule type="cellIs" dxfId="283" priority="4" operator="equal">
      <formula>"NO CUMPLE"</formula>
    </cfRule>
    <cfRule type="cellIs" dxfId="282" priority="5" operator="equal">
      <formula>"CUMPLE"</formula>
    </cfRule>
  </conditionalFormatting>
  <conditionalFormatting sqref="M60:O60">
    <cfRule type="cellIs" dxfId="281" priority="3" operator="equal">
      <formula>100</formula>
    </cfRule>
  </conditionalFormatting>
  <conditionalFormatting sqref="M60:O60">
    <cfRule type="cellIs" dxfId="280" priority="2" operator="lessThan">
      <formula>100</formula>
    </cfRule>
  </conditionalFormatting>
  <conditionalFormatting sqref="O17:O22">
    <cfRule type="containsText" dxfId="279" priority="1" operator="containsText" text="NO CUMPLE">
      <formula>NOT(ISERROR(SEARCH("NO CUMPLE",O17)))</formula>
    </cfRule>
  </conditionalFormatting>
  <dataValidations count="7">
    <dataValidation type="list" allowBlank="1" showInputMessage="1" showErrorMessage="1" sqref="M37:O37" xr:uid="{4C5A34DC-A19D-47F1-8E03-1FA794CD8C9B}">
      <formula1>$U$1:$U$2</formula1>
    </dataValidation>
    <dataValidation type="list" allowBlank="1" showInputMessage="1" showErrorMessage="1" sqref="G22:H22" xr:uid="{19EDE0B4-0827-43A8-83C2-7FCBF684BC3E}">
      <formula1>$Q$2:$Q$3</formula1>
    </dataValidation>
    <dataValidation type="list" allowBlank="1" showInputMessage="1" showErrorMessage="1" sqref="O36:O38" xr:uid="{BBC05640-0118-4E86-AEEC-FED1A2F1E8C3}">
      <formula1>$R$4:$R$5</formula1>
    </dataValidation>
    <dataValidation type="list" allowBlank="1" showInputMessage="1" showErrorMessage="1" error="SELECCIONE EL PRESUPUESTO A EVALUAR, EN LA LISTA DESPEGABLE._x000a_" sqref="I11:I12 J12:K12" xr:uid="{286E2743-28A5-4F8E-A59E-FE4231E8498A}">
      <formula1>$A$75:$A$82</formula1>
    </dataValidation>
    <dataValidation type="list" allowBlank="1" showInputMessage="1" showErrorMessage="1" sqref="A3" xr:uid="{8690733D-7291-4472-91F7-B5550D3C6C76}">
      <formula1>$C$75:$C$82</formula1>
    </dataValidation>
    <dataValidation type="list" allowBlank="1" showInputMessage="1" showErrorMessage="1" sqref="V1:V2" xr:uid="{DDFD1BA8-D5BA-4DBB-BCE8-0B90C44DE5EC}">
      <formula1>$V$1:$V$2</formula1>
    </dataValidation>
    <dataValidation type="list" allowBlank="1" showInputMessage="1" showErrorMessage="1" sqref="J60:L60 I59:I60 O46" xr:uid="{D72F85DA-14A4-44AD-8A27-993532CC6D3E}">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A9B5B-53A0-460B-8DE0-01D66DCA32BF}">
  <dimension ref="A1:W94"/>
  <sheetViews>
    <sheetView view="pageBreakPreview" topLeftCell="E3" zoomScale="55" zoomScaleNormal="63" zoomScaleSheetLayoutView="55" workbookViewId="0">
      <selection activeCell="I59" sqref="I59:O5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2</v>
      </c>
      <c r="B4" s="311" t="str">
        <f>_xlfn.XLOOKUP(A4,RESUMEN!$A$3:$A$9,RESUMEN!$B$3:$B$9)</f>
        <v>Consorcio CSLA LETICIA</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26" t="s">
        <v>158</v>
      </c>
      <c r="J5" s="326"/>
      <c r="K5" s="326"/>
      <c r="L5" s="326"/>
      <c r="M5" s="326"/>
      <c r="N5" s="327"/>
      <c r="O5" s="175">
        <v>0.5</v>
      </c>
      <c r="P5" s="2">
        <f>+I7</f>
        <v>0</v>
      </c>
      <c r="R5" s="2">
        <v>0</v>
      </c>
    </row>
    <row r="6" spans="1:23" ht="20.25" customHeight="1">
      <c r="A6" s="310"/>
      <c r="B6" s="314"/>
      <c r="C6" s="315"/>
      <c r="D6" s="315"/>
      <c r="E6" s="316"/>
      <c r="F6" s="314"/>
      <c r="G6" s="315"/>
      <c r="H6" s="316"/>
      <c r="I6" s="324" t="s">
        <v>159</v>
      </c>
      <c r="J6" s="324"/>
      <c r="K6" s="324"/>
      <c r="L6" s="324"/>
      <c r="M6" s="324"/>
      <c r="N6" s="320"/>
      <c r="O6" s="175">
        <v>0.5</v>
      </c>
      <c r="P6" s="2" t="str">
        <f>+I6</f>
        <v>CONALTEC INGENIERIA S.A.S</v>
      </c>
    </row>
    <row r="7" spans="1:23" ht="35.450000000000003" customHeight="1">
      <c r="A7" s="310"/>
      <c r="B7" s="314"/>
      <c r="C7" s="315"/>
      <c r="D7" s="315"/>
      <c r="E7" s="316"/>
      <c r="F7" s="317"/>
      <c r="G7" s="318"/>
      <c r="H7" s="319"/>
      <c r="I7" s="320"/>
      <c r="J7" s="321"/>
      <c r="K7" s="321"/>
      <c r="L7" s="321"/>
      <c r="M7" s="321"/>
      <c r="N7" s="321"/>
      <c r="O7" s="175"/>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258.75"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c r="A17" s="325">
        <f>+M11*H9</f>
        <v>3727.3943907692305</v>
      </c>
      <c r="B17" s="91" t="s">
        <v>61</v>
      </c>
      <c r="C17" s="171" t="s">
        <v>160</v>
      </c>
      <c r="D17" s="171" t="s">
        <v>161</v>
      </c>
      <c r="E17" s="171" t="s">
        <v>162</v>
      </c>
      <c r="F17" s="171" t="s">
        <v>31</v>
      </c>
      <c r="G17" s="171" t="s">
        <v>137</v>
      </c>
      <c r="H17" s="64" t="s">
        <v>137</v>
      </c>
      <c r="I17" s="171" t="s">
        <v>158</v>
      </c>
      <c r="J17" s="169">
        <v>44773</v>
      </c>
      <c r="K17" s="184">
        <v>29358880105</v>
      </c>
      <c r="L17" s="68">
        <f>K17/$W$16</f>
        <v>29358.880105</v>
      </c>
      <c r="M17" s="66">
        <v>0.4</v>
      </c>
      <c r="N17" s="92">
        <f>L17*M17</f>
        <v>11743.552042000001</v>
      </c>
      <c r="O17" s="93" t="str">
        <f t="shared" ref="O17:O22" si="0">+IF(AND(H17="SI",G17="SI"),"CUMPLE","NO CUMPLE")</f>
        <v>CUMPLE</v>
      </c>
      <c r="P17" s="4"/>
      <c r="Q17" s="4"/>
      <c r="R17" s="158">
        <f>N17/A17</f>
        <v>3.1506062441587939</v>
      </c>
      <c r="S17" s="4"/>
      <c r="T17" s="72"/>
      <c r="V17" s="39">
        <v>2021</v>
      </c>
      <c r="W17" s="40">
        <v>908526</v>
      </c>
    </row>
    <row r="18" spans="1:23" ht="133.9" customHeight="1">
      <c r="A18" s="325"/>
      <c r="B18" s="91" t="s">
        <v>62</v>
      </c>
      <c r="C18" s="171" t="s">
        <v>163</v>
      </c>
      <c r="D18" s="171" t="s">
        <v>164</v>
      </c>
      <c r="E18" s="171" t="s">
        <v>165</v>
      </c>
      <c r="F18" s="171" t="s">
        <v>31</v>
      </c>
      <c r="G18" s="64" t="s">
        <v>31</v>
      </c>
      <c r="H18" s="64" t="s">
        <v>31</v>
      </c>
      <c r="I18" s="171" t="s">
        <v>159</v>
      </c>
      <c r="J18" s="169">
        <v>42715</v>
      </c>
      <c r="K18" s="184">
        <v>1695150520.96</v>
      </c>
      <c r="L18" s="68">
        <f>K18/689455</f>
        <v>2458.6818878099371</v>
      </c>
      <c r="M18" s="66">
        <v>0.3</v>
      </c>
      <c r="N18" s="92">
        <f>L18*M18</f>
        <v>737.60456634298112</v>
      </c>
      <c r="O18" s="93" t="str">
        <f t="shared" si="0"/>
        <v>CUMPLE</v>
      </c>
      <c r="P18" s="4"/>
      <c r="Q18" s="4"/>
      <c r="R18" s="158">
        <f>+(N18+N19)/A17</f>
        <v>0.19788744871474684</v>
      </c>
      <c r="S18" s="4"/>
      <c r="T18" s="72"/>
      <c r="V18" s="100"/>
      <c r="W18" s="101"/>
    </row>
    <row r="19" spans="1:23" ht="157.69999999999999" customHeight="1">
      <c r="A19" s="325"/>
      <c r="B19" s="91" t="s">
        <v>65</v>
      </c>
      <c r="C19" s="64"/>
      <c r="D19" s="65"/>
      <c r="E19" s="65"/>
      <c r="F19" s="65"/>
      <c r="G19" s="64"/>
      <c r="H19" s="64"/>
      <c r="I19" s="65"/>
      <c r="J19" s="67"/>
      <c r="K19" s="71"/>
      <c r="L19" s="68"/>
      <c r="M19" s="66"/>
      <c r="N19" s="92">
        <f>L19*M19</f>
        <v>0</v>
      </c>
      <c r="O19" s="93" t="str">
        <f t="shared" si="0"/>
        <v>NO CUMPLE</v>
      </c>
      <c r="P19" s="4"/>
      <c r="Q19" s="4"/>
      <c r="R19" s="37"/>
      <c r="S19" s="4"/>
      <c r="T19" s="72"/>
      <c r="V19" s="38">
        <v>2020</v>
      </c>
      <c r="W19" s="41">
        <v>877803</v>
      </c>
    </row>
    <row r="20" spans="1:23" ht="42.95" customHeight="1">
      <c r="A20" s="325"/>
      <c r="B20" s="91" t="s">
        <v>67</v>
      </c>
      <c r="C20" s="64"/>
      <c r="D20" s="65"/>
      <c r="E20" s="65"/>
      <c r="F20" s="64"/>
      <c r="G20" s="64"/>
      <c r="H20" s="64"/>
      <c r="I20" s="65"/>
      <c r="J20" s="67"/>
      <c r="K20" s="71"/>
      <c r="L20" s="68"/>
      <c r="M20" s="66"/>
      <c r="N20" s="92">
        <f>L20*M20</f>
        <v>0</v>
      </c>
      <c r="O20" s="93" t="str">
        <f t="shared" si="0"/>
        <v>NO CUMPLE</v>
      </c>
      <c r="P20" s="4"/>
      <c r="Q20" s="4"/>
      <c r="R20" s="158">
        <f>N20/A17</f>
        <v>0</v>
      </c>
      <c r="S20" s="69"/>
      <c r="T20" s="72"/>
      <c r="V20" s="38">
        <v>2019</v>
      </c>
      <c r="W20" s="41">
        <v>828116</v>
      </c>
    </row>
    <row r="21" spans="1:23" ht="42.95" customHeight="1" thickBot="1">
      <c r="A21" s="325"/>
      <c r="B21" s="91" t="s">
        <v>68</v>
      </c>
      <c r="C21" s="64"/>
      <c r="D21" s="64"/>
      <c r="E21" s="64"/>
      <c r="F21" s="64"/>
      <c r="G21" s="64"/>
      <c r="H21" s="64"/>
      <c r="I21" s="64"/>
      <c r="J21" s="67"/>
      <c r="K21" s="64"/>
      <c r="L21" s="64"/>
      <c r="M21" s="66"/>
      <c r="N21" s="92">
        <f>IF(AND(G21="SI",H21="SI"),(L21*M21),0)</f>
        <v>0</v>
      </c>
      <c r="O21" s="93" t="str">
        <f t="shared" si="0"/>
        <v>NO CUMPLE</v>
      </c>
      <c r="P21" s="4"/>
      <c r="Q21" s="4"/>
      <c r="R21" s="37"/>
      <c r="S21" s="69"/>
      <c r="T21" s="27"/>
      <c r="V21" s="38">
        <v>2018</v>
      </c>
      <c r="W21" s="41">
        <v>781242</v>
      </c>
    </row>
    <row r="22" spans="1:23" ht="42.95" customHeight="1" thickBot="1">
      <c r="A22" s="325"/>
      <c r="B22" s="91" t="s">
        <v>69</v>
      </c>
      <c r="C22" s="44"/>
      <c r="D22" s="45"/>
      <c r="E22" s="45"/>
      <c r="F22" s="64"/>
      <c r="G22" s="70"/>
      <c r="H22" s="70"/>
      <c r="I22" s="64"/>
      <c r="J22" s="67"/>
      <c r="K22" s="46"/>
      <c r="L22" s="47"/>
      <c r="M22" s="35"/>
      <c r="N22" s="92">
        <f>IF(AND(G22="SI",H22="SI"),(L22*M22),0)</f>
        <v>0</v>
      </c>
      <c r="O22" s="93" t="str">
        <f t="shared" si="0"/>
        <v>NO CUMPLE</v>
      </c>
      <c r="P22" s="4"/>
      <c r="Q22" s="4"/>
      <c r="R22" s="37"/>
      <c r="S22" s="4"/>
      <c r="T22" s="27"/>
      <c r="V22" s="38">
        <v>2017</v>
      </c>
      <c r="W22" s="41">
        <v>737717</v>
      </c>
    </row>
    <row r="23" spans="1:23" ht="27.95" customHeight="1">
      <c r="A23" s="274"/>
      <c r="B23" s="274"/>
      <c r="C23" s="274"/>
      <c r="D23" s="274"/>
      <c r="E23" s="274"/>
      <c r="F23" s="274"/>
      <c r="G23" s="274"/>
      <c r="H23" s="274"/>
      <c r="I23" s="274"/>
      <c r="J23" s="274"/>
      <c r="K23" s="274"/>
      <c r="L23" s="274"/>
      <c r="M23" s="275"/>
      <c r="N23" s="34">
        <f>SUM(N17:N22)</f>
        <v>12481.156608342983</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V25" s="2">
        <v>2007</v>
      </c>
      <c r="W25" s="2">
        <v>433700</v>
      </c>
    </row>
    <row r="26" spans="1:23" ht="211.9" customHeight="1">
      <c r="A26" s="269" t="s">
        <v>114</v>
      </c>
      <c r="B26" s="270"/>
      <c r="C26" s="270"/>
      <c r="D26" s="270"/>
      <c r="E26" s="270"/>
      <c r="F26" s="270"/>
      <c r="G26" s="270"/>
      <c r="H26" s="270"/>
      <c r="I26" s="270"/>
      <c r="J26" s="270"/>
      <c r="K26" s="270"/>
      <c r="L26" s="270"/>
      <c r="M26" s="270"/>
      <c r="N26" s="270"/>
      <c r="O26" s="271"/>
      <c r="T26" s="26"/>
      <c r="V26" s="2">
        <v>2023</v>
      </c>
      <c r="W26" s="2">
        <v>1160000</v>
      </c>
    </row>
    <row r="27" spans="1:23" ht="174"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c r="S27" s="36"/>
      <c r="T27" s="27"/>
      <c r="V27" s="2">
        <v>2022</v>
      </c>
      <c r="W27" s="2">
        <v>1000000</v>
      </c>
    </row>
    <row r="28" spans="1:23" ht="145.5" customHeight="1" thickBot="1">
      <c r="A28" s="280">
        <f>M11*50%</f>
        <v>1553.0809961538462</v>
      </c>
      <c r="B28" s="91" t="s">
        <v>61</v>
      </c>
      <c r="C28" s="171" t="s">
        <v>160</v>
      </c>
      <c r="D28" s="171" t="s">
        <v>161</v>
      </c>
      <c r="E28" s="171" t="s">
        <v>162</v>
      </c>
      <c r="F28" s="171" t="s">
        <v>31</v>
      </c>
      <c r="G28" s="171" t="s">
        <v>137</v>
      </c>
      <c r="H28" s="64" t="s">
        <v>137</v>
      </c>
      <c r="I28" s="171" t="s">
        <v>158</v>
      </c>
      <c r="J28" s="169">
        <v>44773</v>
      </c>
      <c r="K28" s="184">
        <v>29358880105</v>
      </c>
      <c r="L28" s="68">
        <f>K28/$W$16</f>
        <v>29358.880105</v>
      </c>
      <c r="M28" s="66">
        <v>0.4</v>
      </c>
      <c r="N28" s="92">
        <f>L28*M28</f>
        <v>11743.552042000001</v>
      </c>
      <c r="O28" s="93" t="str">
        <f>+IF(AND(H28="SI",G28="SI"),"CUMPLE","NO CUMPLE")</f>
        <v>CUMPLE</v>
      </c>
      <c r="P28" s="4"/>
      <c r="Q28" s="4"/>
      <c r="R28" s="36"/>
      <c r="S28" s="36"/>
      <c r="T28" s="27"/>
    </row>
    <row r="29" spans="1:23" ht="143.44999999999999" customHeight="1" thickTop="1" thickBot="1">
      <c r="A29" s="281"/>
      <c r="B29" s="91" t="s">
        <v>62</v>
      </c>
      <c r="C29" s="171" t="s">
        <v>163</v>
      </c>
      <c r="D29" s="171" t="s">
        <v>164</v>
      </c>
      <c r="E29" s="171" t="s">
        <v>165</v>
      </c>
      <c r="F29" s="171" t="s">
        <v>31</v>
      </c>
      <c r="G29" s="64" t="s">
        <v>31</v>
      </c>
      <c r="H29" s="64" t="s">
        <v>31</v>
      </c>
      <c r="I29" s="171" t="s">
        <v>159</v>
      </c>
      <c r="J29" s="169">
        <v>42715</v>
      </c>
      <c r="K29" s="184">
        <v>1695150520.96</v>
      </c>
      <c r="L29" s="68">
        <f>K29/689455</f>
        <v>2458.6818878099371</v>
      </c>
      <c r="M29" s="66">
        <v>0.3</v>
      </c>
      <c r="N29" s="92">
        <f>L29*M29</f>
        <v>737.60456634298112</v>
      </c>
      <c r="O29" s="93" t="str">
        <f>+IF(AND(H29="SI",G29="SI"),"CUMPLE","NO CUMPLE")</f>
        <v>CUMPLE</v>
      </c>
      <c r="P29" s="4"/>
      <c r="Q29" s="4"/>
      <c r="R29" s="37" t="str">
        <f>+IF(OR(O29="CUMPLE")*AND(N29&gt;=$R$16),"CUMPLE","NO CUMPLE")</f>
        <v>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12481.156608342983</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M48:O48"/>
    <mergeCell ref="A49:L49"/>
    <mergeCell ref="A35:O35"/>
    <mergeCell ref="A36:N36"/>
    <mergeCell ref="A38:O38"/>
    <mergeCell ref="A39:B42"/>
    <mergeCell ref="C39:L42"/>
    <mergeCell ref="M39:O39"/>
    <mergeCell ref="A43:B44"/>
    <mergeCell ref="C43:L44"/>
    <mergeCell ref="A54:L54"/>
    <mergeCell ref="A56:L56"/>
    <mergeCell ref="A50:L50"/>
    <mergeCell ref="A52:L52"/>
    <mergeCell ref="A45:B45"/>
    <mergeCell ref="C45:L45"/>
    <mergeCell ref="A48:L48"/>
    <mergeCell ref="R60:T60"/>
    <mergeCell ref="A61:O63"/>
    <mergeCell ref="A58:N58"/>
    <mergeCell ref="A59:H59"/>
    <mergeCell ref="I59:O59"/>
    <mergeCell ref="A60:H60"/>
    <mergeCell ref="I60:L60"/>
    <mergeCell ref="M60:O60"/>
  </mergeCells>
  <conditionalFormatting sqref="I60:L60 P34">
    <cfRule type="cellIs" dxfId="278" priority="62" operator="equal">
      <formula>100</formula>
    </cfRule>
  </conditionalFormatting>
  <conditionalFormatting sqref="I60:L60 P34">
    <cfRule type="cellIs" dxfId="277" priority="59" operator="equal">
      <formula>"NO CUMPLE"</formula>
    </cfRule>
    <cfRule type="cellIs" dxfId="276" priority="61" operator="equal">
      <formula>"CUMPLE"</formula>
    </cfRule>
  </conditionalFormatting>
  <conditionalFormatting sqref="O23 O34">
    <cfRule type="cellIs" dxfId="275" priority="58" operator="equal">
      <formula>100</formula>
    </cfRule>
  </conditionalFormatting>
  <conditionalFormatting sqref="O23 O34">
    <cfRule type="cellIs" dxfId="274" priority="56" operator="equal">
      <formula>"NO CUMPLE"</formula>
    </cfRule>
    <cfRule type="cellIs" dxfId="273" priority="57" operator="equal">
      <formula>"CUMPLE"</formula>
    </cfRule>
  </conditionalFormatting>
  <conditionalFormatting sqref="O36:O38">
    <cfRule type="cellIs" dxfId="272" priority="55" operator="equal">
      <formula>100</formula>
    </cfRule>
  </conditionalFormatting>
  <conditionalFormatting sqref="O36:O38">
    <cfRule type="cellIs" dxfId="271" priority="53" operator="equal">
      <formula>"NO CUMPLE"</formula>
    </cfRule>
    <cfRule type="cellIs" dxfId="270" priority="54" operator="equal">
      <formula>"CUMPLE"</formula>
    </cfRule>
  </conditionalFormatting>
  <conditionalFormatting sqref="P24">
    <cfRule type="cellIs" dxfId="269" priority="52" operator="equal">
      <formula>100</formula>
    </cfRule>
  </conditionalFormatting>
  <conditionalFormatting sqref="P24">
    <cfRule type="cellIs" dxfId="268" priority="50" operator="equal">
      <formula>"NO CUMPLE"</formula>
    </cfRule>
    <cfRule type="cellIs" dxfId="267" priority="51" operator="equal">
      <formula>"CUMPLE"</formula>
    </cfRule>
  </conditionalFormatting>
  <conditionalFormatting sqref="P36:P42 P44 P46">
    <cfRule type="cellIs" dxfId="266" priority="49" operator="equal">
      <formula>100</formula>
    </cfRule>
  </conditionalFormatting>
  <conditionalFormatting sqref="P36:P42 P44 P46">
    <cfRule type="cellIs" dxfId="265" priority="47" operator="equal">
      <formula>"NO CUMPLE"</formula>
    </cfRule>
    <cfRule type="cellIs" dxfId="264" priority="48" operator="equal">
      <formula>"CUMPLE"</formula>
    </cfRule>
  </conditionalFormatting>
  <conditionalFormatting sqref="I59">
    <cfRule type="cellIs" dxfId="263" priority="46" operator="equal">
      <formula>100</formula>
    </cfRule>
  </conditionalFormatting>
  <conditionalFormatting sqref="I59">
    <cfRule type="cellIs" dxfId="262" priority="44" operator="equal">
      <formula>"NO CUMPLE"</formula>
    </cfRule>
    <cfRule type="cellIs" dxfId="261" priority="45" operator="equal">
      <formula>"CUMPLE"</formula>
    </cfRule>
  </conditionalFormatting>
  <conditionalFormatting sqref="P31:P32">
    <cfRule type="cellIs" dxfId="260" priority="40" operator="equal">
      <formula>100</formula>
    </cfRule>
  </conditionalFormatting>
  <conditionalFormatting sqref="P31:P32">
    <cfRule type="cellIs" dxfId="259" priority="38" operator="equal">
      <formula>"NO CUMPLE"</formula>
    </cfRule>
    <cfRule type="cellIs" dxfId="258" priority="39" operator="equal">
      <formula>"CUMPLE"</formula>
    </cfRule>
  </conditionalFormatting>
  <conditionalFormatting sqref="P33">
    <cfRule type="cellIs" dxfId="257" priority="34" operator="equal">
      <formula>100</formula>
    </cfRule>
  </conditionalFormatting>
  <conditionalFormatting sqref="P33">
    <cfRule type="cellIs" dxfId="256" priority="32" operator="equal">
      <formula>"NO CUMPLE"</formula>
    </cfRule>
    <cfRule type="cellIs" dxfId="255" priority="33" operator="equal">
      <formula>"CUMPLE"</formula>
    </cfRule>
  </conditionalFormatting>
  <conditionalFormatting sqref="P43">
    <cfRule type="cellIs" dxfId="254" priority="31" operator="equal">
      <formula>100</formula>
    </cfRule>
  </conditionalFormatting>
  <conditionalFormatting sqref="P43">
    <cfRule type="cellIs" dxfId="253" priority="29" operator="equal">
      <formula>"NO CUMPLE"</formula>
    </cfRule>
    <cfRule type="cellIs" dxfId="252" priority="30" operator="equal">
      <formula>"CUMPLE"</formula>
    </cfRule>
  </conditionalFormatting>
  <conditionalFormatting sqref="P45">
    <cfRule type="cellIs" dxfId="251" priority="28" operator="equal">
      <formula>100</formula>
    </cfRule>
  </conditionalFormatting>
  <conditionalFormatting sqref="P45">
    <cfRule type="cellIs" dxfId="250" priority="26" operator="equal">
      <formula>"NO CUMPLE"</formula>
    </cfRule>
    <cfRule type="cellIs" dxfId="249" priority="27" operator="equal">
      <formula>"CUMPLE"</formula>
    </cfRule>
  </conditionalFormatting>
  <conditionalFormatting sqref="R60:T60">
    <cfRule type="cellIs" dxfId="248" priority="25" operator="equal">
      <formula>100</formula>
    </cfRule>
  </conditionalFormatting>
  <conditionalFormatting sqref="R60:T60">
    <cfRule type="cellIs" dxfId="247" priority="24" operator="lessThan">
      <formula>100</formula>
    </cfRule>
  </conditionalFormatting>
  <conditionalFormatting sqref="O32">
    <cfRule type="cellIs" dxfId="246" priority="15" operator="equal">
      <formula>100</formula>
    </cfRule>
  </conditionalFormatting>
  <conditionalFormatting sqref="O32">
    <cfRule type="cellIs" dxfId="245" priority="13" operator="equal">
      <formula>"NO CUMPLE"</formula>
    </cfRule>
    <cfRule type="cellIs" dxfId="244" priority="14" operator="equal">
      <formula>"CUMPLE"</formula>
    </cfRule>
  </conditionalFormatting>
  <conditionalFormatting sqref="O33">
    <cfRule type="cellIs" dxfId="243" priority="12" operator="equal">
      <formula>100</formula>
    </cfRule>
  </conditionalFormatting>
  <conditionalFormatting sqref="O33">
    <cfRule type="cellIs" dxfId="242" priority="10" operator="equal">
      <formula>"NO CUMPLE"</formula>
    </cfRule>
    <cfRule type="cellIs" dxfId="241" priority="11" operator="equal">
      <formula>"CUMPLE"</formula>
    </cfRule>
  </conditionalFormatting>
  <conditionalFormatting sqref="O31">
    <cfRule type="cellIs" dxfId="240" priority="9" operator="equal">
      <formula>100</formula>
    </cfRule>
  </conditionalFormatting>
  <conditionalFormatting sqref="O31">
    <cfRule type="cellIs" dxfId="239" priority="7" operator="equal">
      <formula>"NO CUMPLE"</formula>
    </cfRule>
    <cfRule type="cellIs" dxfId="238" priority="8" operator="equal">
      <formula>"CUMPLE"</formula>
    </cfRule>
  </conditionalFormatting>
  <conditionalFormatting sqref="M60:O60">
    <cfRule type="cellIs" dxfId="237" priority="6" operator="equal">
      <formula>100</formula>
    </cfRule>
  </conditionalFormatting>
  <conditionalFormatting sqref="M60:O60">
    <cfRule type="cellIs" dxfId="236" priority="5" operator="lessThan">
      <formula>100</formula>
    </cfRule>
  </conditionalFormatting>
  <conditionalFormatting sqref="O17:O22">
    <cfRule type="containsText" dxfId="235" priority="4" operator="containsText" text="NO CUMPLE">
      <formula>NOT(ISERROR(SEARCH("NO CUMPLE",O17)))</formula>
    </cfRule>
  </conditionalFormatting>
  <conditionalFormatting sqref="O46">
    <cfRule type="cellIs" dxfId="234" priority="3" operator="equal">
      <formula>100</formula>
    </cfRule>
  </conditionalFormatting>
  <conditionalFormatting sqref="O46">
    <cfRule type="cellIs" dxfId="233" priority="1" operator="equal">
      <formula>"NO CUMPLE"</formula>
    </cfRule>
    <cfRule type="cellIs" dxfId="232" priority="2" operator="equal">
      <formula>"CUMPLE"</formula>
    </cfRule>
  </conditionalFormatting>
  <dataValidations count="7">
    <dataValidation type="list" allowBlank="1" showInputMessage="1" showErrorMessage="1" sqref="M37:O37" xr:uid="{2657C5B8-2720-4A70-B77F-F2F5BEC3304E}">
      <formula1>$U$1:$U$2</formula1>
    </dataValidation>
    <dataValidation type="list" allowBlank="1" showInputMessage="1" showErrorMessage="1" sqref="G22:H22" xr:uid="{5FD7B945-5710-45D6-A931-BC4977C89C8D}">
      <formula1>$Q$2:$Q$3</formula1>
    </dataValidation>
    <dataValidation type="list" allowBlank="1" showInputMessage="1" showErrorMessage="1" sqref="O36:O38" xr:uid="{96D9C785-7305-445B-8D5B-080ED9D5CAD7}">
      <formula1>$R$4:$R$5</formula1>
    </dataValidation>
    <dataValidation type="list" allowBlank="1" showInputMessage="1" showErrorMessage="1" error="SELECCIONE EL PRESUPUESTO A EVALUAR, EN LA LISTA DESPEGABLE._x000a_" sqref="I11:I12 J12:K12" xr:uid="{B9BE3827-1625-4649-96BD-B3A2C73E9B28}">
      <formula1>$A$75:$A$82</formula1>
    </dataValidation>
    <dataValidation type="list" allowBlank="1" showInputMessage="1" showErrorMessage="1" sqref="A3" xr:uid="{8FCF861C-F6AB-409B-AB48-ECD5DE5F5D20}">
      <formula1>$C$75:$C$82</formula1>
    </dataValidation>
    <dataValidation type="list" allowBlank="1" showInputMessage="1" showErrorMessage="1" sqref="V1:V2" xr:uid="{646C0112-5F63-4C2E-BB28-4A4049C3F00F}">
      <formula1>$V$1:$V$2</formula1>
    </dataValidation>
    <dataValidation type="list" allowBlank="1" showInputMessage="1" showErrorMessage="1" sqref="J60:L60 I59:I60 O46" xr:uid="{270BB1F0-3ACB-40D9-8DEE-97B0CB2B936B}">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99261-1282-4571-8F64-4F6F20038751}">
  <dimension ref="A1:W94"/>
  <sheetViews>
    <sheetView view="pageBreakPreview" topLeftCell="G44" zoomScale="70" zoomScaleNormal="63" zoomScaleSheetLayoutView="70" workbookViewId="0">
      <selection activeCell="M50" sqref="M5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3</v>
      </c>
      <c r="B4" s="311" t="str">
        <f>_xlfn.XLOOKUP(A4,RESUMEN!$A$3:$A$9,RESUMEN!$B$3:$B$9)</f>
        <v>CONSTRUCTORA Y FERRETERIA LA SABANA SAS</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26" t="s">
        <v>126</v>
      </c>
      <c r="J5" s="326"/>
      <c r="K5" s="326"/>
      <c r="L5" s="326"/>
      <c r="M5" s="326"/>
      <c r="N5" s="327"/>
      <c r="O5" s="175">
        <v>0.6</v>
      </c>
      <c r="P5" s="2">
        <f>+I7</f>
        <v>0</v>
      </c>
      <c r="R5" s="2">
        <v>0</v>
      </c>
    </row>
    <row r="6" spans="1:23" ht="20.25" customHeight="1">
      <c r="A6" s="310"/>
      <c r="B6" s="314"/>
      <c r="C6" s="315"/>
      <c r="D6" s="315"/>
      <c r="E6" s="316"/>
      <c r="F6" s="314"/>
      <c r="G6" s="315"/>
      <c r="H6" s="316"/>
      <c r="I6" s="324" t="s">
        <v>127</v>
      </c>
      <c r="J6" s="324"/>
      <c r="K6" s="324"/>
      <c r="L6" s="324"/>
      <c r="M6" s="324"/>
      <c r="N6" s="320"/>
      <c r="O6" s="175">
        <v>0.4</v>
      </c>
      <c r="P6" s="2" t="str">
        <f>+I6</f>
        <v>GUSTAVO TENJO RODRIGUEZ</v>
      </c>
    </row>
    <row r="7" spans="1:23" ht="35.450000000000003" customHeight="1">
      <c r="A7" s="310"/>
      <c r="B7" s="314"/>
      <c r="C7" s="315"/>
      <c r="D7" s="315"/>
      <c r="E7" s="316"/>
      <c r="F7" s="317"/>
      <c r="G7" s="318"/>
      <c r="H7" s="319"/>
      <c r="I7" s="320"/>
      <c r="J7" s="321"/>
      <c r="K7" s="321"/>
      <c r="L7" s="321"/>
      <c r="M7" s="321"/>
      <c r="N7" s="321"/>
      <c r="O7" s="175"/>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83"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c r="A17" s="325">
        <f>+M11*H9</f>
        <v>3727.3943907692305</v>
      </c>
      <c r="B17" s="91" t="s">
        <v>61</v>
      </c>
      <c r="C17" s="170">
        <v>5</v>
      </c>
      <c r="D17" s="170" t="s">
        <v>122</v>
      </c>
      <c r="E17" s="179" t="s">
        <v>124</v>
      </c>
      <c r="F17" s="65" t="s">
        <v>31</v>
      </c>
      <c r="G17" s="64" t="s">
        <v>31</v>
      </c>
      <c r="H17" s="64" t="s">
        <v>31</v>
      </c>
      <c r="I17" s="134" t="s">
        <v>128</v>
      </c>
      <c r="J17" s="137">
        <v>2012</v>
      </c>
      <c r="K17" s="71">
        <v>1580482196</v>
      </c>
      <c r="L17" s="68">
        <v>2788.92</v>
      </c>
      <c r="M17" s="66">
        <v>0.4</v>
      </c>
      <c r="N17" s="92">
        <f>L17*M17</f>
        <v>1115.568</v>
      </c>
      <c r="O17" s="93" t="str">
        <f t="shared" ref="O17:O22" si="0">+IF(AND(H17="SI",G17="SI"),"CUMPLE","NO CUMPLE")</f>
        <v>CUMPLE</v>
      </c>
      <c r="P17" s="4"/>
      <c r="Q17" s="4"/>
      <c r="R17" s="158">
        <f>(N17+N18+N19)/A17</f>
        <v>1.0267032674291889</v>
      </c>
      <c r="S17" s="4"/>
      <c r="T17" s="72"/>
      <c r="V17" s="39">
        <v>2021</v>
      </c>
      <c r="W17" s="40">
        <v>908526</v>
      </c>
    </row>
    <row r="18" spans="1:23" ht="133.9" customHeight="1">
      <c r="A18" s="325"/>
      <c r="B18" s="91" t="s">
        <v>62</v>
      </c>
      <c r="C18" s="170">
        <v>41</v>
      </c>
      <c r="D18" s="170" t="s">
        <v>123</v>
      </c>
      <c r="E18" s="179" t="s">
        <v>125</v>
      </c>
      <c r="F18" s="65" t="s">
        <v>31</v>
      </c>
      <c r="G18" s="64" t="s">
        <v>31</v>
      </c>
      <c r="H18" s="64" t="s">
        <v>31</v>
      </c>
      <c r="I18" s="140" t="s">
        <v>127</v>
      </c>
      <c r="J18" s="138">
        <v>2006</v>
      </c>
      <c r="K18" s="71">
        <v>1106235200</v>
      </c>
      <c r="L18" s="68">
        <v>2711.36</v>
      </c>
      <c r="M18" s="66">
        <v>1</v>
      </c>
      <c r="N18" s="92">
        <f>L18*M18</f>
        <v>2711.36</v>
      </c>
      <c r="O18" s="93" t="str">
        <f t="shared" si="0"/>
        <v>CUMPLE</v>
      </c>
      <c r="P18" s="4"/>
      <c r="Q18" s="4"/>
      <c r="R18" s="37"/>
      <c r="S18" s="4"/>
      <c r="T18" s="72"/>
      <c r="V18" s="100"/>
      <c r="W18" s="101"/>
    </row>
    <row r="19" spans="1:23" ht="157.69999999999999" customHeight="1">
      <c r="A19" s="325"/>
      <c r="B19" s="91" t="s">
        <v>65</v>
      </c>
      <c r="C19" s="132"/>
      <c r="D19" s="134"/>
      <c r="E19" s="136"/>
      <c r="F19" s="65"/>
      <c r="G19" s="64"/>
      <c r="H19" s="64"/>
      <c r="I19" s="141"/>
      <c r="J19" s="138"/>
      <c r="K19" s="71"/>
      <c r="L19" s="68"/>
      <c r="M19" s="66"/>
      <c r="N19" s="92">
        <f>L19*M19</f>
        <v>0</v>
      </c>
      <c r="O19" s="93" t="str">
        <f t="shared" si="0"/>
        <v>NO CUMPLE</v>
      </c>
      <c r="P19" s="4"/>
      <c r="Q19" s="4"/>
      <c r="R19" s="37"/>
      <c r="S19" s="4"/>
      <c r="T19" s="72"/>
      <c r="V19" s="38">
        <v>2020</v>
      </c>
      <c r="W19" s="41">
        <v>877803</v>
      </c>
    </row>
    <row r="20" spans="1:23" ht="42.95" customHeight="1">
      <c r="A20" s="325"/>
      <c r="B20" s="91" t="s">
        <v>67</v>
      </c>
      <c r="C20" s="133"/>
      <c r="D20" s="135"/>
      <c r="E20" s="135"/>
      <c r="F20" s="64"/>
      <c r="G20" s="64"/>
      <c r="H20" s="64"/>
      <c r="I20" s="142"/>
      <c r="J20" s="139"/>
      <c r="K20" s="71"/>
      <c r="L20" s="68"/>
      <c r="M20" s="66"/>
      <c r="N20" s="92">
        <f>L20*M20</f>
        <v>0</v>
      </c>
      <c r="O20" s="93" t="str">
        <f t="shared" si="0"/>
        <v>NO CUMPLE</v>
      </c>
      <c r="P20" s="4"/>
      <c r="Q20" s="4"/>
      <c r="R20" s="158">
        <f>+N20/A17</f>
        <v>0</v>
      </c>
      <c r="S20" s="69"/>
      <c r="T20" s="72" t="s">
        <v>66</v>
      </c>
      <c r="V20" s="38">
        <v>2019</v>
      </c>
      <c r="W20" s="41">
        <v>828116</v>
      </c>
    </row>
    <row r="21" spans="1:23" ht="42.95" customHeight="1" thickBot="1">
      <c r="A21" s="325"/>
      <c r="B21" s="91" t="s">
        <v>68</v>
      </c>
      <c r="C21" s="64"/>
      <c r="D21" s="64"/>
      <c r="E21" s="64"/>
      <c r="F21" s="64"/>
      <c r="G21" s="64"/>
      <c r="H21" s="64"/>
      <c r="I21" s="64"/>
      <c r="J21" s="67"/>
      <c r="K21" s="64"/>
      <c r="L21" s="64"/>
      <c r="M21" s="66"/>
      <c r="N21" s="92">
        <f>IF(AND(G21="SI",H21="SI"),(L21*M21),0)</f>
        <v>0</v>
      </c>
      <c r="O21" s="93" t="str">
        <f t="shared" si="0"/>
        <v>NO CUMPLE</v>
      </c>
      <c r="P21" s="4"/>
      <c r="Q21" s="4"/>
      <c r="R21" s="37"/>
      <c r="S21" s="69"/>
      <c r="T21" s="27"/>
      <c r="V21" s="38">
        <v>2018</v>
      </c>
      <c r="W21" s="41">
        <v>781242</v>
      </c>
    </row>
    <row r="22" spans="1:23" ht="42.95" customHeight="1" thickBot="1">
      <c r="A22" s="325"/>
      <c r="B22" s="91" t="s">
        <v>69</v>
      </c>
      <c r="C22" s="44"/>
      <c r="D22" s="45"/>
      <c r="E22" s="45"/>
      <c r="F22" s="64"/>
      <c r="G22" s="70"/>
      <c r="H22" s="70"/>
      <c r="I22" s="64"/>
      <c r="J22" s="67"/>
      <c r="K22" s="46"/>
      <c r="L22" s="47"/>
      <c r="M22" s="35"/>
      <c r="N22" s="92">
        <f>IF(AND(G22="SI",H22="SI"),(L22*M22),0)</f>
        <v>0</v>
      </c>
      <c r="O22" s="93" t="str">
        <f t="shared" si="0"/>
        <v>NO CUMPLE</v>
      </c>
      <c r="P22" s="4"/>
      <c r="Q22" s="4"/>
      <c r="R22" s="37"/>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3826.9279999999999</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T25" s="2">
        <f>1949500000+6451200000</f>
        <v>8400700000</v>
      </c>
      <c r="V25" s="2">
        <v>2007</v>
      </c>
      <c r="W25" s="2">
        <v>433700</v>
      </c>
    </row>
    <row r="26" spans="1:23" ht="211.9" customHeight="1">
      <c r="A26" s="269" t="s">
        <v>114</v>
      </c>
      <c r="B26" s="270"/>
      <c r="C26" s="270"/>
      <c r="D26" s="270"/>
      <c r="E26" s="270"/>
      <c r="F26" s="270"/>
      <c r="G26" s="270"/>
      <c r="H26" s="270"/>
      <c r="I26" s="270"/>
      <c r="J26" s="270"/>
      <c r="K26" s="270"/>
      <c r="L26" s="270"/>
      <c r="M26" s="270"/>
      <c r="N26" s="270"/>
      <c r="O26" s="271"/>
      <c r="S26" s="2">
        <f>+T26*0.9</f>
        <v>17432.856813465529</v>
      </c>
      <c r="T26" s="26">
        <f>+T25/W25</f>
        <v>19369.840903850589</v>
      </c>
      <c r="V26" s="2">
        <v>2023</v>
      </c>
      <c r="W26" s="2">
        <v>1160000</v>
      </c>
    </row>
    <row r="27" spans="1:23" ht="191.25"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t="e">
        <f>#REF!/2</f>
        <v>#REF!</v>
      </c>
      <c r="S27" s="36" t="s">
        <v>72</v>
      </c>
      <c r="T27" s="27"/>
      <c r="V27" s="2">
        <v>2022</v>
      </c>
      <c r="W27" s="2">
        <v>1000000</v>
      </c>
    </row>
    <row r="28" spans="1:23" ht="145.5" customHeight="1" thickBot="1">
      <c r="A28" s="280">
        <f>M11*50%</f>
        <v>1553.0809961538462</v>
      </c>
      <c r="B28" s="91" t="s">
        <v>61</v>
      </c>
      <c r="C28" s="170">
        <v>5</v>
      </c>
      <c r="D28" s="170" t="s">
        <v>122</v>
      </c>
      <c r="E28" s="179" t="s">
        <v>124</v>
      </c>
      <c r="F28" s="171" t="s">
        <v>31</v>
      </c>
      <c r="G28" s="64" t="s">
        <v>31</v>
      </c>
      <c r="H28" s="64" t="s">
        <v>31</v>
      </c>
      <c r="I28" s="134" t="s">
        <v>128</v>
      </c>
      <c r="J28" s="137">
        <v>2012</v>
      </c>
      <c r="K28" s="168">
        <v>1580482196</v>
      </c>
      <c r="L28" s="68">
        <v>2788.92</v>
      </c>
      <c r="M28" s="66">
        <v>0.4</v>
      </c>
      <c r="N28" s="92">
        <f>L28*M28</f>
        <v>1115.568</v>
      </c>
      <c r="O28" s="93" t="str">
        <f>+IF(AND(H28="SI",G28="SI"),"CUMPLE","NO CUMPLE")</f>
        <v>CUMPLE</v>
      </c>
      <c r="P28" s="4"/>
      <c r="Q28" s="4"/>
      <c r="R28" s="36"/>
      <c r="S28" s="36">
        <f>+K28/W34</f>
        <v>2788.9221739897653</v>
      </c>
      <c r="T28" s="27"/>
    </row>
    <row r="29" spans="1:23" ht="143.44999999999999" customHeight="1" thickTop="1" thickBot="1">
      <c r="A29" s="281"/>
      <c r="B29" s="91" t="s">
        <v>62</v>
      </c>
      <c r="C29" s="170">
        <v>41</v>
      </c>
      <c r="D29" s="170" t="s">
        <v>123</v>
      </c>
      <c r="E29" s="179" t="s">
        <v>125</v>
      </c>
      <c r="F29" s="171" t="s">
        <v>31</v>
      </c>
      <c r="G29" s="64" t="s">
        <v>31</v>
      </c>
      <c r="H29" s="64" t="s">
        <v>31</v>
      </c>
      <c r="I29" s="140" t="s">
        <v>127</v>
      </c>
      <c r="J29" s="138">
        <v>2006</v>
      </c>
      <c r="K29" s="168">
        <v>1106235200</v>
      </c>
      <c r="L29" s="68">
        <v>2711.36</v>
      </c>
      <c r="M29" s="66">
        <v>1</v>
      </c>
      <c r="N29" s="92">
        <f>L29*M29</f>
        <v>2711.36</v>
      </c>
      <c r="O29" s="93" t="str">
        <f>+IF(AND(H29="SI",G29="SI"),"CUMPLE","NO CUMPLE")</f>
        <v>CUMPLE</v>
      </c>
      <c r="P29" s="4"/>
      <c r="Q29" s="4"/>
      <c r="R29" s="37" t="str">
        <f>+IF(OR(O29="CUMPLE")*AND(N29&gt;=$R$16),"CUMPLE","NO CUMPLE")</f>
        <v>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3826.9279999999999</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0</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39.5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M48:O48"/>
    <mergeCell ref="A49:L49"/>
    <mergeCell ref="A35:O35"/>
    <mergeCell ref="A36:N36"/>
    <mergeCell ref="A38:O38"/>
    <mergeCell ref="A39:B42"/>
    <mergeCell ref="C39:L42"/>
    <mergeCell ref="M39:O39"/>
    <mergeCell ref="A43:B44"/>
    <mergeCell ref="C43:L44"/>
    <mergeCell ref="A54:L54"/>
    <mergeCell ref="A56:L56"/>
    <mergeCell ref="A50:L50"/>
    <mergeCell ref="A52:L52"/>
    <mergeCell ref="A45:B45"/>
    <mergeCell ref="C45:L45"/>
    <mergeCell ref="A48:L48"/>
    <mergeCell ref="R60:T60"/>
    <mergeCell ref="A61:O63"/>
    <mergeCell ref="A58:N58"/>
    <mergeCell ref="A59:H59"/>
    <mergeCell ref="I59:O59"/>
    <mergeCell ref="A60:H60"/>
    <mergeCell ref="I60:L60"/>
    <mergeCell ref="M60:O60"/>
  </mergeCells>
  <conditionalFormatting sqref="I60:L60 P34">
    <cfRule type="cellIs" dxfId="231" priority="53" operator="equal">
      <formula>100</formula>
    </cfRule>
  </conditionalFormatting>
  <conditionalFormatting sqref="I60:L60 P34">
    <cfRule type="cellIs" dxfId="230" priority="50" operator="equal">
      <formula>"NO CUMPLE"</formula>
    </cfRule>
    <cfRule type="cellIs" dxfId="229" priority="52" operator="equal">
      <formula>"CUMPLE"</formula>
    </cfRule>
  </conditionalFormatting>
  <conditionalFormatting sqref="O23 O34">
    <cfRule type="cellIs" dxfId="228" priority="49" operator="equal">
      <formula>100</formula>
    </cfRule>
  </conditionalFormatting>
  <conditionalFormatting sqref="O23 O34">
    <cfRule type="cellIs" dxfId="227" priority="47" operator="equal">
      <formula>"NO CUMPLE"</formula>
    </cfRule>
    <cfRule type="cellIs" dxfId="226" priority="48" operator="equal">
      <formula>"CUMPLE"</formula>
    </cfRule>
  </conditionalFormatting>
  <conditionalFormatting sqref="O36:O38">
    <cfRule type="cellIs" dxfId="225" priority="46" operator="equal">
      <formula>100</formula>
    </cfRule>
  </conditionalFormatting>
  <conditionalFormatting sqref="O36:O38">
    <cfRule type="cellIs" dxfId="224" priority="44" operator="equal">
      <formula>"NO CUMPLE"</formula>
    </cfRule>
    <cfRule type="cellIs" dxfId="223" priority="45" operator="equal">
      <formula>"CUMPLE"</formula>
    </cfRule>
  </conditionalFormatting>
  <conditionalFormatting sqref="P24">
    <cfRule type="cellIs" dxfId="222" priority="43" operator="equal">
      <formula>100</formula>
    </cfRule>
  </conditionalFormatting>
  <conditionalFormatting sqref="P24">
    <cfRule type="cellIs" dxfId="221" priority="41" operator="equal">
      <formula>"NO CUMPLE"</formula>
    </cfRule>
    <cfRule type="cellIs" dxfId="220" priority="42" operator="equal">
      <formula>"CUMPLE"</formula>
    </cfRule>
  </conditionalFormatting>
  <conditionalFormatting sqref="P36:P42 P44 P46">
    <cfRule type="cellIs" dxfId="219" priority="40" operator="equal">
      <formula>100</formula>
    </cfRule>
  </conditionalFormatting>
  <conditionalFormatting sqref="P36:P42 P44 P46">
    <cfRule type="cellIs" dxfId="218" priority="38" operator="equal">
      <formula>"NO CUMPLE"</formula>
    </cfRule>
    <cfRule type="cellIs" dxfId="217" priority="39" operator="equal">
      <formula>"CUMPLE"</formula>
    </cfRule>
  </conditionalFormatting>
  <conditionalFormatting sqref="I59">
    <cfRule type="cellIs" dxfId="216" priority="37" operator="equal">
      <formula>100</formula>
    </cfRule>
  </conditionalFormatting>
  <conditionalFormatting sqref="I59">
    <cfRule type="cellIs" dxfId="215" priority="35" operator="equal">
      <formula>"NO CUMPLE"</formula>
    </cfRule>
    <cfRule type="cellIs" dxfId="214" priority="36" operator="equal">
      <formula>"CUMPLE"</formula>
    </cfRule>
  </conditionalFormatting>
  <conditionalFormatting sqref="O32">
    <cfRule type="cellIs" dxfId="213" priority="34" operator="equal">
      <formula>100</formula>
    </cfRule>
  </conditionalFormatting>
  <conditionalFormatting sqref="O32">
    <cfRule type="cellIs" dxfId="212" priority="32" operator="equal">
      <formula>"NO CUMPLE"</formula>
    </cfRule>
    <cfRule type="cellIs" dxfId="211" priority="33" operator="equal">
      <formula>"CUMPLE"</formula>
    </cfRule>
  </conditionalFormatting>
  <conditionalFormatting sqref="P31:P32">
    <cfRule type="cellIs" dxfId="210" priority="31" operator="equal">
      <formula>100</formula>
    </cfRule>
  </conditionalFormatting>
  <conditionalFormatting sqref="P31:P32">
    <cfRule type="cellIs" dxfId="209" priority="29" operator="equal">
      <formula>"NO CUMPLE"</formula>
    </cfRule>
    <cfRule type="cellIs" dxfId="208" priority="30" operator="equal">
      <formula>"CUMPLE"</formula>
    </cfRule>
  </conditionalFormatting>
  <conditionalFormatting sqref="O33">
    <cfRule type="cellIs" dxfId="207" priority="28" operator="equal">
      <formula>100</formula>
    </cfRule>
  </conditionalFormatting>
  <conditionalFormatting sqref="O33">
    <cfRule type="cellIs" dxfId="206" priority="26" operator="equal">
      <formula>"NO CUMPLE"</formula>
    </cfRule>
    <cfRule type="cellIs" dxfId="205" priority="27" operator="equal">
      <formula>"CUMPLE"</formula>
    </cfRule>
  </conditionalFormatting>
  <conditionalFormatting sqref="P33">
    <cfRule type="cellIs" dxfId="204" priority="25" operator="equal">
      <formula>100</formula>
    </cfRule>
  </conditionalFormatting>
  <conditionalFormatting sqref="P33">
    <cfRule type="cellIs" dxfId="203" priority="23" operator="equal">
      <formula>"NO CUMPLE"</formula>
    </cfRule>
    <cfRule type="cellIs" dxfId="202" priority="24" operator="equal">
      <formula>"CUMPLE"</formula>
    </cfRule>
  </conditionalFormatting>
  <conditionalFormatting sqref="P43">
    <cfRule type="cellIs" dxfId="201" priority="22" operator="equal">
      <formula>100</formula>
    </cfRule>
  </conditionalFormatting>
  <conditionalFormatting sqref="P43">
    <cfRule type="cellIs" dxfId="200" priority="20" operator="equal">
      <formula>"NO CUMPLE"</formula>
    </cfRule>
    <cfRule type="cellIs" dxfId="199" priority="21" operator="equal">
      <formula>"CUMPLE"</formula>
    </cfRule>
  </conditionalFormatting>
  <conditionalFormatting sqref="P45">
    <cfRule type="cellIs" dxfId="198" priority="19" operator="equal">
      <formula>100</formula>
    </cfRule>
  </conditionalFormatting>
  <conditionalFormatting sqref="P45">
    <cfRule type="cellIs" dxfId="197" priority="17" operator="equal">
      <formula>"NO CUMPLE"</formula>
    </cfRule>
    <cfRule type="cellIs" dxfId="196" priority="18" operator="equal">
      <formula>"CUMPLE"</formula>
    </cfRule>
  </conditionalFormatting>
  <conditionalFormatting sqref="R60:T60">
    <cfRule type="cellIs" dxfId="195" priority="16" operator="equal">
      <formula>100</formula>
    </cfRule>
  </conditionalFormatting>
  <conditionalFormatting sqref="R60:T60">
    <cfRule type="cellIs" dxfId="194" priority="15" operator="lessThan">
      <formula>100</formula>
    </cfRule>
  </conditionalFormatting>
  <conditionalFormatting sqref="O31">
    <cfRule type="cellIs" dxfId="193" priority="9" operator="equal">
      <formula>100</formula>
    </cfRule>
  </conditionalFormatting>
  <conditionalFormatting sqref="O31">
    <cfRule type="cellIs" dxfId="192" priority="7" operator="equal">
      <formula>"NO CUMPLE"</formula>
    </cfRule>
    <cfRule type="cellIs" dxfId="191" priority="8" operator="equal">
      <formula>"CUMPLE"</formula>
    </cfRule>
  </conditionalFormatting>
  <conditionalFormatting sqref="M60:O60">
    <cfRule type="cellIs" dxfId="190" priority="6" operator="equal">
      <formula>100</formula>
    </cfRule>
  </conditionalFormatting>
  <conditionalFormatting sqref="M60:O60">
    <cfRule type="cellIs" dxfId="189" priority="5" operator="lessThan">
      <formula>100</formula>
    </cfRule>
  </conditionalFormatting>
  <conditionalFormatting sqref="O17:O22">
    <cfRule type="containsText" dxfId="188" priority="4" operator="containsText" text="NO CUMPLE">
      <formula>NOT(ISERROR(SEARCH("NO CUMPLE",O17)))</formula>
    </cfRule>
  </conditionalFormatting>
  <conditionalFormatting sqref="O46">
    <cfRule type="cellIs" dxfId="187" priority="3" operator="equal">
      <formula>100</formula>
    </cfRule>
  </conditionalFormatting>
  <conditionalFormatting sqref="O46">
    <cfRule type="cellIs" dxfId="186" priority="1" operator="equal">
      <formula>"NO CUMPLE"</formula>
    </cfRule>
    <cfRule type="cellIs" dxfId="185" priority="2" operator="equal">
      <formula>"CUMPLE"</formula>
    </cfRule>
  </conditionalFormatting>
  <dataValidations count="7">
    <dataValidation type="list" allowBlank="1" showInputMessage="1" showErrorMessage="1" sqref="J60:L60 I59:I60 O46" xr:uid="{07574C42-96F0-41A9-952F-2B19C2ED18AB}">
      <formula1>$R$2:$R$3</formula1>
    </dataValidation>
    <dataValidation type="list" allowBlank="1" showInputMessage="1" showErrorMessage="1" sqref="V1:V2" xr:uid="{C5619476-7BE5-44D8-8276-9853337BB6EF}">
      <formula1>$V$1:$V$2</formula1>
    </dataValidation>
    <dataValidation type="list" allowBlank="1" showInputMessage="1" showErrorMessage="1" sqref="A3" xr:uid="{D8B9E446-9AF8-4913-B695-88F1FD282084}">
      <formula1>$C$75:$C$82</formula1>
    </dataValidation>
    <dataValidation type="list" allowBlank="1" showInputMessage="1" showErrorMessage="1" error="SELECCIONE EL PRESUPUESTO A EVALUAR, EN LA LISTA DESPEGABLE._x000a_" sqref="I11:I12 J12:K12" xr:uid="{BD570070-6A0D-4F94-BD58-72B847430125}">
      <formula1>$A$75:$A$82</formula1>
    </dataValidation>
    <dataValidation type="list" allowBlank="1" showInputMessage="1" showErrorMessage="1" sqref="O36:O38" xr:uid="{68F53FEE-6C33-4B31-BD49-ED0D394BB1BA}">
      <formula1>$R$4:$R$5</formula1>
    </dataValidation>
    <dataValidation type="list" allowBlank="1" showInputMessage="1" showErrorMessage="1" sqref="G22:H22" xr:uid="{937CDABD-7717-44F4-B465-715F02B1D335}">
      <formula1>$Q$2:$Q$3</formula1>
    </dataValidation>
    <dataValidation type="list" allowBlank="1" showInputMessage="1" showErrorMessage="1" sqref="M37:O37" xr:uid="{A6370D1C-8212-4863-A516-CBA51D035CD2}">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F8B5E-68CF-4E3A-895E-314D64493D5F}">
  <dimension ref="A1:W94"/>
  <sheetViews>
    <sheetView view="pageBreakPreview" topLeftCell="G13" zoomScale="70" zoomScaleNormal="63" zoomScaleSheetLayoutView="70" workbookViewId="0">
      <selection activeCell="A61" sqref="A61:O63"/>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7" customHeight="1">
      <c r="A4" s="310">
        <v>4</v>
      </c>
      <c r="B4" s="311" t="str">
        <f>_xlfn.XLOOKUP(A4,RESUMEN!$A$3:$A$9,RESUMEN!$B$3:$B$9)</f>
        <v>AIR LETICIA 2024</v>
      </c>
      <c r="C4" s="312"/>
      <c r="D4" s="312"/>
      <c r="E4" s="313"/>
      <c r="F4" s="311" t="s">
        <v>35</v>
      </c>
      <c r="G4" s="312"/>
      <c r="H4" s="313"/>
      <c r="I4" s="320" t="s">
        <v>36</v>
      </c>
      <c r="J4" s="321"/>
      <c r="K4" s="321"/>
      <c r="L4" s="321"/>
      <c r="M4" s="321"/>
      <c r="N4" s="321"/>
      <c r="O4" s="11"/>
      <c r="P4" s="2" t="str">
        <f>+I4</f>
        <v>APORTANTE DE LA EXPERIENCIA - GENERAL</v>
      </c>
      <c r="R4" s="2">
        <v>10</v>
      </c>
    </row>
    <row r="5" spans="1:23" ht="32.25" customHeight="1">
      <c r="A5" s="310"/>
      <c r="B5" s="314"/>
      <c r="C5" s="315"/>
      <c r="D5" s="315"/>
      <c r="E5" s="316"/>
      <c r="F5" s="314"/>
      <c r="G5" s="315"/>
      <c r="H5" s="316"/>
      <c r="I5" s="322" t="s">
        <v>153</v>
      </c>
      <c r="J5" s="322"/>
      <c r="K5" s="322"/>
      <c r="L5" s="322"/>
      <c r="M5" s="322"/>
      <c r="N5" s="323"/>
      <c r="O5" s="175">
        <v>0.1</v>
      </c>
      <c r="P5" s="2">
        <f>+I7</f>
        <v>0</v>
      </c>
      <c r="R5" s="2">
        <v>0</v>
      </c>
    </row>
    <row r="6" spans="1:23" ht="27" customHeight="1">
      <c r="A6" s="310"/>
      <c r="B6" s="314"/>
      <c r="C6" s="315"/>
      <c r="D6" s="315"/>
      <c r="E6" s="316"/>
      <c r="F6" s="314"/>
      <c r="G6" s="315"/>
      <c r="H6" s="316"/>
      <c r="I6" s="324" t="s">
        <v>154</v>
      </c>
      <c r="J6" s="324"/>
      <c r="K6" s="324"/>
      <c r="L6" s="324"/>
      <c r="M6" s="324"/>
      <c r="N6" s="320"/>
      <c r="O6" s="175">
        <v>0.9</v>
      </c>
      <c r="P6" s="2" t="str">
        <f>+I6</f>
        <v>CONSTRUCTORA SAN MARINO S.A.S.</v>
      </c>
    </row>
    <row r="7" spans="1:23" ht="35.450000000000003" customHeight="1">
      <c r="A7" s="310"/>
      <c r="B7" s="314"/>
      <c r="C7" s="315"/>
      <c r="D7" s="315"/>
      <c r="E7" s="316"/>
      <c r="F7" s="317"/>
      <c r="G7" s="318"/>
      <c r="H7" s="319"/>
      <c r="I7" s="320"/>
      <c r="J7" s="321"/>
      <c r="K7" s="321"/>
      <c r="L7" s="321"/>
      <c r="M7" s="321"/>
      <c r="N7" s="321"/>
      <c r="O7" s="175"/>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41"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c r="A17" s="325">
        <f>+M11*H8</f>
        <v>2329.6214942307693</v>
      </c>
      <c r="B17" s="91" t="s">
        <v>61</v>
      </c>
      <c r="C17" s="171" t="s">
        <v>155</v>
      </c>
      <c r="D17" s="171" t="s">
        <v>149</v>
      </c>
      <c r="E17" s="171" t="s">
        <v>156</v>
      </c>
      <c r="F17" s="171" t="s">
        <v>31</v>
      </c>
      <c r="G17" s="64" t="s">
        <v>31</v>
      </c>
      <c r="H17" s="64" t="s">
        <v>31</v>
      </c>
      <c r="I17" s="171" t="s">
        <v>154</v>
      </c>
      <c r="J17" s="169">
        <v>38468</v>
      </c>
      <c r="K17" s="168">
        <f>L17*W47</f>
        <v>1368360385</v>
      </c>
      <c r="L17" s="68">
        <v>3586.79</v>
      </c>
      <c r="M17" s="66">
        <v>0.8</v>
      </c>
      <c r="N17" s="92">
        <f>L17*M17</f>
        <v>2869.4320000000002</v>
      </c>
      <c r="O17" s="93" t="str">
        <f t="shared" ref="O17:O22" si="0">+IF(AND(H17="SI",G17="SI"),"CUMPLE","NO CUMPLE")</f>
        <v>CUMPLE</v>
      </c>
      <c r="P17" s="4"/>
      <c r="Q17" s="4"/>
      <c r="R17" s="158">
        <f>+N17/A17</f>
        <v>1.2317159706441814</v>
      </c>
      <c r="S17" s="4"/>
      <c r="T17" s="72"/>
      <c r="V17" s="39">
        <v>2021</v>
      </c>
      <c r="W17" s="40">
        <v>908526</v>
      </c>
    </row>
    <row r="18" spans="1:23" ht="133.9" customHeight="1" thickBot="1">
      <c r="A18" s="325"/>
      <c r="B18" s="91" t="s">
        <v>62</v>
      </c>
      <c r="C18" s="64"/>
      <c r="D18" s="65"/>
      <c r="E18" s="65"/>
      <c r="F18" s="65"/>
      <c r="G18" s="64"/>
      <c r="H18" s="64"/>
      <c r="I18" s="65"/>
      <c r="J18" s="67"/>
      <c r="K18" s="71"/>
      <c r="L18" s="68"/>
      <c r="M18" s="66"/>
      <c r="N18" s="92">
        <f>L18*M18</f>
        <v>0</v>
      </c>
      <c r="O18" s="93" t="str">
        <f t="shared" si="0"/>
        <v>NO CUMPLE</v>
      </c>
      <c r="P18" s="4"/>
      <c r="Q18" s="4"/>
      <c r="R18" s="158">
        <f>+(N18+N19)/A17</f>
        <v>0</v>
      </c>
      <c r="S18" s="4"/>
      <c r="T18" s="72"/>
      <c r="V18" s="100"/>
      <c r="W18" s="101"/>
    </row>
    <row r="19" spans="1:23" ht="157.69999999999999" customHeight="1" thickBot="1">
      <c r="A19" s="325"/>
      <c r="B19" s="91" t="s">
        <v>65</v>
      </c>
      <c r="C19" s="64"/>
      <c r="D19" s="65"/>
      <c r="E19" s="65"/>
      <c r="F19" s="65"/>
      <c r="G19" s="64"/>
      <c r="H19" s="64"/>
      <c r="I19" s="65"/>
      <c r="J19" s="67"/>
      <c r="K19" s="71"/>
      <c r="L19" s="68"/>
      <c r="M19" s="66"/>
      <c r="N19" s="92">
        <f>L19*M19</f>
        <v>0</v>
      </c>
      <c r="O19" s="93" t="str">
        <f t="shared" si="0"/>
        <v>NO CUMPLE</v>
      </c>
      <c r="P19" s="4"/>
      <c r="Q19" s="4"/>
      <c r="R19" s="37"/>
      <c r="S19" s="4"/>
      <c r="T19" s="72"/>
      <c r="V19" s="38">
        <v>2020</v>
      </c>
      <c r="W19" s="41">
        <v>877803</v>
      </c>
    </row>
    <row r="20" spans="1:23" ht="42.95" customHeight="1" thickBot="1">
      <c r="A20" s="325"/>
      <c r="B20" s="91" t="s">
        <v>67</v>
      </c>
      <c r="C20" s="64"/>
      <c r="D20" s="65"/>
      <c r="E20" s="65"/>
      <c r="F20" s="64"/>
      <c r="G20" s="64"/>
      <c r="H20" s="64"/>
      <c r="I20" s="65"/>
      <c r="J20" s="67"/>
      <c r="K20" s="71"/>
      <c r="L20" s="64"/>
      <c r="M20" s="66"/>
      <c r="N20" s="92">
        <f>IF(AND(G20="SI",H20="SI"),(L20*M20),0)</f>
        <v>0</v>
      </c>
      <c r="O20" s="93" t="str">
        <f t="shared" si="0"/>
        <v>NO CUMPLE</v>
      </c>
      <c r="P20" s="4"/>
      <c r="Q20" s="4"/>
      <c r="R20" s="37"/>
      <c r="S20" s="69"/>
      <c r="T20" s="72"/>
      <c r="V20" s="38">
        <v>2019</v>
      </c>
      <c r="W20" s="41">
        <v>828116</v>
      </c>
    </row>
    <row r="21" spans="1:23" ht="42.95" customHeight="1" thickBot="1">
      <c r="A21" s="325"/>
      <c r="B21" s="91" t="s">
        <v>68</v>
      </c>
      <c r="C21" s="64"/>
      <c r="D21" s="64"/>
      <c r="E21" s="64"/>
      <c r="F21" s="64"/>
      <c r="G21" s="64"/>
      <c r="H21" s="64"/>
      <c r="I21" s="64"/>
      <c r="J21" s="67"/>
      <c r="K21" s="64"/>
      <c r="L21" s="64"/>
      <c r="M21" s="66"/>
      <c r="N21" s="92">
        <f>IF(AND(G21="SI",H21="SI"),(L21*M21),0)</f>
        <v>0</v>
      </c>
      <c r="O21" s="93" t="str">
        <f t="shared" si="0"/>
        <v>NO CUMPLE</v>
      </c>
      <c r="P21" s="4"/>
      <c r="Q21" s="4"/>
      <c r="R21" s="37"/>
      <c r="S21" s="69"/>
      <c r="T21" s="27"/>
      <c r="V21" s="38">
        <v>2018</v>
      </c>
      <c r="W21" s="41">
        <v>781242</v>
      </c>
    </row>
    <row r="22" spans="1:23" ht="42.95" customHeight="1" thickBot="1">
      <c r="A22" s="325"/>
      <c r="B22" s="91" t="s">
        <v>69</v>
      </c>
      <c r="C22" s="44"/>
      <c r="D22" s="45"/>
      <c r="E22" s="45"/>
      <c r="F22" s="64"/>
      <c r="G22" s="70"/>
      <c r="H22" s="70"/>
      <c r="I22" s="64"/>
      <c r="J22" s="67"/>
      <c r="K22" s="46"/>
      <c r="L22" s="47"/>
      <c r="M22" s="35"/>
      <c r="N22" s="92">
        <f>IF(AND(G22="SI",H22="SI"),(L22*M22),0)</f>
        <v>0</v>
      </c>
      <c r="O22" s="93" t="str">
        <f t="shared" si="0"/>
        <v>NO CUMPLE</v>
      </c>
      <c r="P22" s="4"/>
      <c r="Q22" s="4"/>
      <c r="R22" s="37"/>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2869.4320000000002</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T25" s="2">
        <f>1949500000+6451200000</f>
        <v>8400700000</v>
      </c>
      <c r="V25" s="2">
        <v>2007</v>
      </c>
      <c r="W25" s="2">
        <v>433700</v>
      </c>
    </row>
    <row r="26" spans="1:23" ht="211.9" customHeight="1">
      <c r="A26" s="269" t="s">
        <v>114</v>
      </c>
      <c r="B26" s="270"/>
      <c r="C26" s="270"/>
      <c r="D26" s="270"/>
      <c r="E26" s="270"/>
      <c r="F26" s="270"/>
      <c r="G26" s="270"/>
      <c r="H26" s="270"/>
      <c r="I26" s="270"/>
      <c r="J26" s="270"/>
      <c r="K26" s="270"/>
      <c r="L26" s="270"/>
      <c r="M26" s="270"/>
      <c r="N26" s="270"/>
      <c r="O26" s="271"/>
      <c r="S26" s="2">
        <f>+T26*0.9</f>
        <v>17432.856813465529</v>
      </c>
      <c r="T26" s="26">
        <f>+T25/W25</f>
        <v>19369.840903850589</v>
      </c>
      <c r="V26" s="2">
        <v>2023</v>
      </c>
      <c r="W26" s="2">
        <v>1160000</v>
      </c>
    </row>
    <row r="27" spans="1:23" ht="205.5"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t="e">
        <f>#REF!/2</f>
        <v>#REF!</v>
      </c>
      <c r="S27" s="36" t="s">
        <v>72</v>
      </c>
      <c r="T27" s="27"/>
      <c r="V27" s="2">
        <v>2022</v>
      </c>
      <c r="W27" s="2">
        <v>1000000</v>
      </c>
    </row>
    <row r="28" spans="1:23" ht="145.5" customHeight="1" thickBot="1">
      <c r="A28" s="280">
        <f>M11*50%</f>
        <v>1553.0809961538462</v>
      </c>
      <c r="B28" s="91" t="s">
        <v>61</v>
      </c>
      <c r="C28" s="171" t="s">
        <v>155</v>
      </c>
      <c r="D28" s="171" t="s">
        <v>149</v>
      </c>
      <c r="E28" s="171" t="s">
        <v>156</v>
      </c>
      <c r="F28" s="171" t="s">
        <v>31</v>
      </c>
      <c r="G28" s="64" t="s">
        <v>31</v>
      </c>
      <c r="H28" s="64" t="s">
        <v>31</v>
      </c>
      <c r="I28" s="171" t="s">
        <v>154</v>
      </c>
      <c r="J28" s="169">
        <v>38468</v>
      </c>
      <c r="K28" s="168">
        <f>L28*W58</f>
        <v>0</v>
      </c>
      <c r="L28" s="68">
        <v>3586.79</v>
      </c>
      <c r="M28" s="66">
        <v>0.8</v>
      </c>
      <c r="N28" s="92">
        <f>L28*M28</f>
        <v>2869.4320000000002</v>
      </c>
      <c r="O28" s="93" t="str">
        <f>+IF(AND(H28="SI",G28="SI"),"CUMPLE","NO CUMPLE")</f>
        <v>CUMPLE</v>
      </c>
      <c r="P28" s="4"/>
      <c r="Q28" s="4"/>
      <c r="R28" s="36"/>
      <c r="S28" s="36"/>
      <c r="T28" s="27"/>
    </row>
    <row r="29" spans="1:23" ht="143.44999999999999" customHeight="1" thickTop="1" thickBot="1">
      <c r="A29" s="281"/>
      <c r="B29" s="91" t="s">
        <v>62</v>
      </c>
      <c r="C29" s="64"/>
      <c r="D29" s="65"/>
      <c r="E29" s="65"/>
      <c r="F29" s="65"/>
      <c r="G29" s="64"/>
      <c r="H29" s="64"/>
      <c r="I29" s="65"/>
      <c r="J29" s="67"/>
      <c r="K29" s="71"/>
      <c r="L29" s="68"/>
      <c r="M29" s="66"/>
      <c r="N29" s="92">
        <f>L29*M29</f>
        <v>0</v>
      </c>
      <c r="O29" s="93" t="str">
        <f>+IF(AND(H29="SI",G29="SI"),"CUMPLE","NO CUMPLE")</f>
        <v>NO CUMPLE</v>
      </c>
      <c r="P29" s="4"/>
      <c r="Q29" s="4"/>
      <c r="R29" s="37" t="str">
        <f>+IF(OR(O29="CUMPLE")*AND(N29&gt;=$R$16),"CUMPLE","NO CUMPLE")</f>
        <v>NO 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2869.4320000000002</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M48:O48"/>
    <mergeCell ref="A49:L49"/>
    <mergeCell ref="A35:O35"/>
    <mergeCell ref="A36:N36"/>
    <mergeCell ref="A38:O38"/>
    <mergeCell ref="A39:B42"/>
    <mergeCell ref="C39:L42"/>
    <mergeCell ref="M39:O39"/>
    <mergeCell ref="A43:B44"/>
    <mergeCell ref="C43:L44"/>
    <mergeCell ref="A54:L54"/>
    <mergeCell ref="A56:L56"/>
    <mergeCell ref="A50:L50"/>
    <mergeCell ref="A52:L52"/>
    <mergeCell ref="A45:B45"/>
    <mergeCell ref="C45:L45"/>
    <mergeCell ref="A48:L48"/>
    <mergeCell ref="R60:T60"/>
    <mergeCell ref="A61:O63"/>
    <mergeCell ref="A58:N58"/>
    <mergeCell ref="A59:H59"/>
    <mergeCell ref="I59:O59"/>
    <mergeCell ref="A60:H60"/>
    <mergeCell ref="I60:L60"/>
    <mergeCell ref="M60:O60"/>
  </mergeCells>
  <conditionalFormatting sqref="I60:L60 P34">
    <cfRule type="cellIs" dxfId="184" priority="53" operator="equal">
      <formula>100</formula>
    </cfRule>
  </conditionalFormatting>
  <conditionalFormatting sqref="I60:L60 P34">
    <cfRule type="cellIs" dxfId="183" priority="50" operator="equal">
      <formula>"NO CUMPLE"</formula>
    </cfRule>
    <cfRule type="cellIs" dxfId="182" priority="52" operator="equal">
      <formula>"CUMPLE"</formula>
    </cfRule>
  </conditionalFormatting>
  <conditionalFormatting sqref="O23 O34">
    <cfRule type="cellIs" dxfId="181" priority="49" operator="equal">
      <formula>100</formula>
    </cfRule>
  </conditionalFormatting>
  <conditionalFormatting sqref="O23 O34">
    <cfRule type="cellIs" dxfId="180" priority="47" operator="equal">
      <formula>"NO CUMPLE"</formula>
    </cfRule>
    <cfRule type="cellIs" dxfId="179" priority="48" operator="equal">
      <formula>"CUMPLE"</formula>
    </cfRule>
  </conditionalFormatting>
  <conditionalFormatting sqref="O36:O38">
    <cfRule type="cellIs" dxfId="178" priority="46" operator="equal">
      <formula>100</formula>
    </cfRule>
  </conditionalFormatting>
  <conditionalFormatting sqref="O36:O38">
    <cfRule type="cellIs" dxfId="177" priority="44" operator="equal">
      <formula>"NO CUMPLE"</formula>
    </cfRule>
    <cfRule type="cellIs" dxfId="176" priority="45" operator="equal">
      <formula>"CUMPLE"</formula>
    </cfRule>
  </conditionalFormatting>
  <conditionalFormatting sqref="P24">
    <cfRule type="cellIs" dxfId="175" priority="43" operator="equal">
      <formula>100</formula>
    </cfRule>
  </conditionalFormatting>
  <conditionalFormatting sqref="P24">
    <cfRule type="cellIs" dxfId="174" priority="41" operator="equal">
      <formula>"NO CUMPLE"</formula>
    </cfRule>
    <cfRule type="cellIs" dxfId="173" priority="42" operator="equal">
      <formula>"CUMPLE"</formula>
    </cfRule>
  </conditionalFormatting>
  <conditionalFormatting sqref="P36:P42 P44 P46">
    <cfRule type="cellIs" dxfId="172" priority="40" operator="equal">
      <formula>100</formula>
    </cfRule>
  </conditionalFormatting>
  <conditionalFormatting sqref="P36:P42 P44 P46">
    <cfRule type="cellIs" dxfId="171" priority="38" operator="equal">
      <formula>"NO CUMPLE"</formula>
    </cfRule>
    <cfRule type="cellIs" dxfId="170" priority="39" operator="equal">
      <formula>"CUMPLE"</formula>
    </cfRule>
  </conditionalFormatting>
  <conditionalFormatting sqref="I59">
    <cfRule type="cellIs" dxfId="169" priority="37" operator="equal">
      <formula>100</formula>
    </cfRule>
  </conditionalFormatting>
  <conditionalFormatting sqref="I59">
    <cfRule type="cellIs" dxfId="168" priority="35" operator="equal">
      <formula>"NO CUMPLE"</formula>
    </cfRule>
    <cfRule type="cellIs" dxfId="167" priority="36" operator="equal">
      <formula>"CUMPLE"</formula>
    </cfRule>
  </conditionalFormatting>
  <conditionalFormatting sqref="O32">
    <cfRule type="cellIs" dxfId="166" priority="34" operator="equal">
      <formula>100</formula>
    </cfRule>
  </conditionalFormatting>
  <conditionalFormatting sqref="O32">
    <cfRule type="cellIs" dxfId="165" priority="32" operator="equal">
      <formula>"NO CUMPLE"</formula>
    </cfRule>
    <cfRule type="cellIs" dxfId="164" priority="33" operator="equal">
      <formula>"CUMPLE"</formula>
    </cfRule>
  </conditionalFormatting>
  <conditionalFormatting sqref="P31:P32">
    <cfRule type="cellIs" dxfId="163" priority="31" operator="equal">
      <formula>100</formula>
    </cfRule>
  </conditionalFormatting>
  <conditionalFormatting sqref="P31:P32">
    <cfRule type="cellIs" dxfId="162" priority="29" operator="equal">
      <formula>"NO CUMPLE"</formula>
    </cfRule>
    <cfRule type="cellIs" dxfId="161" priority="30" operator="equal">
      <formula>"CUMPLE"</formula>
    </cfRule>
  </conditionalFormatting>
  <conditionalFormatting sqref="O33">
    <cfRule type="cellIs" dxfId="160" priority="28" operator="equal">
      <formula>100</formula>
    </cfRule>
  </conditionalFormatting>
  <conditionalFormatting sqref="O33">
    <cfRule type="cellIs" dxfId="159" priority="26" operator="equal">
      <formula>"NO CUMPLE"</formula>
    </cfRule>
    <cfRule type="cellIs" dxfId="158" priority="27" operator="equal">
      <formula>"CUMPLE"</formula>
    </cfRule>
  </conditionalFormatting>
  <conditionalFormatting sqref="P33">
    <cfRule type="cellIs" dxfId="157" priority="25" operator="equal">
      <formula>100</formula>
    </cfRule>
  </conditionalFormatting>
  <conditionalFormatting sqref="P33">
    <cfRule type="cellIs" dxfId="156" priority="23" operator="equal">
      <formula>"NO CUMPLE"</formula>
    </cfRule>
    <cfRule type="cellIs" dxfId="155" priority="24" operator="equal">
      <formula>"CUMPLE"</formula>
    </cfRule>
  </conditionalFormatting>
  <conditionalFormatting sqref="P43">
    <cfRule type="cellIs" dxfId="154" priority="22" operator="equal">
      <formula>100</formula>
    </cfRule>
  </conditionalFormatting>
  <conditionalFormatting sqref="P43">
    <cfRule type="cellIs" dxfId="153" priority="20" operator="equal">
      <formula>"NO CUMPLE"</formula>
    </cfRule>
    <cfRule type="cellIs" dxfId="152" priority="21" operator="equal">
      <formula>"CUMPLE"</formula>
    </cfRule>
  </conditionalFormatting>
  <conditionalFormatting sqref="P45">
    <cfRule type="cellIs" dxfId="151" priority="19" operator="equal">
      <formula>100</formula>
    </cfRule>
  </conditionalFormatting>
  <conditionalFormatting sqref="P45">
    <cfRule type="cellIs" dxfId="150" priority="17" operator="equal">
      <formula>"NO CUMPLE"</formula>
    </cfRule>
    <cfRule type="cellIs" dxfId="149" priority="18" operator="equal">
      <formula>"CUMPLE"</formula>
    </cfRule>
  </conditionalFormatting>
  <conditionalFormatting sqref="R60:T60">
    <cfRule type="cellIs" dxfId="148" priority="16" operator="equal">
      <formula>100</formula>
    </cfRule>
  </conditionalFormatting>
  <conditionalFormatting sqref="R60:T60">
    <cfRule type="cellIs" dxfId="147" priority="15" operator="lessThan">
      <formula>100</formula>
    </cfRule>
  </conditionalFormatting>
  <conditionalFormatting sqref="O31">
    <cfRule type="cellIs" dxfId="146" priority="9" operator="equal">
      <formula>100</formula>
    </cfRule>
  </conditionalFormatting>
  <conditionalFormatting sqref="O31">
    <cfRule type="cellIs" dxfId="145" priority="7" operator="equal">
      <formula>"NO CUMPLE"</formula>
    </cfRule>
    <cfRule type="cellIs" dxfId="144" priority="8" operator="equal">
      <formula>"CUMPLE"</formula>
    </cfRule>
  </conditionalFormatting>
  <conditionalFormatting sqref="M60:O60">
    <cfRule type="cellIs" dxfId="143" priority="6" operator="equal">
      <formula>100</formula>
    </cfRule>
  </conditionalFormatting>
  <conditionalFormatting sqref="M60:O60">
    <cfRule type="cellIs" dxfId="142" priority="5" operator="lessThan">
      <formula>100</formula>
    </cfRule>
  </conditionalFormatting>
  <conditionalFormatting sqref="O17:O22">
    <cfRule type="containsText" dxfId="141" priority="4" operator="containsText" text="NO CUMPLE">
      <formula>NOT(ISERROR(SEARCH("NO CUMPLE",O17)))</formula>
    </cfRule>
  </conditionalFormatting>
  <conditionalFormatting sqref="O46">
    <cfRule type="cellIs" dxfId="140" priority="3" operator="equal">
      <formula>100</formula>
    </cfRule>
  </conditionalFormatting>
  <conditionalFormatting sqref="O46">
    <cfRule type="cellIs" dxfId="139" priority="1" operator="equal">
      <formula>"NO CUMPLE"</formula>
    </cfRule>
    <cfRule type="cellIs" dxfId="138" priority="2" operator="equal">
      <formula>"CUMPLE"</formula>
    </cfRule>
  </conditionalFormatting>
  <dataValidations count="7">
    <dataValidation type="list" allowBlank="1" showInputMessage="1" showErrorMessage="1" sqref="M37:O37" xr:uid="{7F5717DE-9B0D-4030-BC61-113211159727}">
      <formula1>$U$1:$U$2</formula1>
    </dataValidation>
    <dataValidation type="list" allowBlank="1" showInputMessage="1" showErrorMessage="1" sqref="G22:H22" xr:uid="{B1EDCFDF-12C3-477A-BF6F-C44F6AC5F088}">
      <formula1>$Q$2:$Q$3</formula1>
    </dataValidation>
    <dataValidation type="list" allowBlank="1" showInputMessage="1" showErrorMessage="1" sqref="O36:O38" xr:uid="{541A5D86-4A22-4E57-A4F5-51F516E981CA}">
      <formula1>$R$4:$R$5</formula1>
    </dataValidation>
    <dataValidation type="list" allowBlank="1" showInputMessage="1" showErrorMessage="1" error="SELECCIONE EL PRESUPUESTO A EVALUAR, EN LA LISTA DESPEGABLE._x000a_" sqref="I11:I12 J12:K12" xr:uid="{62A58AE9-4EAB-4C3C-9EAB-3C0DE9460572}">
      <formula1>$A$75:$A$82</formula1>
    </dataValidation>
    <dataValidation type="list" allowBlank="1" showInputMessage="1" showErrorMessage="1" sqref="A3" xr:uid="{31618088-0B45-4EAD-98AF-8E0A0A26333B}">
      <formula1>$C$75:$C$82</formula1>
    </dataValidation>
    <dataValidation type="list" allowBlank="1" showInputMessage="1" showErrorMessage="1" sqref="V1:V2" xr:uid="{31E96767-92A5-4386-84E6-D3C72A57413E}">
      <formula1>$V$1:$V$2</formula1>
    </dataValidation>
    <dataValidation type="list" allowBlank="1" showInputMessage="1" showErrorMessage="1" sqref="J60:L60 I59:I60 O46" xr:uid="{A4238F44-133E-4A61-9A43-BFEC2AFF1E9B}">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9B413-E04B-4936-B3B9-BDB71E884E30}">
  <dimension ref="A1:W94"/>
  <sheetViews>
    <sheetView view="pageBreakPreview" zoomScale="55" zoomScaleNormal="63" zoomScaleSheetLayoutView="55" workbookViewId="0">
      <selection activeCell="E17" sqref="E17:E18"/>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50.71093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5</v>
      </c>
      <c r="B4" s="311" t="str">
        <f>_xlfn.XLOOKUP(A4,RESUMEN!$A$3:$A$9,RESUMEN!$B$3:$B$9)</f>
        <v>CONSORCIO CALIDAD LETICIA 2024</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26" t="s">
        <v>167</v>
      </c>
      <c r="J5" s="326"/>
      <c r="K5" s="326"/>
      <c r="L5" s="326"/>
      <c r="M5" s="326"/>
      <c r="N5" s="327"/>
      <c r="O5" s="175">
        <v>0.7</v>
      </c>
      <c r="P5" s="2">
        <f>+I7</f>
        <v>0</v>
      </c>
      <c r="R5" s="2">
        <v>0</v>
      </c>
    </row>
    <row r="6" spans="1:23" ht="20.25" customHeight="1">
      <c r="A6" s="310"/>
      <c r="B6" s="314"/>
      <c r="C6" s="315"/>
      <c r="D6" s="315"/>
      <c r="E6" s="316"/>
      <c r="F6" s="314"/>
      <c r="G6" s="315"/>
      <c r="H6" s="316"/>
      <c r="I6" s="324" t="s">
        <v>168</v>
      </c>
      <c r="J6" s="324"/>
      <c r="K6" s="324"/>
      <c r="L6" s="324"/>
      <c r="M6" s="324"/>
      <c r="N6" s="320"/>
      <c r="O6" s="175">
        <v>0.3</v>
      </c>
      <c r="P6" s="2" t="str">
        <f>+I6</f>
        <v>CALING SAS</v>
      </c>
    </row>
    <row r="7" spans="1:23" ht="35.450000000000003" customHeight="1">
      <c r="A7" s="310"/>
      <c r="B7" s="314"/>
      <c r="C7" s="315"/>
      <c r="D7" s="315"/>
      <c r="E7" s="316"/>
      <c r="F7" s="317"/>
      <c r="G7" s="318"/>
      <c r="H7" s="319"/>
      <c r="I7" s="320"/>
      <c r="J7" s="321"/>
      <c r="K7" s="321"/>
      <c r="L7" s="321"/>
      <c r="M7" s="321"/>
      <c r="N7" s="321"/>
      <c r="O7" s="175"/>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82.25"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c r="A17" s="325">
        <f>+M11*H8</f>
        <v>2329.6214942307693</v>
      </c>
      <c r="B17" s="334" t="s">
        <v>61</v>
      </c>
      <c r="C17" s="171" t="s">
        <v>169</v>
      </c>
      <c r="D17" s="336" t="s">
        <v>122</v>
      </c>
      <c r="E17" s="336" t="s">
        <v>170</v>
      </c>
      <c r="F17" s="171" t="s">
        <v>31</v>
      </c>
      <c r="G17" s="171" t="s">
        <v>31</v>
      </c>
      <c r="H17" s="64" t="s">
        <v>31</v>
      </c>
      <c r="I17" s="171" t="s">
        <v>171</v>
      </c>
      <c r="J17" s="328">
        <v>41080</v>
      </c>
      <c r="K17" s="330">
        <v>2020465993</v>
      </c>
      <c r="L17" s="332">
        <f>K17/566700</f>
        <v>3565.3184983236279</v>
      </c>
      <c r="M17" s="66">
        <v>0.25</v>
      </c>
      <c r="N17" s="92">
        <f>L17*M17</f>
        <v>891.32962458090697</v>
      </c>
      <c r="O17" s="93" t="str">
        <f t="shared" ref="O17:O22" si="0">+IF(AND(H17="SI",G17="SI"),"CUMPLE","NO CUMPLE")</f>
        <v>CUMPLE</v>
      </c>
      <c r="P17" s="4"/>
      <c r="Q17" s="4"/>
      <c r="R17" s="158">
        <f>+(N17+N19+N21)/A17</f>
        <v>0.80084002436778901</v>
      </c>
      <c r="S17" s="4"/>
      <c r="T17" s="72"/>
      <c r="V17" s="39">
        <v>2021</v>
      </c>
      <c r="W17" s="40">
        <v>908526</v>
      </c>
    </row>
    <row r="18" spans="1:23" ht="133.9" customHeight="1" thickBot="1">
      <c r="A18" s="325"/>
      <c r="B18" s="335"/>
      <c r="C18" s="171" t="s">
        <v>172</v>
      </c>
      <c r="D18" s="337"/>
      <c r="E18" s="337"/>
      <c r="F18" s="171" t="s">
        <v>31</v>
      </c>
      <c r="G18" s="171" t="s">
        <v>31</v>
      </c>
      <c r="H18" s="64" t="s">
        <v>31</v>
      </c>
      <c r="I18" s="171" t="s">
        <v>173</v>
      </c>
      <c r="J18" s="329"/>
      <c r="K18" s="331"/>
      <c r="L18" s="333"/>
      <c r="M18" s="66">
        <v>0.2</v>
      </c>
      <c r="N18" s="92">
        <f>L17*M18</f>
        <v>713.06369966472562</v>
      </c>
      <c r="O18" s="93" t="str">
        <f t="shared" si="0"/>
        <v>CUMPLE</v>
      </c>
      <c r="P18" s="4"/>
      <c r="Q18" s="4"/>
      <c r="R18" s="158">
        <f>+N18/A17</f>
        <v>0.30608564585732245</v>
      </c>
      <c r="S18" s="4"/>
      <c r="T18" s="72">
        <v>120701530</v>
      </c>
      <c r="V18" s="100"/>
      <c r="W18" s="101"/>
    </row>
    <row r="19" spans="1:23" ht="157.69999999999999" customHeight="1" thickBot="1">
      <c r="A19" s="325"/>
      <c r="B19" s="170" t="s">
        <v>62</v>
      </c>
      <c r="C19" s="171" t="s">
        <v>174</v>
      </c>
      <c r="D19" s="171" t="s">
        <v>175</v>
      </c>
      <c r="E19" s="171" t="s">
        <v>176</v>
      </c>
      <c r="F19" s="171" t="s">
        <v>31</v>
      </c>
      <c r="G19" s="171" t="s">
        <v>31</v>
      </c>
      <c r="H19" s="64" t="s">
        <v>31</v>
      </c>
      <c r="I19" s="171" t="s">
        <v>171</v>
      </c>
      <c r="J19" s="169">
        <v>40571</v>
      </c>
      <c r="K19" s="168">
        <v>1304620518.3900001</v>
      </c>
      <c r="L19" s="68">
        <f>K19/535600</f>
        <v>2435.8112740664678</v>
      </c>
      <c r="M19" s="66">
        <v>0.4</v>
      </c>
      <c r="N19" s="92">
        <f>L19*M19</f>
        <v>974.3245096265872</v>
      </c>
      <c r="O19" s="93" t="str">
        <f t="shared" si="0"/>
        <v>CUMPLE</v>
      </c>
      <c r="P19" s="4"/>
      <c r="Q19" s="4"/>
      <c r="R19" s="37"/>
      <c r="S19" s="4">
        <f>+K19/L19</f>
        <v>535600</v>
      </c>
      <c r="T19" s="72">
        <f>+T18/S19</f>
        <v>225.3575989544436</v>
      </c>
      <c r="V19" s="38">
        <v>2020</v>
      </c>
      <c r="W19" s="41">
        <v>877803</v>
      </c>
    </row>
    <row r="20" spans="1:23" ht="42.95" customHeight="1" thickBot="1">
      <c r="A20" s="325"/>
      <c r="B20" s="170" t="s">
        <v>67</v>
      </c>
      <c r="C20" s="64"/>
      <c r="D20" s="171"/>
      <c r="E20" s="171"/>
      <c r="F20" s="64"/>
      <c r="G20" s="64"/>
      <c r="H20" s="64"/>
      <c r="I20" s="171"/>
      <c r="J20" s="169"/>
      <c r="K20" s="168"/>
      <c r="L20" s="64"/>
      <c r="M20" s="66"/>
      <c r="N20" s="92">
        <f>L19*M20</f>
        <v>0</v>
      </c>
      <c r="O20" s="93" t="str">
        <f t="shared" si="0"/>
        <v>NO CUMPLE</v>
      </c>
      <c r="P20" s="4"/>
      <c r="Q20" s="4"/>
      <c r="R20" s="158">
        <f>+N20/A17</f>
        <v>0</v>
      </c>
      <c r="S20" s="69"/>
      <c r="T20" s="72">
        <f>870000000+85105216+1552307270+617918154+295489219</f>
        <v>3420819859</v>
      </c>
      <c r="V20" s="38">
        <v>2019</v>
      </c>
      <c r="W20" s="41">
        <v>828116</v>
      </c>
    </row>
    <row r="21" spans="1:23" ht="74.25" customHeight="1" thickBot="1">
      <c r="A21" s="325"/>
      <c r="B21" s="170" t="s">
        <v>68</v>
      </c>
      <c r="C21" s="64"/>
      <c r="D21" s="64"/>
      <c r="E21" s="64"/>
      <c r="F21" s="64"/>
      <c r="G21" s="64"/>
      <c r="H21" s="64"/>
      <c r="I21" s="64"/>
      <c r="J21" s="169"/>
      <c r="K21" s="64"/>
      <c r="L21" s="64"/>
      <c r="M21" s="66"/>
      <c r="N21" s="92">
        <f>L21*M21</f>
        <v>0</v>
      </c>
      <c r="O21" s="93" t="str">
        <f t="shared" si="0"/>
        <v>NO CUMPLE</v>
      </c>
      <c r="P21" s="4"/>
      <c r="Q21" s="4"/>
      <c r="R21" s="37"/>
      <c r="S21" s="69" t="e">
        <f>+K21/L21</f>
        <v>#DIV/0!</v>
      </c>
      <c r="T21" s="159" t="e">
        <f>+T20/S21</f>
        <v>#DIV/0!</v>
      </c>
      <c r="V21" s="38">
        <v>2018</v>
      </c>
      <c r="W21" s="41">
        <v>781242</v>
      </c>
    </row>
    <row r="22" spans="1:23" ht="42.95" customHeight="1" thickBot="1">
      <c r="A22" s="325"/>
      <c r="B22" s="170" t="s">
        <v>69</v>
      </c>
      <c r="C22" s="44"/>
      <c r="D22" s="45"/>
      <c r="E22" s="45"/>
      <c r="F22" s="64"/>
      <c r="G22" s="70"/>
      <c r="H22" s="70"/>
      <c r="I22" s="64"/>
      <c r="J22" s="169"/>
      <c r="K22" s="46"/>
      <c r="L22" s="47"/>
      <c r="M22" s="35"/>
      <c r="N22" s="92">
        <f>IF(AND(G22="SI",H22="SI"),(L22*M22),0)</f>
        <v>0</v>
      </c>
      <c r="O22" s="93" t="str">
        <f t="shared" si="0"/>
        <v>NO CUMPLE</v>
      </c>
      <c r="P22" s="4"/>
      <c r="Q22" s="4"/>
      <c r="R22" s="158">
        <f>+N22/A17</f>
        <v>0</v>
      </c>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2578.7178338722197</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V25" s="2">
        <v>2007</v>
      </c>
      <c r="W25" s="2">
        <v>433700</v>
      </c>
    </row>
    <row r="26" spans="1:23" ht="211.9" customHeight="1">
      <c r="A26" s="269" t="s">
        <v>114</v>
      </c>
      <c r="B26" s="270"/>
      <c r="C26" s="270"/>
      <c r="D26" s="270"/>
      <c r="E26" s="270"/>
      <c r="F26" s="270"/>
      <c r="G26" s="270"/>
      <c r="H26" s="270"/>
      <c r="I26" s="270"/>
      <c r="J26" s="270"/>
      <c r="K26" s="270"/>
      <c r="L26" s="270"/>
      <c r="M26" s="270"/>
      <c r="N26" s="270"/>
      <c r="O26" s="271"/>
      <c r="T26" s="26"/>
      <c r="V26" s="2">
        <v>2023</v>
      </c>
      <c r="W26" s="2">
        <v>1160000</v>
      </c>
    </row>
    <row r="27" spans="1:23" ht="171.75"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c r="S27" s="36"/>
      <c r="T27" s="27"/>
      <c r="V27" s="2">
        <v>2022</v>
      </c>
      <c r="W27" s="2">
        <v>1000000</v>
      </c>
    </row>
    <row r="28" spans="1:23" ht="145.5" customHeight="1" thickBot="1">
      <c r="A28" s="280">
        <f>M11*50%</f>
        <v>1553.0809961538462</v>
      </c>
      <c r="B28" s="334" t="s">
        <v>61</v>
      </c>
      <c r="C28" s="171" t="s">
        <v>169</v>
      </c>
      <c r="D28" s="336" t="s">
        <v>122</v>
      </c>
      <c r="E28" s="336" t="s">
        <v>170</v>
      </c>
      <c r="F28" s="171" t="s">
        <v>31</v>
      </c>
      <c r="G28" s="171" t="s">
        <v>31</v>
      </c>
      <c r="H28" s="64" t="s">
        <v>31</v>
      </c>
      <c r="I28" s="171" t="s">
        <v>171</v>
      </c>
      <c r="J28" s="328">
        <v>41080</v>
      </c>
      <c r="K28" s="330">
        <v>2020465993</v>
      </c>
      <c r="L28" s="332">
        <f>K28/566700</f>
        <v>3565.3184983236279</v>
      </c>
      <c r="M28" s="66">
        <v>0.25</v>
      </c>
      <c r="N28" s="92">
        <f>L28*M28</f>
        <v>891.32962458090697</v>
      </c>
      <c r="O28" s="93" t="str">
        <f>+IF(AND(H28="SI",G28="SI"),"CUMPLE","NO CUMPLE")</f>
        <v>CUMPLE</v>
      </c>
      <c r="P28" s="4"/>
      <c r="Q28" s="4"/>
      <c r="R28" s="36"/>
      <c r="S28" s="36"/>
      <c r="T28" s="27"/>
    </row>
    <row r="29" spans="1:23" ht="143.44999999999999" customHeight="1" thickTop="1" thickBot="1">
      <c r="A29" s="281"/>
      <c r="B29" s="335"/>
      <c r="C29" s="171" t="s">
        <v>172</v>
      </c>
      <c r="D29" s="337"/>
      <c r="E29" s="337"/>
      <c r="F29" s="171" t="s">
        <v>31</v>
      </c>
      <c r="G29" s="171" t="s">
        <v>31</v>
      </c>
      <c r="H29" s="64" t="s">
        <v>31</v>
      </c>
      <c r="I29" s="171" t="s">
        <v>173</v>
      </c>
      <c r="J29" s="329"/>
      <c r="K29" s="331"/>
      <c r="L29" s="333"/>
      <c r="M29" s="66">
        <v>0.2</v>
      </c>
      <c r="N29" s="92">
        <f>L28*M29</f>
        <v>713.06369966472562</v>
      </c>
      <c r="O29" s="93" t="str">
        <f>+IF(AND(H29="SI",G29="SI"),"CUMPLE","NO CUMPLE")</f>
        <v>CUMPLE</v>
      </c>
      <c r="P29" s="4"/>
      <c r="Q29" s="4"/>
      <c r="R29" s="37" t="str">
        <f>+IF(OR(O29="CUMPLE")*AND(N29&gt;=$R$16),"CUMPLE","NO CUMPLE")</f>
        <v>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1604.3933242456326</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166</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72">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B17:B18"/>
    <mergeCell ref="D17:D18"/>
    <mergeCell ref="E17:E18"/>
    <mergeCell ref="M48:O48"/>
    <mergeCell ref="A49:L49"/>
    <mergeCell ref="A35:O35"/>
    <mergeCell ref="A36:N36"/>
    <mergeCell ref="A38:O38"/>
    <mergeCell ref="A39:B42"/>
    <mergeCell ref="C39:L42"/>
    <mergeCell ref="M39:O39"/>
    <mergeCell ref="A43:B44"/>
    <mergeCell ref="C43:L44"/>
    <mergeCell ref="A54:L54"/>
    <mergeCell ref="A56:L56"/>
    <mergeCell ref="A50:L50"/>
    <mergeCell ref="A52:L52"/>
    <mergeCell ref="A45:B45"/>
    <mergeCell ref="C45:L45"/>
    <mergeCell ref="A48:L48"/>
    <mergeCell ref="R60:T60"/>
    <mergeCell ref="A61:O63"/>
    <mergeCell ref="A58:N58"/>
    <mergeCell ref="A59:H59"/>
    <mergeCell ref="I59:O59"/>
    <mergeCell ref="A60:H60"/>
    <mergeCell ref="I60:L60"/>
    <mergeCell ref="M60:O60"/>
    <mergeCell ref="J17:J18"/>
    <mergeCell ref="K17:K18"/>
    <mergeCell ref="L17:L18"/>
    <mergeCell ref="B28:B29"/>
    <mergeCell ref="D28:D29"/>
    <mergeCell ref="E28:E29"/>
    <mergeCell ref="J28:J29"/>
    <mergeCell ref="K28:K29"/>
    <mergeCell ref="L28:L29"/>
  </mergeCells>
  <conditionalFormatting sqref="I60:L60 P34">
    <cfRule type="cellIs" dxfId="137" priority="53" operator="equal">
      <formula>100</formula>
    </cfRule>
  </conditionalFormatting>
  <conditionalFormatting sqref="I60:L60 P34">
    <cfRule type="cellIs" dxfId="136" priority="50" operator="equal">
      <formula>"NO CUMPLE"</formula>
    </cfRule>
    <cfRule type="cellIs" dxfId="135" priority="52" operator="equal">
      <formula>"CUMPLE"</formula>
    </cfRule>
  </conditionalFormatting>
  <conditionalFormatting sqref="O23 O34">
    <cfRule type="cellIs" dxfId="134" priority="49" operator="equal">
      <formula>100</formula>
    </cfRule>
  </conditionalFormatting>
  <conditionalFormatting sqref="O23 O34">
    <cfRule type="cellIs" dxfId="133" priority="47" operator="equal">
      <formula>"NO CUMPLE"</formula>
    </cfRule>
    <cfRule type="cellIs" dxfId="132" priority="48" operator="equal">
      <formula>"CUMPLE"</formula>
    </cfRule>
  </conditionalFormatting>
  <conditionalFormatting sqref="O36:O38">
    <cfRule type="cellIs" dxfId="131" priority="46" operator="equal">
      <formula>100</formula>
    </cfRule>
  </conditionalFormatting>
  <conditionalFormatting sqref="O36:O38">
    <cfRule type="cellIs" dxfId="130" priority="44" operator="equal">
      <formula>"NO CUMPLE"</formula>
    </cfRule>
    <cfRule type="cellIs" dxfId="129" priority="45" operator="equal">
      <formula>"CUMPLE"</formula>
    </cfRule>
  </conditionalFormatting>
  <conditionalFormatting sqref="P24">
    <cfRule type="cellIs" dxfId="128" priority="43" operator="equal">
      <formula>100</formula>
    </cfRule>
  </conditionalFormatting>
  <conditionalFormatting sqref="P24">
    <cfRule type="cellIs" dxfId="127" priority="41" operator="equal">
      <formula>"NO CUMPLE"</formula>
    </cfRule>
    <cfRule type="cellIs" dxfId="126" priority="42" operator="equal">
      <formula>"CUMPLE"</formula>
    </cfRule>
  </conditionalFormatting>
  <conditionalFormatting sqref="P36:P42 P44 P46">
    <cfRule type="cellIs" dxfId="125" priority="40" operator="equal">
      <formula>100</formula>
    </cfRule>
  </conditionalFormatting>
  <conditionalFormatting sqref="P36:P42 P44 P46">
    <cfRule type="cellIs" dxfId="124" priority="38" operator="equal">
      <formula>"NO CUMPLE"</formula>
    </cfRule>
    <cfRule type="cellIs" dxfId="123" priority="39" operator="equal">
      <formula>"CUMPLE"</formula>
    </cfRule>
  </conditionalFormatting>
  <conditionalFormatting sqref="I59">
    <cfRule type="cellIs" dxfId="122" priority="37" operator="equal">
      <formula>100</formula>
    </cfRule>
  </conditionalFormatting>
  <conditionalFormatting sqref="I59">
    <cfRule type="cellIs" dxfId="121" priority="35" operator="equal">
      <formula>"NO CUMPLE"</formula>
    </cfRule>
    <cfRule type="cellIs" dxfId="120" priority="36" operator="equal">
      <formula>"CUMPLE"</formula>
    </cfRule>
  </conditionalFormatting>
  <conditionalFormatting sqref="O32">
    <cfRule type="cellIs" dxfId="119" priority="34" operator="equal">
      <formula>100</formula>
    </cfRule>
  </conditionalFormatting>
  <conditionalFormatting sqref="O32">
    <cfRule type="cellIs" dxfId="118" priority="32" operator="equal">
      <formula>"NO CUMPLE"</formula>
    </cfRule>
    <cfRule type="cellIs" dxfId="117" priority="33" operator="equal">
      <formula>"CUMPLE"</formula>
    </cfRule>
  </conditionalFormatting>
  <conditionalFormatting sqref="P31:P32">
    <cfRule type="cellIs" dxfId="116" priority="31" operator="equal">
      <formula>100</formula>
    </cfRule>
  </conditionalFormatting>
  <conditionalFormatting sqref="P31:P32">
    <cfRule type="cellIs" dxfId="115" priority="29" operator="equal">
      <formula>"NO CUMPLE"</formula>
    </cfRule>
    <cfRule type="cellIs" dxfId="114" priority="30" operator="equal">
      <formula>"CUMPLE"</formula>
    </cfRule>
  </conditionalFormatting>
  <conditionalFormatting sqref="O33">
    <cfRule type="cellIs" dxfId="113" priority="28" operator="equal">
      <formula>100</formula>
    </cfRule>
  </conditionalFormatting>
  <conditionalFormatting sqref="O33">
    <cfRule type="cellIs" dxfId="112" priority="26" operator="equal">
      <formula>"NO CUMPLE"</formula>
    </cfRule>
    <cfRule type="cellIs" dxfId="111" priority="27" operator="equal">
      <formula>"CUMPLE"</formula>
    </cfRule>
  </conditionalFormatting>
  <conditionalFormatting sqref="P33">
    <cfRule type="cellIs" dxfId="110" priority="25" operator="equal">
      <formula>100</formula>
    </cfRule>
  </conditionalFormatting>
  <conditionalFormatting sqref="P33">
    <cfRule type="cellIs" dxfId="109" priority="23" operator="equal">
      <formula>"NO CUMPLE"</formula>
    </cfRule>
    <cfRule type="cellIs" dxfId="108" priority="24" operator="equal">
      <formula>"CUMPLE"</formula>
    </cfRule>
  </conditionalFormatting>
  <conditionalFormatting sqref="P43">
    <cfRule type="cellIs" dxfId="107" priority="22" operator="equal">
      <formula>100</formula>
    </cfRule>
  </conditionalFormatting>
  <conditionalFormatting sqref="P43">
    <cfRule type="cellIs" dxfId="106" priority="20" operator="equal">
      <formula>"NO CUMPLE"</formula>
    </cfRule>
    <cfRule type="cellIs" dxfId="105" priority="21" operator="equal">
      <formula>"CUMPLE"</formula>
    </cfRule>
  </conditionalFormatting>
  <conditionalFormatting sqref="P45">
    <cfRule type="cellIs" dxfId="104" priority="19" operator="equal">
      <formula>100</formula>
    </cfRule>
  </conditionalFormatting>
  <conditionalFormatting sqref="P45">
    <cfRule type="cellIs" dxfId="103" priority="17" operator="equal">
      <formula>"NO CUMPLE"</formula>
    </cfRule>
    <cfRule type="cellIs" dxfId="102" priority="18" operator="equal">
      <formula>"CUMPLE"</formula>
    </cfRule>
  </conditionalFormatting>
  <conditionalFormatting sqref="R60:T60">
    <cfRule type="cellIs" dxfId="101" priority="16" operator="equal">
      <formula>100</formula>
    </cfRule>
  </conditionalFormatting>
  <conditionalFormatting sqref="R60:T60">
    <cfRule type="cellIs" dxfId="100" priority="15" operator="lessThan">
      <formula>100</formula>
    </cfRule>
  </conditionalFormatting>
  <conditionalFormatting sqref="O31">
    <cfRule type="cellIs" dxfId="99" priority="9" operator="equal">
      <formula>100</formula>
    </cfRule>
  </conditionalFormatting>
  <conditionalFormatting sqref="O31">
    <cfRule type="cellIs" dxfId="98" priority="7" operator="equal">
      <formula>"NO CUMPLE"</formula>
    </cfRule>
    <cfRule type="cellIs" dxfId="97" priority="8" operator="equal">
      <formula>"CUMPLE"</formula>
    </cfRule>
  </conditionalFormatting>
  <conditionalFormatting sqref="M60:O60">
    <cfRule type="cellIs" dxfId="96" priority="6" operator="equal">
      <formula>100</formula>
    </cfRule>
  </conditionalFormatting>
  <conditionalFormatting sqref="M60:O60">
    <cfRule type="cellIs" dxfId="95" priority="5" operator="lessThan">
      <formula>100</formula>
    </cfRule>
  </conditionalFormatting>
  <conditionalFormatting sqref="O17:O22">
    <cfRule type="containsText" dxfId="94" priority="4" operator="containsText" text="NO CUMPLE">
      <formula>NOT(ISERROR(SEARCH("NO CUMPLE",O17)))</formula>
    </cfRule>
  </conditionalFormatting>
  <conditionalFormatting sqref="O46">
    <cfRule type="cellIs" dxfId="93" priority="3" operator="equal">
      <formula>100</formula>
    </cfRule>
  </conditionalFormatting>
  <conditionalFormatting sqref="O46">
    <cfRule type="cellIs" dxfId="92" priority="1" operator="equal">
      <formula>"NO CUMPLE"</formula>
    </cfRule>
    <cfRule type="cellIs" dxfId="91" priority="2" operator="equal">
      <formula>"CUMPLE"</formula>
    </cfRule>
  </conditionalFormatting>
  <dataValidations count="7">
    <dataValidation type="list" allowBlank="1" showInputMessage="1" showErrorMessage="1" sqref="M37:O37" xr:uid="{FF596C3D-13BB-4B2C-AE8D-EE95964D4B54}">
      <formula1>$U$1:$U$2</formula1>
    </dataValidation>
    <dataValidation type="list" allowBlank="1" showInputMessage="1" showErrorMessage="1" sqref="G22:H22" xr:uid="{4D8C8604-ED50-4781-B167-D859E9046580}">
      <formula1>$Q$2:$Q$3</formula1>
    </dataValidation>
    <dataValidation type="list" allowBlank="1" showInputMessage="1" showErrorMessage="1" sqref="O36:O38" xr:uid="{EC449270-770D-464A-BB83-EEB230C1155D}">
      <formula1>$R$4:$R$5</formula1>
    </dataValidation>
    <dataValidation type="list" allowBlank="1" showInputMessage="1" showErrorMessage="1" error="SELECCIONE EL PRESUPUESTO A EVALUAR, EN LA LISTA DESPEGABLE._x000a_" sqref="I11:I12 J12:K12" xr:uid="{81C328CB-14E9-49A7-B0B4-8B9609DAF558}">
      <formula1>$A$75:$A$82</formula1>
    </dataValidation>
    <dataValidation type="list" allowBlank="1" showInputMessage="1" showErrorMessage="1" sqref="A3" xr:uid="{20C43339-A32C-469D-B9D6-36294E6692E5}">
      <formula1>$C$75:$C$82</formula1>
    </dataValidation>
    <dataValidation type="list" allowBlank="1" showInputMessage="1" showErrorMessage="1" sqref="V1:V2" xr:uid="{9E7CD1C8-60C9-4F9D-8E0F-75C778FA4F78}">
      <formula1>$V$1:$V$2</formula1>
    </dataValidation>
    <dataValidation type="list" allowBlank="1" showInputMessage="1" showErrorMessage="1" sqref="J60:L60 I59:I60 O46" xr:uid="{E0C31A44-4B1B-49F6-B259-A706EA176F75}">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E9173-2A5E-445F-A5C0-974A9EE606CF}">
  <dimension ref="A1:W94"/>
  <sheetViews>
    <sheetView view="pageBreakPreview" topLeftCell="A55" zoomScale="55" zoomScaleNormal="63" zoomScaleSheetLayoutView="55" workbookViewId="0">
      <selection activeCell="A61" sqref="A61:O63"/>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48.855468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6</v>
      </c>
      <c r="B4" s="311" t="str">
        <f>_xlfn.XLOOKUP(A4,RESUMEN!$A$3:$A$9,RESUMEN!$B$3:$B$9)</f>
        <v>CONSORCIO TARQUI</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39" t="s">
        <v>138</v>
      </c>
      <c r="J5" s="326"/>
      <c r="K5" s="326"/>
      <c r="L5" s="326"/>
      <c r="M5" s="326"/>
      <c r="N5" s="327"/>
      <c r="O5" s="175">
        <v>0.33329999999999999</v>
      </c>
      <c r="P5" s="2" t="str">
        <f>+I7</f>
        <v>Luis Fernando Galán
Echeverri</v>
      </c>
      <c r="R5" s="2">
        <v>0</v>
      </c>
    </row>
    <row r="6" spans="1:23" ht="20.25" customHeight="1">
      <c r="A6" s="310"/>
      <c r="B6" s="314"/>
      <c r="C6" s="315"/>
      <c r="D6" s="315"/>
      <c r="E6" s="316"/>
      <c r="F6" s="314"/>
      <c r="G6" s="315"/>
      <c r="H6" s="316"/>
      <c r="I6" s="324" t="s">
        <v>129</v>
      </c>
      <c r="J6" s="324"/>
      <c r="K6" s="324"/>
      <c r="L6" s="324"/>
      <c r="M6" s="324"/>
      <c r="N6" s="320"/>
      <c r="O6" s="175">
        <v>0.33329999999999999</v>
      </c>
      <c r="P6" s="2" t="str">
        <f>+I6</f>
        <v>Guillermo Andrés
Galán Echeverri</v>
      </c>
    </row>
    <row r="7" spans="1:23" ht="35.450000000000003" customHeight="1">
      <c r="A7" s="310"/>
      <c r="B7" s="314"/>
      <c r="C7" s="315"/>
      <c r="D7" s="315"/>
      <c r="E7" s="316"/>
      <c r="F7" s="317"/>
      <c r="G7" s="318"/>
      <c r="H7" s="319"/>
      <c r="I7" s="320" t="s">
        <v>130</v>
      </c>
      <c r="J7" s="321"/>
      <c r="K7" s="321"/>
      <c r="L7" s="321"/>
      <c r="M7" s="321"/>
      <c r="N7" s="321"/>
      <c r="O7" s="175">
        <v>0.33339999999999997</v>
      </c>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61.25"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c r="S16" s="36"/>
      <c r="T16" s="27"/>
      <c r="U16" s="272"/>
      <c r="V16" s="2">
        <v>2022</v>
      </c>
      <c r="W16" s="2">
        <v>1000000</v>
      </c>
    </row>
    <row r="17" spans="1:23" ht="133.9" customHeight="1" thickTop="1" thickBot="1">
      <c r="A17" s="338">
        <f>+M11*H8</f>
        <v>2329.6214942307693</v>
      </c>
      <c r="B17" s="170" t="s">
        <v>61</v>
      </c>
      <c r="C17" s="64">
        <v>125</v>
      </c>
      <c r="D17" s="180" t="s">
        <v>131</v>
      </c>
      <c r="E17" s="181" t="s">
        <v>133</v>
      </c>
      <c r="F17" s="171" t="s">
        <v>31</v>
      </c>
      <c r="G17" s="64" t="s">
        <v>137</v>
      </c>
      <c r="H17" s="64" t="s">
        <v>137</v>
      </c>
      <c r="I17" s="171" t="s">
        <v>135</v>
      </c>
      <c r="J17" s="182">
        <v>43024</v>
      </c>
      <c r="K17" s="168">
        <v>15168492790</v>
      </c>
      <c r="L17" s="68">
        <v>20561.39</v>
      </c>
      <c r="M17" s="66">
        <v>0.35</v>
      </c>
      <c r="N17" s="172">
        <f>$L$17*SUM(M17:M17)</f>
        <v>7196.4864999999991</v>
      </c>
      <c r="O17" s="93" t="str">
        <f t="shared" ref="O17:O22" si="0">+IF(AND(H17="SI",G17="SI"),"CUMPLE","NO CUMPLE")</f>
        <v>CUMPLE</v>
      </c>
      <c r="P17" s="4"/>
      <c r="Q17" s="4"/>
      <c r="R17" s="158">
        <f>+((N17*M17)+N18)/A17</f>
        <v>2.745114513596822</v>
      </c>
      <c r="S17" s="4"/>
      <c r="T17" s="72"/>
      <c r="V17" s="39">
        <v>2021</v>
      </c>
      <c r="W17" s="40">
        <v>908526</v>
      </c>
    </row>
    <row r="18" spans="1:23" ht="133.9" customHeight="1" thickTop="1" thickBot="1">
      <c r="A18" s="338"/>
      <c r="B18" s="170" t="s">
        <v>62</v>
      </c>
      <c r="C18" s="64">
        <v>92</v>
      </c>
      <c r="D18" s="180" t="s">
        <v>132</v>
      </c>
      <c r="E18" s="180" t="s">
        <v>134</v>
      </c>
      <c r="F18" s="64" t="s">
        <v>31</v>
      </c>
      <c r="G18" s="64" t="s">
        <v>137</v>
      </c>
      <c r="H18" s="64" t="s">
        <v>137</v>
      </c>
      <c r="I18" s="171" t="s">
        <v>136</v>
      </c>
      <c r="J18" s="182">
        <v>44899</v>
      </c>
      <c r="K18" s="168">
        <v>5169750725</v>
      </c>
      <c r="L18" s="64">
        <v>5168.41</v>
      </c>
      <c r="M18" s="66">
        <v>0.75</v>
      </c>
      <c r="N18" s="92">
        <f>L18*M18</f>
        <v>3876.3074999999999</v>
      </c>
      <c r="O18" s="93" t="str">
        <f t="shared" si="0"/>
        <v>CUMPLE</v>
      </c>
      <c r="P18" s="4"/>
      <c r="Q18" s="4"/>
      <c r="R18" s="37"/>
      <c r="S18" s="4"/>
      <c r="T18" s="72"/>
      <c r="V18" s="100"/>
      <c r="W18" s="101"/>
    </row>
    <row r="19" spans="1:23" ht="157.69999999999999" customHeight="1" thickTop="1" thickBot="1">
      <c r="A19" s="338"/>
      <c r="B19" s="170" t="s">
        <v>65</v>
      </c>
      <c r="C19" s="64"/>
      <c r="D19" s="64"/>
      <c r="E19" s="64"/>
      <c r="F19" s="64"/>
      <c r="G19" s="64"/>
      <c r="H19" s="64"/>
      <c r="I19" s="64"/>
      <c r="J19" s="169"/>
      <c r="K19" s="64"/>
      <c r="L19" s="64"/>
      <c r="M19" s="66"/>
      <c r="N19" s="92">
        <f>L19*M19</f>
        <v>0</v>
      </c>
      <c r="O19" s="93" t="str">
        <f t="shared" si="0"/>
        <v>NO CUMPLE</v>
      </c>
      <c r="P19" s="4"/>
      <c r="Q19" s="4"/>
      <c r="R19" s="37"/>
      <c r="S19" s="4"/>
      <c r="T19" s="72"/>
      <c r="V19" s="38">
        <v>2020</v>
      </c>
      <c r="W19" s="41">
        <v>877803</v>
      </c>
    </row>
    <row r="20" spans="1:23" ht="106.5" customHeight="1" thickBot="1">
      <c r="A20" s="338"/>
      <c r="B20" s="170" t="s">
        <v>67</v>
      </c>
      <c r="C20" s="44"/>
      <c r="D20" s="45"/>
      <c r="E20" s="45"/>
      <c r="F20" s="64"/>
      <c r="G20" s="70"/>
      <c r="H20" s="70"/>
      <c r="I20" s="64"/>
      <c r="J20" s="169"/>
      <c r="K20" s="46"/>
      <c r="L20" s="47"/>
      <c r="M20" s="35"/>
      <c r="N20" s="92">
        <f>IF(AND(G20="SI",H20="SI"),(L20*M20),0)</f>
        <v>0</v>
      </c>
      <c r="O20" s="93" t="str">
        <f t="shared" si="0"/>
        <v>NO CUMPLE</v>
      </c>
      <c r="P20" s="4"/>
      <c r="Q20" s="4"/>
      <c r="R20" s="158">
        <f>+N20/A17</f>
        <v>0</v>
      </c>
      <c r="S20" s="69"/>
      <c r="T20" s="72"/>
      <c r="V20" s="38">
        <v>2019</v>
      </c>
      <c r="W20" s="41">
        <v>828116</v>
      </c>
    </row>
    <row r="21" spans="1:23" ht="42.95" customHeight="1" thickBot="1">
      <c r="A21" s="338"/>
      <c r="B21" s="170" t="s">
        <v>68</v>
      </c>
      <c r="C21" s="64"/>
      <c r="D21" s="64"/>
      <c r="E21" s="64"/>
      <c r="F21" s="64"/>
      <c r="G21" s="64"/>
      <c r="H21" s="64"/>
      <c r="I21" s="64"/>
      <c r="J21" s="67"/>
      <c r="K21" s="64"/>
      <c r="L21" s="64"/>
      <c r="M21" s="66"/>
      <c r="N21" s="92">
        <f>IF(AND(G21="SI",H21="SI"),(L21*M21),0)</f>
        <v>0</v>
      </c>
      <c r="O21" s="93" t="str">
        <f t="shared" si="0"/>
        <v>NO CUMPLE</v>
      </c>
      <c r="P21" s="4"/>
      <c r="Q21" s="4"/>
      <c r="R21" s="37"/>
      <c r="S21" s="69"/>
      <c r="T21" s="27"/>
      <c r="V21" s="38">
        <v>2018</v>
      </c>
      <c r="W21" s="41">
        <v>781242</v>
      </c>
    </row>
    <row r="22" spans="1:23" ht="42.95" customHeight="1" thickBot="1">
      <c r="A22" s="338"/>
      <c r="B22" s="170" t="s">
        <v>69</v>
      </c>
      <c r="C22" s="44"/>
      <c r="D22" s="45"/>
      <c r="E22" s="45"/>
      <c r="F22" s="64"/>
      <c r="G22" s="70"/>
      <c r="H22" s="70"/>
      <c r="I22" s="64"/>
      <c r="J22" s="67"/>
      <c r="K22" s="46"/>
      <c r="L22" s="47"/>
      <c r="M22" s="35"/>
      <c r="N22" s="92">
        <f>IF(AND(G22="SI",H22="SI"),(L22*M22),0)</f>
        <v>0</v>
      </c>
      <c r="O22" s="93" t="str">
        <f t="shared" si="0"/>
        <v>NO CUMPLE</v>
      </c>
      <c r="P22" s="4"/>
      <c r="Q22" s="4"/>
      <c r="R22" s="37"/>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11072.793999999998</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V25" s="2">
        <v>2007</v>
      </c>
      <c r="W25" s="2">
        <v>433700</v>
      </c>
    </row>
    <row r="26" spans="1:23" ht="211.9" customHeight="1">
      <c r="A26" s="269" t="s">
        <v>114</v>
      </c>
      <c r="B26" s="270"/>
      <c r="C26" s="270"/>
      <c r="D26" s="270"/>
      <c r="E26" s="270"/>
      <c r="F26" s="270"/>
      <c r="G26" s="270"/>
      <c r="H26" s="270"/>
      <c r="I26" s="270"/>
      <c r="J26" s="270"/>
      <c r="K26" s="270"/>
      <c r="L26" s="270"/>
      <c r="M26" s="270"/>
      <c r="N26" s="270"/>
      <c r="O26" s="271"/>
      <c r="T26" s="26"/>
      <c r="V26" s="2">
        <v>2023</v>
      </c>
      <c r="W26" s="2">
        <v>1160000</v>
      </c>
    </row>
    <row r="27" spans="1:23" ht="167.25" customHeight="1" thickBo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c r="S27" s="36"/>
      <c r="T27" s="27"/>
      <c r="V27" s="2">
        <v>2022</v>
      </c>
      <c r="W27" s="2">
        <v>1000000</v>
      </c>
    </row>
    <row r="28" spans="1:23" ht="145.5" customHeight="1" thickTop="1" thickBot="1">
      <c r="A28" s="280">
        <f>M11*50%</f>
        <v>1553.0809961538462</v>
      </c>
      <c r="B28" s="91" t="s">
        <v>61</v>
      </c>
      <c r="C28" s="64">
        <v>125</v>
      </c>
      <c r="D28" s="180" t="s">
        <v>131</v>
      </c>
      <c r="E28" s="181" t="s">
        <v>133</v>
      </c>
      <c r="F28" s="171" t="s">
        <v>31</v>
      </c>
      <c r="G28" s="64" t="s">
        <v>137</v>
      </c>
      <c r="H28" s="64" t="s">
        <v>137</v>
      </c>
      <c r="I28" s="171" t="s">
        <v>135</v>
      </c>
      <c r="J28" s="182">
        <v>43024</v>
      </c>
      <c r="K28" s="168">
        <v>15168492790</v>
      </c>
      <c r="L28" s="68">
        <v>20561.39</v>
      </c>
      <c r="M28" s="66">
        <v>0.35</v>
      </c>
      <c r="N28" s="92">
        <f>L28*M28</f>
        <v>7196.4864999999991</v>
      </c>
      <c r="O28" s="93" t="str">
        <f>+IF(AND(H28="SI",G28="SI"),"CUMPLE","NO CUMPLE")</f>
        <v>CUMPLE</v>
      </c>
      <c r="P28" s="4"/>
      <c r="Q28" s="4"/>
      <c r="R28" s="36"/>
      <c r="S28" s="36"/>
      <c r="T28" s="27"/>
    </row>
    <row r="29" spans="1:23" ht="143.44999999999999" customHeight="1" thickTop="1" thickBot="1">
      <c r="A29" s="281"/>
      <c r="B29" s="91" t="s">
        <v>62</v>
      </c>
      <c r="C29" s="64"/>
      <c r="D29" s="65"/>
      <c r="E29" s="65"/>
      <c r="F29" s="65"/>
      <c r="G29" s="64"/>
      <c r="H29" s="64"/>
      <c r="I29" s="65"/>
      <c r="J29" s="67"/>
      <c r="K29" s="71"/>
      <c r="L29" s="68"/>
      <c r="M29" s="66"/>
      <c r="N29" s="92">
        <f>L29*M29</f>
        <v>0</v>
      </c>
      <c r="O29" s="93" t="str">
        <f>+IF(AND(H29="SI",G29="SI"),"CUMPLE","NO CUMPLE")</f>
        <v>NO CUMPLE</v>
      </c>
      <c r="P29" s="4"/>
      <c r="Q29" s="4"/>
      <c r="R29" s="37" t="str">
        <f>+IF(OR(O29="CUMPLE")*AND(N29&gt;=$R$16),"CUMPLE","NO CUMPLE")</f>
        <v>NO 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7196.4864999999991</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A61:O63"/>
    <mergeCell ref="A58:N58"/>
    <mergeCell ref="A59:H59"/>
    <mergeCell ref="I59:O59"/>
    <mergeCell ref="A60:H60"/>
    <mergeCell ref="I60:L60"/>
    <mergeCell ref="M60:O60"/>
    <mergeCell ref="A49:L49"/>
    <mergeCell ref="R60:T60"/>
    <mergeCell ref="A54:L54"/>
    <mergeCell ref="A56:L56"/>
    <mergeCell ref="A50:L50"/>
    <mergeCell ref="A52:L52"/>
    <mergeCell ref="A35:O35"/>
    <mergeCell ref="A36:N36"/>
    <mergeCell ref="A45:B45"/>
    <mergeCell ref="C45:L45"/>
    <mergeCell ref="A48:L48"/>
    <mergeCell ref="M48:O48"/>
    <mergeCell ref="A38:O38"/>
    <mergeCell ref="A39:B42"/>
    <mergeCell ref="C39:L42"/>
    <mergeCell ref="M39:O39"/>
    <mergeCell ref="A43:B44"/>
    <mergeCell ref="C43:L44"/>
  </mergeCells>
  <conditionalFormatting sqref="I60:L60 P34">
    <cfRule type="cellIs" dxfId="90" priority="51" operator="equal">
      <formula>100</formula>
    </cfRule>
  </conditionalFormatting>
  <conditionalFormatting sqref="I60:L60 P34">
    <cfRule type="cellIs" dxfId="89" priority="48" operator="equal">
      <formula>"NO CUMPLE"</formula>
    </cfRule>
    <cfRule type="cellIs" dxfId="88" priority="50" operator="equal">
      <formula>"CUMPLE"</formula>
    </cfRule>
  </conditionalFormatting>
  <conditionalFormatting sqref="O23 O34">
    <cfRule type="cellIs" dxfId="87" priority="47" operator="equal">
      <formula>100</formula>
    </cfRule>
  </conditionalFormatting>
  <conditionalFormatting sqref="O23 O34">
    <cfRule type="cellIs" dxfId="86" priority="45" operator="equal">
      <formula>"NO CUMPLE"</formula>
    </cfRule>
    <cfRule type="cellIs" dxfId="85" priority="46" operator="equal">
      <formula>"CUMPLE"</formula>
    </cfRule>
  </conditionalFormatting>
  <conditionalFormatting sqref="O36:O38">
    <cfRule type="cellIs" dxfId="84" priority="44" operator="equal">
      <formula>100</formula>
    </cfRule>
  </conditionalFormatting>
  <conditionalFormatting sqref="O36:O38">
    <cfRule type="cellIs" dxfId="83" priority="42" operator="equal">
      <formula>"NO CUMPLE"</formula>
    </cfRule>
    <cfRule type="cellIs" dxfId="82" priority="43" operator="equal">
      <formula>"CUMPLE"</formula>
    </cfRule>
  </conditionalFormatting>
  <conditionalFormatting sqref="P24">
    <cfRule type="cellIs" dxfId="81" priority="41" operator="equal">
      <formula>100</formula>
    </cfRule>
  </conditionalFormatting>
  <conditionalFormatting sqref="P24">
    <cfRule type="cellIs" dxfId="80" priority="39" operator="equal">
      <formula>"NO CUMPLE"</formula>
    </cfRule>
    <cfRule type="cellIs" dxfId="79" priority="40" operator="equal">
      <formula>"CUMPLE"</formula>
    </cfRule>
  </conditionalFormatting>
  <conditionalFormatting sqref="P36:P42 P44 P46">
    <cfRule type="cellIs" dxfId="78" priority="38" operator="equal">
      <formula>100</formula>
    </cfRule>
  </conditionalFormatting>
  <conditionalFormatting sqref="P36:P42 P44 P46">
    <cfRule type="cellIs" dxfId="77" priority="36" operator="equal">
      <formula>"NO CUMPLE"</formula>
    </cfRule>
    <cfRule type="cellIs" dxfId="76" priority="37" operator="equal">
      <formula>"CUMPLE"</formula>
    </cfRule>
  </conditionalFormatting>
  <conditionalFormatting sqref="I59">
    <cfRule type="cellIs" dxfId="75" priority="35" operator="equal">
      <formula>100</formula>
    </cfRule>
  </conditionalFormatting>
  <conditionalFormatting sqref="I59">
    <cfRule type="cellIs" dxfId="74" priority="33" operator="equal">
      <formula>"NO CUMPLE"</formula>
    </cfRule>
    <cfRule type="cellIs" dxfId="73" priority="34" operator="equal">
      <formula>"CUMPLE"</formula>
    </cfRule>
  </conditionalFormatting>
  <conditionalFormatting sqref="O32">
    <cfRule type="cellIs" dxfId="72" priority="32" operator="equal">
      <formula>100</formula>
    </cfRule>
  </conditionalFormatting>
  <conditionalFormatting sqref="O32">
    <cfRule type="cellIs" dxfId="71" priority="30" operator="equal">
      <formula>"NO CUMPLE"</formula>
    </cfRule>
    <cfRule type="cellIs" dxfId="70" priority="31" operator="equal">
      <formula>"CUMPLE"</formula>
    </cfRule>
  </conditionalFormatting>
  <conditionalFormatting sqref="P31:P32">
    <cfRule type="cellIs" dxfId="69" priority="29" operator="equal">
      <formula>100</formula>
    </cfRule>
  </conditionalFormatting>
  <conditionalFormatting sqref="P31:P32">
    <cfRule type="cellIs" dxfId="68" priority="27" operator="equal">
      <formula>"NO CUMPLE"</formula>
    </cfRule>
    <cfRule type="cellIs" dxfId="67" priority="28" operator="equal">
      <formula>"CUMPLE"</formula>
    </cfRule>
  </conditionalFormatting>
  <conditionalFormatting sqref="O33">
    <cfRule type="cellIs" dxfId="66" priority="26" operator="equal">
      <formula>100</formula>
    </cfRule>
  </conditionalFormatting>
  <conditionalFormatting sqref="O33">
    <cfRule type="cellIs" dxfId="65" priority="24" operator="equal">
      <formula>"NO CUMPLE"</formula>
    </cfRule>
    <cfRule type="cellIs" dxfId="64" priority="25" operator="equal">
      <formula>"CUMPLE"</formula>
    </cfRule>
  </conditionalFormatting>
  <conditionalFormatting sqref="P33">
    <cfRule type="cellIs" dxfId="63" priority="23" operator="equal">
      <formula>100</formula>
    </cfRule>
  </conditionalFormatting>
  <conditionalFormatting sqref="P33">
    <cfRule type="cellIs" dxfId="62" priority="21" operator="equal">
      <formula>"NO CUMPLE"</formula>
    </cfRule>
    <cfRule type="cellIs" dxfId="61" priority="22" operator="equal">
      <formula>"CUMPLE"</formula>
    </cfRule>
  </conditionalFormatting>
  <conditionalFormatting sqref="P43">
    <cfRule type="cellIs" dxfId="60" priority="20" operator="equal">
      <formula>100</formula>
    </cfRule>
  </conditionalFormatting>
  <conditionalFormatting sqref="P43">
    <cfRule type="cellIs" dxfId="59" priority="18" operator="equal">
      <formula>"NO CUMPLE"</formula>
    </cfRule>
    <cfRule type="cellIs" dxfId="58" priority="19" operator="equal">
      <formula>"CUMPLE"</formula>
    </cfRule>
  </conditionalFormatting>
  <conditionalFormatting sqref="P45">
    <cfRule type="cellIs" dxfId="57" priority="17" operator="equal">
      <formula>100</formula>
    </cfRule>
  </conditionalFormatting>
  <conditionalFormatting sqref="P45">
    <cfRule type="cellIs" dxfId="56" priority="15" operator="equal">
      <formula>"NO CUMPLE"</formula>
    </cfRule>
    <cfRule type="cellIs" dxfId="55" priority="16" operator="equal">
      <formula>"CUMPLE"</formula>
    </cfRule>
  </conditionalFormatting>
  <conditionalFormatting sqref="R60:T60">
    <cfRule type="cellIs" dxfId="54" priority="14" operator="equal">
      <formula>100</formula>
    </cfRule>
  </conditionalFormatting>
  <conditionalFormatting sqref="R60:T60">
    <cfRule type="cellIs" dxfId="53" priority="13" operator="lessThan">
      <formula>100</formula>
    </cfRule>
  </conditionalFormatting>
  <conditionalFormatting sqref="M60:O60">
    <cfRule type="cellIs" dxfId="52" priority="9" operator="equal">
      <formula>100</formula>
    </cfRule>
  </conditionalFormatting>
  <conditionalFormatting sqref="M60:O60">
    <cfRule type="cellIs" dxfId="51" priority="8" operator="lessThan">
      <formula>100</formula>
    </cfRule>
  </conditionalFormatting>
  <conditionalFormatting sqref="O31">
    <cfRule type="cellIs" dxfId="50" priority="7" operator="equal">
      <formula>100</formula>
    </cfRule>
  </conditionalFormatting>
  <conditionalFormatting sqref="O31">
    <cfRule type="cellIs" dxfId="49" priority="5" operator="equal">
      <formula>"NO CUMPLE"</formula>
    </cfRule>
    <cfRule type="cellIs" dxfId="48" priority="6" operator="equal">
      <formula>"CUMPLE"</formula>
    </cfRule>
  </conditionalFormatting>
  <conditionalFormatting sqref="O17:O22">
    <cfRule type="containsText" dxfId="47" priority="4" operator="containsText" text="NO CUMPLE">
      <formula>NOT(ISERROR(SEARCH("NO CUMPLE",O17)))</formula>
    </cfRule>
  </conditionalFormatting>
  <conditionalFormatting sqref="O46">
    <cfRule type="cellIs" dxfId="46" priority="3" operator="equal">
      <formula>100</formula>
    </cfRule>
  </conditionalFormatting>
  <conditionalFormatting sqref="O46">
    <cfRule type="cellIs" dxfId="45" priority="1" operator="equal">
      <formula>"NO CUMPLE"</formula>
    </cfRule>
    <cfRule type="cellIs" dxfId="44" priority="2" operator="equal">
      <formula>"CUMPLE"</formula>
    </cfRule>
  </conditionalFormatting>
  <dataValidations count="7">
    <dataValidation type="list" allowBlank="1" showInputMessage="1" showErrorMessage="1" sqref="J60:L60 I59:I60 O46" xr:uid="{807DB553-4E69-4654-868A-BDC7CFD98CE0}">
      <formula1>$R$2:$R$3</formula1>
    </dataValidation>
    <dataValidation type="list" allowBlank="1" showInputMessage="1" showErrorMessage="1" sqref="V1:V2" xr:uid="{06A1264D-8720-4554-85FB-BB73710B4687}">
      <formula1>$V$1:$V$2</formula1>
    </dataValidation>
    <dataValidation type="list" allowBlank="1" showInputMessage="1" showErrorMessage="1" sqref="A3" xr:uid="{FB2862BB-D7DD-469A-B1D6-90C8FFFED838}">
      <formula1>$C$75:$C$82</formula1>
    </dataValidation>
    <dataValidation type="list" allowBlank="1" showInputMessage="1" showErrorMessage="1" sqref="O36:O38" xr:uid="{38A2A4FD-8C26-4AAC-8F0D-946B1DF02AB5}">
      <formula1>$R$4:$R$5</formula1>
    </dataValidation>
    <dataValidation type="list" allowBlank="1" showInputMessage="1" showErrorMessage="1" sqref="G22:H22 G20:H20" xr:uid="{4C864EA5-C3B9-490D-90F8-43DD269F7065}">
      <formula1>$Q$2:$Q$3</formula1>
    </dataValidation>
    <dataValidation type="list" allowBlank="1" showInputMessage="1" showErrorMessage="1" sqref="M37:O37" xr:uid="{5458C88A-4E08-4C2F-8323-F84667027E77}">
      <formula1>$U$1:$U$2</formula1>
    </dataValidation>
    <dataValidation type="list" allowBlank="1" showInputMessage="1" showErrorMessage="1" error="SELECCIONE EL PRESUPUESTO A EVALUAR, EN LA LISTA DESPEGABLE._x000a_" sqref="I11:I12 J12:K12" xr:uid="{A721428D-E632-4E64-8708-93F604D56FCC}">
      <formula1>$A$73:$A$80</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37263-9BA0-4394-B93F-FE9E09AED4BB}">
  <sheetPr codeName="Hoja5"/>
  <dimension ref="A1:W94"/>
  <sheetViews>
    <sheetView view="pageBreakPreview" topLeftCell="A57" zoomScale="55" zoomScaleNormal="63" zoomScaleSheetLayoutView="55" workbookViewId="0">
      <selection activeCell="A61" sqref="A61:O63"/>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25.71093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300" t="s">
        <v>0</v>
      </c>
      <c r="B1" s="301"/>
      <c r="C1" s="301"/>
      <c r="D1" s="301"/>
      <c r="E1" s="301"/>
      <c r="F1" s="301"/>
      <c r="G1" s="301"/>
      <c r="H1" s="301"/>
      <c r="I1" s="301"/>
      <c r="J1" s="301"/>
      <c r="K1" s="301"/>
      <c r="L1" s="301"/>
      <c r="M1" s="301"/>
      <c r="N1" s="301"/>
      <c r="O1" s="302"/>
      <c r="U1" s="5">
        <v>1</v>
      </c>
      <c r="V1" s="2">
        <v>20</v>
      </c>
      <c r="W1" s="2">
        <v>5</v>
      </c>
    </row>
    <row r="2" spans="1:23" ht="23.25">
      <c r="A2" s="303" t="s">
        <v>30</v>
      </c>
      <c r="B2" s="304"/>
      <c r="C2" s="304"/>
      <c r="D2" s="304"/>
      <c r="E2" s="304"/>
      <c r="F2" s="304"/>
      <c r="G2" s="304"/>
      <c r="H2" s="304"/>
      <c r="I2" s="304"/>
      <c r="J2" s="304"/>
      <c r="K2" s="304"/>
      <c r="L2" s="304"/>
      <c r="M2" s="304"/>
      <c r="N2" s="304"/>
      <c r="O2" s="305"/>
      <c r="Q2" s="2" t="s">
        <v>31</v>
      </c>
      <c r="R2" s="2" t="s">
        <v>32</v>
      </c>
      <c r="U2" s="5">
        <v>0</v>
      </c>
      <c r="V2" s="2">
        <v>5</v>
      </c>
      <c r="W2" s="2">
        <v>0</v>
      </c>
    </row>
    <row r="3" spans="1:23" ht="71.45" customHeight="1">
      <c r="A3" s="306" t="s">
        <v>117</v>
      </c>
      <c r="B3" s="307"/>
      <c r="C3" s="307"/>
      <c r="D3" s="307"/>
      <c r="E3" s="307"/>
      <c r="F3" s="307"/>
      <c r="G3" s="307"/>
      <c r="H3" s="307"/>
      <c r="I3" s="308"/>
      <c r="J3" s="308"/>
      <c r="K3" s="308"/>
      <c r="L3" s="308"/>
      <c r="M3" s="308"/>
      <c r="N3" s="308"/>
      <c r="O3" s="309"/>
      <c r="Q3" s="2" t="s">
        <v>33</v>
      </c>
      <c r="R3" s="2" t="s">
        <v>34</v>
      </c>
      <c r="V3" s="2">
        <v>0</v>
      </c>
    </row>
    <row r="4" spans="1:23" ht="20.25" customHeight="1">
      <c r="A4" s="310">
        <v>7</v>
      </c>
      <c r="B4" s="311" t="str">
        <f>_xlfn.XLOOKUP(A4,RESUMEN!$A$3:$A$9,RESUMEN!$B$3:$B$9)</f>
        <v>CONSORCIO IF LETICIA</v>
      </c>
      <c r="C4" s="312"/>
      <c r="D4" s="312"/>
      <c r="E4" s="313"/>
      <c r="F4" s="311" t="s">
        <v>35</v>
      </c>
      <c r="G4" s="312"/>
      <c r="H4" s="313"/>
      <c r="I4" s="320" t="s">
        <v>36</v>
      </c>
      <c r="J4" s="321"/>
      <c r="K4" s="321"/>
      <c r="L4" s="321"/>
      <c r="M4" s="321"/>
      <c r="N4" s="321"/>
      <c r="O4" s="11"/>
      <c r="P4" s="2" t="str">
        <f>+I4</f>
        <v>APORTANTE DE LA EXPERIENCIA - GENERAL</v>
      </c>
      <c r="R4" s="2">
        <v>10</v>
      </c>
    </row>
    <row r="5" spans="1:23" ht="20.25" customHeight="1">
      <c r="A5" s="310"/>
      <c r="B5" s="314"/>
      <c r="C5" s="315"/>
      <c r="D5" s="315"/>
      <c r="E5" s="316"/>
      <c r="F5" s="314"/>
      <c r="G5" s="315"/>
      <c r="H5" s="316"/>
      <c r="I5" s="326" t="s">
        <v>139</v>
      </c>
      <c r="J5" s="326"/>
      <c r="K5" s="326"/>
      <c r="L5" s="326"/>
      <c r="M5" s="326"/>
      <c r="N5" s="327"/>
      <c r="O5" s="175">
        <v>0.5</v>
      </c>
      <c r="P5" s="2" t="str">
        <f>+I7</f>
        <v>ORDOÑEZ S A NIT. 900.079.438-7</v>
      </c>
      <c r="R5" s="2">
        <v>0</v>
      </c>
    </row>
    <row r="6" spans="1:23" ht="20.25" customHeight="1">
      <c r="A6" s="310"/>
      <c r="B6" s="314"/>
      <c r="C6" s="315"/>
      <c r="D6" s="315"/>
      <c r="E6" s="316"/>
      <c r="F6" s="314"/>
      <c r="G6" s="315"/>
      <c r="H6" s="316"/>
      <c r="I6" s="324" t="s">
        <v>140</v>
      </c>
      <c r="J6" s="324"/>
      <c r="K6" s="324"/>
      <c r="L6" s="324"/>
      <c r="M6" s="324"/>
      <c r="N6" s="320"/>
      <c r="O6" s="175">
        <v>0.4</v>
      </c>
      <c r="P6" s="2" t="str">
        <f>+I6</f>
        <v>GRUPO FAO SAS NIT. 901.484.861-1</v>
      </c>
    </row>
    <row r="7" spans="1:23" ht="35.450000000000003" customHeight="1">
      <c r="A7" s="310"/>
      <c r="B7" s="314"/>
      <c r="C7" s="315"/>
      <c r="D7" s="315"/>
      <c r="E7" s="316"/>
      <c r="F7" s="317"/>
      <c r="G7" s="318"/>
      <c r="H7" s="319"/>
      <c r="I7" s="320" t="s">
        <v>141</v>
      </c>
      <c r="J7" s="321"/>
      <c r="K7" s="321"/>
      <c r="L7" s="321"/>
      <c r="M7" s="321"/>
      <c r="N7" s="321"/>
      <c r="O7" s="175">
        <v>0.1</v>
      </c>
      <c r="P7" s="2" t="e">
        <f>+#REF!</f>
        <v>#REF!</v>
      </c>
    </row>
    <row r="8" spans="1:23" ht="20.25" customHeight="1">
      <c r="A8" s="310"/>
      <c r="B8" s="314"/>
      <c r="C8" s="315"/>
      <c r="D8" s="315"/>
      <c r="E8" s="316"/>
      <c r="F8" s="294" t="s">
        <v>38</v>
      </c>
      <c r="G8" s="295"/>
      <c r="H8" s="97">
        <v>0.75</v>
      </c>
      <c r="I8" s="296"/>
      <c r="J8" s="296"/>
      <c r="K8" s="296"/>
      <c r="L8" s="296"/>
      <c r="M8" s="296"/>
      <c r="N8" s="297"/>
      <c r="O8" s="11"/>
      <c r="P8" s="2">
        <f>+I8</f>
        <v>0</v>
      </c>
    </row>
    <row r="9" spans="1:23" ht="20.25" customHeight="1">
      <c r="A9" s="310"/>
      <c r="B9" s="314"/>
      <c r="C9" s="315"/>
      <c r="D9" s="315"/>
      <c r="E9" s="316"/>
      <c r="F9" s="294" t="s">
        <v>97</v>
      </c>
      <c r="G9" s="295"/>
      <c r="H9" s="97">
        <v>1.2</v>
      </c>
      <c r="I9" s="296"/>
      <c r="J9" s="296"/>
      <c r="K9" s="296"/>
      <c r="L9" s="296"/>
      <c r="M9" s="296"/>
      <c r="N9" s="297"/>
      <c r="O9" s="11"/>
      <c r="P9" s="2">
        <f>+I9</f>
        <v>0</v>
      </c>
    </row>
    <row r="10" spans="1:23" ht="21.2" customHeight="1">
      <c r="A10" s="310"/>
      <c r="B10" s="317"/>
      <c r="C10" s="318"/>
      <c r="D10" s="318"/>
      <c r="E10" s="319"/>
      <c r="F10" s="294" t="s">
        <v>39</v>
      </c>
      <c r="G10" s="295"/>
      <c r="H10" s="97">
        <v>1.5</v>
      </c>
      <c r="I10" s="298" t="s">
        <v>40</v>
      </c>
      <c r="J10" s="299"/>
      <c r="K10" s="299"/>
      <c r="L10" s="299"/>
      <c r="M10" s="299"/>
      <c r="N10" s="299"/>
      <c r="O10" s="85">
        <f>+SUM(O5:O9)</f>
        <v>1</v>
      </c>
      <c r="P10" s="284"/>
      <c r="Q10" s="284"/>
      <c r="R10" s="284"/>
      <c r="S10" s="284"/>
      <c r="T10" s="284"/>
      <c r="U10" s="284"/>
    </row>
    <row r="11" spans="1:23" ht="68.25" customHeight="1">
      <c r="A11" s="96" t="s">
        <v>41</v>
      </c>
      <c r="B11" s="98" t="s">
        <v>115</v>
      </c>
      <c r="C11" s="285" t="s">
        <v>42</v>
      </c>
      <c r="D11" s="286"/>
      <c r="E11" s="286"/>
      <c r="F11" s="286"/>
      <c r="G11" s="286"/>
      <c r="H11" s="287"/>
      <c r="I11" s="86">
        <v>4038010590</v>
      </c>
      <c r="J11" s="288" t="s">
        <v>43</v>
      </c>
      <c r="K11" s="289"/>
      <c r="L11" s="290"/>
      <c r="M11" s="291">
        <f>I11/W13</f>
        <v>3106.1619923076923</v>
      </c>
      <c r="N11" s="292"/>
      <c r="O11" s="293"/>
      <c r="R11" s="2" t="s">
        <v>44</v>
      </c>
      <c r="T11" s="6"/>
    </row>
    <row r="12" spans="1:23" ht="23.25">
      <c r="A12" s="15"/>
      <c r="B12" s="16"/>
      <c r="C12" s="17"/>
      <c r="D12" s="17"/>
      <c r="E12" s="17"/>
      <c r="F12" s="18"/>
      <c r="G12" s="18"/>
      <c r="H12" s="19"/>
      <c r="I12" s="20"/>
      <c r="J12" s="20"/>
      <c r="K12" s="20"/>
      <c r="L12" s="21"/>
      <c r="M12" s="22"/>
      <c r="N12" s="23"/>
      <c r="O12" s="24"/>
      <c r="T12" s="6"/>
    </row>
    <row r="13" spans="1:23" ht="23.25">
      <c r="A13" s="249" t="s">
        <v>45</v>
      </c>
      <c r="B13" s="250"/>
      <c r="C13" s="250"/>
      <c r="D13" s="250"/>
      <c r="E13" s="250"/>
      <c r="F13" s="250"/>
      <c r="G13" s="250"/>
      <c r="H13" s="250"/>
      <c r="I13" s="250"/>
      <c r="J13" s="250"/>
      <c r="K13" s="250"/>
      <c r="L13" s="250"/>
      <c r="M13" s="250"/>
      <c r="N13" s="250"/>
      <c r="O13" s="251"/>
      <c r="V13" s="2">
        <v>2024</v>
      </c>
      <c r="W13" s="2">
        <v>1300000</v>
      </c>
    </row>
    <row r="14" spans="1:23" ht="29.45" customHeight="1">
      <c r="A14" s="277" t="s">
        <v>46</v>
      </c>
      <c r="B14" s="278"/>
      <c r="C14" s="278"/>
      <c r="D14" s="278"/>
      <c r="E14" s="278"/>
      <c r="F14" s="278"/>
      <c r="G14" s="278"/>
      <c r="H14" s="278"/>
      <c r="I14" s="278"/>
      <c r="J14" s="278"/>
      <c r="K14" s="278"/>
      <c r="L14" s="278"/>
      <c r="M14" s="278"/>
      <c r="N14" s="278"/>
      <c r="O14" s="279"/>
    </row>
    <row r="15" spans="1:23" ht="135.94999999999999" customHeight="1">
      <c r="A15" s="269" t="s">
        <v>113</v>
      </c>
      <c r="B15" s="270"/>
      <c r="C15" s="270"/>
      <c r="D15" s="270"/>
      <c r="E15" s="270"/>
      <c r="F15" s="270"/>
      <c r="G15" s="270"/>
      <c r="H15" s="270"/>
      <c r="I15" s="270"/>
      <c r="J15" s="270"/>
      <c r="K15" s="270"/>
      <c r="L15" s="270"/>
      <c r="M15" s="270"/>
      <c r="N15" s="270"/>
      <c r="O15" s="271"/>
      <c r="T15" s="26"/>
      <c r="U15" s="272"/>
      <c r="V15" s="2">
        <v>2023</v>
      </c>
      <c r="W15" s="2">
        <v>1160000</v>
      </c>
    </row>
    <row r="16" spans="1:23" ht="159.75" customHeight="1" thickBot="1">
      <c r="A16" s="87" t="s">
        <v>35</v>
      </c>
      <c r="B16" s="88" t="s">
        <v>47</v>
      </c>
      <c r="C16" s="74" t="s">
        <v>48</v>
      </c>
      <c r="D16" s="74" t="s">
        <v>49</v>
      </c>
      <c r="E16" s="74" t="s">
        <v>50</v>
      </c>
      <c r="F16" s="74" t="s">
        <v>51</v>
      </c>
      <c r="G16" s="89" t="s">
        <v>116</v>
      </c>
      <c r="H16" s="63" t="s">
        <v>52</v>
      </c>
      <c r="I16" s="63" t="s">
        <v>53</v>
      </c>
      <c r="J16" s="63" t="s">
        <v>54</v>
      </c>
      <c r="K16" s="63" t="s">
        <v>55</v>
      </c>
      <c r="L16" s="74" t="s">
        <v>56</v>
      </c>
      <c r="M16" s="74" t="s">
        <v>57</v>
      </c>
      <c r="N16" s="74" t="s">
        <v>58</v>
      </c>
      <c r="O16" s="90" t="s">
        <v>59</v>
      </c>
      <c r="P16" s="4"/>
      <c r="Q16" s="4"/>
      <c r="R16" s="36">
        <f>M11*0.3</f>
        <v>931.84859769230764</v>
      </c>
      <c r="S16" s="36" t="s">
        <v>60</v>
      </c>
      <c r="T16" s="27"/>
      <c r="U16" s="272"/>
      <c r="V16" s="2">
        <v>2022</v>
      </c>
      <c r="W16" s="2">
        <v>1000000</v>
      </c>
    </row>
    <row r="17" spans="1:23" ht="133.9" customHeight="1" thickTop="1">
      <c r="A17" s="325">
        <f>+M11*H8</f>
        <v>2329.6214942307693</v>
      </c>
      <c r="B17" s="170" t="s">
        <v>61</v>
      </c>
      <c r="C17" s="64">
        <v>2</v>
      </c>
      <c r="D17" s="171" t="s">
        <v>0</v>
      </c>
      <c r="E17" s="171" t="s">
        <v>143</v>
      </c>
      <c r="F17" s="171" t="s">
        <v>137</v>
      </c>
      <c r="G17" s="64" t="s">
        <v>137</v>
      </c>
      <c r="H17" s="64" t="s">
        <v>137</v>
      </c>
      <c r="I17" s="171" t="s">
        <v>145</v>
      </c>
      <c r="J17" s="169">
        <v>41638</v>
      </c>
      <c r="K17" s="168">
        <v>3315387414</v>
      </c>
      <c r="L17" s="68">
        <v>5624.06</v>
      </c>
      <c r="M17" s="66">
        <v>0.5</v>
      </c>
      <c r="N17" s="92">
        <f>L17*M17</f>
        <v>2812.03</v>
      </c>
      <c r="O17" s="93" t="str">
        <f t="shared" ref="O17:O22" si="0">+IF(AND(H17="SI",G17="SI"),"CUMPLE","NO CUMPLE")</f>
        <v>CUMPLE</v>
      </c>
      <c r="P17" s="4"/>
      <c r="Q17" s="4"/>
      <c r="R17" s="158">
        <f>+N17/A17</f>
        <v>1.2070759163941007</v>
      </c>
      <c r="S17" s="4"/>
      <c r="T17" s="72"/>
      <c r="V17" s="39">
        <v>2021</v>
      </c>
      <c r="W17" s="40">
        <v>908526</v>
      </c>
    </row>
    <row r="18" spans="1:23" ht="234.75" customHeight="1" thickBot="1">
      <c r="A18" s="325"/>
      <c r="B18" s="170" t="s">
        <v>62</v>
      </c>
      <c r="C18" s="64">
        <v>203</v>
      </c>
      <c r="D18" s="171" t="s">
        <v>142</v>
      </c>
      <c r="E18" s="171" t="s">
        <v>144</v>
      </c>
      <c r="F18" s="171" t="s">
        <v>31</v>
      </c>
      <c r="G18" s="64" t="s">
        <v>137</v>
      </c>
      <c r="H18" s="64" t="s">
        <v>31</v>
      </c>
      <c r="I18" s="171" t="s">
        <v>146</v>
      </c>
      <c r="J18" s="169">
        <v>45344</v>
      </c>
      <c r="K18" s="168">
        <v>5128887235</v>
      </c>
      <c r="L18" s="68">
        <v>3945.29</v>
      </c>
      <c r="M18" s="66">
        <v>0.5</v>
      </c>
      <c r="N18" s="92">
        <f>L18*M18</f>
        <v>1972.645</v>
      </c>
      <c r="O18" s="93" t="str">
        <f t="shared" si="0"/>
        <v>CUMPLE</v>
      </c>
      <c r="P18" s="4"/>
      <c r="Q18" s="4"/>
      <c r="R18" s="158">
        <f>+N18/A17</f>
        <v>0.84676631155970628</v>
      </c>
      <c r="S18" s="4"/>
      <c r="T18" s="72"/>
      <c r="V18" s="100"/>
      <c r="W18" s="101"/>
    </row>
    <row r="19" spans="1:23" ht="157.69999999999999" customHeight="1" thickBot="1">
      <c r="A19" s="325"/>
      <c r="B19" s="170" t="s">
        <v>65</v>
      </c>
      <c r="C19" s="64"/>
      <c r="D19" s="171"/>
      <c r="E19" s="171"/>
      <c r="F19" s="171"/>
      <c r="G19" s="64"/>
      <c r="H19" s="64"/>
      <c r="I19" s="171"/>
      <c r="J19" s="169"/>
      <c r="K19" s="168"/>
      <c r="L19" s="68"/>
      <c r="M19" s="66"/>
      <c r="N19" s="92">
        <f>L19*M19</f>
        <v>0</v>
      </c>
      <c r="O19" s="93" t="str">
        <f t="shared" si="0"/>
        <v>NO CUMPLE</v>
      </c>
      <c r="P19" s="4"/>
      <c r="Q19" s="4"/>
      <c r="R19" s="37"/>
      <c r="S19" s="4"/>
      <c r="T19" s="72"/>
      <c r="V19" s="38">
        <v>2020</v>
      </c>
      <c r="W19" s="41">
        <v>877803</v>
      </c>
    </row>
    <row r="20" spans="1:23" ht="42.95" customHeight="1" thickBot="1">
      <c r="A20" s="325"/>
      <c r="B20" s="170" t="s">
        <v>67</v>
      </c>
      <c r="C20" s="64"/>
      <c r="D20" s="171"/>
      <c r="E20" s="171"/>
      <c r="F20" s="64"/>
      <c r="G20" s="64"/>
      <c r="H20" s="64"/>
      <c r="I20" s="171"/>
      <c r="J20" s="169"/>
      <c r="K20" s="168"/>
      <c r="L20" s="64"/>
      <c r="M20" s="66"/>
      <c r="N20" s="92">
        <f>IF(AND(G20="SI",H20="SI"),(L20*M20),0)</f>
        <v>0</v>
      </c>
      <c r="O20" s="93" t="str">
        <f t="shared" si="0"/>
        <v>NO CUMPLE</v>
      </c>
      <c r="P20" s="4"/>
      <c r="Q20" s="4"/>
      <c r="R20" s="37"/>
      <c r="S20" s="69"/>
      <c r="T20" s="72"/>
      <c r="V20" s="38">
        <v>2019</v>
      </c>
      <c r="W20" s="41">
        <v>828116</v>
      </c>
    </row>
    <row r="21" spans="1:23" ht="42.95" customHeight="1" thickBot="1">
      <c r="A21" s="325"/>
      <c r="B21" s="170" t="s">
        <v>68</v>
      </c>
      <c r="C21" s="64"/>
      <c r="D21" s="64"/>
      <c r="E21" s="64"/>
      <c r="F21" s="64"/>
      <c r="G21" s="64"/>
      <c r="H21" s="64"/>
      <c r="I21" s="64"/>
      <c r="J21" s="169"/>
      <c r="K21" s="64"/>
      <c r="L21" s="64"/>
      <c r="M21" s="66"/>
      <c r="N21" s="92">
        <f>IF(AND(G21="SI",H21="SI"),(L21*M21),0)</f>
        <v>0</v>
      </c>
      <c r="O21" s="93" t="str">
        <f t="shared" si="0"/>
        <v>NO CUMPLE</v>
      </c>
      <c r="P21" s="4"/>
      <c r="Q21" s="4"/>
      <c r="R21" s="37"/>
      <c r="S21" s="69"/>
      <c r="T21" s="27"/>
      <c r="V21" s="38">
        <v>2018</v>
      </c>
      <c r="W21" s="41">
        <v>781242</v>
      </c>
    </row>
    <row r="22" spans="1:23" ht="42.95" customHeight="1" thickBot="1">
      <c r="A22" s="325"/>
      <c r="B22" s="170" t="s">
        <v>69</v>
      </c>
      <c r="C22" s="44"/>
      <c r="D22" s="45"/>
      <c r="E22" s="45"/>
      <c r="F22" s="64"/>
      <c r="G22" s="70"/>
      <c r="H22" s="70"/>
      <c r="I22" s="64"/>
      <c r="J22" s="169"/>
      <c r="K22" s="46"/>
      <c r="L22" s="47"/>
      <c r="M22" s="35"/>
      <c r="N22" s="92">
        <f>IF(AND(G22="SI",H22="SI"),(L22*M22),0)</f>
        <v>0</v>
      </c>
      <c r="O22" s="93" t="str">
        <f t="shared" si="0"/>
        <v>NO CUMPLE</v>
      </c>
      <c r="P22" s="4"/>
      <c r="Q22" s="4"/>
      <c r="R22" s="37"/>
      <c r="S22" s="4"/>
      <c r="T22" s="27"/>
      <c r="V22" s="38">
        <v>2017</v>
      </c>
      <c r="W22" s="41">
        <v>737717</v>
      </c>
    </row>
    <row r="23" spans="1:23" ht="27.95" customHeight="1" thickBot="1">
      <c r="A23" s="274"/>
      <c r="B23" s="274"/>
      <c r="C23" s="274"/>
      <c r="D23" s="274"/>
      <c r="E23" s="274"/>
      <c r="F23" s="274"/>
      <c r="G23" s="274"/>
      <c r="H23" s="274"/>
      <c r="I23" s="274"/>
      <c r="J23" s="274"/>
      <c r="K23" s="274"/>
      <c r="L23" s="274"/>
      <c r="M23" s="275"/>
      <c r="N23" s="34">
        <f>SUM(N17:N22)</f>
        <v>4784.6750000000002</v>
      </c>
      <c r="O23" s="54" t="str">
        <f>+IF(OR(O18="CUMPLE",O22="CUMPLE",O21="CUMPLE",O20="CUMPLE",O19="CUMPLE",O17="CUMPLE")*AND(N23&gt;=A17),"CUMPLE","NO CUMPLE")</f>
        <v>CUMPLE</v>
      </c>
      <c r="P23" s="4"/>
      <c r="Q23" s="4"/>
      <c r="R23" s="4"/>
      <c r="S23" s="4"/>
      <c r="T23" s="27"/>
      <c r="V23" s="38">
        <v>2015</v>
      </c>
      <c r="W23" s="41">
        <v>644350</v>
      </c>
    </row>
    <row r="24" spans="1:23" ht="36" customHeight="1">
      <c r="A24" s="249" t="s">
        <v>70</v>
      </c>
      <c r="B24" s="250"/>
      <c r="C24" s="250"/>
      <c r="D24" s="250"/>
      <c r="E24" s="250"/>
      <c r="F24" s="250"/>
      <c r="G24" s="250"/>
      <c r="H24" s="250"/>
      <c r="I24" s="250"/>
      <c r="J24" s="250"/>
      <c r="K24" s="250"/>
      <c r="L24" s="250"/>
      <c r="M24" s="276"/>
      <c r="P24" s="10"/>
      <c r="Q24" s="4"/>
      <c r="S24" s="4"/>
      <c r="T24" s="28"/>
      <c r="V24" s="38">
        <v>2014</v>
      </c>
      <c r="W24" s="41">
        <v>616000</v>
      </c>
    </row>
    <row r="25" spans="1:23" ht="29.45" customHeight="1">
      <c r="A25" s="277" t="s">
        <v>71</v>
      </c>
      <c r="B25" s="278"/>
      <c r="C25" s="278"/>
      <c r="D25" s="278"/>
      <c r="E25" s="278"/>
      <c r="F25" s="278"/>
      <c r="G25" s="278"/>
      <c r="H25" s="278"/>
      <c r="I25" s="278"/>
      <c r="J25" s="278"/>
      <c r="K25" s="278"/>
      <c r="L25" s="278"/>
      <c r="M25" s="278"/>
      <c r="N25" s="278"/>
      <c r="O25" s="279"/>
      <c r="V25" s="2">
        <v>2007</v>
      </c>
      <c r="W25" s="2">
        <v>433700</v>
      </c>
    </row>
    <row r="26" spans="1:23" ht="211.9" customHeight="1">
      <c r="A26" s="269" t="s">
        <v>114</v>
      </c>
      <c r="B26" s="270"/>
      <c r="C26" s="270"/>
      <c r="D26" s="270"/>
      <c r="E26" s="270"/>
      <c r="F26" s="270"/>
      <c r="G26" s="270"/>
      <c r="H26" s="270"/>
      <c r="I26" s="270"/>
      <c r="J26" s="270"/>
      <c r="K26" s="270"/>
      <c r="L26" s="270"/>
      <c r="M26" s="270"/>
      <c r="N26" s="270"/>
      <c r="O26" s="271"/>
      <c r="T26" s="26"/>
      <c r="V26" s="2">
        <v>2023</v>
      </c>
      <c r="W26" s="2">
        <v>1160000</v>
      </c>
    </row>
    <row r="27" spans="1:23" ht="166.5" customHeight="1">
      <c r="A27" s="87" t="s">
        <v>72</v>
      </c>
      <c r="B27" s="88" t="s">
        <v>47</v>
      </c>
      <c r="C27" s="75" t="s">
        <v>48</v>
      </c>
      <c r="D27" s="75" t="s">
        <v>49</v>
      </c>
      <c r="E27" s="74" t="s">
        <v>50</v>
      </c>
      <c r="F27" s="75" t="s">
        <v>51</v>
      </c>
      <c r="G27" s="89" t="s">
        <v>116</v>
      </c>
      <c r="H27" s="33" t="s">
        <v>52</v>
      </c>
      <c r="I27" s="33" t="s">
        <v>53</v>
      </c>
      <c r="J27" s="33" t="s">
        <v>54</v>
      </c>
      <c r="K27" s="63" t="s">
        <v>55</v>
      </c>
      <c r="L27" s="75" t="s">
        <v>56</v>
      </c>
      <c r="M27" s="75" t="s">
        <v>57</v>
      </c>
      <c r="N27" s="75" t="s">
        <v>58</v>
      </c>
      <c r="O27" s="94" t="s">
        <v>59</v>
      </c>
      <c r="P27" s="4"/>
      <c r="Q27" s="4"/>
      <c r="R27" s="36"/>
      <c r="S27" s="36"/>
      <c r="T27" s="27"/>
      <c r="V27" s="2">
        <v>2022</v>
      </c>
      <c r="W27" s="2">
        <v>1000000</v>
      </c>
    </row>
    <row r="28" spans="1:23" ht="145.5" customHeight="1" thickBot="1">
      <c r="A28" s="280">
        <f>M11*50%</f>
        <v>1553.0809961538462</v>
      </c>
      <c r="B28" s="91" t="s">
        <v>61</v>
      </c>
      <c r="C28" s="64">
        <v>2</v>
      </c>
      <c r="D28" s="171" t="s">
        <v>0</v>
      </c>
      <c r="E28" s="171" t="s">
        <v>143</v>
      </c>
      <c r="F28" s="171" t="s">
        <v>137</v>
      </c>
      <c r="G28" s="64" t="s">
        <v>137</v>
      </c>
      <c r="H28" s="64" t="s">
        <v>137</v>
      </c>
      <c r="I28" s="171" t="s">
        <v>145</v>
      </c>
      <c r="J28" s="169">
        <v>41638</v>
      </c>
      <c r="K28" s="168">
        <v>3315387414</v>
      </c>
      <c r="L28" s="68">
        <v>5624.06</v>
      </c>
      <c r="M28" s="66">
        <v>0.5</v>
      </c>
      <c r="N28" s="92">
        <f>L28*M28</f>
        <v>2812.03</v>
      </c>
      <c r="O28" s="93" t="str">
        <f>+IF(AND(H28="SI",G28="SI"),"CUMPLE","NO CUMPLE")</f>
        <v>CUMPLE</v>
      </c>
      <c r="P28" s="4"/>
      <c r="Q28" s="4"/>
      <c r="R28" s="36"/>
      <c r="S28" s="36"/>
      <c r="T28" s="27"/>
    </row>
    <row r="29" spans="1:23" ht="143.44999999999999" customHeight="1" thickTop="1" thickBot="1">
      <c r="A29" s="281"/>
      <c r="B29" s="91" t="s">
        <v>62</v>
      </c>
      <c r="C29" s="64"/>
      <c r="D29" s="65"/>
      <c r="E29" s="65"/>
      <c r="F29" s="65"/>
      <c r="G29" s="64"/>
      <c r="H29" s="64"/>
      <c r="I29" s="65"/>
      <c r="J29" s="67"/>
      <c r="K29" s="71"/>
      <c r="L29" s="68"/>
      <c r="M29" s="66"/>
      <c r="N29" s="92">
        <f>L29*M29</f>
        <v>0</v>
      </c>
      <c r="O29" s="93" t="str">
        <f>+IF(AND(H29="SI",G29="SI"),"CUMPLE","NO CUMPLE")</f>
        <v>NO CUMPLE</v>
      </c>
      <c r="P29" s="4"/>
      <c r="Q29" s="4"/>
      <c r="R29" s="37" t="str">
        <f>+IF(OR(O29="CUMPLE")*AND(N29&gt;=$R$16),"CUMPLE","NO CUMPLE")</f>
        <v>NO CUMPLE</v>
      </c>
      <c r="S29" s="4"/>
      <c r="T29" s="27"/>
      <c r="V29" s="39">
        <v>2021</v>
      </c>
      <c r="W29" s="40">
        <v>908526</v>
      </c>
    </row>
    <row r="30" spans="1:23" ht="27.95" customHeight="1" thickBot="1">
      <c r="A30" s="274"/>
      <c r="B30" s="274"/>
      <c r="C30" s="274"/>
      <c r="D30" s="274"/>
      <c r="E30" s="274"/>
      <c r="F30" s="274"/>
      <c r="G30" s="274"/>
      <c r="H30" s="274"/>
      <c r="I30" s="274"/>
      <c r="J30" s="274"/>
      <c r="K30" s="274"/>
      <c r="L30" s="274"/>
      <c r="M30" s="275"/>
      <c r="N30" s="282"/>
      <c r="O30" s="283"/>
      <c r="P30" s="4"/>
      <c r="Q30" s="4"/>
      <c r="R30" s="4"/>
      <c r="S30" s="4"/>
      <c r="T30" s="27"/>
      <c r="V30" s="38">
        <v>2015</v>
      </c>
      <c r="W30" s="41">
        <v>644350</v>
      </c>
    </row>
    <row r="31" spans="1:23" ht="36" customHeight="1" thickBot="1">
      <c r="A31" s="249" t="s">
        <v>73</v>
      </c>
      <c r="B31" s="250"/>
      <c r="C31" s="250"/>
      <c r="D31" s="250"/>
      <c r="E31" s="250"/>
      <c r="F31" s="250"/>
      <c r="G31" s="250"/>
      <c r="H31" s="250"/>
      <c r="I31" s="250"/>
      <c r="J31" s="250"/>
      <c r="K31" s="250"/>
      <c r="L31" s="250"/>
      <c r="M31" s="276"/>
      <c r="N31" s="34">
        <f>SUM(N28:N29)</f>
        <v>2812.03</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49"/>
      <c r="B33" s="250"/>
      <c r="C33" s="250"/>
      <c r="D33" s="250"/>
      <c r="E33" s="250"/>
      <c r="F33" s="250"/>
      <c r="G33" s="250"/>
      <c r="H33" s="250"/>
      <c r="I33" s="250"/>
      <c r="J33" s="250"/>
      <c r="K33" s="250"/>
      <c r="L33" s="268" t="s">
        <v>74</v>
      </c>
      <c r="M33" s="268"/>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49"/>
      <c r="B35" s="250"/>
      <c r="C35" s="250"/>
      <c r="D35" s="250"/>
      <c r="E35" s="250"/>
      <c r="F35" s="250"/>
      <c r="G35" s="250"/>
      <c r="H35" s="250"/>
      <c r="I35" s="250"/>
      <c r="J35" s="250"/>
      <c r="K35" s="250"/>
      <c r="L35" s="250"/>
      <c r="M35" s="250"/>
      <c r="N35" s="250"/>
      <c r="O35" s="251"/>
      <c r="P35" s="4"/>
      <c r="Q35" s="4"/>
      <c r="R35" s="4"/>
      <c r="S35" s="4"/>
      <c r="T35" s="4"/>
      <c r="V35" s="38">
        <v>2011</v>
      </c>
      <c r="W35" s="41">
        <v>535600</v>
      </c>
    </row>
    <row r="36" spans="1:23" ht="195" customHeight="1" thickBot="1">
      <c r="A36" s="252"/>
      <c r="B36" s="253"/>
      <c r="C36" s="253"/>
      <c r="D36" s="253"/>
      <c r="E36" s="253"/>
      <c r="F36" s="253"/>
      <c r="G36" s="253"/>
      <c r="H36" s="253"/>
      <c r="I36" s="253"/>
      <c r="J36" s="253"/>
      <c r="K36" s="253"/>
      <c r="L36" s="253"/>
      <c r="M36" s="253"/>
      <c r="N36" s="254"/>
      <c r="O36" s="95"/>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55" t="s">
        <v>75</v>
      </c>
      <c r="B38" s="256"/>
      <c r="C38" s="256"/>
      <c r="D38" s="256"/>
      <c r="E38" s="256"/>
      <c r="F38" s="256"/>
      <c r="G38" s="256"/>
      <c r="H38" s="256"/>
      <c r="I38" s="256"/>
      <c r="J38" s="256"/>
      <c r="K38" s="256"/>
      <c r="L38" s="256"/>
      <c r="M38" s="256"/>
      <c r="N38" s="256"/>
      <c r="O38" s="257"/>
      <c r="P38" s="7"/>
      <c r="Q38" s="8"/>
      <c r="V38" s="38">
        <v>2001</v>
      </c>
      <c r="W38" s="41">
        <v>286000</v>
      </c>
    </row>
    <row r="39" spans="1:23" ht="33.950000000000003" customHeight="1" thickBot="1">
      <c r="A39" s="258" t="s">
        <v>76</v>
      </c>
      <c r="B39" s="259"/>
      <c r="C39" s="260" t="s">
        <v>77</v>
      </c>
      <c r="D39" s="233"/>
      <c r="E39" s="233"/>
      <c r="F39" s="233"/>
      <c r="G39" s="233"/>
      <c r="H39" s="233"/>
      <c r="I39" s="233"/>
      <c r="J39" s="233"/>
      <c r="K39" s="233"/>
      <c r="L39" s="261"/>
      <c r="M39" s="246" t="s">
        <v>74</v>
      </c>
      <c r="N39" s="247"/>
      <c r="O39" s="248"/>
      <c r="P39" s="9"/>
      <c r="Q39" s="8"/>
      <c r="V39" s="38">
        <v>2000</v>
      </c>
      <c r="W39" s="41">
        <v>260100</v>
      </c>
    </row>
    <row r="40" spans="1:23" ht="33.950000000000003" customHeight="1" thickBot="1">
      <c r="A40" s="258"/>
      <c r="B40" s="259"/>
      <c r="C40" s="262"/>
      <c r="D40" s="263"/>
      <c r="E40" s="263"/>
      <c r="F40" s="263"/>
      <c r="G40" s="263"/>
      <c r="H40" s="263"/>
      <c r="I40" s="263"/>
      <c r="J40" s="263"/>
      <c r="K40" s="263"/>
      <c r="L40" s="263"/>
      <c r="M40" s="110" t="s">
        <v>32</v>
      </c>
      <c r="N40" s="111"/>
      <c r="O40" s="112"/>
      <c r="P40" s="9"/>
      <c r="Q40" s="8"/>
      <c r="V40" s="38">
        <v>1999</v>
      </c>
      <c r="W40" s="41">
        <v>236438</v>
      </c>
    </row>
    <row r="41" spans="1:23" ht="31.7" customHeight="1" thickBot="1">
      <c r="A41" s="258"/>
      <c r="B41" s="259"/>
      <c r="C41" s="262"/>
      <c r="D41" s="263"/>
      <c r="E41" s="263"/>
      <c r="F41" s="263"/>
      <c r="G41" s="263"/>
      <c r="H41" s="263"/>
      <c r="I41" s="263"/>
      <c r="J41" s="263"/>
      <c r="K41" s="263"/>
      <c r="L41" s="263"/>
      <c r="M41" s="146"/>
      <c r="N41" s="143"/>
      <c r="O41" s="147"/>
      <c r="P41" s="9"/>
      <c r="Q41" s="8"/>
      <c r="V41" s="38">
        <v>1998</v>
      </c>
      <c r="W41" s="41">
        <v>203825</v>
      </c>
    </row>
    <row r="42" spans="1:23" ht="80.45" customHeight="1" thickBot="1">
      <c r="A42" s="258"/>
      <c r="B42" s="259"/>
      <c r="C42" s="264"/>
      <c r="D42" s="265"/>
      <c r="E42" s="265"/>
      <c r="F42" s="265"/>
      <c r="G42" s="265"/>
      <c r="H42" s="265"/>
      <c r="I42" s="265"/>
      <c r="J42" s="265"/>
      <c r="K42" s="265"/>
      <c r="L42" s="265"/>
      <c r="M42" s="148"/>
      <c r="N42" s="144"/>
      <c r="O42" s="149"/>
      <c r="P42" s="9"/>
      <c r="Q42" s="8"/>
      <c r="V42" s="38">
        <v>1997</v>
      </c>
      <c r="W42" s="41">
        <v>172005</v>
      </c>
    </row>
    <row r="43" spans="1:23" ht="98.45" customHeight="1" thickBot="1">
      <c r="A43" s="232" t="s">
        <v>78</v>
      </c>
      <c r="B43" s="261"/>
      <c r="C43" s="260" t="s">
        <v>79</v>
      </c>
      <c r="D43" s="233"/>
      <c r="E43" s="233"/>
      <c r="F43" s="233"/>
      <c r="G43" s="233"/>
      <c r="H43" s="233"/>
      <c r="I43" s="233"/>
      <c r="J43" s="233"/>
      <c r="K43" s="233"/>
      <c r="L43" s="233"/>
      <c r="M43" s="148"/>
      <c r="N43" s="144"/>
      <c r="O43" s="149"/>
      <c r="P43" s="9"/>
      <c r="Q43" s="8"/>
      <c r="V43" s="38">
        <v>1996</v>
      </c>
      <c r="W43" s="41">
        <v>142125</v>
      </c>
    </row>
    <row r="44" spans="1:23" ht="108.75" customHeight="1" thickBot="1">
      <c r="A44" s="266"/>
      <c r="B44" s="267"/>
      <c r="C44" s="264"/>
      <c r="D44" s="265"/>
      <c r="E44" s="265"/>
      <c r="F44" s="265"/>
      <c r="G44" s="265"/>
      <c r="H44" s="265"/>
      <c r="I44" s="265"/>
      <c r="J44" s="265"/>
      <c r="K44" s="265"/>
      <c r="L44" s="265"/>
      <c r="M44" s="150">
        <v>20</v>
      </c>
      <c r="N44" s="145"/>
      <c r="O44" s="151"/>
      <c r="P44" s="9"/>
      <c r="Q44" s="8"/>
      <c r="V44" s="38">
        <v>1996</v>
      </c>
      <c r="W44" s="41">
        <v>142125</v>
      </c>
    </row>
    <row r="45" spans="1:23" ht="193.35" customHeight="1" thickBot="1">
      <c r="A45" s="245"/>
      <c r="B45" s="244"/>
      <c r="C45" s="245" t="s">
        <v>80</v>
      </c>
      <c r="D45" s="240"/>
      <c r="E45" s="240"/>
      <c r="F45" s="240"/>
      <c r="G45" s="240"/>
      <c r="H45" s="240"/>
      <c r="I45" s="240"/>
      <c r="J45" s="240"/>
      <c r="K45" s="240"/>
      <c r="L45" s="240"/>
      <c r="M45" s="152"/>
      <c r="N45" s="153"/>
      <c r="O45" s="154"/>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15" t="s">
        <v>81</v>
      </c>
      <c r="B47" s="116"/>
      <c r="C47" s="116"/>
      <c r="D47" s="116"/>
      <c r="E47" s="116"/>
      <c r="F47" s="116"/>
      <c r="G47" s="116"/>
      <c r="H47" s="116"/>
      <c r="I47" s="116"/>
      <c r="J47" s="116"/>
      <c r="K47" s="116"/>
      <c r="L47" s="116"/>
      <c r="M47" s="116"/>
      <c r="N47" s="116"/>
      <c r="O47" s="117"/>
      <c r="V47" s="38">
        <v>2005</v>
      </c>
      <c r="W47" s="41">
        <v>381500</v>
      </c>
    </row>
    <row r="48" spans="1:23" ht="90" customHeight="1" thickBot="1">
      <c r="A48" s="239" t="s">
        <v>82</v>
      </c>
      <c r="B48" s="240"/>
      <c r="C48" s="240"/>
      <c r="D48" s="240"/>
      <c r="E48" s="240"/>
      <c r="F48" s="240"/>
      <c r="G48" s="240"/>
      <c r="H48" s="240"/>
      <c r="I48" s="240"/>
      <c r="J48" s="240"/>
      <c r="K48" s="240"/>
      <c r="L48" s="240"/>
      <c r="M48" s="246" t="s">
        <v>74</v>
      </c>
      <c r="N48" s="247"/>
      <c r="O48" s="248"/>
      <c r="P48" s="7"/>
      <c r="Q48" s="8"/>
      <c r="V48" s="38">
        <v>2004</v>
      </c>
      <c r="W48" s="41">
        <v>358000</v>
      </c>
    </row>
    <row r="49" spans="1:23" ht="99.75" customHeight="1" thickBot="1">
      <c r="A49" s="239" t="s">
        <v>83</v>
      </c>
      <c r="B49" s="240"/>
      <c r="C49" s="240"/>
      <c r="D49" s="240"/>
      <c r="E49" s="240"/>
      <c r="F49" s="240"/>
      <c r="G49" s="240"/>
      <c r="H49" s="240"/>
      <c r="I49" s="240"/>
      <c r="J49" s="240"/>
      <c r="K49" s="240"/>
      <c r="L49" s="240"/>
      <c r="M49" s="110" t="s">
        <v>32</v>
      </c>
      <c r="N49" s="111"/>
      <c r="O49" s="112"/>
      <c r="P49" s="7"/>
      <c r="Q49" s="8"/>
      <c r="V49" s="38">
        <v>2003</v>
      </c>
      <c r="W49" s="41">
        <v>332000</v>
      </c>
    </row>
    <row r="50" spans="1:23" ht="99.75" customHeight="1" thickBot="1">
      <c r="A50" s="239" t="s">
        <v>84</v>
      </c>
      <c r="B50" s="240"/>
      <c r="C50" s="240"/>
      <c r="D50" s="240"/>
      <c r="E50" s="240"/>
      <c r="F50" s="240"/>
      <c r="G50" s="240"/>
      <c r="H50" s="240"/>
      <c r="I50" s="240"/>
      <c r="J50" s="240"/>
      <c r="K50" s="240"/>
      <c r="L50" s="244"/>
      <c r="M50" s="127">
        <v>1</v>
      </c>
      <c r="N50" s="125"/>
      <c r="O50" s="126"/>
      <c r="P50" s="7"/>
      <c r="Q50" s="8"/>
      <c r="V50" s="38">
        <v>2003</v>
      </c>
      <c r="W50" s="41">
        <v>332000</v>
      </c>
    </row>
    <row r="51" spans="1:23" ht="31.35" customHeight="1" thickBot="1">
      <c r="A51" s="118" t="s">
        <v>85</v>
      </c>
      <c r="B51" s="119"/>
      <c r="C51" s="119"/>
      <c r="D51" s="119"/>
      <c r="E51" s="119"/>
      <c r="F51" s="119"/>
      <c r="G51" s="119"/>
      <c r="H51" s="119"/>
      <c r="I51" s="119"/>
      <c r="J51" s="119"/>
      <c r="K51" s="119"/>
      <c r="L51" s="119"/>
      <c r="M51" s="119"/>
      <c r="N51" s="119"/>
      <c r="O51" s="120"/>
      <c r="P51" s="7"/>
      <c r="Q51" s="8"/>
      <c r="V51" s="38"/>
      <c r="W51" s="41"/>
    </row>
    <row r="52" spans="1:23" ht="99.75" customHeight="1" thickBot="1">
      <c r="A52" s="241" t="s">
        <v>86</v>
      </c>
      <c r="B52" s="242"/>
      <c r="C52" s="242"/>
      <c r="D52" s="242"/>
      <c r="E52" s="242"/>
      <c r="F52" s="242"/>
      <c r="G52" s="242"/>
      <c r="H52" s="242"/>
      <c r="I52" s="242"/>
      <c r="J52" s="242"/>
      <c r="K52" s="242"/>
      <c r="L52" s="243"/>
      <c r="M52" s="113" t="s">
        <v>32</v>
      </c>
      <c r="N52" s="114"/>
      <c r="O52" s="73">
        <v>19</v>
      </c>
      <c r="P52" s="7"/>
      <c r="Q52" s="8"/>
      <c r="V52" s="38"/>
      <c r="W52" s="41"/>
    </row>
    <row r="53" spans="1:23" ht="31.35" customHeight="1" thickBot="1">
      <c r="A53" s="121" t="s">
        <v>87</v>
      </c>
      <c r="B53" s="122"/>
      <c r="C53" s="122"/>
      <c r="D53" s="122"/>
      <c r="E53" s="122"/>
      <c r="F53" s="122"/>
      <c r="G53" s="122"/>
      <c r="H53" s="122"/>
      <c r="I53" s="122"/>
      <c r="J53" s="122"/>
      <c r="K53" s="122"/>
      <c r="L53" s="122"/>
      <c r="M53" s="123"/>
      <c r="N53" s="123"/>
      <c r="O53" s="124"/>
      <c r="P53" s="7"/>
      <c r="Q53" s="8"/>
      <c r="V53" s="38"/>
      <c r="W53" s="41"/>
    </row>
    <row r="54" spans="1:23" ht="162.19999999999999" customHeight="1" thickBot="1">
      <c r="A54" s="239" t="s">
        <v>88</v>
      </c>
      <c r="B54" s="240"/>
      <c r="C54" s="240"/>
      <c r="D54" s="240"/>
      <c r="E54" s="240"/>
      <c r="F54" s="240"/>
      <c r="G54" s="240"/>
      <c r="H54" s="240"/>
      <c r="I54" s="240"/>
      <c r="J54" s="240"/>
      <c r="K54" s="240"/>
      <c r="L54" s="240"/>
      <c r="M54" s="113" t="s">
        <v>32</v>
      </c>
      <c r="N54" s="114"/>
      <c r="O54" s="73">
        <v>0.25</v>
      </c>
      <c r="P54" s="7"/>
      <c r="Q54" s="8"/>
      <c r="S54" s="340">
        <v>1</v>
      </c>
      <c r="T54" s="341"/>
      <c r="U54" s="342"/>
      <c r="V54" s="38"/>
      <c r="W54" s="41"/>
    </row>
    <row r="55" spans="1:23" ht="29.25" customHeight="1" thickBot="1">
      <c r="A55" s="118" t="s">
        <v>89</v>
      </c>
      <c r="B55" s="119"/>
      <c r="C55" s="119"/>
      <c r="D55" s="119"/>
      <c r="E55" s="119"/>
      <c r="F55" s="119"/>
      <c r="G55" s="119"/>
      <c r="H55" s="119"/>
      <c r="I55" s="119"/>
      <c r="J55" s="119"/>
      <c r="K55" s="119"/>
      <c r="L55" s="119"/>
      <c r="M55" s="123"/>
      <c r="N55" s="123"/>
      <c r="O55" s="124"/>
      <c r="P55" s="7"/>
      <c r="Q55" s="8"/>
      <c r="V55" s="38"/>
      <c r="W55" s="41"/>
    </row>
    <row r="56" spans="1:23" ht="131.85" customHeight="1" thickBot="1">
      <c r="A56" s="241" t="s">
        <v>90</v>
      </c>
      <c r="B56" s="242"/>
      <c r="C56" s="242"/>
      <c r="D56" s="242"/>
      <c r="E56" s="242"/>
      <c r="F56" s="242"/>
      <c r="G56" s="242"/>
      <c r="H56" s="242"/>
      <c r="I56" s="242"/>
      <c r="J56" s="242"/>
      <c r="K56" s="242"/>
      <c r="L56" s="243"/>
      <c r="M56" s="113" t="s">
        <v>32</v>
      </c>
      <c r="N56" s="114"/>
      <c r="O56" s="73">
        <v>0.25</v>
      </c>
      <c r="P56" s="7"/>
      <c r="Q56" s="8"/>
      <c r="V56" s="38"/>
      <c r="W56" s="41"/>
    </row>
    <row r="57" spans="1:23" ht="29.25" customHeight="1" thickBot="1">
      <c r="A57" s="121" t="s">
        <v>91</v>
      </c>
      <c r="B57" s="122"/>
      <c r="C57" s="122"/>
      <c r="D57" s="122"/>
      <c r="E57" s="122"/>
      <c r="F57" s="122"/>
      <c r="G57" s="122"/>
      <c r="H57" s="122"/>
      <c r="I57" s="122"/>
      <c r="J57" s="122"/>
      <c r="K57" s="122"/>
      <c r="L57" s="122"/>
      <c r="M57" s="122"/>
      <c r="N57" s="122"/>
      <c r="O57" s="124"/>
      <c r="P57" s="7"/>
      <c r="Q57" s="8"/>
      <c r="V57" s="38"/>
      <c r="W57" s="41"/>
    </row>
    <row r="58" spans="1:23" ht="162.4" customHeight="1" thickBot="1">
      <c r="A58" s="232" t="s">
        <v>92</v>
      </c>
      <c r="B58" s="233"/>
      <c r="C58" s="233"/>
      <c r="D58" s="233"/>
      <c r="E58" s="233"/>
      <c r="F58" s="233"/>
      <c r="G58" s="233"/>
      <c r="H58" s="233"/>
      <c r="I58" s="233"/>
      <c r="J58" s="233"/>
      <c r="K58" s="233"/>
      <c r="L58" s="233"/>
      <c r="M58" s="233"/>
      <c r="N58" s="233"/>
      <c r="O58" s="109">
        <v>0</v>
      </c>
      <c r="P58" s="7"/>
      <c r="Q58" s="8"/>
      <c r="V58" s="38"/>
      <c r="W58" s="41"/>
    </row>
    <row r="59" spans="1:23" ht="30.2" customHeight="1" thickBot="1">
      <c r="A59" s="234" t="s">
        <v>59</v>
      </c>
      <c r="B59" s="235"/>
      <c r="C59" s="235"/>
      <c r="D59" s="235"/>
      <c r="E59" s="235"/>
      <c r="F59" s="235"/>
      <c r="G59" s="235"/>
      <c r="H59" s="235"/>
      <c r="I59" s="236" t="s">
        <v>32</v>
      </c>
      <c r="J59" s="237"/>
      <c r="K59" s="237"/>
      <c r="L59" s="237"/>
      <c r="M59" s="237"/>
      <c r="N59" s="237"/>
      <c r="O59" s="238"/>
      <c r="P59" s="9"/>
      <c r="Q59" s="8"/>
      <c r="V59" s="38">
        <v>1995</v>
      </c>
      <c r="W59" s="41">
        <v>118934</v>
      </c>
    </row>
    <row r="60" spans="1:23" ht="34.5" thickBot="1">
      <c r="A60" s="236" t="s">
        <v>93</v>
      </c>
      <c r="B60" s="237"/>
      <c r="C60" s="237"/>
      <c r="D60" s="237"/>
      <c r="E60" s="237"/>
      <c r="F60" s="237"/>
      <c r="G60" s="237"/>
      <c r="H60" s="238"/>
      <c r="I60" s="236" t="s">
        <v>32</v>
      </c>
      <c r="J60" s="237"/>
      <c r="K60" s="237"/>
      <c r="L60" s="238"/>
      <c r="M60" s="220">
        <f>+O56+O54+O52+M50+M44+O58</f>
        <v>40.5</v>
      </c>
      <c r="N60" s="221"/>
      <c r="O60" s="222"/>
      <c r="P60" s="9"/>
      <c r="Q60" s="8"/>
      <c r="R60" s="220"/>
      <c r="S60" s="221"/>
      <c r="T60" s="222"/>
      <c r="V60" s="38">
        <v>1994</v>
      </c>
      <c r="W60" s="41">
        <v>98700</v>
      </c>
    </row>
    <row r="61" spans="1:23" ht="15" customHeight="1" thickBot="1">
      <c r="A61" s="223" t="s">
        <v>157</v>
      </c>
      <c r="B61" s="224"/>
      <c r="C61" s="224"/>
      <c r="D61" s="224"/>
      <c r="E61" s="224"/>
      <c r="F61" s="224"/>
      <c r="G61" s="224"/>
      <c r="H61" s="224"/>
      <c r="I61" s="224"/>
      <c r="J61" s="224"/>
      <c r="K61" s="224"/>
      <c r="L61" s="224"/>
      <c r="M61" s="224"/>
      <c r="N61" s="224"/>
      <c r="O61" s="225"/>
      <c r="P61" s="9"/>
      <c r="Q61" s="8"/>
      <c r="V61" s="38">
        <v>1993</v>
      </c>
      <c r="W61" s="41">
        <v>81510</v>
      </c>
    </row>
    <row r="62" spans="1:23" ht="30.95" customHeight="1" thickBot="1">
      <c r="A62" s="226"/>
      <c r="B62" s="227"/>
      <c r="C62" s="227"/>
      <c r="D62" s="227"/>
      <c r="E62" s="227"/>
      <c r="F62" s="227"/>
      <c r="G62" s="227"/>
      <c r="H62" s="227"/>
      <c r="I62" s="227"/>
      <c r="J62" s="227"/>
      <c r="K62" s="227"/>
      <c r="L62" s="227"/>
      <c r="M62" s="227"/>
      <c r="N62" s="227"/>
      <c r="O62" s="228"/>
      <c r="P62" s="9"/>
      <c r="Q62" s="8"/>
      <c r="V62" s="38">
        <v>1992</v>
      </c>
      <c r="W62" s="41">
        <v>65190</v>
      </c>
    </row>
    <row r="63" spans="1:23" ht="62.45" customHeight="1" thickBot="1">
      <c r="A63" s="229"/>
      <c r="B63" s="230"/>
      <c r="C63" s="230"/>
      <c r="D63" s="230"/>
      <c r="E63" s="230"/>
      <c r="F63" s="230"/>
      <c r="G63" s="230"/>
      <c r="H63" s="230"/>
      <c r="I63" s="230"/>
      <c r="J63" s="230"/>
      <c r="K63" s="230"/>
      <c r="L63" s="230"/>
      <c r="M63" s="230"/>
      <c r="N63" s="230"/>
      <c r="O63" s="231"/>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42.5">
      <c r="A75" s="30">
        <v>4038010590</v>
      </c>
      <c r="B75" s="31"/>
      <c r="C75" s="51" t="s">
        <v>117</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1">
    <mergeCell ref="A48:L48"/>
    <mergeCell ref="M48:O48"/>
    <mergeCell ref="A1:O1"/>
    <mergeCell ref="A2:O2"/>
    <mergeCell ref="A3:O3"/>
    <mergeCell ref="A4:A10"/>
    <mergeCell ref="I4:N4"/>
    <mergeCell ref="I5:N5"/>
    <mergeCell ref="I6:N6"/>
    <mergeCell ref="I7:N7"/>
    <mergeCell ref="I8:N8"/>
    <mergeCell ref="I9:N9"/>
    <mergeCell ref="I10:N10"/>
    <mergeCell ref="A30:M30"/>
    <mergeCell ref="N30:O30"/>
    <mergeCell ref="A28:A29"/>
    <mergeCell ref="P10:U10"/>
    <mergeCell ref="C11:H11"/>
    <mergeCell ref="J11:L11"/>
    <mergeCell ref="M11:O11"/>
    <mergeCell ref="B4:E10"/>
    <mergeCell ref="F4:H7"/>
    <mergeCell ref="C45:L45"/>
    <mergeCell ref="A33:K33"/>
    <mergeCell ref="L33:M33"/>
    <mergeCell ref="A35:O35"/>
    <mergeCell ref="A36:N36"/>
    <mergeCell ref="A38:O38"/>
    <mergeCell ref="A39:B42"/>
    <mergeCell ref="C39:L42"/>
    <mergeCell ref="M39:O39"/>
    <mergeCell ref="A43:B44"/>
    <mergeCell ref="C43:L44"/>
    <mergeCell ref="A61:O63"/>
    <mergeCell ref="A49:L49"/>
    <mergeCell ref="A50:L50"/>
    <mergeCell ref="A59:H59"/>
    <mergeCell ref="I59:O59"/>
    <mergeCell ref="A60:H60"/>
    <mergeCell ref="I60:L60"/>
    <mergeCell ref="M60:O60"/>
    <mergeCell ref="A58:N58"/>
    <mergeCell ref="A52:L52"/>
    <mergeCell ref="A54:L54"/>
    <mergeCell ref="A56:L56"/>
    <mergeCell ref="S54:U54"/>
    <mergeCell ref="R60:T60"/>
    <mergeCell ref="F8:G8"/>
    <mergeCell ref="F9:G9"/>
    <mergeCell ref="F10:G10"/>
    <mergeCell ref="A31:M31"/>
    <mergeCell ref="A13:O13"/>
    <mergeCell ref="A14:O14"/>
    <mergeCell ref="A15:O15"/>
    <mergeCell ref="U15:U16"/>
    <mergeCell ref="A17:A22"/>
    <mergeCell ref="A23:M23"/>
    <mergeCell ref="A24:M24"/>
    <mergeCell ref="A25:O25"/>
    <mergeCell ref="A26:O26"/>
    <mergeCell ref="A45:B45"/>
  </mergeCells>
  <conditionalFormatting sqref="I60:L60 P34">
    <cfRule type="cellIs" dxfId="43" priority="45" operator="equal">
      <formula>100</formula>
    </cfRule>
  </conditionalFormatting>
  <conditionalFormatting sqref="I60:L60 P34">
    <cfRule type="cellIs" dxfId="42" priority="42" operator="equal">
      <formula>"NO CUMPLE"</formula>
    </cfRule>
    <cfRule type="cellIs" dxfId="41" priority="44" operator="equal">
      <formula>"CUMPLE"</formula>
    </cfRule>
  </conditionalFormatting>
  <conditionalFormatting sqref="O23 O34">
    <cfRule type="cellIs" dxfId="40" priority="41" operator="equal">
      <formula>100</formula>
    </cfRule>
  </conditionalFormatting>
  <conditionalFormatting sqref="O23 O34">
    <cfRule type="cellIs" dxfId="39" priority="39" operator="equal">
      <formula>"NO CUMPLE"</formula>
    </cfRule>
    <cfRule type="cellIs" dxfId="38" priority="40" operator="equal">
      <formula>"CUMPLE"</formula>
    </cfRule>
  </conditionalFormatting>
  <conditionalFormatting sqref="O36:O38">
    <cfRule type="cellIs" dxfId="37" priority="38" operator="equal">
      <formula>100</formula>
    </cfRule>
  </conditionalFormatting>
  <conditionalFormatting sqref="O36:O38">
    <cfRule type="cellIs" dxfId="36" priority="36" operator="equal">
      <formula>"NO CUMPLE"</formula>
    </cfRule>
    <cfRule type="cellIs" dxfId="35" priority="37" operator="equal">
      <formula>"CUMPLE"</formula>
    </cfRule>
  </conditionalFormatting>
  <conditionalFormatting sqref="P24">
    <cfRule type="cellIs" dxfId="34" priority="35" operator="equal">
      <formula>100</formula>
    </cfRule>
  </conditionalFormatting>
  <conditionalFormatting sqref="P24">
    <cfRule type="cellIs" dxfId="33" priority="33" operator="equal">
      <formula>"NO CUMPLE"</formula>
    </cfRule>
    <cfRule type="cellIs" dxfId="32" priority="34" operator="equal">
      <formula>"CUMPLE"</formula>
    </cfRule>
  </conditionalFormatting>
  <conditionalFormatting sqref="P36:P42 P44 P46">
    <cfRule type="cellIs" dxfId="31" priority="32" operator="equal">
      <formula>100</formula>
    </cfRule>
  </conditionalFormatting>
  <conditionalFormatting sqref="P36:P42 P44 P46">
    <cfRule type="cellIs" dxfId="30" priority="30" operator="equal">
      <formula>"NO CUMPLE"</formula>
    </cfRule>
    <cfRule type="cellIs" dxfId="29" priority="31" operator="equal">
      <formula>"CUMPLE"</formula>
    </cfRule>
  </conditionalFormatting>
  <conditionalFormatting sqref="I59">
    <cfRule type="cellIs" dxfId="28" priority="29" operator="equal">
      <formula>100</formula>
    </cfRule>
  </conditionalFormatting>
  <conditionalFormatting sqref="I59">
    <cfRule type="cellIs" dxfId="27" priority="27" operator="equal">
      <formula>"NO CUMPLE"</formula>
    </cfRule>
    <cfRule type="cellIs" dxfId="26" priority="28" operator="equal">
      <formula>"CUMPLE"</formula>
    </cfRule>
  </conditionalFormatting>
  <conditionalFormatting sqref="O31:O32">
    <cfRule type="cellIs" dxfId="25" priority="26" operator="equal">
      <formula>100</formula>
    </cfRule>
  </conditionalFormatting>
  <conditionalFormatting sqref="O31:O32">
    <cfRule type="cellIs" dxfId="24" priority="24" operator="equal">
      <formula>"NO CUMPLE"</formula>
    </cfRule>
    <cfRule type="cellIs" dxfId="23" priority="25" operator="equal">
      <formula>"CUMPLE"</formula>
    </cfRule>
  </conditionalFormatting>
  <conditionalFormatting sqref="P31:P32">
    <cfRule type="cellIs" dxfId="22" priority="23" operator="equal">
      <formula>100</formula>
    </cfRule>
  </conditionalFormatting>
  <conditionalFormatting sqref="P31:P32">
    <cfRule type="cellIs" dxfId="21" priority="21" operator="equal">
      <formula>"NO CUMPLE"</formula>
    </cfRule>
    <cfRule type="cellIs" dxfId="20" priority="22" operator="equal">
      <formula>"CUMPLE"</formula>
    </cfRule>
  </conditionalFormatting>
  <conditionalFormatting sqref="O33">
    <cfRule type="cellIs" dxfId="19" priority="20" operator="equal">
      <formula>100</formula>
    </cfRule>
  </conditionalFormatting>
  <conditionalFormatting sqref="O33">
    <cfRule type="cellIs" dxfId="18" priority="18" operator="equal">
      <formula>"NO CUMPLE"</formula>
    </cfRule>
    <cfRule type="cellIs" dxfId="17" priority="19" operator="equal">
      <formula>"CUMPLE"</formula>
    </cfRule>
  </conditionalFormatting>
  <conditionalFormatting sqref="P33">
    <cfRule type="cellIs" dxfId="16" priority="17" operator="equal">
      <formula>100</formula>
    </cfRule>
  </conditionalFormatting>
  <conditionalFormatting sqref="P33">
    <cfRule type="cellIs" dxfId="15" priority="15" operator="equal">
      <formula>"NO CUMPLE"</formula>
    </cfRule>
    <cfRule type="cellIs" dxfId="14" priority="16" operator="equal">
      <formula>"CUMPLE"</formula>
    </cfRule>
  </conditionalFormatting>
  <conditionalFormatting sqref="P43">
    <cfRule type="cellIs" dxfId="13" priority="14" operator="equal">
      <formula>100</formula>
    </cfRule>
  </conditionalFormatting>
  <conditionalFormatting sqref="P43">
    <cfRule type="cellIs" dxfId="12" priority="12" operator="equal">
      <formula>"NO CUMPLE"</formula>
    </cfRule>
    <cfRule type="cellIs" dxfId="11" priority="13" operator="equal">
      <formula>"CUMPLE"</formula>
    </cfRule>
  </conditionalFormatting>
  <conditionalFormatting sqref="P45">
    <cfRule type="cellIs" dxfId="10" priority="11" operator="equal">
      <formula>100</formula>
    </cfRule>
  </conditionalFormatting>
  <conditionalFormatting sqref="P45">
    <cfRule type="cellIs" dxfId="9" priority="9" operator="equal">
      <formula>"NO CUMPLE"</formula>
    </cfRule>
    <cfRule type="cellIs" dxfId="8" priority="10" operator="equal">
      <formula>"CUMPLE"</formula>
    </cfRule>
  </conditionalFormatting>
  <conditionalFormatting sqref="R60:T60">
    <cfRule type="cellIs" dxfId="7" priority="8" operator="equal">
      <formula>100</formula>
    </cfRule>
  </conditionalFormatting>
  <conditionalFormatting sqref="R60:T60">
    <cfRule type="cellIs" dxfId="6" priority="7" operator="lessThan">
      <formula>100</formula>
    </cfRule>
  </conditionalFormatting>
  <conditionalFormatting sqref="M60:O60">
    <cfRule type="cellIs" dxfId="5" priority="6" operator="equal">
      <formula>100</formula>
    </cfRule>
  </conditionalFormatting>
  <conditionalFormatting sqref="M60:O60">
    <cfRule type="cellIs" dxfId="4" priority="5" operator="lessThan">
      <formula>100</formula>
    </cfRule>
  </conditionalFormatting>
  <conditionalFormatting sqref="O17:O22">
    <cfRule type="containsText" dxfId="3" priority="4" operator="containsText" text="NO CUMPLE">
      <formula>NOT(ISERROR(SEARCH("NO CUMPLE",O17)))</formula>
    </cfRule>
  </conditionalFormatting>
  <conditionalFormatting sqref="O46">
    <cfRule type="cellIs" dxfId="2" priority="3" operator="equal">
      <formula>100</formula>
    </cfRule>
  </conditionalFormatting>
  <conditionalFormatting sqref="O46">
    <cfRule type="cellIs" dxfId="1" priority="1" operator="equal">
      <formula>"NO CUMPLE"</formula>
    </cfRule>
    <cfRule type="cellIs" dxfId="0" priority="2" operator="equal">
      <formula>"CUMPLE"</formula>
    </cfRule>
  </conditionalFormatting>
  <dataValidations count="7">
    <dataValidation type="list" allowBlank="1" showInputMessage="1" showErrorMessage="1" sqref="M37:O37 S54" xr:uid="{F55EF042-7D9E-4358-865D-6D9463C4265B}">
      <formula1>$U$1:$U$2</formula1>
    </dataValidation>
    <dataValidation type="list" allowBlank="1" showInputMessage="1" showErrorMessage="1" sqref="G22:H22" xr:uid="{F283044F-6C33-47FB-B016-2DD4C75C96E1}">
      <formula1>$Q$2:$Q$3</formula1>
    </dataValidation>
    <dataValidation type="list" allowBlank="1" showInputMessage="1" showErrorMessage="1" sqref="O36:O38" xr:uid="{47ED97BB-56C0-4853-A3EA-C7DD9161244C}">
      <formula1>$R$4:$R$5</formula1>
    </dataValidation>
    <dataValidation type="list" allowBlank="1" showInputMessage="1" showErrorMessage="1" error="SELECCIONE EL PRESUPUESTO A EVALUAR, EN LA LISTA DESPEGABLE._x000a_" sqref="I11:I12 J12:K12" xr:uid="{1F3EC38D-7A06-48BF-B901-59759B452A7C}">
      <formula1>$A$75:$A$82</formula1>
    </dataValidation>
    <dataValidation type="list" allowBlank="1" showInputMessage="1" showErrorMessage="1" sqref="A3" xr:uid="{9AB37109-EF43-43A6-9B23-3A632C6DCCD0}">
      <formula1>$C$75:$C$82</formula1>
    </dataValidation>
    <dataValidation type="list" allowBlank="1" showInputMessage="1" showErrorMessage="1" sqref="V1:V2" xr:uid="{4FA0A062-4061-4AA7-A73F-75D0D7395368}">
      <formula1>$V$1:$V$2</formula1>
    </dataValidation>
    <dataValidation type="list" allowBlank="1" showInputMessage="1" showErrorMessage="1" sqref="J60:L60 I59:I60 O46" xr:uid="{F1B06BA9-544B-4BC5-99DE-ECEF6F34B73A}">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ignoredErrors>
    <ignoredError sqref="B4" evalError="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RESUM (2)</vt:lpstr>
      <vt:lpstr>SALARIOS</vt:lpstr>
      <vt:lpstr>consideraciones</vt:lpstr>
      <vt:lpstr>RESUMEN</vt:lpstr>
      <vt:lpstr>1</vt:lpstr>
      <vt:lpstr>2</vt:lpstr>
      <vt:lpstr>3</vt:lpstr>
      <vt:lpstr>4</vt:lpstr>
      <vt:lpstr>5</vt:lpstr>
      <vt:lpstr>6</vt:lpstr>
      <vt:lpstr>7</vt:lpstr>
      <vt:lpstr>'1'!Área_de_impresión</vt:lpstr>
      <vt:lpstr>'2'!Área_de_impresión</vt:lpstr>
      <vt:lpstr>'3'!Área_de_impresión</vt:lpstr>
      <vt:lpstr>'4'!Área_de_impresión</vt:lpstr>
      <vt:lpstr>'5'!Área_de_impresión</vt:lpstr>
      <vt:lpstr>'6'!Área_de_impresión</vt:lpstr>
      <vt:lpstr>'7'!Área_de_impresión</vt:lpstr>
      <vt:lpstr>'RESUM (2)'!Títulos_a_imprimir</vt:lpstr>
    </vt:vector>
  </TitlesOfParts>
  <Manager/>
  <Company>U. A. E. de aeronáutica Civil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hr</dc:creator>
  <cp:keywords/>
  <dc:description/>
  <cp:lastModifiedBy>Michell Yobany Moreno Beltran</cp:lastModifiedBy>
  <cp:revision/>
  <dcterms:created xsi:type="dcterms:W3CDTF">2014-07-14T21:38:45Z</dcterms:created>
  <dcterms:modified xsi:type="dcterms:W3CDTF">2024-11-15T16:31:08Z</dcterms:modified>
  <cp:category/>
  <cp:contentStatus/>
</cp:coreProperties>
</file>