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autoCompressPictures="0" defaultThemeVersion="124226"/>
  <mc:AlternateContent xmlns:mc="http://schemas.openxmlformats.org/markup-compatibility/2006">
    <mc:Choice Requires="x15">
      <x15ac:absPath xmlns:x15ac="http://schemas.microsoft.com/office/spreadsheetml/2010/11/ac" url="I:\Mi unidad\1. AEROCIVIL\5. LETICIA\1. Estructuracion\2. Mantenimiento\5. Evaluacion\2. LT\"/>
    </mc:Choice>
  </mc:AlternateContent>
  <xr:revisionPtr revIDLastSave="0" documentId="13_ncr:1_{B8418F90-D541-4400-A657-A89ED60644CC}" xr6:coauthVersionLast="47" xr6:coauthVersionMax="47" xr10:uidLastSave="{00000000-0000-0000-0000-000000000000}"/>
  <bookViews>
    <workbookView xWindow="0" yWindow="0" windowWidth="14400" windowHeight="15600" tabRatio="902" firstSheet="3" activeTab="3" xr2:uid="{00000000-000D-0000-FFFF-FFFF00000000}"/>
  </bookViews>
  <sheets>
    <sheet name="RESUM (2)" sheetId="180" state="hidden" r:id="rId1"/>
    <sheet name="SALARIOS" sheetId="365" state="hidden" r:id="rId2"/>
    <sheet name="consideraciones" sheetId="404" state="hidden" r:id="rId3"/>
    <sheet name="RESUMEN" sheetId="480" r:id="rId4"/>
    <sheet name="1" sheetId="488" r:id="rId5"/>
    <sheet name="2" sheetId="492" r:id="rId6"/>
    <sheet name="3" sheetId="495" r:id="rId7"/>
    <sheet name="4" sheetId="486" r:id="rId8"/>
    <sheet name="5" sheetId="496" r:id="rId9"/>
    <sheet name="6" sheetId="487" r:id="rId10"/>
    <sheet name="7" sheetId="476" r:id="rId11"/>
    <sheet name="8" sheetId="497" r:id="rId12"/>
    <sheet name="9" sheetId="490" r:id="rId13"/>
    <sheet name="10" sheetId="489" r:id="rId14"/>
    <sheet name="11" sheetId="484" r:id="rId15"/>
    <sheet name="12" sheetId="491" r:id="rId16"/>
    <sheet name="13" sheetId="494" r:id="rId17"/>
    <sheet name="14" sheetId="485" r:id="rId18"/>
    <sheet name="15" sheetId="498" r:id="rId19"/>
    <sheet name="16" sheetId="493" r:id="rId20"/>
    <sheet name="17" sheetId="483" r:id="rId21"/>
    <sheet name="18" sheetId="499" r:id="rId22"/>
  </sheets>
  <externalReferences>
    <externalReference r:id="rId23"/>
  </externalReferences>
  <definedNames>
    <definedName name="_xlnm._FilterDatabase" localSheetId="4" hidden="1">'1'!$A$1:$R$11</definedName>
    <definedName name="_xlnm._FilterDatabase" localSheetId="13" hidden="1">'10'!$A$1:$R$11</definedName>
    <definedName name="_xlnm._FilterDatabase" localSheetId="14" hidden="1">'11'!$A$1:$R$11</definedName>
    <definedName name="_xlnm._FilterDatabase" localSheetId="15" hidden="1">'12'!$A$1:$R$11</definedName>
    <definedName name="_xlnm._FilterDatabase" localSheetId="16" hidden="1">'13'!$A$1:$R$11</definedName>
    <definedName name="_xlnm._FilterDatabase" localSheetId="17" hidden="1">'14'!$A$1:$R$11</definedName>
    <definedName name="_xlnm._FilterDatabase" localSheetId="18" hidden="1">'15'!$A$1:$R$11</definedName>
    <definedName name="_xlnm._FilterDatabase" localSheetId="19" hidden="1">'16'!$A$1:$R$11</definedName>
    <definedName name="_xlnm._FilterDatabase" localSheetId="20" hidden="1">'17'!$A$1:$R$11</definedName>
    <definedName name="_xlnm._FilterDatabase" localSheetId="21" hidden="1">'18'!$A$1:$R$11</definedName>
    <definedName name="_xlnm._FilterDatabase" localSheetId="5" hidden="1">'2'!$A$1:$R$11</definedName>
    <definedName name="_xlnm._FilterDatabase" localSheetId="6" hidden="1">'3'!$A$1:$R$11</definedName>
    <definedName name="_xlnm._FilterDatabase" localSheetId="7" hidden="1">'4'!$A$1:$R$11</definedName>
    <definedName name="_xlnm._FilterDatabase" localSheetId="8" hidden="1">'5'!$A$1:$R$11</definedName>
    <definedName name="_xlnm._FilterDatabase" localSheetId="9" hidden="1">'6'!$A$1:$R$11</definedName>
    <definedName name="_xlnm._FilterDatabase" localSheetId="10" hidden="1">'7'!$A$1:$R$11</definedName>
    <definedName name="_xlnm._FilterDatabase" localSheetId="11" hidden="1">'8'!$A$1:$R$11</definedName>
    <definedName name="_xlnm._FilterDatabase" localSheetId="12" hidden="1">'9'!$A$1:$R$11</definedName>
    <definedName name="_xlnm._FilterDatabase" localSheetId="3" hidden="1">RESUMEN!$A$2:$S$19</definedName>
    <definedName name="_xlnm.Print_Area" localSheetId="4">'1'!$A$1:$O$63</definedName>
    <definedName name="_xlnm.Print_Area" localSheetId="13">'10'!$A$1:$O$64</definedName>
    <definedName name="_xlnm.Print_Area" localSheetId="14">'11'!$A$1:$O$63</definedName>
    <definedName name="_xlnm.Print_Area" localSheetId="15">'12'!$A$1:$O$63</definedName>
    <definedName name="_xlnm.Print_Area" localSheetId="16">'13'!$A$1:$O$63</definedName>
    <definedName name="_xlnm.Print_Area" localSheetId="17">'14'!$A$1:$O$63</definedName>
    <definedName name="_xlnm.Print_Area" localSheetId="18">'15'!$A$1:$O$63</definedName>
    <definedName name="_xlnm.Print_Area" localSheetId="19">'16'!$A$1:$O$63</definedName>
    <definedName name="_xlnm.Print_Area" localSheetId="20">'17'!$A$1:$O$63</definedName>
    <definedName name="_xlnm.Print_Area" localSheetId="21">'18'!$A$1:$O$63</definedName>
    <definedName name="_xlnm.Print_Area" localSheetId="5">'2'!$A$1:$O$63</definedName>
    <definedName name="_xlnm.Print_Area" localSheetId="6">'3'!$A$1:$O$63</definedName>
    <definedName name="_xlnm.Print_Area" localSheetId="7">'4'!$A$1:$O$63</definedName>
    <definedName name="_xlnm.Print_Area" localSheetId="8">'5'!$A$1:$O$64</definedName>
    <definedName name="_xlnm.Print_Area" localSheetId="9">'6'!$A$1:$O$63</definedName>
    <definedName name="_xlnm.Print_Area" localSheetId="10">'7'!$A$1:$O$63</definedName>
    <definedName name="_xlnm.Print_Area" localSheetId="11">'8'!$A$1:$O$63</definedName>
    <definedName name="_xlnm.Print_Area" localSheetId="12">'9'!$A$1:$O$63</definedName>
    <definedName name="_xlnm.Print_Titles" localSheetId="0">'RESUM (2)'!$1:$6</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0" i="480" l="1"/>
  <c r="R17" i="480"/>
  <c r="R3" i="480"/>
  <c r="R11" i="480" l="1"/>
  <c r="R7" i="480" l="1"/>
  <c r="R6" i="480"/>
  <c r="R16" i="480"/>
  <c r="R5" i="480"/>
  <c r="R20" i="480"/>
  <c r="R14" i="480"/>
  <c r="R13" i="480"/>
  <c r="R12" i="480"/>
  <c r="R9" i="480"/>
  <c r="R4" i="480"/>
  <c r="R15" i="480"/>
  <c r="R8" i="480"/>
  <c r="R18" i="480"/>
  <c r="R19" i="480"/>
  <c r="A28" i="499" l="1"/>
  <c r="A28" i="483"/>
  <c r="A28" i="493"/>
  <c r="A28" i="498"/>
  <c r="A28" i="485"/>
  <c r="A28" i="494"/>
  <c r="A28" i="491"/>
  <c r="A28" i="484"/>
  <c r="A28" i="489"/>
  <c r="A28" i="490"/>
  <c r="A28" i="497"/>
  <c r="A28" i="476"/>
  <c r="A28" i="487"/>
  <c r="A29" i="496"/>
  <c r="A28" i="486"/>
  <c r="A28" i="495"/>
  <c r="A28" i="492"/>
  <c r="A28" i="488"/>
  <c r="O31" i="485" l="1"/>
  <c r="K29" i="485"/>
  <c r="O31" i="494"/>
  <c r="N31" i="494"/>
  <c r="K29" i="484"/>
  <c r="N29" i="492"/>
  <c r="N31" i="492" s="1"/>
  <c r="K29" i="492"/>
  <c r="O29" i="499"/>
  <c r="N29" i="499"/>
  <c r="N31" i="499" s="1"/>
  <c r="O28" i="499"/>
  <c r="N28" i="499"/>
  <c r="O29" i="483"/>
  <c r="N29" i="483"/>
  <c r="N31" i="483" s="1"/>
  <c r="O28" i="483"/>
  <c r="N28" i="483"/>
  <c r="N31" i="493"/>
  <c r="O29" i="493"/>
  <c r="N29" i="493"/>
  <c r="O28" i="493"/>
  <c r="O31" i="493" s="1"/>
  <c r="N28" i="493"/>
  <c r="N31" i="498"/>
  <c r="O29" i="498"/>
  <c r="N29" i="498"/>
  <c r="O28" i="498"/>
  <c r="O31" i="498" s="1"/>
  <c r="N28" i="498"/>
  <c r="O29" i="485"/>
  <c r="N29" i="485"/>
  <c r="N31" i="485" s="1"/>
  <c r="O28" i="485"/>
  <c r="N28" i="485"/>
  <c r="O29" i="494"/>
  <c r="N29" i="494"/>
  <c r="O28" i="494"/>
  <c r="N28" i="494"/>
  <c r="N31" i="491"/>
  <c r="O29" i="491"/>
  <c r="N29" i="491"/>
  <c r="O28" i="491"/>
  <c r="O31" i="491" s="1"/>
  <c r="N28" i="491"/>
  <c r="O29" i="484"/>
  <c r="O31" i="484" s="1"/>
  <c r="N29" i="484"/>
  <c r="N31" i="484" s="1"/>
  <c r="O28" i="484"/>
  <c r="N28" i="484"/>
  <c r="O29" i="489"/>
  <c r="O31" i="489" s="1"/>
  <c r="N29" i="489"/>
  <c r="N31" i="489" s="1"/>
  <c r="O28" i="489"/>
  <c r="N28" i="489"/>
  <c r="O29" i="490"/>
  <c r="N29" i="490"/>
  <c r="N31" i="490" s="1"/>
  <c r="O28" i="490"/>
  <c r="O31" i="490" s="1"/>
  <c r="N28" i="490"/>
  <c r="O29" i="497"/>
  <c r="N29" i="497"/>
  <c r="N31" i="497" s="1"/>
  <c r="O28" i="497"/>
  <c r="N28" i="497"/>
  <c r="O29" i="476"/>
  <c r="N29" i="476"/>
  <c r="N31" i="476" s="1"/>
  <c r="O28" i="476"/>
  <c r="N28" i="476"/>
  <c r="O29" i="487"/>
  <c r="N29" i="487"/>
  <c r="N31" i="487" s="1"/>
  <c r="O28" i="487"/>
  <c r="N28" i="487"/>
  <c r="O30" i="496"/>
  <c r="N30" i="496"/>
  <c r="N32" i="496" s="1"/>
  <c r="O29" i="496"/>
  <c r="N29" i="496"/>
  <c r="N31" i="486"/>
  <c r="O29" i="486"/>
  <c r="N29" i="486"/>
  <c r="O28" i="486"/>
  <c r="O31" i="486" s="1"/>
  <c r="N28" i="486"/>
  <c r="O28" i="495"/>
  <c r="O29" i="495"/>
  <c r="O31" i="495" s="1"/>
  <c r="O31" i="488"/>
  <c r="N28" i="495"/>
  <c r="N29" i="495"/>
  <c r="N31" i="495" s="1"/>
  <c r="K28" i="492"/>
  <c r="K29" i="483"/>
  <c r="K28" i="483"/>
  <c r="K29" i="497"/>
  <c r="K30" i="496"/>
  <c r="N31" i="488"/>
  <c r="N29" i="488"/>
  <c r="N28" i="492"/>
  <c r="N23" i="494"/>
  <c r="S4" i="480"/>
  <c r="S6" i="480"/>
  <c r="S7" i="480"/>
  <c r="S8" i="480"/>
  <c r="S9" i="480"/>
  <c r="S10" i="480"/>
  <c r="S11" i="480"/>
  <c r="S12" i="480"/>
  <c r="S13" i="480"/>
  <c r="S14" i="480"/>
  <c r="S15" i="480"/>
  <c r="S16" i="480"/>
  <c r="S17" i="480"/>
  <c r="S18" i="480"/>
  <c r="S19" i="480"/>
  <c r="S3" i="480"/>
  <c r="G20" i="480"/>
  <c r="N23" i="498"/>
  <c r="M20" i="480"/>
  <c r="L20" i="480"/>
  <c r="D6" i="480" a="1"/>
  <c r="D4" i="480" a="1"/>
  <c r="D20" i="480" a="1"/>
  <c r="D8" i="480" a="1"/>
  <c r="D18" i="480" a="1"/>
  <c r="E12" i="480" a="1"/>
  <c r="D14" i="480" a="1"/>
  <c r="E5" i="480" a="1"/>
  <c r="D7" i="480" a="1"/>
  <c r="E18" i="480" a="1"/>
  <c r="D17" i="480" a="1"/>
  <c r="E13" i="480" a="1"/>
  <c r="D10" i="480" a="1"/>
  <c r="E11" i="480" a="1"/>
  <c r="D12" i="480" a="1"/>
  <c r="E17" i="480" a="1"/>
  <c r="D5" i="480" a="1"/>
  <c r="D13" i="480" a="1"/>
  <c r="E14" i="480" a="1"/>
  <c r="D19" i="480" a="1"/>
  <c r="D16" i="480" a="1"/>
  <c r="D9" i="480" a="1"/>
  <c r="E3" i="480" a="1"/>
  <c r="D15" i="480" a="1"/>
  <c r="D11" i="480" a="1"/>
  <c r="E6" i="480" a="1"/>
  <c r="D3" i="480" a="1"/>
  <c r="O31" i="499" l="1"/>
  <c r="O31" i="483"/>
  <c r="O31" i="497"/>
  <c r="O31" i="476"/>
  <c r="O31" i="487"/>
  <c r="O32" i="496"/>
  <c r="E17" i="480"/>
  <c r="E13" i="480"/>
  <c r="E11" i="480"/>
  <c r="E5" i="480"/>
  <c r="E18" i="480"/>
  <c r="E14" i="480"/>
  <c r="E12" i="480"/>
  <c r="E6" i="480"/>
  <c r="E3" i="480"/>
  <c r="D20" i="480"/>
  <c r="D18" i="480"/>
  <c r="D16" i="480"/>
  <c r="D14" i="480"/>
  <c r="D12" i="480"/>
  <c r="D10" i="480"/>
  <c r="D8" i="480"/>
  <c r="D6" i="480"/>
  <c r="D4" i="480"/>
  <c r="D19" i="480"/>
  <c r="D17" i="480"/>
  <c r="D15" i="480"/>
  <c r="D13" i="480"/>
  <c r="D11" i="480"/>
  <c r="D9" i="480"/>
  <c r="D7" i="480"/>
  <c r="D5" i="480"/>
  <c r="D3" i="480"/>
  <c r="A17" i="489"/>
  <c r="A17" i="476"/>
  <c r="A17" i="486"/>
  <c r="A17" i="488"/>
  <c r="N23" i="483"/>
  <c r="A17" i="496"/>
  <c r="N18" i="493"/>
  <c r="A17" i="483"/>
  <c r="K19" i="483"/>
  <c r="K18" i="483"/>
  <c r="K17" i="483"/>
  <c r="N18" i="485"/>
  <c r="N18" i="484"/>
  <c r="N19" i="497"/>
  <c r="N18" i="497"/>
  <c r="N18" i="483"/>
  <c r="N18" i="494"/>
  <c r="N19" i="476"/>
  <c r="N18" i="496"/>
  <c r="N18" i="487"/>
  <c r="N18" i="490"/>
  <c r="N18" i="498"/>
  <c r="N18" i="499"/>
  <c r="K28" i="485"/>
  <c r="K18" i="485"/>
  <c r="N18" i="489"/>
  <c r="N19" i="489"/>
  <c r="N20" i="489"/>
  <c r="K17" i="485"/>
  <c r="A17" i="485"/>
  <c r="K28" i="498"/>
  <c r="A17" i="484"/>
  <c r="K18" i="498"/>
  <c r="K28" i="484"/>
  <c r="K18" i="484"/>
  <c r="K17" i="484"/>
  <c r="A17" i="497"/>
  <c r="N19" i="491"/>
  <c r="N18" i="491"/>
  <c r="N20" i="497"/>
  <c r="K28" i="497"/>
  <c r="K19" i="497"/>
  <c r="B4" i="491"/>
  <c r="K20" i="497"/>
  <c r="K18" i="497"/>
  <c r="K17" i="497"/>
  <c r="N20" i="476"/>
  <c r="N18" i="476"/>
  <c r="A17" i="491"/>
  <c r="K29" i="496"/>
  <c r="S9" i="490"/>
  <c r="T11" i="490"/>
  <c r="N20" i="486"/>
  <c r="N18" i="486"/>
  <c r="K23" i="496"/>
  <c r="K22" i="496"/>
  <c r="K21" i="496"/>
  <c r="K20" i="496"/>
  <c r="K19" i="496"/>
  <c r="K18" i="496"/>
  <c r="K17" i="496"/>
  <c r="N22" i="496"/>
  <c r="R22" i="496" s="1"/>
  <c r="O22" i="496"/>
  <c r="R17" i="492"/>
  <c r="R18" i="492"/>
  <c r="N23" i="492"/>
  <c r="A17" i="492"/>
  <c r="K18" i="492"/>
  <c r="K17" i="492"/>
  <c r="O17" i="492"/>
  <c r="N18" i="492"/>
  <c r="M60" i="492"/>
  <c r="N18" i="495"/>
  <c r="N18" i="488"/>
  <c r="Q12" i="480"/>
  <c r="Q11" i="480"/>
  <c r="Q10" i="480"/>
  <c r="Q8" i="480"/>
  <c r="P8" i="480"/>
  <c r="M12" i="480"/>
  <c r="M11" i="480"/>
  <c r="M10" i="480"/>
  <c r="O12" i="480"/>
  <c r="O11" i="480"/>
  <c r="O10" i="480"/>
  <c r="O8" i="480"/>
  <c r="N12" i="480"/>
  <c r="N11" i="480"/>
  <c r="N10" i="480"/>
  <c r="N8" i="480"/>
  <c r="P12" i="480"/>
  <c r="P11" i="480"/>
  <c r="P10" i="480"/>
  <c r="M8" i="480"/>
  <c r="L12" i="480"/>
  <c r="L11" i="480"/>
  <c r="L10" i="480"/>
  <c r="L8" i="480"/>
  <c r="J12" i="480"/>
  <c r="J8" i="480"/>
  <c r="I12" i="480"/>
  <c r="I8" i="480"/>
  <c r="H12" i="480"/>
  <c r="H8" i="480"/>
  <c r="G12" i="480"/>
  <c r="G8" i="480"/>
  <c r="F12" i="480"/>
  <c r="F8" i="480"/>
  <c r="Q17" i="480"/>
  <c r="M60" i="499"/>
  <c r="O22" i="499"/>
  <c r="N22" i="499"/>
  <c r="O21" i="499"/>
  <c r="N21" i="499"/>
  <c r="O20" i="499"/>
  <c r="N20" i="499"/>
  <c r="O19" i="499"/>
  <c r="N19" i="499"/>
  <c r="O18" i="499"/>
  <c r="O17" i="499"/>
  <c r="N17" i="499"/>
  <c r="N23" i="499" s="1"/>
  <c r="A17" i="499"/>
  <c r="M11" i="499"/>
  <c r="M60" i="483"/>
  <c r="O19" i="483"/>
  <c r="N19" i="483"/>
  <c r="O18" i="483"/>
  <c r="O17" i="483"/>
  <c r="N17" i="483"/>
  <c r="M11" i="483"/>
  <c r="M60" i="493"/>
  <c r="O22" i="493"/>
  <c r="N22" i="493"/>
  <c r="O21" i="493"/>
  <c r="N21" i="493"/>
  <c r="O20" i="493"/>
  <c r="N20" i="493"/>
  <c r="O19" i="493"/>
  <c r="N19" i="493"/>
  <c r="O18" i="493"/>
  <c r="O17" i="493"/>
  <c r="N17" i="493"/>
  <c r="N23" i="493" s="1"/>
  <c r="M11" i="493"/>
  <c r="A17" i="493" s="1"/>
  <c r="M60" i="498"/>
  <c r="O22" i="498"/>
  <c r="N22" i="498"/>
  <c r="O21" i="498"/>
  <c r="N21" i="498"/>
  <c r="O20" i="498"/>
  <c r="N20" i="498"/>
  <c r="O19" i="498"/>
  <c r="N19" i="498"/>
  <c r="O18" i="498"/>
  <c r="O17" i="498"/>
  <c r="N17" i="498"/>
  <c r="M11" i="498"/>
  <c r="A17" i="498" s="1"/>
  <c r="M60" i="485"/>
  <c r="O22" i="485"/>
  <c r="N22" i="485"/>
  <c r="O21" i="485"/>
  <c r="N21" i="485"/>
  <c r="O20" i="485"/>
  <c r="N20" i="485"/>
  <c r="O19" i="485"/>
  <c r="N19" i="485"/>
  <c r="O18" i="485"/>
  <c r="O17" i="485"/>
  <c r="N17" i="485"/>
  <c r="N23" i="485" s="1"/>
  <c r="M11" i="485"/>
  <c r="M60" i="494"/>
  <c r="O22" i="494"/>
  <c r="N22" i="494"/>
  <c r="O21" i="494"/>
  <c r="N21" i="494"/>
  <c r="O20" i="494"/>
  <c r="N20" i="494"/>
  <c r="O19" i="494"/>
  <c r="N19" i="494"/>
  <c r="O18" i="494"/>
  <c r="O17" i="494"/>
  <c r="N17" i="494"/>
  <c r="M11" i="494"/>
  <c r="A17" i="494" s="1"/>
  <c r="M60" i="491"/>
  <c r="O22" i="491"/>
  <c r="N22" i="491"/>
  <c r="O21" i="491"/>
  <c r="N21" i="491"/>
  <c r="O20" i="491"/>
  <c r="N20" i="491"/>
  <c r="O19" i="491"/>
  <c r="O18" i="491"/>
  <c r="O17" i="491"/>
  <c r="N17" i="491"/>
  <c r="N23" i="491" s="1"/>
  <c r="M11" i="491"/>
  <c r="M60" i="484"/>
  <c r="O22" i="484"/>
  <c r="N22" i="484"/>
  <c r="O21" i="484"/>
  <c r="N21" i="484"/>
  <c r="O20" i="484"/>
  <c r="N20" i="484"/>
  <c r="O19" i="484"/>
  <c r="N19" i="484"/>
  <c r="O18" i="484"/>
  <c r="O17" i="484"/>
  <c r="N17" i="484"/>
  <c r="N23" i="484" s="1"/>
  <c r="M11" i="484"/>
  <c r="M60" i="489"/>
  <c r="O22" i="489"/>
  <c r="N22" i="489"/>
  <c r="O21" i="489"/>
  <c r="N21" i="489"/>
  <c r="O20" i="489"/>
  <c r="O19" i="489"/>
  <c r="O18" i="489"/>
  <c r="O17" i="489"/>
  <c r="N17" i="489"/>
  <c r="N23" i="489" s="1"/>
  <c r="M11" i="489"/>
  <c r="M60" i="490"/>
  <c r="O22" i="490"/>
  <c r="N22" i="490"/>
  <c r="O21" i="490"/>
  <c r="N21" i="490"/>
  <c r="O20" i="490"/>
  <c r="N20" i="490"/>
  <c r="O19" i="490"/>
  <c r="N19" i="490"/>
  <c r="O18" i="490"/>
  <c r="O17" i="490"/>
  <c r="N17" i="490"/>
  <c r="N23" i="490" s="1"/>
  <c r="M11" i="490"/>
  <c r="A17" i="490" s="1"/>
  <c r="M60" i="497"/>
  <c r="O20" i="497"/>
  <c r="O19" i="497"/>
  <c r="O18" i="497"/>
  <c r="O17" i="497"/>
  <c r="N17" i="497"/>
  <c r="N23" i="497" s="1"/>
  <c r="M11" i="497"/>
  <c r="M60" i="476"/>
  <c r="O22" i="476"/>
  <c r="N22" i="476"/>
  <c r="O21" i="476"/>
  <c r="N21" i="476"/>
  <c r="O20" i="476"/>
  <c r="O19" i="476"/>
  <c r="O18" i="476"/>
  <c r="O17" i="476"/>
  <c r="N17" i="476"/>
  <c r="N23" i="476" s="1"/>
  <c r="M11" i="476"/>
  <c r="M60" i="487"/>
  <c r="O22" i="487"/>
  <c r="N22" i="487"/>
  <c r="O21" i="487"/>
  <c r="N21" i="487"/>
  <c r="O20" i="487"/>
  <c r="N20" i="487"/>
  <c r="O19" i="487"/>
  <c r="N19" i="487"/>
  <c r="O18" i="487"/>
  <c r="O17" i="487"/>
  <c r="N17" i="487"/>
  <c r="N23" i="487" s="1"/>
  <c r="M11" i="487"/>
  <c r="A17" i="487" s="1"/>
  <c r="M61" i="496"/>
  <c r="O23" i="496"/>
  <c r="N23" i="496"/>
  <c r="O21" i="496"/>
  <c r="N21" i="496"/>
  <c r="O20" i="496"/>
  <c r="N20" i="496"/>
  <c r="O19" i="496"/>
  <c r="N19" i="496"/>
  <c r="O18" i="496"/>
  <c r="O17" i="496"/>
  <c r="N17" i="496"/>
  <c r="M11" i="496"/>
  <c r="M60" i="486"/>
  <c r="O22" i="486"/>
  <c r="N22" i="486"/>
  <c r="O21" i="486"/>
  <c r="N21" i="486"/>
  <c r="O20" i="486"/>
  <c r="O19" i="486"/>
  <c r="N19" i="486"/>
  <c r="O18" i="486"/>
  <c r="O17" i="486"/>
  <c r="N17" i="486"/>
  <c r="N23" i="486" s="1"/>
  <c r="M11" i="486"/>
  <c r="M60" i="495"/>
  <c r="O22" i="495"/>
  <c r="N22" i="495"/>
  <c r="O21" i="495"/>
  <c r="N21" i="495"/>
  <c r="O20" i="495"/>
  <c r="N20" i="495"/>
  <c r="O19" i="495"/>
  <c r="N19" i="495"/>
  <c r="O18" i="495"/>
  <c r="O17" i="495"/>
  <c r="N17" i="495"/>
  <c r="N23" i="495" s="1"/>
  <c r="M11" i="495"/>
  <c r="A17" i="495" s="1"/>
  <c r="O29" i="492"/>
  <c r="O28" i="492"/>
  <c r="O18" i="492"/>
  <c r="N17" i="492"/>
  <c r="M11" i="492"/>
  <c r="B4" i="499"/>
  <c r="Q20" i="480"/>
  <c r="P20" i="480"/>
  <c r="O20" i="480"/>
  <c r="N20" i="480"/>
  <c r="J20" i="480"/>
  <c r="I20" i="480"/>
  <c r="H20" i="480"/>
  <c r="F20" i="480"/>
  <c r="E8" i="480" a="1"/>
  <c r="E20" i="480" a="1"/>
  <c r="E15" i="480" a="1"/>
  <c r="E19" i="480" a="1"/>
  <c r="E9" i="480" a="1"/>
  <c r="E10" i="480" a="1"/>
  <c r="E7" i="480" a="1"/>
  <c r="E16" i="480" a="1"/>
  <c r="E20" i="480" l="1"/>
  <c r="E19" i="480"/>
  <c r="E16" i="480"/>
  <c r="E15" i="480"/>
  <c r="E10" i="480"/>
  <c r="E9" i="480"/>
  <c r="E8" i="480"/>
  <c r="E7" i="480"/>
  <c r="S20" i="480"/>
  <c r="O23" i="494"/>
  <c r="O23" i="499"/>
  <c r="K20" i="480" s="1"/>
  <c r="N24" i="496"/>
  <c r="O23" i="495"/>
  <c r="O33" i="483"/>
  <c r="O23" i="483"/>
  <c r="O23" i="493"/>
  <c r="O33" i="493"/>
  <c r="O23" i="498"/>
  <c r="O33" i="498"/>
  <c r="O23" i="485"/>
  <c r="O33" i="485"/>
  <c r="O33" i="494"/>
  <c r="O33" i="491"/>
  <c r="O23" i="491"/>
  <c r="O33" i="484"/>
  <c r="O23" i="484"/>
  <c r="O23" i="489"/>
  <c r="O23" i="490"/>
  <c r="O33" i="490"/>
  <c r="O23" i="497"/>
  <c r="O33" i="497"/>
  <c r="O23" i="476"/>
  <c r="O33" i="476"/>
  <c r="O23" i="487"/>
  <c r="O24" i="496"/>
  <c r="K9" i="480" s="1"/>
  <c r="O34" i="496"/>
  <c r="O33" i="486"/>
  <c r="O23" i="486"/>
  <c r="O33" i="495"/>
  <c r="O23" i="492"/>
  <c r="K4" i="480" s="1"/>
  <c r="R29" i="499"/>
  <c r="R27" i="499"/>
  <c r="T25" i="499"/>
  <c r="T26" i="499" s="1"/>
  <c r="S26" i="499" s="1"/>
  <c r="R22" i="499"/>
  <c r="R21" i="499"/>
  <c r="R20" i="499"/>
  <c r="R17" i="499"/>
  <c r="O10" i="499"/>
  <c r="P9" i="499"/>
  <c r="P8" i="499"/>
  <c r="P7" i="499"/>
  <c r="P6" i="499"/>
  <c r="P5" i="499"/>
  <c r="P4" i="499"/>
  <c r="O33" i="499" l="1"/>
  <c r="O31" i="492"/>
  <c r="V20" i="480"/>
  <c r="O33" i="489"/>
  <c r="O33" i="487"/>
  <c r="K8" i="480"/>
  <c r="L3" i="480"/>
  <c r="E4" i="480" a="1"/>
  <c r="E4" i="480" l="1"/>
  <c r="O33" i="492"/>
  <c r="N7" i="480"/>
  <c r="R17" i="484"/>
  <c r="T17" i="484" s="1"/>
  <c r="S21" i="496"/>
  <c r="S17" i="484"/>
  <c r="R18" i="484"/>
  <c r="T20" i="496"/>
  <c r="R17" i="483"/>
  <c r="R18" i="498"/>
  <c r="R19" i="498"/>
  <c r="R17" i="498"/>
  <c r="R19" i="494"/>
  <c r="R18" i="494"/>
  <c r="R17" i="494"/>
  <c r="R20" i="491"/>
  <c r="R17" i="491"/>
  <c r="R18" i="476"/>
  <c r="R17" i="476"/>
  <c r="R22" i="489"/>
  <c r="R19" i="489"/>
  <c r="R18" i="489"/>
  <c r="R17" i="489"/>
  <c r="R18" i="490"/>
  <c r="R17" i="490"/>
  <c r="R22" i="487"/>
  <c r="R19" i="487"/>
  <c r="R18" i="487"/>
  <c r="R17" i="487"/>
  <c r="R23" i="496"/>
  <c r="R18" i="496"/>
  <c r="T21" i="496" l="1"/>
  <c r="P17" i="480"/>
  <c r="O17" i="480"/>
  <c r="N17" i="480"/>
  <c r="M17" i="480"/>
  <c r="L17" i="480"/>
  <c r="Q7" i="480"/>
  <c r="P7" i="480"/>
  <c r="O7" i="480"/>
  <c r="M7" i="480"/>
  <c r="L7" i="480"/>
  <c r="Q5" i="480"/>
  <c r="P5" i="480"/>
  <c r="O5" i="480"/>
  <c r="N5" i="480"/>
  <c r="M5" i="480"/>
  <c r="L5" i="480"/>
  <c r="Q15" i="480"/>
  <c r="P15" i="480"/>
  <c r="O15" i="480"/>
  <c r="N15" i="480"/>
  <c r="M15" i="480"/>
  <c r="L15" i="480"/>
  <c r="Q18" i="480"/>
  <c r="P18" i="480"/>
  <c r="O18" i="480"/>
  <c r="N18" i="480"/>
  <c r="M18" i="480"/>
  <c r="L18" i="480"/>
  <c r="Q4" i="480"/>
  <c r="P4" i="480"/>
  <c r="O4" i="480"/>
  <c r="N4" i="480"/>
  <c r="M4" i="480"/>
  <c r="L4" i="480"/>
  <c r="Q14" i="480"/>
  <c r="P14" i="480"/>
  <c r="O14" i="480"/>
  <c r="N14" i="480"/>
  <c r="M14" i="480"/>
  <c r="L14" i="480"/>
  <c r="Q3" i="480"/>
  <c r="P3" i="480"/>
  <c r="O3" i="480"/>
  <c r="N3" i="480"/>
  <c r="M3" i="480"/>
  <c r="M60" i="488"/>
  <c r="Q6" i="480"/>
  <c r="P6" i="480"/>
  <c r="O6" i="480"/>
  <c r="N6" i="480"/>
  <c r="M6" i="480"/>
  <c r="L6" i="480"/>
  <c r="Q16" i="480"/>
  <c r="P16" i="480"/>
  <c r="O16" i="480"/>
  <c r="N16" i="480"/>
  <c r="M16" i="480"/>
  <c r="L16" i="480"/>
  <c r="Q13" i="480"/>
  <c r="P13" i="480"/>
  <c r="O13" i="480"/>
  <c r="N13" i="480"/>
  <c r="M13" i="480"/>
  <c r="L13" i="480"/>
  <c r="Q19" i="480"/>
  <c r="P19" i="480"/>
  <c r="O19" i="480"/>
  <c r="N19" i="480"/>
  <c r="M19" i="480"/>
  <c r="L19" i="480"/>
  <c r="Q9" i="480"/>
  <c r="P9" i="480"/>
  <c r="O9" i="480"/>
  <c r="N9" i="480"/>
  <c r="M9" i="480"/>
  <c r="L9" i="480"/>
  <c r="S5" i="480" l="1"/>
  <c r="O10" i="496"/>
  <c r="R20" i="495"/>
  <c r="R20" i="492"/>
  <c r="O10" i="492"/>
  <c r="O10" i="491"/>
  <c r="O10" i="495"/>
  <c r="K11" i="480"/>
  <c r="O10" i="490"/>
  <c r="O10" i="498"/>
  <c r="O10" i="497"/>
  <c r="O10" i="493"/>
  <c r="O10" i="494"/>
  <c r="K14" i="480" l="1"/>
  <c r="K15" i="480"/>
  <c r="J17" i="480"/>
  <c r="I17" i="480"/>
  <c r="H17" i="480"/>
  <c r="G17" i="480"/>
  <c r="F17" i="480"/>
  <c r="J10" i="480"/>
  <c r="I10" i="480"/>
  <c r="H10" i="480"/>
  <c r="G10" i="480"/>
  <c r="F10" i="480"/>
  <c r="J7" i="480"/>
  <c r="I7" i="480"/>
  <c r="H7" i="480"/>
  <c r="G7" i="480"/>
  <c r="F7" i="480"/>
  <c r="J5" i="480"/>
  <c r="I5" i="480"/>
  <c r="H5" i="480"/>
  <c r="G5" i="480"/>
  <c r="F5" i="480"/>
  <c r="J15" i="480"/>
  <c r="I15" i="480"/>
  <c r="H15" i="480"/>
  <c r="G15" i="480"/>
  <c r="F15" i="480"/>
  <c r="J18" i="480"/>
  <c r="I18" i="480"/>
  <c r="H18" i="480"/>
  <c r="G18" i="480"/>
  <c r="F18" i="480"/>
  <c r="J4" i="480"/>
  <c r="I4" i="480"/>
  <c r="H4" i="480"/>
  <c r="G4" i="480"/>
  <c r="F4" i="480"/>
  <c r="J14" i="480"/>
  <c r="I14" i="480"/>
  <c r="H14" i="480"/>
  <c r="G14" i="480"/>
  <c r="F14" i="480"/>
  <c r="J11" i="480"/>
  <c r="I11" i="480"/>
  <c r="H11" i="480"/>
  <c r="G11" i="480"/>
  <c r="F11" i="480"/>
  <c r="J3" i="480"/>
  <c r="I3" i="480"/>
  <c r="H3" i="480"/>
  <c r="G3" i="480"/>
  <c r="F3" i="480"/>
  <c r="J6" i="480"/>
  <c r="I6" i="480"/>
  <c r="H6" i="480"/>
  <c r="G6" i="480"/>
  <c r="F6" i="480"/>
  <c r="J16" i="480"/>
  <c r="I16" i="480"/>
  <c r="H16" i="480"/>
  <c r="G16" i="480"/>
  <c r="F16" i="480"/>
  <c r="J13" i="480"/>
  <c r="I13" i="480"/>
  <c r="H13" i="480"/>
  <c r="G13" i="480"/>
  <c r="F13" i="480"/>
  <c r="J19" i="480"/>
  <c r="I19" i="480"/>
  <c r="H19" i="480"/>
  <c r="G19" i="480"/>
  <c r="F19" i="480"/>
  <c r="J9" i="480"/>
  <c r="I9" i="480"/>
  <c r="H9" i="480"/>
  <c r="G9" i="480"/>
  <c r="F9" i="480"/>
  <c r="V14" i="480" l="1"/>
  <c r="V11" i="480"/>
  <c r="O10" i="489"/>
  <c r="O10" i="488"/>
  <c r="O10" i="487"/>
  <c r="O10" i="486"/>
  <c r="O10" i="485"/>
  <c r="O10" i="484"/>
  <c r="O10" i="483"/>
  <c r="O10" i="476"/>
  <c r="P9" i="498" l="1"/>
  <c r="P8" i="498"/>
  <c r="P7" i="498"/>
  <c r="P6" i="498"/>
  <c r="P5" i="498"/>
  <c r="P4" i="498"/>
  <c r="B4" i="498"/>
  <c r="R27" i="497"/>
  <c r="T26" i="497"/>
  <c r="S26" i="497" s="1"/>
  <c r="T25" i="497"/>
  <c r="S19" i="497"/>
  <c r="S17" i="497"/>
  <c r="R16" i="497"/>
  <c r="R21" i="497" s="1"/>
  <c r="P9" i="497"/>
  <c r="P8" i="497"/>
  <c r="P7" i="497"/>
  <c r="P6" i="497"/>
  <c r="P5" i="497"/>
  <c r="P4" i="497"/>
  <c r="B4" i="497"/>
  <c r="P9" i="496"/>
  <c r="P8" i="496"/>
  <c r="P7" i="496"/>
  <c r="P6" i="496"/>
  <c r="P5" i="496"/>
  <c r="P4" i="496"/>
  <c r="B4" i="496"/>
  <c r="R27" i="495"/>
  <c r="T26" i="495"/>
  <c r="S26" i="495" s="1"/>
  <c r="T25" i="495"/>
  <c r="P9" i="495"/>
  <c r="P8" i="495"/>
  <c r="P7" i="495"/>
  <c r="P6" i="495"/>
  <c r="P5" i="495"/>
  <c r="P4" i="495"/>
  <c r="B4" i="495"/>
  <c r="R29" i="494"/>
  <c r="R27" i="494"/>
  <c r="T26" i="494"/>
  <c r="S26" i="494" s="1"/>
  <c r="P9" i="494"/>
  <c r="P8" i="494"/>
  <c r="P7" i="494"/>
  <c r="P6" i="494"/>
  <c r="P5" i="494"/>
  <c r="P4" i="494"/>
  <c r="B4" i="494"/>
  <c r="R27" i="493"/>
  <c r="T26" i="493"/>
  <c r="S26" i="493" s="1"/>
  <c r="T25" i="493"/>
  <c r="S19" i="493"/>
  <c r="S17" i="493"/>
  <c r="R16" i="493"/>
  <c r="R29" i="493" s="1"/>
  <c r="P9" i="493"/>
  <c r="P8" i="493"/>
  <c r="P7" i="493"/>
  <c r="P6" i="493"/>
  <c r="P5" i="493"/>
  <c r="P4" i="493"/>
  <c r="B4" i="493"/>
  <c r="R29" i="492"/>
  <c r="P9" i="492"/>
  <c r="P8" i="492"/>
  <c r="P7" i="492"/>
  <c r="P6" i="492"/>
  <c r="P5" i="492"/>
  <c r="P4" i="492"/>
  <c r="B4" i="492"/>
  <c r="R29" i="491"/>
  <c r="R27" i="491"/>
  <c r="T26" i="491"/>
  <c r="S26" i="491" s="1"/>
  <c r="T25" i="491"/>
  <c r="P9" i="491"/>
  <c r="P8" i="491"/>
  <c r="P7" i="491"/>
  <c r="P6" i="491"/>
  <c r="P5" i="491"/>
  <c r="P4" i="491"/>
  <c r="R29" i="490"/>
  <c r="R27" i="490"/>
  <c r="T25" i="490"/>
  <c r="T26" i="490" s="1"/>
  <c r="S26" i="490" s="1"/>
  <c r="R22" i="490"/>
  <c r="R20" i="490"/>
  <c r="S19" i="490"/>
  <c r="R21" i="490"/>
  <c r="P9" i="490"/>
  <c r="P8" i="490"/>
  <c r="P7" i="490"/>
  <c r="P6" i="490"/>
  <c r="P5" i="490"/>
  <c r="P4" i="490"/>
  <c r="B4" i="490"/>
  <c r="R30" i="489"/>
  <c r="P9" i="489"/>
  <c r="P8" i="489"/>
  <c r="P7" i="489"/>
  <c r="P6" i="489"/>
  <c r="P5" i="489"/>
  <c r="P4" i="489"/>
  <c r="B4" i="489"/>
  <c r="O29" i="488"/>
  <c r="O28" i="488"/>
  <c r="N28" i="488"/>
  <c r="R27" i="488"/>
  <c r="T26" i="488"/>
  <c r="S26" i="488" s="1"/>
  <c r="T25" i="488"/>
  <c r="O22" i="488"/>
  <c r="N22" i="488"/>
  <c r="O21" i="488"/>
  <c r="N21" i="488"/>
  <c r="O20" i="488"/>
  <c r="N20" i="488"/>
  <c r="O19" i="488"/>
  <c r="N19" i="488"/>
  <c r="O18" i="488"/>
  <c r="O17" i="488"/>
  <c r="N17" i="488"/>
  <c r="M11" i="488"/>
  <c r="R18" i="488" s="1"/>
  <c r="P9" i="488"/>
  <c r="P8" i="488"/>
  <c r="P7" i="488"/>
  <c r="P6" i="488"/>
  <c r="P5" i="488"/>
  <c r="P4" i="488"/>
  <c r="B4" i="488"/>
  <c r="P9" i="487"/>
  <c r="P8" i="487"/>
  <c r="P7" i="487"/>
  <c r="P6" i="487"/>
  <c r="P5" i="487"/>
  <c r="P4" i="487"/>
  <c r="B4" i="487"/>
  <c r="R27" i="486"/>
  <c r="T25" i="486"/>
  <c r="T26" i="486" s="1"/>
  <c r="S26" i="486" s="1"/>
  <c r="R18" i="486"/>
  <c r="R17" i="486"/>
  <c r="P9" i="486"/>
  <c r="P8" i="486"/>
  <c r="P7" i="486"/>
  <c r="P6" i="486"/>
  <c r="P5" i="486"/>
  <c r="P4" i="486"/>
  <c r="B4" i="486"/>
  <c r="R29" i="485"/>
  <c r="P9" i="485"/>
  <c r="P8" i="485"/>
  <c r="P7" i="485"/>
  <c r="P6" i="485"/>
  <c r="P5" i="485"/>
  <c r="P4" i="485"/>
  <c r="B4" i="485"/>
  <c r="R29" i="484"/>
  <c r="R27" i="484"/>
  <c r="T26" i="484"/>
  <c r="S26" i="484" s="1"/>
  <c r="P9" i="484"/>
  <c r="P8" i="484"/>
  <c r="P7" i="484"/>
  <c r="P6" i="484"/>
  <c r="P5" i="484"/>
  <c r="P4" i="484"/>
  <c r="B4" i="484"/>
  <c r="R29" i="483"/>
  <c r="R27" i="483"/>
  <c r="T26" i="483"/>
  <c r="S26" i="483" s="1"/>
  <c r="T25" i="483"/>
  <c r="R22" i="483"/>
  <c r="R21" i="483"/>
  <c r="P9" i="483"/>
  <c r="P8" i="483"/>
  <c r="P7" i="483"/>
  <c r="P6" i="483"/>
  <c r="P5" i="483"/>
  <c r="P4" i="483"/>
  <c r="B4" i="483"/>
  <c r="B4" i="476"/>
  <c r="R22" i="493" l="1"/>
  <c r="R22" i="497"/>
  <c r="R29" i="497"/>
  <c r="R20" i="497"/>
  <c r="N23" i="488"/>
  <c r="R17" i="488"/>
  <c r="R17" i="497"/>
  <c r="R30" i="496"/>
  <c r="R17" i="493"/>
  <c r="R20" i="493"/>
  <c r="R21" i="493"/>
  <c r="R29" i="488"/>
  <c r="O23" i="488"/>
  <c r="R19" i="497"/>
  <c r="R29" i="495"/>
  <c r="R19" i="493"/>
  <c r="R19" i="490"/>
  <c r="R20" i="483"/>
  <c r="K19" i="480" l="1"/>
  <c r="K18" i="480"/>
  <c r="K17" i="480"/>
  <c r="K6" i="480"/>
  <c r="K13" i="480"/>
  <c r="K12" i="480"/>
  <c r="K10" i="480"/>
  <c r="K16" i="480"/>
  <c r="K3" i="480"/>
  <c r="O33" i="488"/>
  <c r="R31" i="487"/>
  <c r="R29" i="486"/>
  <c r="V10" i="480" l="1"/>
  <c r="V3" i="480"/>
  <c r="V12" i="480"/>
  <c r="V13" i="480"/>
  <c r="R16" i="476" l="1"/>
  <c r="P9" i="476" l="1"/>
  <c r="P8" i="476"/>
  <c r="P7" i="476"/>
  <c r="P6" i="476"/>
  <c r="P5" i="476"/>
  <c r="P4" i="476"/>
  <c r="R29" i="476" l="1"/>
  <c r="E7" i="180" l="1"/>
  <c r="M7" i="180"/>
  <c r="J7" i="180"/>
  <c r="I7" i="180"/>
  <c r="G7" i="180"/>
  <c r="F7" i="180"/>
  <c r="D7" i="180"/>
  <c r="B7" i="180"/>
  <c r="A3" i="180"/>
  <c r="K7" i="180"/>
  <c r="C7" i="180" l="1"/>
  <c r="H7" i="180" l="1"/>
  <c r="L7" i="180" s="1"/>
  <c r="R17" i="495"/>
  <c r="K5" i="480" l="1"/>
  <c r="R17" i="496"/>
  <c r="S19" i="496"/>
  <c r="T19" i="496" s="1"/>
  <c r="R20" i="496" l="1"/>
  <c r="K7" i="480"/>
  <c r="V7" i="480"/>
  <c r="V9" i="480" l="1"/>
  <c r="V17" i="480"/>
  <c r="V16" i="480"/>
  <c r="V8" i="480"/>
  <c r="V18" i="480"/>
  <c r="V5" i="480"/>
  <c r="V4" i="480"/>
  <c r="V19" i="480"/>
  <c r="V15" i="480"/>
  <c r="V6" i="480"/>
  <c r="C24" i="480" l="1" a="1"/>
  <c r="C24" i="480" s="1"/>
  <c r="D24" i="480" s="1"/>
  <c r="F24" i="480" s="1"/>
  <c r="T8" i="480"/>
  <c r="T9" i="480"/>
  <c r="T10" i="480"/>
  <c r="T11" i="480"/>
  <c r="T12" i="480"/>
  <c r="T3" i="480"/>
  <c r="T17" i="480"/>
  <c r="T14" i="480"/>
  <c r="T15" i="480"/>
  <c r="T16" i="480"/>
  <c r="T5" i="480"/>
  <c r="T18" i="480"/>
  <c r="T19" i="480"/>
  <c r="T20" i="480"/>
  <c r="T4" i="480"/>
  <c r="T6" i="480"/>
  <c r="T7" i="480"/>
  <c r="T13" i="480"/>
  <c r="G29" i="480" l="1"/>
  <c r="F31" i="480"/>
  <c r="D41" i="480"/>
  <c r="F33" i="480"/>
  <c r="G35" i="480"/>
  <c r="F45" i="480"/>
  <c r="G40" i="480"/>
  <c r="F38" i="480"/>
  <c r="D36" i="480"/>
  <c r="F39" i="480"/>
  <c r="G34" i="480"/>
  <c r="F32" i="480"/>
  <c r="D34" i="480"/>
  <c r="F41" i="480"/>
  <c r="G33" i="480"/>
  <c r="F35" i="480"/>
  <c r="G30" i="480"/>
  <c r="D31" i="480"/>
  <c r="G39" i="480"/>
  <c r="D39" i="480"/>
  <c r="G44" i="480"/>
  <c r="F42" i="480"/>
  <c r="D40" i="480"/>
  <c r="D29" i="480"/>
  <c r="G38" i="480"/>
  <c r="F36" i="480"/>
  <c r="D42" i="480"/>
  <c r="G37" i="480"/>
  <c r="F43" i="480"/>
  <c r="F44" i="480"/>
  <c r="D43" i="480"/>
  <c r="F29" i="480"/>
  <c r="G32" i="480"/>
  <c r="F30" i="480"/>
  <c r="F28" i="480"/>
  <c r="D44" i="480"/>
  <c r="D37" i="480"/>
  <c r="G42" i="480"/>
  <c r="F40" i="480"/>
  <c r="D28" i="480"/>
  <c r="G41" i="480"/>
  <c r="D33" i="480"/>
  <c r="D38" i="480"/>
  <c r="G31" i="480"/>
  <c r="F37" i="480"/>
  <c r="G36" i="480"/>
  <c r="F34" i="480"/>
  <c r="D32" i="480"/>
  <c r="G45" i="480"/>
  <c r="D45" i="480"/>
  <c r="G28" i="480"/>
  <c r="D30" i="480"/>
  <c r="G43" i="480"/>
  <c r="D35" i="48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<sst xmlns="http://schemas.openxmlformats.org/spreadsheetml/2006/main" count="2470" uniqueCount="349">
  <si>
    <t>UNIDAD ADMINISTRATIVA ESPECIAL DE AERONAUTICA CIVIL</t>
  </si>
  <si>
    <t>OBJETO:REALIZAR LA INTERVENTORIA INTEGRAL A ESTUDIOS, DISEÑOS Y MANTENIMIENTO DE LA PISTA, CALLE DE RODAJE Y PLATAFORMA DEL AEROPUERTO DE MONTELÍBANO, CÓRDOBA.</t>
  </si>
  <si>
    <t>PROPONENTES</t>
  </si>
  <si>
    <t>REQUISITOS HABILITANTES</t>
  </si>
  <si>
    <t>REQUISITOS DE PONDERACION</t>
  </si>
  <si>
    <t xml:space="preserve">EVALUACION FINAL </t>
  </si>
  <si>
    <t>PUNTAJE TOTAL</t>
  </si>
  <si>
    <t>OBSERVACIONES</t>
  </si>
  <si>
    <r>
      <t xml:space="preserve">EXPERIENCIA GENERAL DEL PROPONENTE
 MIN </t>
    </r>
    <r>
      <rPr>
        <b/>
        <sz val="12"/>
        <color rgb="FFFF0000"/>
        <rFont val="Calibri"/>
        <family val="2"/>
        <scheme val="minor"/>
      </rPr>
      <t>XXXXX SMMLV</t>
    </r>
    <r>
      <rPr>
        <b/>
        <sz val="12"/>
        <color theme="1"/>
        <rFont val="Calibri"/>
        <family val="2"/>
        <scheme val="minor"/>
      </rPr>
      <t xml:space="preserve">
 (811015 O 801016)</t>
    </r>
  </si>
  <si>
    <t>EXPERIENCIA EQUIPO DE TRABAJO</t>
  </si>
  <si>
    <t>EXPERIENCIA PONDERABLE DEL PROPONENTE</t>
  </si>
  <si>
    <t>PERSONAL EN CONDICION DE DISCAPACIDAD</t>
  </si>
  <si>
    <t>APOYO A LA INDUSTRIA NACIONAL</t>
  </si>
  <si>
    <t>Contrato No.1</t>
  </si>
  <si>
    <t>Contrato No.2</t>
  </si>
  <si>
    <t>Contrato No.3</t>
  </si>
  <si>
    <t>Contrato No.4</t>
  </si>
  <si>
    <r>
      <t xml:space="preserve">CARTA DE COMPROMISO </t>
    </r>
    <r>
      <rPr>
        <b/>
        <sz val="10"/>
        <color rgb="FFFF0000"/>
        <rFont val="Calibri"/>
        <family val="2"/>
        <scheme val="minor"/>
      </rPr>
      <t>DIRECTOR DE INTERVENTORIA Y RESIDENTE DE INTERVENTORIA</t>
    </r>
  </si>
  <si>
    <t>PUNTAJE
 (MAX 89)</t>
  </si>
  <si>
    <t>PUNTAJE
 (MAX 1 PTO)</t>
  </si>
  <si>
    <t>PUNTAJE 
(MAX 10 PTS)</t>
  </si>
  <si>
    <t>No.</t>
  </si>
  <si>
    <t>EVALUADOR RESPONSABLE</t>
  </si>
  <si>
    <t>PROPONENTE</t>
  </si>
  <si>
    <t>EXPERIENCIA GENERAL</t>
  </si>
  <si>
    <t>EXPERIENCIA ESPECIFICA</t>
  </si>
  <si>
    <t>TRATO NACIONAL</t>
  </si>
  <si>
    <t>DISCAPACIDAD</t>
  </si>
  <si>
    <t>FACTOR DE CALIDAD</t>
  </si>
  <si>
    <t>EMPRENDIMIENTO MUJER</t>
  </si>
  <si>
    <t>MIPYME</t>
  </si>
  <si>
    <t>CONSIDERACIONES PARA LA VALIDEZ DE LA EXPERIENCIA REQUERIDA</t>
  </si>
  <si>
    <t>Obra Inconclusa</t>
  </si>
  <si>
    <t>Puntaje oferta economica</t>
  </si>
  <si>
    <t>Total</t>
  </si>
  <si>
    <t>GUILLERMO LINARES</t>
  </si>
  <si>
    <t>UT LETICIA 40.</t>
  </si>
  <si>
    <t>SEBASTIAN GOMEZ</t>
  </si>
  <si>
    <t>CONSORCIO MANTENIMIENTOS LETICIA 1240.</t>
  </si>
  <si>
    <t>MICHELL MORENO</t>
  </si>
  <si>
    <t>CONSORCIO KART</t>
  </si>
  <si>
    <t>CONSORCIO DISEÑO PISTA</t>
  </si>
  <si>
    <t>Consorcio AERO MANTENIMIENTO</t>
  </si>
  <si>
    <t>CONSORCIO INFRAESTRUCTURA MEJORADA 2025</t>
  </si>
  <si>
    <t>CONSORCIO AEROCERIAS</t>
  </si>
  <si>
    <t>CONSORCIO OBRAS RJ</t>
  </si>
  <si>
    <t>CONSORCIO PLOMERANS</t>
  </si>
  <si>
    <t>CONSORCIO TIERRA LETICIA 1240</t>
  </si>
  <si>
    <t>CONSORCIO SC AMAZON</t>
  </si>
  <si>
    <t>H.A.H CONSTRUCCIONES S.A.S</t>
  </si>
  <si>
    <t>CONSORCIO ALFA</t>
  </si>
  <si>
    <t>GRU S.A.S</t>
  </si>
  <si>
    <t>CONSORCIO CRC 20-24</t>
  </si>
  <si>
    <t>CONSORCIO INFRAESTRUCTURA DBC</t>
  </si>
  <si>
    <t>CONSORCIO ECO OBRAS COINCO</t>
  </si>
  <si>
    <t>CONSORCIO OBRAS LA SABANA</t>
  </si>
  <si>
    <t>PROPONENTE CON EL MAYOR PUNTAJE</t>
  </si>
  <si>
    <t>Maximo Putaje</t>
  </si>
  <si>
    <t>Consorcio con el mayor puntaje</t>
  </si>
  <si>
    <t>No. De proponente</t>
  </si>
  <si>
    <t>ORDEN</t>
  </si>
  <si>
    <t>NOMBRE DEL CONSORCIO O UT O EMPRESA</t>
  </si>
  <si>
    <t>PUNTAJE</t>
  </si>
  <si>
    <t>24001240 H4 2024</t>
  </si>
  <si>
    <t>SI</t>
  </si>
  <si>
    <t>CUMPLE</t>
  </si>
  <si>
    <t>REALIZAR EL MANTENIMIENTO DE LA INFRAESTRUCTURA FISICA LADO TIERRA, INCLUYENDO SISTEMAS AEROPORTUARIOS DEL AEROPUERTO VASQUEZ COBO DE LA CIUDAD DE LETICIA (VF)</t>
  </si>
  <si>
    <t>NO</t>
  </si>
  <si>
    <t>NO CUMPLE</t>
  </si>
  <si>
    <t>% PO</t>
  </si>
  <si>
    <t>APORTANTE DE LA EXPERIENCIA - GENERAL</t>
  </si>
  <si>
    <t>VIACOL INGENIEROS CONTRATISTAS S.A.S.     NIT. 900.034.836-1</t>
  </si>
  <si>
    <t>INVERSIONES 3 PALOS S.A.S.     NIT. 901.301.657-9</t>
  </si>
  <si>
    <t>INTERBEST S.A.S.     NIT. 901.458.192-0</t>
  </si>
  <si>
    <t>De 1 hasta 2</t>
  </si>
  <si>
    <t>De 3 hasta 4</t>
  </si>
  <si>
    <t>Hasta 5</t>
  </si>
  <si>
    <t>TOTAL</t>
  </si>
  <si>
    <t>CODIGOS</t>
  </si>
  <si>
    <t>72121100
72151500
72103300
72121400</t>
  </si>
  <si>
    <t>PRESUPUESTO A EVALUAR  (P.O)</t>
  </si>
  <si>
    <t>PO SMMLV</t>
  </si>
  <si>
    <t>Registro Nacional de Obras Civiles Inconclusas</t>
  </si>
  <si>
    <t>REQUISITOS HABILITANTES (CUMPLE /NO CUMPLE)</t>
  </si>
  <si>
    <t xml:space="preserve">EXPERIENCIA GENERAL PROPONENTE </t>
  </si>
  <si>
    <t>OBRAS DE CONSTRUCCCION O RECONSTRUCCIÓN O AMPLIACIÓN O CONSERVACIÓN O ADECUACIÓN O MANTENIMIENTO O REFORZAMIENTO ESTRUCTURAL O REHABILITACIÓN ESTRUCTURAL DE: EDIFICACIONES NO RESIDENCIALES.</t>
  </si>
  <si>
    <t>CTO´S</t>
  </si>
  <si>
    <t>No. CONSECUTIVO EN EL RUP</t>
  </si>
  <si>
    <t>CONTRATANTE</t>
  </si>
  <si>
    <t>INFO DEL CONTRATO</t>
  </si>
  <si>
    <t>PRESENTA DOCUMENTOS ENLISTADOS</t>
  </si>
  <si>
    <t>CUMPLE CODIGOS
72121100
72151500
72103300
72121400</t>
  </si>
  <si>
    <t>CUMPLE EXPERIENCIA?</t>
  </si>
  <si>
    <t>QUIEN APORTA LA EXPERIENCIA?</t>
  </si>
  <si>
    <t>AÑO DE TERMINACION DEL CONTRATO</t>
  </si>
  <si>
    <t>VALOR TOTAL EN PESOS</t>
  </si>
  <si>
    <t>VALOR TOTAL SMMLV - RUP</t>
  </si>
  <si>
    <t>% PARTICIPACION</t>
  </si>
  <si>
    <t>VALOR TOTAL AFECTADO</t>
  </si>
  <si>
    <t>CUMPLE / NO CUMPLE</t>
  </si>
  <si>
    <t>CTO 1</t>
  </si>
  <si>
    <t>AERONAUTICA CIVIL</t>
  </si>
  <si>
    <t>21000893 H3 DE 2021 REALIZAR ESTUDIOS, DISEÑOS, Y CONSTRUCCION DE: PLATAFORMA ASISTENCIA EN TIERRA DE AERONAVES, VÌA INTERNA; ADECUACIONES Y MANTENIMIENTO LADO AIRE Y LADO TIERRA DEL AEROPUERTO EL EDÈN DE ARMENIA</t>
  </si>
  <si>
    <t>VIACOL INGENIEROS E INVERSIONES 3 PALOS</t>
  </si>
  <si>
    <t>16/12/2022</t>
  </si>
  <si>
    <t>CTO 2</t>
  </si>
  <si>
    <t>800317 - OH - 2008 Mantenimiento del cerramiento pista y torre de control del aeropuerto de san vicente del Caguan</t>
  </si>
  <si>
    <t>VIACOL INGENIEROS E INTERBEST</t>
  </si>
  <si>
    <t>18/08/2009</t>
  </si>
  <si>
    <t>CTO 3</t>
  </si>
  <si>
    <t>6000394 - OJ - 2006 Ampliación, Mantenimiento y Mejoramiento de la infraestructura aeroportuaria Aeropuerto de Tumaco - Nariño.</t>
  </si>
  <si>
    <t>20/06/2007</t>
  </si>
  <si>
    <t>CTO 4</t>
  </si>
  <si>
    <t>CTO 5</t>
  </si>
  <si>
    <t>CTO 6</t>
  </si>
  <si>
    <t xml:space="preserve">EVALUACION EXPERIENCIA GENERAL PROPONENTE </t>
  </si>
  <si>
    <t xml:space="preserve">EXPERIENCIA ESPECIFICA PROPONENTE </t>
  </si>
  <si>
    <t>50% PO</t>
  </si>
  <si>
    <t>VALOR TOTAL EN PESOS (2007)</t>
  </si>
  <si>
    <t>EVALUACION OFERTA ECONOMICA</t>
  </si>
  <si>
    <t>PUNTAJE ASIGNADO</t>
  </si>
  <si>
    <t>EVALUACIÓN APOYO A LA INDUSTRIA NACIONAL( MAX 20 PUNTOS) NUMERAL 4.3.</t>
  </si>
  <si>
    <t>SERVICIOS NACIONALES</t>
  </si>
  <si>
    <t>Para que el proponente obtenga puntaje por servicios nacionales debe presentar: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las Cámaras de Comercio.</t>
  </si>
  <si>
    <t>PROPONENTE EXTRANJERO PUNTAJE POR TRATO NACIONAL</t>
  </si>
  <si>
    <t>Para que el proponente extranjero obtenga puntaje por trato nacional debe acreditar que los servicios 
son originarios de los estados mencionados en la sección de acuerdos comerciales aplicables al 
presente proceso de contratación, información que se acreditará con los documentos que aporte el 
proponente extranjero para acreditar su domicilio.
Para asignar el puntaje por servicios nacionales o por trato nacional el proponente nacional o 
extranjero con trato nacional no deben presentar el Formato 7 – Puntaje de Industria Nacional. 
Únicamente deberán presentar los documentos señalados en esta sección.</t>
  </si>
  <si>
    <r>
      <rPr>
        <b/>
        <sz val="18"/>
        <color theme="1"/>
        <rFont val="Arial"/>
        <family val="2"/>
      </rPr>
      <t xml:space="preserve">NOTA: </t>
    </r>
    <r>
      <rPr>
        <sz val="18"/>
        <color theme="1"/>
        <rFont val="Arial"/>
        <family val="2"/>
      </rPr>
      <t xml:space="preserve">La entidad asignará veinte (20) puntos a un proponente plural cuando todos sus integrantes 
cumplan con las anteriores condiciones. Cuando uno de sus integrantes no cumpla con las 
condiciones descritas no obtendrá puntaje por servicios nacionales o trato Nacional.
El Formato 7 – Puntaje de Industria Nacional únicamente debe ser aportado por los proponentes 
extranjeros sin derecho a trato nacional que opten por incorporar personal calificado. En el evento 
que un proponente nacional o extranjero con trato nacional lo presente, no será una razón para no 
otorgar el puntaje de promoción de servicios nacionales o con trato nacional. </t>
    </r>
  </si>
  <si>
    <t>EVALUACIÓN VINCULACIÓN DE PERSONAS CON DISCAPACIDAD. (MAX 1 PUNTO) NUMERAL 4.4.</t>
  </si>
  <si>
    <t>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t>
  </si>
  <si>
    <t>Para esto debe presentar: i) el Formato 6 – Vinculación de personas en condición de discapacidad suscrito por la persona natural, el representante legal o el revisor fiscal, según corresponda en el cual certifique el número total de trabajadores vinculados a la planta de personal del proponente o sus integrantes a la fecha de cierre del proceso de selección, ii) acreditar el número mínimo de personas con discapacidad en su planta de personal, de conformidad con lo señalado en el certificado expedido por el Ministerio de Trabajo, el cual deberá estar vigente a la fecha de cierre del proceso de selección.</t>
  </si>
  <si>
    <t>Para los proponentes plurales, la entidad tendrá en cuenta la planta de personal del integrante del proponente plural que aporte como mínimo el cuarenta por ciento (40%) de la experiencia requerida para el proceso de contratación. Este porcentaje de experiencia se tomará sobre el “Valor mínimo a certificar (como % del presupuesto oficial expresado en SMMLV)” de conformidad con el numeral 3.8.1, sin importar si la experiencia es general o específica.</t>
  </si>
  <si>
    <t>FACTOR DE CALIDAD (19 PTS)</t>
  </si>
  <si>
    <t>(i) implementación del programa de gerencia de proyectos (19)
La entidad asignará 19 puntos, al proponente que se comprometa a instaurar un programa de gerencia de proyectos mediante la suscripción del Formato 7A – Programa de gerencia de proyectos, en el cual bajo la gravedad de juramento conste el compromiso que en este sentido asume.</t>
  </si>
  <si>
    <t>EMPRENDIMIENTO MUJERES</t>
  </si>
  <si>
    <t>Para que el Proponente obtenga este puntaje debe diligenciar el Formato 12 – Acreditación de emprendimientos y empresas de mujeres y aportar la documentación requerida.
Tratándose de Proponentes Plurales este puntaje solo se otorgará si por lo menos uno de los integrantes acredita la calidad de emprendimientos y empresas de mujeres y tiene una participación igual o superior al diez por ciento (10 %) en el Consorcio o en la Unión Temporal.</t>
  </si>
  <si>
    <t>MiPYME</t>
  </si>
  <si>
    <t>Así las cosas, para obtener el puntaje, el Proponente entregará copia del certificado del Registro Único de Proponentes, el cual deberá encontrarse vigente y en firme al momento de su presentación
Tratándose de Proponentes Plurales este puntaje se otorgará si por lo menos uno de los integrantes acredita la calidad de Mipyme y tiene una participación igual o superior al diez por ciento (10 %) en el Consorcio o en la Unión Temporal</t>
  </si>
  <si>
    <t>OBRAS CIVILES INCONCLUSAS</t>
  </si>
  <si>
    <t>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En todo caso, no se descontará el puntaje en los términos previstos en el inciso anterior cuando el Proponente no oferte el factor de calidad, por lo que éste obtendrá cero (0) puntos en este criterio de evaluación. En esta circunstancia, la Entidad no podrá reducir el puntaje de la sumatoria obtenida en los demás factores de ponderación.</t>
  </si>
  <si>
    <t>EVALUACION FINAL</t>
  </si>
  <si>
    <t>OBJETO</t>
  </si>
  <si>
    <t>CONSTURCCIONES MEDIOS Y DISEÑOS ARQUITECTONICOS S.A.S - NIT: 830.089.986-0</t>
  </si>
  <si>
    <t>CONCREARK - NIT: 901.552.523-7</t>
  </si>
  <si>
    <t>Concreark construcciones S.A.S
RUP 3</t>
  </si>
  <si>
    <t>AEROCIVIL</t>
  </si>
  <si>
    <t>CONSTRUCCION DEL TERMINAL, TORRE DE CONTROL CUARTEL DE BOMBEROS, BODEGA DE CARGA Y PLATAFORMA DEL AEROPUERTO GUSTAVO ARTUNDUAGA PAREDES DE FLORENCIA
9000331-OK-2019</t>
  </si>
  <si>
    <t>CONCREARK CONSTRUCCIONES S.A.S</t>
  </si>
  <si>
    <t>27-01-2011</t>
  </si>
  <si>
    <t>MEDIARQ
RUP 4</t>
  </si>
  <si>
    <t>SENA</t>
  </si>
  <si>
    <t>CONTRATAR LOS ESTUDIOS TECNICOS, DISEÑOS Y CONSTRUCCIÓN DE LA SEDE  E FORMACIÓN DEL SENA EN EL MUNICIPIO  E PUERTO GAITAN</t>
  </si>
  <si>
    <t>ONSTURCCIONES MEDIOS Y DISEÑOS ARQUITECTONICOS S.A.S 
20%</t>
  </si>
  <si>
    <t>18-09-15</t>
  </si>
  <si>
    <t>Concreark construcciones S.A.S
RUP 29</t>
  </si>
  <si>
    <t>Concreark construcciones S.A.S
60%</t>
  </si>
  <si>
    <t>kaxa S.A.S 901.590.857-3</t>
  </si>
  <si>
    <t>ARIETE INGENIERIA Y CONSTRUCCION S.A.S 900.593.828-1</t>
  </si>
  <si>
    <t>30
146</t>
  </si>
  <si>
    <t>aeronautica civil</t>
  </si>
  <si>
    <t>kaxa S.A.S 901.590.857-3
ARIETE INGENIERIA Y CONSTRUCCION S.A.S 900.593.828-1</t>
  </si>
  <si>
    <t>armada nacional</t>
  </si>
  <si>
    <t>029-ARCCBN2-
2019 CONTRATAR EL MANTENIMIENTO
PREVENTIVO Y/O CORRECTIVO Y/O
RECUPERATIVO DE MANERA INTEGRAL Y A
TODO COSTO, POR EL SISTEMA DE PRECIOS
UNITARIOS FIJOS Y SIN FÓRMULA DE
REAJUSTE, DE LAS INSTALACIONES DE LA
ARMADA NACIONAL EN EL PACIFICO
COLOMBIANO.</t>
  </si>
  <si>
    <t>15/09/2019</t>
  </si>
  <si>
    <t>Ok</t>
  </si>
  <si>
    <t>SERIN S.A.S. - SERVICIOS INTEGRALES DE INGENIERÍA S.A.S.     NIT. 901.058.985-8</t>
  </si>
  <si>
    <t>CONSULTORÍA Y CONSTRUCCIÓN ESPECIALIZADA S.A.S.     NIT. 900.597.433-2</t>
  </si>
  <si>
    <t>20001103 H4 DE 2020 RVLC0783 ADECUAR SALAS DE ENTRENAMIENTO OPERACIONAL PARA EL PERSONAL DE CONTROLADORES AEREOS REGIONAL VALLE</t>
  </si>
  <si>
    <t>SERIN S.A.S. - SERVICIOS INTEGRALES DE INGENIERÍA S.A.S.</t>
  </si>
  <si>
    <t>30/12/2020</t>
  </si>
  <si>
    <t>IMEDYTEC SALUD IPS S.A.S.</t>
  </si>
  <si>
    <t>2015 - DOT - 001 REFORZAMIENTOESTRUCTURAL,ADECUACCIONYAMPLIAIONDELACLINICASANTABARBARA,LOCALIZADAENLACIUDADDEARAUCA, ARAUCA.</t>
  </si>
  <si>
    <t>CONSULTORÍA Y CONSTRUCCIÓN ESPECIALIZADA S.A.S.</t>
  </si>
  <si>
    <t>27/01/2017</t>
  </si>
  <si>
    <t>23000835 HA 2023 MANTENERLAINFRAESTRUCTURA AEROPORTUARIADEEDIFICACIONESLADOTIERRAAEROPUERTOELEDENDE ARMENIA</t>
  </si>
  <si>
    <t>22/12/2023</t>
  </si>
  <si>
    <t>22001124 H4 DE 2022 MEJORARYMANTENERINFRAESTRUCTURAAEROPUERTOLAFLORIDA DE TUMACO</t>
  </si>
  <si>
    <t>24/03/2023</t>
  </si>
  <si>
    <t>INARCO P y C SAS NIT: 900642398-5</t>
  </si>
  <si>
    <t>SIRIUS INGENIERIA SAS NIT:901259306-1</t>
  </si>
  <si>
    <t>INARCO
RUP 5</t>
  </si>
  <si>
    <t>ALCALDIA DE SASAIMA</t>
  </si>
  <si>
    <t>MANTENIMIENTO,ADECUACION,CONSERVACION Y CONSTRUCCION DE BIENES INMUEBLES (AUDITORIO, PLAZA DE TOROS, BAÑOS PUBLICOS, COCINA PLAZA, HOGAR COMUNITARIO Y TIENDA DEL CAFÉ)DEL MUNICIPIO DE SASAIMA CUNDINAMARCA, INCLUYE AJUSTE A LOS ESTUDIOS Y DISEÑOS DEL MUNICIPIO DE SASAIMA CUNDINAMARCA</t>
  </si>
  <si>
    <t>si</t>
  </si>
  <si>
    <t>INARCO P y C SAS</t>
  </si>
  <si>
    <t>INARCO RUP 3                                             SIRIUS RUP 6</t>
  </si>
  <si>
    <t>FISCALIA GENERAL DE LA NACION</t>
  </si>
  <si>
    <t>CONTRATAR POR EL SISTEMA DE PRECIOS UNITARIOS FIJOS SIN FORMULA DE REAJUSTE, EL MANTENIMIENTO, MEJORAMIENTO, ADECUACIONES, PREVENTIVAS Y CORRECTIVAS DE LAS SEDES DE LA FISCALIA GENERALDE LA NACION REGIOMNAL NORORIENTAL</t>
  </si>
  <si>
    <t>INARCO P y C SAS 40%
SIRIUS INGNIERIA SAS 60%</t>
  </si>
  <si>
    <t>INARCO RUP 4                           SIRIUS RUP 7</t>
  </si>
  <si>
    <t>ARMADA NACIONAL - BASE NAVAL ARC ORINOQUIA</t>
  </si>
  <si>
    <t>MANTENIMIENTO PREVENTIVO Y/O CORRECTIVO A TODO COSTO DE LA INFRAESTRUCTURA FISICA Y DE SANEAMIENTO, DE LAS UNIDADES ORGANICAS DE LA FUERZA NAVAL DEL ORIENTE</t>
  </si>
  <si>
    <t>INARCO RUP 8</t>
  </si>
  <si>
    <t>FAC</t>
  </si>
  <si>
    <t>MANTENIMIENTO PREVENTIVO, CORRECTIVO, MEJORATIVO Y ADQUISICIÓN DE EQUIPOS PARA LAS INSTALACIONES AERONAUTICAS Y NO AERONAUTICAS DEL CACOM-5"</t>
  </si>
  <si>
    <t>INARCO RUP 1</t>
  </si>
  <si>
    <t>CONTRATAR EL MANTENIMIENTO DE LAS TORRES DE CONTROL DE LOS AEROPUERTOS DE RIONEGRO - ATIOQUIA, MONTERIA - CORDOBA Y CAREPA ANTIOQUIA</t>
  </si>
  <si>
    <t>INARCO RUP14
SIRIUS RUP11</t>
  </si>
  <si>
    <t>REALIZAR EL MANTENIMIENTO LADO TIERRA DEL AEROPUERTO ALFREDO VASQUEZ COBO DE LETICIA, AMAZONAS.</t>
  </si>
  <si>
    <t>INARCO P y C SAS 50%
SIRIUS INGNIERIA SAS 50%</t>
  </si>
  <si>
    <t>CTO 7</t>
  </si>
  <si>
    <t>INARCO RUP96</t>
  </si>
  <si>
    <t xml:space="preserve">BASE NAVAL ARC ORINOQUIA </t>
  </si>
  <si>
    <t xml:space="preserve">MANTENIMIENTO DE LA INFRAESTRUCTURA FISICA Y DE SANEAMIENTO  DE LAS UNIDADES ORGANICAS DE LA FUERZA NAVAL DEL ORIENTE </t>
  </si>
  <si>
    <t>GRUPO EMPRESARIAL CONCAS S.A.S. / NIT: 901.028.153-9</t>
  </si>
  <si>
    <t>CACR INGENIERIA Y CONSTRUCCIONES S.A.S. / NIT: 900.574.256-6</t>
  </si>
  <si>
    <t>MUNICIPIO
BARRANCA DE UPIA -
META</t>
  </si>
  <si>
    <t>129 DE 2014 CONSTRUCCIÓN DE DOS
BLOQUES DE SEIS (6) AULAS A Y
B CON RAMPAS DE ACCESO Y
ESCALERA DE ACCESO EN
BLOQUE B EN EL COLEGIO
FRANCISCO WALTER, MUNICIPIO
DE BARRANCA DE UPÍA – META.</t>
  </si>
  <si>
    <t>CACR INGENIERIA
Y
CONSTRUCCIONE
S S.A.S</t>
  </si>
  <si>
    <t>28/12/2014</t>
  </si>
  <si>
    <t>UNIDAD
ADMINISTRATIVA
ESPECIAL DE
AERONÁUTICA CIVIL -
AEROCIVIL</t>
  </si>
  <si>
    <t>22001163-H4
DE 2022 MANTENER LAS EDIFICACIONES
DE TORRE DE CONTROL, BASE
SEI, CANILES, CASA DE
PLANTAS Y TERMINAL DEL
AEROPUERTO FABIO LEON
BENTLEY DE MITU</t>
  </si>
  <si>
    <t>GRUPO
EMPRESARIAL
CONCAS S.A.S</t>
  </si>
  <si>
    <t>DIMAR OBRAS DE INGENIERIA S.A.S.     NIT. 901.474272-9</t>
  </si>
  <si>
    <t>IP INVERSIONES Y PROYECTOS S.A.S.      NIT. 901.267.297-5</t>
  </si>
  <si>
    <t>30% PO</t>
  </si>
  <si>
    <t>22001088 H4 23400C1047 REALIZAR
MANTENIMIENTO DE LA
INFRAESTRUCTURA
AEROPORTUARIA DE LAS AREAS
A CARGO DE LA AEROCIVIL EN
EL AEROPUERTO DE RIONEGRO</t>
  </si>
  <si>
    <t>DIMAR OBRAS DE INGENIERIA S.A.S.</t>
  </si>
  <si>
    <t>15/12/2022</t>
  </si>
  <si>
    <t>EMPRESA INMOBILIARIA CUNDINAMARQUESA</t>
  </si>
  <si>
    <t>CONTRATO DE OBRA CIVIL No. 042 - 12 REALIZAR LAS OBRAS DE
REMODELACION Y ADECUACION
DE ALGUNAS AREAS DENTRO
DEL CENTRO DE ALTO
RENDIMIENTO DE
CUNDINAMARCA, UBICADO EN
LA CALLE 15 No. 19-65 DEL
MUNICIPIO DE FUSAGASUGA
(CUNDINAMARCA)</t>
  </si>
  <si>
    <t>IP INVERSIONES Y PROYECTOS S.A.S.</t>
  </si>
  <si>
    <t>POLICIA NACIONAL</t>
  </si>
  <si>
    <t>06-6-10208-22 MANTENIMIENTO PREVENTIVO Y
CORRECTIVO PARA LAS
INSTALACIONES DE LA POLICIA
NACIONAL, CON EJECUCION
POR TRACTO SUCESIVO, A
PRECIOS UNITARIOS FIJOS SIN
FORMULA DE REAJUSTE</t>
  </si>
  <si>
    <t>31/08/2023</t>
  </si>
  <si>
    <t>INSTITUTO NACIONAL DE MEDICINA LEGAL Y CIENCIAS</t>
  </si>
  <si>
    <t>364-SG-2014 CONSTRUCCION Y DOTACION
SEDE MEDICINA LEGAL
SECCIONAL MAGDALENA SANTA
MARTA - PRIMERA ETAPA</t>
  </si>
  <si>
    <t>XXXXXXXXXX</t>
  </si>
  <si>
    <t>X</t>
  </si>
  <si>
    <t>XXXXXXXXXXXXX</t>
  </si>
  <si>
    <t>RAELJA INGENIERÍA S.A.S.
RUP 81</t>
  </si>
  <si>
    <t>INSTITUTO COLOMBIANO DE CREDITO EDUCATIVO Y ESTUDIOS TECNICOS EN EL EXTERIOR "MARIANO OSPINA PEREZ" - ICETEX</t>
  </si>
  <si>
    <t>CONTRATAR A PRECIOS UNITARIOS, SIN FORMULA DE AJUSTE, LAS OBRAS DE ADECUACION FISICA, ELECTRICA Y DOTACION CON INSTALACION DEL NUEVO PUNTO DE ATENCION DEL ICETEX, UBICADO EN LA CALLE 57 No 8-69 LOCALES 46,48 Y 50 EN LA CIUDAD DE BOGOTA</t>
  </si>
  <si>
    <t>RAELJA INGENIERÍA S.A.S.</t>
  </si>
  <si>
    <t>RAELJA INGENIERÍA S.A.S.
RUP 92</t>
  </si>
  <si>
    <t>INSTITUTO COLOMBIANO AGROPECUARIO - ICA</t>
  </si>
  <si>
    <t>ADECUACION Y MANTENIMIENTO DEL LABORATORIO NACIONAL DE INSUMOS AGRICOLAS - LANIA, LABORATORIO NACIONAL DE INSUMOS PECUARIOS - LANIP, ESTACION DE CUARENTENA VEGETAL LANIP, AREA ADMINISTRATIVA LNDV. LABORATORIO NACIONAL DE DIAGNOSTICO VETERINARIO Y AREA GRUPO DE GESTION CALIDAD ANALITICA, LNDV.</t>
  </si>
  <si>
    <t>RAELJA INGENIERÍA S.A.S.
RUP 110</t>
  </si>
  <si>
    <t>UNIDAD ADMINISTRATIVA ESPECIAL AERONAUTICA CIVIL - AEROCIVIL</t>
  </si>
  <si>
    <t>MANTENIMIENTO, CONSERVACION Y ADECUACION DE LA INFRAESTRUCTURA AEROPORTUARIA DE LOS AEROPUERTOS DE FLANDES, CHAPARRAL, NEIVA, MARIQUITA, IBAGUE Y PITALITO.</t>
  </si>
  <si>
    <t>JOPB INGENIERÍA S.A.S.
RUP 83</t>
  </si>
  <si>
    <t xml:space="preserve">MUNICIPIO DE IBAGUE </t>
  </si>
  <si>
    <t>CONTRATAR EL MANTENIMIENTO PREVENTIVO Y CORRECTIVO DE LOS BIENES INMUEBLES A CARGO DE LA SECRETARÍA ADMINISTRATIVA DE LA ALCALDÍA DE IBAGUÉ.</t>
  </si>
  <si>
    <t>JOPB INGENIERÍA S.A.S.</t>
  </si>
  <si>
    <t>CUMPLE CODIGOS721211
721214</t>
  </si>
  <si>
    <t>JOSE EDGAR SALINAS MARTINEZ CC 17344965</t>
  </si>
  <si>
    <t>PLOMERIA &amp; MAS S.A.S NIT 901212904-1</t>
  </si>
  <si>
    <t>CARLOS ANDRES CANDANOZA REY CC 79983947</t>
  </si>
  <si>
    <t>MUNICIPIO DE VISTAHERMOSA</t>
  </si>
  <si>
    <t>MEJORAMIENTO DE LA INFRAESTRUCTURA DE LOS CENTROS DE SALUD UBICADOS EN LOS CENTROS POBLADOS DE CAMPOALEGRE, PIÑALITO Y SANTO DOMINGO EN EL MUNICIPIO DE VISTAHERMOSA - META</t>
  </si>
  <si>
    <t>CARLOS ANDRES CANDANOZA REY</t>
  </si>
  <si>
    <t>30/03/2015</t>
  </si>
  <si>
    <t>16000400-H4- 2016 MANTENIMIENTO Y ADECUACION DEL ANTIGUO TERMINAL DEL AEROPUERTO SAN LUIS ALDANA NARIÑO DE LA CIUDAD DE IPIALES</t>
  </si>
  <si>
    <t>JOSE EDGAR SALINAS MARTINEZ</t>
  </si>
  <si>
    <t>30/03/2017</t>
  </si>
  <si>
    <t>MEJORAMIENTO DE PISTA, PLATAFORMA, CALLES DE RODAJE, FRANJAS DE SEGURIDAD, CANALES E INFRAESTRUCTURA COMPLEMENTARIA, INCLUYE SUMINISTRO E INSTALACIÓN DE AYUDAS VISUALES AEROPUERTO SANTIAGO VILA DE FLANDES (VF)</t>
  </si>
  <si>
    <t>INFINIA S.A.S.     NIT. 901.519.839-1</t>
  </si>
  <si>
    <t>GRUPO FAO S.A.S.     NIT. 901.484.861-1</t>
  </si>
  <si>
    <t>16000316-H4-2016-MANTENIMIENTO DEL TERMINAL, CUARTEL DE BOMBEROS, TORRE DE CONTROL E INFRAESTRUCTURA COMPLEMENTARIA DEL AEROPUERTO GERARDO TOVAR DE BUENAVENTURA</t>
  </si>
  <si>
    <t>INFINIA S.A.S.</t>
  </si>
  <si>
    <t>31/01/2017</t>
  </si>
  <si>
    <t>13000207-OJ-2013-EJECUTAR LAS OBRAS PARA EL MANTENIMIENTO DEL TERMINAL DE PASAJEROS, TORRE DE CONTROL, CENTRO DE AERONAVEGACIÓN DEL CARIBE Y CERRAMIENTO DEL AEROPUERTO ERNESTO CORTISSOZ DE BARRANQUILLA</t>
  </si>
  <si>
    <t>21/03/2014</t>
  </si>
  <si>
    <t>14000152-OK-2014-LA CONSTRUCCIÓN DEL TERMINAL, TORRE DE CONTROL Y OBRAS DE INFRAESTRUCTURA COMPLEMENTARIAS PARA EL AEROPUERTO ANTONIO NARIÑO DE LA CIUDAD DE PASTO</t>
  </si>
  <si>
    <t>24/11/2018</t>
  </si>
  <si>
    <t>20000780-02-H4-REALIZAR EL MANTENIMIENTO LADO AIRE Y LADO TIERRA DEL AEROPUERTO VANGUARDIA DE VILLAVICENCIO META</t>
  </si>
  <si>
    <t>GRUPO FAO S.A.S.</t>
  </si>
  <si>
    <t>28/02/2021</t>
  </si>
  <si>
    <t>Observaciones:</t>
  </si>
  <si>
    <t>SOCIEDAD COLOMBIANA DE INGENIERIA Y CONSTRUCCION S.A.S - NIT: 901392890-8</t>
  </si>
  <si>
    <t>CONALTEC INGENIERIA S.A.S - NIT: 900630271-8</t>
  </si>
  <si>
    <t>RUP 16</t>
  </si>
  <si>
    <t>ONSTRUCCION DEL TERMINAL, TORRE DE CONTROL CUARTEL DE BOMBEROS, OBRAS DE URBANISMO, VIAS DE ACCESO Y PLATAFORMA DEL AEROPUERTO "EL ALCARAVAN" DE LA CIUDAD DE YOPAL, DEL DEPARTAMENTO DEL CASANARE</t>
  </si>
  <si>
    <t>SOCIEDAD COLOMBIANA DE INGENIERIA Y CONSTRUCCIÓN S.A.S</t>
  </si>
  <si>
    <t>RUP 10</t>
  </si>
  <si>
    <t>UNIVERSIDAD MILITAR NUEVA GRANADA</t>
  </si>
  <si>
    <t>REALIZAR LA CONSTRUCCION Y DOTACION DEL MOBILIARIO DEL EDIFICIO DE PSOGRADOS E  NVESTIGACION, EN EL CAMPUS NUEVA GRANADA EN CAJICA, SEGÚN LAS ESPECIFICACIONES Y LAS CANTIDADES CONSIGNADA EN EL PRESUPUESTO, POR LA MODALIDAD DE PRECIOS UNITARIOS, DE CONFORMIDAD CON LAS ESPECIFICACIONES Y CANTIDADES SEÑALDAS EN LOS PLIEGOS DE CONDICIONES DE LA INVITACION PUBLICA nO 001 DE 2012 Y SUS ADENDAS, PLANOS ADJUNTOS Y EN LA PROPUESTA DE FECHA 4 DE</t>
  </si>
  <si>
    <t>H.A.H CONSTRUCCIONES S.A.S 9004317169</t>
  </si>
  <si>
    <t>POLICIA NACIONAL - DIRECCIÓN DE INTELIGENCIA POLICIAL</t>
  </si>
  <si>
    <t>04-6-10037/2014 ADECUACIÓN SECCIONALES DE INTELIGENCIA BUCARAMANGA, ATLÁNTICO, CÓRDOBA Y CAQUETÁ</t>
  </si>
  <si>
    <t>H.A.H. CONSTRUCCIONES S.A.S</t>
  </si>
  <si>
    <t>30/12/2014</t>
  </si>
  <si>
    <t>UNIDAD ADMINISTRATIVA ESPECIAL AERONAUTICA CIVIL</t>
  </si>
  <si>
    <t>2000506 H3 DE 2020 REALIZAR EL MANTENIMIENTO PERMANENTE AL CGAC Y TORRE DE CONTROL DE EL DORADO</t>
  </si>
  <si>
    <t>31/12/2020</t>
  </si>
  <si>
    <t>MINISTERIO DE DEFENSA NACIONAL – ARMADA NACIONAL BASE NAVAL ARC “SAN ANDRÉS</t>
  </si>
  <si>
    <t>2201220000549 ORDEN DE RECONSTRUCCIÓN A CONSECUENCIA DE LA OCURRENCIA DEL HURACÁN IOTA QUE AFECTÓ LAS INSTALACIONES DEL COMANDO ESPECÍFICO DE SAN ANDRÉS Y PROVIDENCIA - CESYP.</t>
  </si>
  <si>
    <t>21/08/2022</t>
  </si>
  <si>
    <t>VÍAS Y CANALES S.A.S.     NIT. 830.070.241-9</t>
  </si>
  <si>
    <t>OCTAVIO AUGUSTO MORALES AYALA     C.C. 79.455.505</t>
  </si>
  <si>
    <t>HOSPITAL REGIONAL DE LIBANO TOLIMA ESE</t>
  </si>
  <si>
    <t>203 DEL 14 DE SEPTIEMBRE 2009-ADECUACIÓN Y REMODELACIÓN DEL ÁREA DE URGENCIAS DEL HOSPITAL REGIONAL DEL LIBANO E.S.E.</t>
  </si>
  <si>
    <t>OCTAVIO AUGUSTO MORALES AYALA</t>
  </si>
  <si>
    <t>16/12/2009</t>
  </si>
  <si>
    <t>18000988 H4 DE 2018-ESTUDIOS, DISEÑOS Y CONSTRUCCIÓN DE LAS OBRAS PARA LA PUESTA EN FUNCIONAMIENTO DEL TERMINAL, TORRE DE CONTROL, CERRAMIENTO Y PTAR DEL AEROPUERTO ANTONIO NARIÑO DE PASTO</t>
  </si>
  <si>
    <t>VIAS Y CANALES S.A.S.</t>
  </si>
  <si>
    <t>30/09/2019</t>
  </si>
  <si>
    <t>GRU S.A.S - NIT: 830128894-1</t>
  </si>
  <si>
    <t>CONSEJO SUPERIOR DE LA JUDICATURA</t>
  </si>
  <si>
    <t>Realizar las obras de construcción de la Sede de los Despachos 
Judiciales de Los Patios Norte de Santander</t>
  </si>
  <si>
    <t xml:space="preserve">contratar la construcción de la torre de control y electrificación con 
red comercial del aeropuerto Germán Olano de Puerto Carreño </t>
  </si>
  <si>
    <t>GRUPO RC CONSTRUCCINES SAS 901.505.928-6</t>
  </si>
  <si>
    <t>CONSTRUCCIONES SAS SIGLA CPJ ING&amp;CONS</t>
  </si>
  <si>
    <t>EDUBAR</t>
  </si>
  <si>
    <t>CONSTRUCCION, ADECUACION, MEJORAMIENTO Y MANTENIMINETO DE LAS INSTITUCIONES EDUCATIVAS OFICIALES DE LOS MUNICIPIOS NO CERTIFICADOS DEL DEPARTAMENTO DEL ATLANTICO</t>
  </si>
  <si>
    <t>CPJ INGENIERIA S.A.S</t>
  </si>
  <si>
    <t>15/10/2023</t>
  </si>
  <si>
    <t>UNIDAD ADMINISTRATIVA ESPECIAL DE AERONAUTICA CIVIL-AEROCIVIL</t>
  </si>
  <si>
    <t>REALIZAR EL MANTENIMINETO DE LA TORRE DE CONTROL AEROPUERTO ERNESTO CORTISOZ DE BARRANQUILLA</t>
  </si>
  <si>
    <t>GRUPO RC</t>
  </si>
  <si>
    <t>31/12/2023</t>
  </si>
  <si>
    <t>DONADO ARCE &amp; COMPAÑIA S.A.S.      NIT. 890.111.275-4</t>
  </si>
  <si>
    <t>CONVEG S.A.S.       NIT. 901.519.494-2</t>
  </si>
  <si>
    <t>BIOCONSTRUYE S.A.S.      NIT. 901.443.277-2</t>
  </si>
  <si>
    <t>23000953 H4 DE 2023-REALIZAR EL MANTENIMIENTO DE LA TORRE DE CONTROL AEROPUERTO ERNESTO CORTISSOZ DE BARANQUILLA</t>
  </si>
  <si>
    <t>BIOCONSTRUYE S.A.S.</t>
  </si>
  <si>
    <t>EMPRESA DE DESARROLLO URBANO DE BQUILLA Y LA REGIÓN CARIBE - EDUBAR S.A.</t>
  </si>
  <si>
    <t>EDU-353-2022-CONSTRUCCIÓN, ADECUACIÓN, MEJORAMIENTO Y MANTENIMIENTO DE LAS INSTITUCIONES EDUCATIVAS OFICIALES DE LOS MUNICIPIOS NO CERTIFICADOS DEL DEPARTAMENTO DEL ATLANTICO.</t>
  </si>
  <si>
    <t>DONADO ARCE &amp; COMPAÑIA S.A.S.</t>
  </si>
  <si>
    <t>COINCO DE COLOMBIA S.A.S - NIT: 900736214-3</t>
  </si>
  <si>
    <t>ECO OBRAS DE COLOMBIA S.A.S - NIT: 900811995-8</t>
  </si>
  <si>
    <t>COINCO DE COLOMBIA S.A.S
RUP 78</t>
  </si>
  <si>
    <t>MUNICIPIO DE 
PUERTO 
COLOMBIA_x000D_</t>
  </si>
  <si>
    <t>MANTENIMIENTO Y
MEJORAMIENTO DE LA SEDE
DE LA ALCALDIA DEL
MUNICIPIO DE PUERTO
COLOMBIA, DEPARTAMENTO
DEL ATLÁNTICO.</t>
  </si>
  <si>
    <t>COINCO DE COLOMBIA S.A.S</t>
  </si>
  <si>
    <t>ECO OBRAS DE COLOMBIA S.A.S RUP 23</t>
  </si>
  <si>
    <t>UNIDAD 
ADMIISTRATIVA 
ESPECIAL DE 
AERONAUTICA 
CIVIL_x000D_</t>
  </si>
  <si>
    <t>MANTENIMIENTO DE OBRAS
CIVILES Y EDIFICACION DEL
AEROPUERTOHARICATAMADE 
AGUACHICA</t>
  </si>
  <si>
    <t xml:space="preserve">ECO OBRAS DE COLOMBIA S.A.S </t>
  </si>
  <si>
    <t>ECO OBRAS DE COLOMBIA S.A.S RUP 24</t>
  </si>
  <si>
    <t>MANTENIMIENTO DE LA TORRE
DE CONTROL DEL
AEROPUERTO LAS BRUJAS DE
COROZAL, INCLUYE
ADECUACION DE AREA DE
ACCESO Y OFICINA DE
OBSERVACION DE
METROLOGIA._x000D_</t>
  </si>
  <si>
    <t>CONSTRUCTORA &amp; FERRETERIA LA SABANA SAS</t>
  </si>
  <si>
    <t>PROYECTISTAS CONSTRUCTORES ASOCIADOS
PCA S.A.S</t>
  </si>
  <si>
    <t>EJECUCION DE LAS OBRAS PÁRA LA AMPLIACION DE LA TORRE DE CONTROL DEL AEROPUERTO JUAN CASIANO SOLIS DE GUAPI</t>
  </si>
  <si>
    <t>29/09/2010</t>
  </si>
  <si>
    <t>MUNICIPIO DE COTA</t>
  </si>
  <si>
    <t>CONSTRUCCION DE LA NUEVA SEDE DE LA UNIDAD EDUCATIVA CAMILO TORRES</t>
  </si>
  <si>
    <t>PROYECTISTAS CONSTRUCTORES ASOCIADOS PCA SAS</t>
  </si>
  <si>
    <t>29/11/2017</t>
  </si>
  <si>
    <t>El valor del contrato en SMMLV de uno (1) de los contratos válidos aportados para la acreditación de la experiencia general, deberá ser igual o mayor al 50% del valor del PRESUPUESTO OFICIAL (PO) del presente Proceso de Contratación.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</si>
  <si>
    <t>029-ARCCBN2- 2019 CONTRATAR EL MANTENIMIENTO PREVENTIVO Y/O CORRECTIVO Y/O RECUPERATIVO DE MANERA INTEGRAL Y A TODO COSTO, POR EL SISTEMA DE PRECIOS UNITARIOS FIJOS Y SIN FÓRMULA DE REAJUSTE, DE LAS INSTALACIONES DE LA ARMADA NACIONAL EN EL PACIFICO COLOMBIANO.</t>
  </si>
  <si>
    <t xml:space="preserve">Observaciones:   
-  NO CUMPLE EVALUACIÓN DE PERSONAS CON DISCAPACIDAD DEBIDO A QUE EL CERTIFICADO DE MINTRABAJO NO CUMPLE CON VIGENCIA DE 6 MESES.                                                                 </t>
  </si>
  <si>
    <t>CONSTRUCCION DEL TERMINAL, TORRE DE CONTROL CUARTEL DE BOMBEROS, OBRAS DE URBANISMO, VIAS DE ACCESO Y PLATAFORMA DEL AEROPUERTO "EL ALCARAVAN" DE LA CIUDAD DE YOPAL, DEL DEPARTAMENTO DEL CASANARE</t>
  </si>
  <si>
    <t>20000820 H4 DE 2020 REALIZAR EL MANTENIMIENTO DE LAS EDIFICACIONES A CARGO DE LA AEROCIVIL DEL AEROPUERTO ERNESTO CORTISSOZ DE BARRANQUILLA, ATLANTICO</t>
  </si>
  <si>
    <t>22001163-H4 DE 2022 MANTENER LAS EDIFICACIONES DE TORRE DE CONTROL, BASE SEI, CANILES, CASA DE PLANTAS Y TERMINAL DEL AEROPUERTO FABIO LEON BENTLEY DE MITU</t>
  </si>
  <si>
    <t xml:space="preserve">Observaciones: </t>
  </si>
  <si>
    <t>Observaciones: CTO2 expeiencia general No cumple con los codigos. Por lo tanto no se valida como experiencia especifica</t>
  </si>
  <si>
    <t>MEDIARQ
RUP 4
Concreark construcciones S.A.S
RUP 29</t>
  </si>
  <si>
    <t xml:space="preserve">CONSTURCCIONES MEDIOS Y DISEÑOS ARQUITECTONICOS S.A.S 
20%
Concreark construcciones S.A.S
60%
</t>
  </si>
  <si>
    <t>Observaciones: no cumple oferta economica, la justificacion de precio artificialmente bajo, esta mal calculada.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</si>
</sst>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_);\(&quot;$&quot;#,##0\)"/>
    <numFmt numFmtId="165" formatCode="_(* #,##0.00_);_(* \(#,##0.00\);_(* &quot;-&quot;??_);_(@_)"/>
    <numFmt numFmtId="166" formatCode="_-&quot;$&quot;* #,##0_-;\-&quot;$&quot;* #,##0_-;_-&quot;$&quot;* &quot;-&quot;_-;_-@_-"/>
    <numFmt numFmtId="167" formatCode="_-&quot;$&quot;* #,##0.00_-;\-&quot;$&quot;* #,##0.00_-;_-&quot;$&quot;* &quot;-&quot;??_-;_-@_-"/>
    <numFmt numFmtId="168" formatCode="_-* #,##0.00\ &quot;€&quot;_-;\-* #,##0.00\ &quot;€&quot;_-;_-* &quot;-&quot;??\ &quot;€&quot;_-;_-@_-"/>
    <numFmt numFmtId="169" formatCode="_(&quot;$&quot;\ * #,##0.00_);_(&quot;$&quot;\ * \(#,##0.00\);_(&quot;$&quot;\ * &quot;-&quot;??_);_(@_)"/>
    <numFmt numFmtId="170" formatCode="_([$€]* #,##0.00_);_([$€]* \(#,##0.00\);_([$€]* &quot;-&quot;??_);_(@_)"/>
    <numFmt numFmtId="171" formatCode="_ * #,##0.00_ ;_ * \-#,##0.00_ ;_ * &quot;-&quot;??_ ;_ @_ "/>
    <numFmt numFmtId="172" formatCode="_(* #.##0.00_);_(* \(#.##0.00\);_(* &quot;-&quot;??_);_(@_)"/>
    <numFmt numFmtId="173" formatCode="_-* #,##0.00\ &quot;Pts&quot;_-;\-* #,##0.00\ &quot;Pts&quot;_-;_-* &quot;-&quot;??\ &quot;Pts&quot;_-;_-@_-"/>
    <numFmt numFmtId="174" formatCode="_ &quot;$&quot;\ * #,##0.00_ ;_ &quot;$&quot;\ * \-#,##0.00_ ;_ &quot;$&quot;\ * &quot;-&quot;??_ ;_ @_ "/>
    <numFmt numFmtId="175" formatCode="_-&quot;$&quot;* #.##0.00_-;\-&quot;$&quot;* #.##0.00_-;_-&quot;$&quot;* &quot;-&quot;??_-;_-@_-"/>
    <numFmt numFmtId="176" formatCode="_ * #,##0_ ;_ * \-#,##0_ ;_ * &quot;-&quot;_ ;_ @_ "/>
    <numFmt numFmtId="177" formatCode="&quot;$&quot;#.00"/>
    <numFmt numFmtId="178" formatCode="m\o\n\th\ d\,\ yyyy"/>
    <numFmt numFmtId="179" formatCode="#.00"/>
    <numFmt numFmtId="180" formatCode="#."/>
    <numFmt numFmtId="181" formatCode="_-* #,##0\ _P_t_s_-;\-* #,##0\ _P_t_s_-;_-* &quot;-&quot;\ _P_t_s_-;_-@_-"/>
    <numFmt numFmtId="182" formatCode="#,##0.00_ ;\-#,##0.00\ "/>
    <numFmt numFmtId="183" formatCode="_(* #,##0_);_(* \(#,##0\);_(* &quot;-&quot;??_);_(@_)"/>
    <numFmt numFmtId="184" formatCode="_([$$-409]* #,##0.00_);_([$$-409]* \(#,##0.00\);_([$$-409]* &quot;-&quot;??_);_(@_)"/>
    <numFmt numFmtId="185" formatCode="_(* #,##0.0_);_(* \(#,##0.0\);_(* &quot;-&quot;??_);_(@_)"/>
    <numFmt numFmtId="186" formatCode="#,##0_ ;\-#,##0\ "/>
    <numFmt numFmtId="187" formatCode="_ &quot;$&quot;\ * #,##0_ ;_ &quot;$&quot;\ * \-#,##0_ ;_ &quot;$&quot;\ * &quot;-&quot;_ ;_ @_ "/>
    <numFmt numFmtId="188" formatCode="&quot;$&quot;\ #,##0.00;[Red]&quot;$&quot;\ \-#,##0.00"/>
    <numFmt numFmtId="189" formatCode="_(&quot;C$&quot;* #,##0.00_);_(&quot;C$&quot;* \(#,##0.00\);_(&quot;C$&quot;* &quot;-&quot;??_);_(@_)"/>
    <numFmt numFmtId="190" formatCode="0.0"/>
  </numFmts>
  <fonts count="100">
    <font>
      <sz val="11"/>
      <color theme="1"/>
      <name val="Calibri"/>
      <family val="2"/>
      <scheme val="minor"/>
    </font>
    <font>
      <sz val="11"/>
      <color theme="1"/>
      <name val="Calibri"/>
      <family val="2"/>
      <scheme val="minor"/>
    </font>
    <font>
      <sz val="10"/>
      <name val="Arial"/>
      <family val="2"/>
    </font>
    <font>
      <b/>
      <sz val="18"/>
      <name val="Arial"/>
      <family val="2"/>
    </font>
    <font>
      <sz val="11"/>
      <color indexed="8"/>
      <name val="Calibri"/>
      <family val="2"/>
    </font>
    <font>
      <u/>
      <sz val="11"/>
      <color theme="10"/>
      <name val="Calibri"/>
      <family val="2"/>
      <scheme val="minor"/>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sz val="11"/>
      <color indexed="60"/>
      <name val="Calibri"/>
      <family val="2"/>
    </font>
    <font>
      <sz val="10"/>
      <color indexed="64"/>
      <name val="Arial"/>
      <family val="2"/>
    </font>
    <font>
      <sz val="10"/>
      <color indexed="8"/>
      <name val="MS Sans Serif"/>
      <family val="2"/>
    </font>
    <font>
      <sz val="10"/>
      <name val="Century Gothic"/>
      <family val="2"/>
    </font>
    <font>
      <b/>
      <sz val="11"/>
      <color indexed="63"/>
      <name val="Calibri"/>
      <family val="2"/>
    </font>
    <font>
      <sz val="11"/>
      <color indexed="10"/>
      <name val="Calibri"/>
      <family val="2"/>
    </font>
    <font>
      <b/>
      <sz val="18"/>
      <color indexed="56"/>
      <name val="Cambria"/>
      <family val="2"/>
    </font>
    <font>
      <b/>
      <sz val="11"/>
      <color indexed="8"/>
      <name val="Calibri"/>
      <family val="2"/>
    </font>
    <font>
      <sz val="8"/>
      <name val="Arial"/>
      <family val="2"/>
    </font>
    <font>
      <sz val="10"/>
      <name val="MS Sans Serif"/>
      <family val="2"/>
    </font>
    <font>
      <sz val="1"/>
      <color indexed="8"/>
      <name val="Courier"/>
      <family val="3"/>
    </font>
    <font>
      <sz val="10"/>
      <name val="Helv"/>
      <charset val="204"/>
    </font>
    <font>
      <b/>
      <sz val="1"/>
      <color indexed="8"/>
      <name val="Courier"/>
      <family val="3"/>
    </font>
    <font>
      <u/>
      <sz val="10"/>
      <color indexed="12"/>
      <name val="Arial"/>
      <family val="2"/>
    </font>
    <font>
      <b/>
      <sz val="12"/>
      <name val="Arial"/>
      <family val="2"/>
    </font>
    <font>
      <i/>
      <sz val="1"/>
      <color indexed="8"/>
      <name val="Courier"/>
      <family val="3"/>
    </font>
    <font>
      <b/>
      <sz val="14"/>
      <color theme="1"/>
      <name val="Arial"/>
      <family val="2"/>
    </font>
    <font>
      <sz val="11"/>
      <color theme="1"/>
      <name val="Arial"/>
      <family val="2"/>
    </font>
    <font>
      <b/>
      <sz val="11"/>
      <color theme="1"/>
      <name val="Arial"/>
      <family val="2"/>
    </font>
    <font>
      <b/>
      <sz val="11"/>
      <color theme="1"/>
      <name val="Calibri"/>
      <family val="2"/>
      <scheme val="minor"/>
    </font>
    <font>
      <b/>
      <sz val="18"/>
      <color theme="1"/>
      <name val="Calibri"/>
      <family val="2"/>
      <scheme val="minor"/>
    </font>
    <font>
      <b/>
      <sz val="18"/>
      <color theme="1"/>
      <name val="Arial"/>
      <family val="2"/>
    </font>
    <font>
      <b/>
      <sz val="16"/>
      <color theme="1"/>
      <name val="Calibri"/>
      <family val="2"/>
      <scheme val="minor"/>
    </font>
    <font>
      <b/>
      <sz val="12"/>
      <color theme="1"/>
      <name val="Calibri"/>
      <family val="2"/>
      <scheme val="minor"/>
    </font>
    <font>
      <b/>
      <sz val="18"/>
      <color rgb="FF0070C0"/>
      <name val="Calibri"/>
      <family val="2"/>
      <scheme val="minor"/>
    </font>
    <font>
      <b/>
      <sz val="18"/>
      <name val="Calibri"/>
      <family val="2"/>
      <scheme val="minor"/>
    </font>
    <font>
      <sz val="11"/>
      <color theme="0"/>
      <name val="Arial"/>
      <family val="2"/>
    </font>
    <font>
      <b/>
      <sz val="14"/>
      <name val="Calibri"/>
      <family val="2"/>
      <scheme val="minor"/>
    </font>
    <font>
      <sz val="48"/>
      <color theme="1"/>
      <name val="Arial"/>
      <family val="2"/>
    </font>
    <font>
      <b/>
      <sz val="12"/>
      <color rgb="FFFF0000"/>
      <name val="Arial"/>
      <family val="2"/>
    </font>
    <font>
      <b/>
      <sz val="24"/>
      <color theme="1"/>
      <name val="Arial"/>
      <family val="2"/>
    </font>
    <font>
      <sz val="14"/>
      <color theme="1"/>
      <name val="Arial"/>
      <family val="2"/>
    </font>
    <font>
      <b/>
      <sz val="26"/>
      <color theme="1"/>
      <name val="Arial"/>
      <family val="2"/>
    </font>
    <font>
      <b/>
      <sz val="22"/>
      <color theme="1"/>
      <name val="Arial"/>
      <family val="2"/>
    </font>
    <font>
      <b/>
      <sz val="12"/>
      <color theme="1"/>
      <name val="Arial"/>
      <family val="2"/>
    </font>
    <font>
      <b/>
      <i/>
      <sz val="18"/>
      <color theme="1"/>
      <name val="Arial"/>
      <family val="2"/>
    </font>
    <font>
      <sz val="12"/>
      <color theme="1"/>
      <name val="Arial"/>
      <family val="2"/>
    </font>
    <font>
      <b/>
      <i/>
      <sz val="14"/>
      <color theme="1"/>
      <name val="Arial"/>
      <family val="2"/>
    </font>
    <font>
      <sz val="12"/>
      <name val="Arial"/>
      <family val="2"/>
    </font>
    <font>
      <b/>
      <sz val="20"/>
      <color rgb="FF002060"/>
      <name val="Arial"/>
      <family val="2"/>
    </font>
    <font>
      <b/>
      <sz val="10"/>
      <name val="Arial"/>
      <family val="2"/>
    </font>
    <font>
      <b/>
      <sz val="18"/>
      <color theme="0"/>
      <name val="Arial"/>
      <family val="2"/>
    </font>
    <font>
      <b/>
      <sz val="14"/>
      <color theme="1"/>
      <name val="Calibri"/>
      <family val="2"/>
      <scheme val="minor"/>
    </font>
    <font>
      <b/>
      <sz val="10"/>
      <color rgb="FFFF0000"/>
      <name val="Calibri"/>
      <family val="2"/>
      <scheme val="minor"/>
    </font>
    <font>
      <sz val="12"/>
      <color theme="1"/>
      <name val="Calibri"/>
      <family val="2"/>
      <scheme val="minor"/>
    </font>
    <font>
      <b/>
      <sz val="12"/>
      <color rgb="FFFF0000"/>
      <name val="Calibri"/>
      <family val="2"/>
      <scheme val="minor"/>
    </font>
    <font>
      <sz val="14"/>
      <color theme="1"/>
      <name val="Calibri"/>
      <family val="2"/>
      <scheme val="minor"/>
    </font>
    <font>
      <b/>
      <sz val="11"/>
      <color rgb="FFFF0000"/>
      <name val="Arial"/>
      <family val="2"/>
    </font>
    <font>
      <b/>
      <sz val="20"/>
      <color rgb="FFFF0000"/>
      <name val="Arial"/>
      <family val="2"/>
    </font>
    <font>
      <b/>
      <sz val="10"/>
      <color rgb="FF000000"/>
      <name val="Arial Narrow Special G1"/>
      <family val="2"/>
      <charset val="2"/>
    </font>
    <font>
      <b/>
      <sz val="22"/>
      <color theme="0"/>
      <name val="Arial"/>
      <family val="2"/>
    </font>
    <font>
      <b/>
      <i/>
      <sz val="14"/>
      <color theme="0"/>
      <name val="Arial"/>
      <family val="2"/>
    </font>
    <font>
      <sz val="9"/>
      <color theme="1"/>
      <name val="Arial"/>
      <family val="2"/>
    </font>
    <font>
      <u/>
      <sz val="14"/>
      <color theme="10"/>
      <name val="Calibri"/>
      <family val="2"/>
      <scheme val="minor"/>
    </font>
    <font>
      <b/>
      <sz val="14"/>
      <color rgb="FFFF0000"/>
      <name val="Arial"/>
      <family val="2"/>
    </font>
    <font>
      <b/>
      <sz val="26"/>
      <color rgb="FF002060"/>
      <name val="Arial"/>
      <family val="2"/>
    </font>
    <font>
      <b/>
      <sz val="14"/>
      <name val="Arial"/>
      <family val="2"/>
    </font>
    <font>
      <sz val="22"/>
      <name val="Arial"/>
      <family val="2"/>
    </font>
    <font>
      <u/>
      <sz val="20"/>
      <color theme="10"/>
      <name val="Calibri"/>
      <family val="2"/>
      <scheme val="minor"/>
    </font>
    <font>
      <sz val="12"/>
      <color rgb="FF333333"/>
      <name val="Open Sans"/>
      <family val="2"/>
    </font>
    <font>
      <i/>
      <sz val="22"/>
      <color theme="1"/>
      <name val="Arial"/>
      <family val="2"/>
    </font>
    <font>
      <sz val="18"/>
      <color theme="1"/>
      <name val="Arial"/>
      <family val="2"/>
    </font>
    <font>
      <b/>
      <sz val="20"/>
      <color theme="1"/>
      <name val="Arial"/>
      <family val="2"/>
    </font>
    <font>
      <b/>
      <sz val="12"/>
      <color rgb="FF002060"/>
      <name val="Arial"/>
      <family val="2"/>
    </font>
    <font>
      <b/>
      <sz val="16"/>
      <color theme="1"/>
      <name val="Arial"/>
      <family val="2"/>
    </font>
    <font>
      <sz val="8"/>
      <color theme="1"/>
      <name val="Calibri"/>
      <family val="2"/>
      <scheme val="minor"/>
    </font>
    <font>
      <sz val="11"/>
      <color rgb="FF000000"/>
      <name val="Calibri"/>
      <family val="2"/>
    </font>
    <font>
      <sz val="10"/>
      <color rgb="FF000000"/>
      <name val="Times New Roman"/>
      <family val="1"/>
    </font>
    <font>
      <sz val="10"/>
      <color rgb="FF000000"/>
      <name val="Times New Roman"/>
      <family val="1"/>
    </font>
    <font>
      <sz val="12"/>
      <color theme="1"/>
      <name val="Arial"/>
      <family val="2"/>
    </font>
    <font>
      <sz val="11"/>
      <color theme="1"/>
      <name val="Arial"/>
      <family val="2"/>
    </font>
    <font>
      <b/>
      <sz val="12"/>
      <name val="Arial"/>
      <family val="2"/>
    </font>
    <font>
      <b/>
      <sz val="12"/>
      <color theme="1"/>
      <name val="Arial"/>
      <family val="2"/>
    </font>
    <font>
      <sz val="12"/>
      <name val="Arial"/>
      <family val="2"/>
    </font>
    <font>
      <b/>
      <sz val="12"/>
      <color rgb="FFFF0000"/>
      <name val="Arial"/>
      <family val="2"/>
    </font>
    <font>
      <sz val="12"/>
      <color rgb="FF333333"/>
      <name val="Open Sans"/>
      <family val="2"/>
    </font>
    <font>
      <sz val="11"/>
      <name val="Arial"/>
      <family val="2"/>
    </font>
    <font>
      <sz val="11"/>
      <color rgb="FF000000"/>
      <name val="Arial"/>
      <family val="2"/>
    </font>
    <font>
      <sz val="10"/>
      <color rgb="FF000000"/>
      <name val="Arial"/>
      <family val="2"/>
    </font>
    <font>
      <b/>
      <sz val="18"/>
      <color rgb="FF002060"/>
      <name val="Arial"/>
      <family val="2"/>
    </font>
    <font>
      <b/>
      <sz val="28"/>
      <color rgb="FF002060"/>
      <name val="Arial"/>
      <family val="2"/>
    </font>
    <font>
      <b/>
      <sz val="36"/>
      <color rgb="FF002060"/>
      <name val="Arial"/>
      <family val="2"/>
    </font>
    <font>
      <b/>
      <sz val="18"/>
      <color rgb="FFFF0000"/>
      <name val="Arial"/>
      <family val="2"/>
    </font>
  </fonts>
  <fills count="39">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249977111117893"/>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1"/>
        <bgColor indexed="64"/>
      </patternFill>
    </fill>
    <fill>
      <patternFill patternType="solid">
        <fgColor rgb="FF50F828"/>
        <bgColor indexed="64"/>
      </patternFill>
    </fill>
    <fill>
      <patternFill patternType="solid">
        <fgColor rgb="FF00206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AFAFA"/>
        <bgColor indexed="64"/>
      </patternFill>
    </fill>
    <fill>
      <patternFill patternType="solid">
        <fgColor rgb="FFEEEEEE"/>
        <bgColor indexed="64"/>
      </patternFill>
    </fill>
    <fill>
      <patternFill patternType="solid">
        <fgColor theme="0" tint="-0.499984740745262"/>
        <bgColor indexed="64"/>
      </patternFill>
    </fill>
    <fill>
      <patternFill patternType="solid">
        <fgColor theme="0" tint="-0.14999847407452621"/>
        <bgColor indexed="64"/>
      </patternFill>
    </fill>
  </fills>
  <borders count="71">
    <border>
      <left/>
      <right/>
      <top/>
      <bottom/>
      <diagonal/>
    </border>
    <border>
      <left/>
      <right/>
      <top/>
      <bottom style="thin">
        <color auto="1"/>
      </bottom>
      <diagonal/>
    </border>
    <border>
      <left style="thin">
        <color auto="1"/>
      </left>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auto="1"/>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medium">
        <color rgb="FFC0C0C0"/>
      </left>
      <right/>
      <top style="medium">
        <color rgb="FFC0C0C0"/>
      </top>
      <bottom/>
      <diagonal/>
    </border>
    <border>
      <left style="medium">
        <color rgb="FFC0C0C0"/>
      </left>
      <right/>
      <top style="thick">
        <color rgb="FF0091D5"/>
      </top>
      <bottom/>
      <diagonal/>
    </border>
    <border>
      <left style="medium">
        <color rgb="FFC0C0C0"/>
      </left>
      <right style="medium">
        <color rgb="FFC0C0C0"/>
      </right>
      <top style="thick">
        <color rgb="FF0091D5"/>
      </top>
      <bottom/>
      <diagonal/>
    </border>
    <border>
      <left style="medium">
        <color rgb="FFC0C0C0"/>
      </left>
      <right style="medium">
        <color rgb="FFC0C0C0"/>
      </right>
      <top style="medium">
        <color rgb="FFC0C0C0"/>
      </top>
      <bottom/>
      <diagonal/>
    </border>
    <border>
      <left style="medium">
        <color rgb="FFC0C0C0"/>
      </left>
      <right/>
      <top style="medium">
        <color rgb="FFC0C0C0"/>
      </top>
      <bottom style="medium">
        <color rgb="FFC0C0C0"/>
      </bottom>
      <diagonal/>
    </border>
    <border>
      <left style="medium">
        <color rgb="FFC0C0C0"/>
      </left>
      <right style="medium">
        <color rgb="FFC0C0C0"/>
      </right>
      <top style="medium">
        <color rgb="FFC0C0C0"/>
      </top>
      <bottom style="medium">
        <color rgb="FFC0C0C0"/>
      </bottom>
      <diagonal/>
    </border>
    <border>
      <left style="thin">
        <color indexed="64"/>
      </left>
      <right style="thin">
        <color auto="1"/>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right style="medium">
        <color indexed="64"/>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C0C0C0"/>
      </left>
      <right/>
      <top/>
      <bottom/>
      <diagonal/>
    </border>
    <border>
      <left style="medium">
        <color rgb="FFC0C0C0"/>
      </left>
      <right style="medium">
        <color rgb="FFC0C0C0"/>
      </right>
      <top/>
      <bottom/>
      <diagonal/>
    </border>
    <border>
      <left style="medium">
        <color indexed="64"/>
      </left>
      <right style="medium">
        <color indexed="64"/>
      </right>
      <top style="medium">
        <color indexed="64"/>
      </top>
      <bottom/>
      <diagonal/>
    </border>
    <border>
      <left style="thin">
        <color rgb="FF000000"/>
      </left>
      <right style="thin">
        <color rgb="FF000000"/>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auto="1"/>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bottom style="thin">
        <color indexed="64"/>
      </bottom>
      <diagonal/>
    </border>
  </borders>
  <cellStyleXfs count="331">
    <xf numFmtId="0" fontId="0" fillId="0" borderId="0"/>
    <xf numFmtId="9" fontId="1" fillId="0" borderId="0" applyFont="0" applyFill="0" applyBorder="0" applyAlignment="0" applyProtection="0"/>
    <xf numFmtId="0" fontId="2" fillId="0" borderId="0"/>
    <xf numFmtId="165" fontId="4" fillId="0" borderId="0" applyFont="0" applyFill="0" applyBorder="0" applyAlignment="0" applyProtection="0"/>
    <xf numFmtId="0" fontId="5" fillId="0" borderId="0" applyNumberFormat="0" applyFill="0" applyBorder="0" applyAlignment="0" applyProtection="0"/>
    <xf numFmtId="0" fontId="2" fillId="0" borderId="0"/>
    <xf numFmtId="0" fontId="2" fillId="0" borderId="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0" borderId="0" applyNumberFormat="0" applyBorder="0" applyAlignment="0" applyProtection="0"/>
    <xf numFmtId="0" fontId="7" fillId="4" borderId="0" applyNumberFormat="0" applyBorder="0" applyAlignment="0" applyProtection="0"/>
    <xf numFmtId="0" fontId="8" fillId="5" borderId="0" applyNumberFormat="0" applyBorder="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9" fillId="21" borderId="7" applyNumberFormat="0" applyAlignment="0" applyProtection="0"/>
    <xf numFmtId="0" fontId="10" fillId="22" borderId="8" applyNumberFormat="0" applyAlignment="0" applyProtection="0"/>
    <xf numFmtId="0" fontId="11" fillId="0" borderId="9" applyNumberFormat="0" applyFill="0" applyAlignment="0" applyProtection="0"/>
    <xf numFmtId="0" fontId="10" fillId="22" borderId="8" applyNumberFormat="0" applyAlignment="0" applyProtection="0"/>
    <xf numFmtId="0" fontId="12" fillId="0" borderId="0" applyNumberFormat="0" applyFill="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0" borderId="0" applyNumberFormat="0" applyBorder="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170" fontId="2" fillId="0" borderId="0" applyFont="0" applyFill="0" applyBorder="0" applyAlignment="0" applyProtection="0"/>
    <xf numFmtId="0" fontId="14" fillId="0" borderId="0" applyNumberFormat="0" applyFill="0" applyBorder="0" applyAlignment="0" applyProtection="0"/>
    <xf numFmtId="0" fontId="8" fillId="5" borderId="0" applyNumberFormat="0" applyBorder="0" applyAlignment="0" applyProtection="0"/>
    <xf numFmtId="0" fontId="15" fillId="0" borderId="10" applyNumberFormat="0" applyFill="0" applyAlignment="0" applyProtection="0"/>
    <xf numFmtId="0" fontId="16" fillId="0" borderId="11" applyNumberFormat="0" applyFill="0" applyAlignment="0" applyProtection="0"/>
    <xf numFmtId="0" fontId="12" fillId="0" borderId="12" applyNumberFormat="0" applyFill="0" applyAlignment="0" applyProtection="0"/>
    <xf numFmtId="0" fontId="12" fillId="0" borderId="0" applyNumberFormat="0" applyFill="0" applyBorder="0" applyAlignment="0" applyProtection="0"/>
    <xf numFmtId="0" fontId="7" fillId="4" borderId="0" applyNumberFormat="0" applyBorder="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3" fillId="8" borderId="7" applyNumberFormat="0" applyAlignment="0" applyProtection="0"/>
    <xf numFmtId="0" fontId="11" fillId="0" borderId="9" applyNumberFormat="0" applyFill="0" applyAlignment="0" applyProtection="0"/>
    <xf numFmtId="165" fontId="2" fillId="0" borderId="0" applyFont="0" applyFill="0" applyBorder="0" applyAlignment="0" applyProtection="0"/>
    <xf numFmtId="171" fontId="2"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72"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2"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69" fontId="4" fillId="0" borderId="0" applyFont="0" applyFill="0" applyBorder="0" applyAlignment="0" applyProtection="0"/>
    <xf numFmtId="168" fontId="2" fillId="0" borderId="0" applyFont="0" applyFill="0" applyBorder="0" applyAlignment="0" applyProtection="0"/>
    <xf numFmtId="168" fontId="4" fillId="0" borderId="0" applyFont="0" applyFill="0" applyBorder="0" applyAlignment="0" applyProtection="0"/>
    <xf numFmtId="173" fontId="2" fillId="0" borderId="0" applyFont="0" applyFill="0" applyBorder="0" applyAlignment="0" applyProtection="0"/>
    <xf numFmtId="168" fontId="4" fillId="0" borderId="0" applyFont="0" applyFill="0" applyBorder="0" applyAlignment="0" applyProtection="0"/>
    <xf numFmtId="174" fontId="2" fillId="0" borderId="0" applyFont="0" applyFill="0" applyBorder="0" applyAlignment="0" applyProtection="0"/>
    <xf numFmtId="175" fontId="4" fillId="0" borderId="0" applyFont="0" applyFill="0" applyBorder="0" applyAlignment="0" applyProtection="0"/>
    <xf numFmtId="167" fontId="4" fillId="0" borderId="0" applyFont="0" applyFill="0" applyBorder="0" applyAlignment="0" applyProtection="0"/>
    <xf numFmtId="169" fontId="4" fillId="0" borderId="0" applyFont="0" applyFill="0" applyBorder="0" applyAlignment="0" applyProtection="0"/>
    <xf numFmtId="0" fontId="17" fillId="23" borderId="0" applyNumberFormat="0" applyBorder="0" applyAlignment="0" applyProtection="0"/>
    <xf numFmtId="0" fontId="2" fillId="0" borderId="0"/>
    <xf numFmtId="0" fontId="18" fillId="0" borderId="0"/>
    <xf numFmtId="0" fontId="1" fillId="0" borderId="0"/>
    <xf numFmtId="0" fontId="2" fillId="0" borderId="0"/>
    <xf numFmtId="0" fontId="19" fillId="0" borderId="0"/>
    <xf numFmtId="0" fontId="2" fillId="0" borderId="0"/>
    <xf numFmtId="0" fontId="20" fillId="0" borderId="0"/>
    <xf numFmtId="0" fontId="2" fillId="0" borderId="0"/>
    <xf numFmtId="0" fontId="2" fillId="0" borderId="0"/>
    <xf numFmtId="0" fontId="2" fillId="0" borderId="0"/>
    <xf numFmtId="0" fontId="19" fillId="0" borderId="0"/>
    <xf numFmtId="0" fontId="1" fillId="0" borderId="0"/>
    <xf numFmtId="0" fontId="2" fillId="0" borderId="0"/>
    <xf numFmtId="0" fontId="2" fillId="0" borderId="0"/>
    <xf numFmtId="0" fontId="1" fillId="0" borderId="0"/>
    <xf numFmtId="0" fontId="2" fillId="0" borderId="0"/>
    <xf numFmtId="0" fontId="1" fillId="0" borderId="0"/>
    <xf numFmtId="0" fontId="19" fillId="0" borderId="0"/>
    <xf numFmtId="0" fontId="1" fillId="0" borderId="0"/>
    <xf numFmtId="0" fontId="2" fillId="0" borderId="0"/>
    <xf numFmtId="0" fontId="2" fillId="0" borderId="0"/>
    <xf numFmtId="0" fontId="19" fillId="0" borderId="0"/>
    <xf numFmtId="0" fontId="2" fillId="0" borderId="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4" fillId="24" borderId="13" applyNumberFormat="0" applyFon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1" fillId="21" borderId="14" applyNumberFormat="0" applyAlignment="0" applyProtection="0"/>
    <xf numFmtId="0" fontId="22" fillId="0" borderId="0" applyNumberFormat="0" applyFill="0" applyBorder="0" applyAlignment="0" applyProtection="0"/>
    <xf numFmtId="0" fontId="14" fillId="0" borderId="0" applyNumberFormat="0" applyFill="0" applyBorder="0" applyAlignment="0" applyProtection="0"/>
    <xf numFmtId="0" fontId="23" fillId="0" borderId="0" applyNumberFormat="0" applyFill="0" applyBorder="0" applyAlignment="0" applyProtection="0"/>
    <xf numFmtId="0" fontId="15" fillId="0" borderId="10" applyNumberFormat="0" applyFill="0" applyAlignment="0" applyProtection="0"/>
    <xf numFmtId="0" fontId="16" fillId="0" borderId="11" applyNumberFormat="0" applyFill="0" applyAlignment="0" applyProtection="0"/>
    <xf numFmtId="0" fontId="12" fillId="0" borderId="12" applyNumberFormat="0" applyFill="0" applyAlignment="0" applyProtection="0"/>
    <xf numFmtId="0" fontId="23" fillId="0" borderId="0" applyNumberFormat="0" applyFill="0" applyBorder="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4" fillId="0" borderId="15" applyNumberFormat="0" applyFill="0" applyAlignment="0" applyProtection="0"/>
    <xf numFmtId="0" fontId="22" fillId="0" borderId="0" applyNumberFormat="0" applyFill="0" applyBorder="0" applyAlignment="0" applyProtection="0"/>
    <xf numFmtId="4" fontId="27" fillId="0" borderId="0">
      <protection locked="0"/>
    </xf>
    <xf numFmtId="177" fontId="27" fillId="0" borderId="0">
      <protection locked="0"/>
    </xf>
    <xf numFmtId="178" fontId="27" fillId="0" borderId="0">
      <protection locked="0"/>
    </xf>
    <xf numFmtId="0" fontId="3" fillId="0" borderId="0" applyNumberFormat="0" applyFill="0" applyBorder="0" applyAlignment="0" applyProtection="0"/>
    <xf numFmtId="0" fontId="31" fillId="0" borderId="0" applyNumberFormat="0" applyFill="0" applyBorder="0" applyAlignment="0" applyProtection="0"/>
    <xf numFmtId="0" fontId="28" fillId="0" borderId="0"/>
    <xf numFmtId="170" fontId="2" fillId="0" borderId="0" applyFont="0" applyFill="0" applyBorder="0" applyAlignment="0" applyProtection="0"/>
    <xf numFmtId="0" fontId="27" fillId="0" borderId="0">
      <protection locked="0"/>
    </xf>
    <xf numFmtId="0" fontId="27" fillId="0" borderId="0">
      <protection locked="0"/>
    </xf>
    <xf numFmtId="0" fontId="32" fillId="0" borderId="0">
      <protection locked="0"/>
    </xf>
    <xf numFmtId="0" fontId="27" fillId="0" borderId="0">
      <protection locked="0"/>
    </xf>
    <xf numFmtId="0" fontId="27" fillId="0" borderId="0">
      <protection locked="0"/>
    </xf>
    <xf numFmtId="0" fontId="27" fillId="0" borderId="0">
      <protection locked="0"/>
    </xf>
    <xf numFmtId="0" fontId="32" fillId="0" borderId="0">
      <protection locked="0"/>
    </xf>
    <xf numFmtId="0"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2" fontId="2" fillId="0" borderId="0" applyFont="0" applyFill="0" applyBorder="0" applyAlignment="0" applyProtection="0"/>
    <xf numFmtId="179" fontId="27" fillId="0" borderId="0">
      <protection locked="0"/>
    </xf>
    <xf numFmtId="180" fontId="29" fillId="0" borderId="0">
      <protection locked="0"/>
    </xf>
    <xf numFmtId="180" fontId="29" fillId="0" borderId="0">
      <protection locked="0"/>
    </xf>
    <xf numFmtId="0" fontId="30" fillId="0" borderId="0" applyNumberFormat="0" applyFill="0" applyBorder="0" applyAlignment="0" applyProtection="0">
      <alignment vertical="top"/>
      <protection locked="0"/>
    </xf>
    <xf numFmtId="176" fontId="25"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4"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5" fontId="4" fillId="0" borderId="0" applyFont="0" applyFill="0" applyBorder="0" applyAlignment="0" applyProtection="0"/>
    <xf numFmtId="171" fontId="20" fillId="0" borderId="0" applyFont="0" applyFill="0" applyBorder="0" applyAlignment="0" applyProtection="0"/>
    <xf numFmtId="165" fontId="2" fillId="0" borderId="0" applyFont="0" applyFill="0" applyBorder="0" applyAlignment="0" applyProtection="0"/>
    <xf numFmtId="181" fontId="2" fillId="0" borderId="0" applyFont="0" applyFill="0" applyBorder="0" applyAlignment="0" applyProtection="0"/>
    <xf numFmtId="169" fontId="1" fillId="0" borderId="0" applyFont="0" applyFill="0" applyBorder="0" applyAlignment="0" applyProtection="0"/>
    <xf numFmtId="17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6" fillId="0" borderId="0"/>
    <xf numFmtId="0" fontId="1" fillId="0" borderId="0"/>
    <xf numFmtId="0" fontId="2" fillId="0" borderId="0"/>
    <xf numFmtId="0" fontId="25" fillId="0" borderId="0"/>
    <xf numFmtId="0" fontId="2" fillId="0" borderId="0"/>
    <xf numFmtId="0" fontId="2" fillId="0" borderId="0"/>
    <xf numFmtId="0" fontId="20" fillId="0" borderId="0"/>
    <xf numFmtId="0" fontId="4" fillId="0" borderId="0"/>
    <xf numFmtId="0" fontId="4" fillId="0" borderId="0"/>
    <xf numFmtId="0" fontId="25" fillId="0" borderId="0"/>
    <xf numFmtId="0" fontId="25" fillId="0" borderId="0"/>
    <xf numFmtId="9" fontId="1" fillId="0" borderId="0" applyFont="0" applyFill="0" applyBorder="0" applyAlignment="0" applyProtection="0"/>
    <xf numFmtId="9" fontId="2" fillId="0" borderId="0" applyFont="0" applyFill="0" applyBorder="0" applyAlignment="0" applyProtection="0"/>
    <xf numFmtId="9" fontId="25" fillId="0" borderId="0" applyFont="0" applyFill="0" applyBorder="0" applyAlignment="0" applyProtection="0"/>
    <xf numFmtId="3" fontId="2" fillId="0" borderId="0" applyFont="0" applyFill="0" applyBorder="0" applyAlignment="0" applyProtection="0"/>
    <xf numFmtId="3" fontId="2" fillId="0" borderId="0" applyFont="0" applyFill="0" applyBorder="0" applyAlignment="0" applyProtection="0"/>
    <xf numFmtId="0" fontId="2" fillId="0" borderId="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applyNumberForma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174" fontId="2" fillId="0" borderId="0" applyFont="0" applyFill="0" applyBorder="0" applyAlignment="0" applyProtection="0"/>
    <xf numFmtId="166"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44" fontId="1" fillId="0" borderId="0" applyFont="0" applyFill="0" applyBorder="0" applyAlignment="0" applyProtection="0"/>
    <xf numFmtId="0" fontId="1" fillId="0" borderId="0" applyFont="0" applyFill="0" applyBorder="0" applyAlignment="0" applyProtection="0"/>
    <xf numFmtId="0" fontId="1" fillId="0" borderId="0"/>
    <xf numFmtId="0" fontId="1" fillId="0" borderId="0"/>
    <xf numFmtId="0" fontId="2" fillId="0" borderId="0"/>
    <xf numFmtId="0" fontId="2" fillId="0" borderId="0"/>
    <xf numFmtId="187" fontId="2" fillId="0" borderId="0" applyFont="0" applyFill="0" applyBorder="0" applyAlignment="0" applyProtection="0"/>
    <xf numFmtId="188" fontId="2"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0" fontId="83" fillId="0" borderId="0" applyNumberFormat="0" applyBorder="0" applyAlignment="0"/>
    <xf numFmtId="0" fontId="83" fillId="0" borderId="0" applyNumberFormat="0" applyBorder="0" applyAlignment="0"/>
    <xf numFmtId="43" fontId="1" fillId="0" borderId="0" applyFont="0" applyFill="0" applyBorder="0" applyAlignment="0" applyProtection="0"/>
    <xf numFmtId="189" fontId="2" fillId="0" borderId="0" applyFont="0" applyFill="0" applyBorder="0" applyAlignment="0" applyProtection="0"/>
    <xf numFmtId="0" fontId="83" fillId="0" borderId="0" applyFont="0" applyFill="0" applyBorder="0" applyAlignment="0" applyProtection="0"/>
    <xf numFmtId="43" fontId="83"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84" fillId="0" borderId="0"/>
    <xf numFmtId="0" fontId="1" fillId="0" borderId="0"/>
    <xf numFmtId="43" fontId="1" fillId="0" borderId="0" applyFont="0" applyFill="0" applyBorder="0" applyAlignment="0" applyProtection="0"/>
    <xf numFmtId="0" fontId="85"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89">
    <xf numFmtId="0" fontId="0" fillId="0" borderId="0" xfId="0"/>
    <xf numFmtId="0" fontId="0" fillId="0" borderId="0" xfId="0" applyAlignment="1">
      <alignment wrapText="1"/>
    </xf>
    <xf numFmtId="0" fontId="34" fillId="0" borderId="0" xfId="0" applyFont="1"/>
    <xf numFmtId="184" fontId="34" fillId="0" borderId="0" xfId="0" applyNumberFormat="1" applyFont="1"/>
    <xf numFmtId="0" fontId="46" fillId="0" borderId="0" xfId="0" applyFont="1" applyAlignment="1">
      <alignment vertical="center" wrapText="1"/>
    </xf>
    <xf numFmtId="0" fontId="48" fillId="0" borderId="0" xfId="0" applyFont="1"/>
    <xf numFmtId="183" fontId="34" fillId="0" borderId="0" xfId="0" applyNumberFormat="1" applyFont="1"/>
    <xf numFmtId="0" fontId="43" fillId="2" borderId="0" xfId="37" applyFont="1" applyFill="1" applyBorder="1" applyAlignment="1">
      <alignment horizontal="center" vertical="center"/>
    </xf>
    <xf numFmtId="0" fontId="34" fillId="2" borderId="0" xfId="0" applyFont="1" applyFill="1"/>
    <xf numFmtId="0" fontId="34" fillId="2" borderId="0" xfId="159" applyFont="1" applyFill="1" applyAlignment="1">
      <alignment horizontal="center" vertical="center"/>
    </xf>
    <xf numFmtId="0" fontId="33" fillId="2" borderId="0" xfId="0" applyFont="1" applyFill="1" applyAlignment="1">
      <alignment vertical="center"/>
    </xf>
    <xf numFmtId="9" fontId="34" fillId="2" borderId="32" xfId="1" applyFont="1" applyFill="1" applyBorder="1" applyAlignment="1">
      <alignment horizontal="center"/>
    </xf>
    <xf numFmtId="4" fontId="34" fillId="0" borderId="0" xfId="0" applyNumberFormat="1" applyFont="1"/>
    <xf numFmtId="0" fontId="66" fillId="0" borderId="0" xfId="0" applyFont="1" applyAlignment="1">
      <alignment horizontal="left" vertical="center" readingOrder="1"/>
    </xf>
    <xf numFmtId="42" fontId="34" fillId="0" borderId="0" xfId="294" applyFont="1"/>
    <xf numFmtId="0" fontId="64" fillId="29" borderId="37" xfId="0" applyFont="1" applyFill="1" applyBorder="1" applyAlignment="1">
      <alignment horizontal="center"/>
    </xf>
    <xf numFmtId="0" fontId="33" fillId="29" borderId="34" xfId="0" applyFont="1" applyFill="1" applyBorder="1" applyAlignment="1">
      <alignment horizontal="center"/>
    </xf>
    <xf numFmtId="0" fontId="33" fillId="29" borderId="36" xfId="0" applyFont="1" applyFill="1" applyBorder="1"/>
    <xf numFmtId="0" fontId="68" fillId="29" borderId="36" xfId="0" applyFont="1" applyFill="1" applyBorder="1" applyAlignment="1">
      <alignment horizontal="right"/>
    </xf>
    <xf numFmtId="0" fontId="68" fillId="29" borderId="37" xfId="0" applyFont="1" applyFill="1" applyBorder="1" applyAlignment="1">
      <alignment horizontal="right"/>
    </xf>
    <xf numFmtId="4" fontId="52" fillId="29" borderId="38" xfId="0" applyNumberFormat="1" applyFont="1" applyFill="1" applyBorder="1"/>
    <xf numFmtId="4" fontId="54" fillId="29" borderId="38" xfId="0" applyNumberFormat="1" applyFont="1" applyFill="1" applyBorder="1"/>
    <xf numFmtId="4" fontId="52" fillId="29" borderId="38" xfId="0" applyNumberFormat="1" applyFont="1" applyFill="1" applyBorder="1" applyAlignment="1">
      <alignment horizontal="left"/>
    </xf>
    <xf numFmtId="4" fontId="52" fillId="29" borderId="36" xfId="0" applyNumberFormat="1" applyFont="1" applyFill="1" applyBorder="1" applyAlignment="1">
      <alignment horizontal="left"/>
    </xf>
    <xf numFmtId="4" fontId="52" fillId="29" borderId="39" xfId="0" applyNumberFormat="1" applyFont="1" applyFill="1" applyBorder="1" applyAlignment="1">
      <alignment horizontal="left"/>
    </xf>
    <xf numFmtId="0" fontId="34" fillId="2" borderId="0" xfId="0" applyFont="1" applyFill="1" applyAlignment="1">
      <alignment wrapText="1"/>
    </xf>
    <xf numFmtId="0" fontId="70" fillId="32" borderId="0" xfId="293" applyFont="1" applyFill="1" applyAlignment="1">
      <alignment horizontal="center" vertical="center" wrapText="1"/>
    </xf>
    <xf numFmtId="0" fontId="70" fillId="32" borderId="0" xfId="293" applyFont="1" applyFill="1" applyBorder="1" applyAlignment="1">
      <alignment horizontal="center" vertical="center" wrapText="1"/>
    </xf>
    <xf numFmtId="0" fontId="71" fillId="32" borderId="0" xfId="0" applyFont="1" applyFill="1" applyAlignment="1">
      <alignment horizontal="center" vertical="center" wrapText="1"/>
    </xf>
    <xf numFmtId="3" fontId="34" fillId="0" borderId="0" xfId="0" applyNumberFormat="1" applyFont="1"/>
    <xf numFmtId="6" fontId="34" fillId="0" borderId="0" xfId="294" applyNumberFormat="1" applyFont="1" applyAlignment="1">
      <alignment horizontal="left"/>
    </xf>
    <xf numFmtId="0" fontId="34" fillId="0" borderId="0" xfId="0" applyFont="1" applyAlignment="1">
      <alignment horizontal="left"/>
    </xf>
    <xf numFmtId="6" fontId="34" fillId="0" borderId="0" xfId="0" applyNumberFormat="1" applyFont="1" applyAlignment="1">
      <alignment horizontal="left"/>
    </xf>
    <xf numFmtId="0" fontId="57" fillId="26" borderId="38" xfId="0" applyFont="1" applyFill="1" applyBorder="1" applyAlignment="1">
      <alignment horizontal="center" vertical="center" wrapText="1"/>
    </xf>
    <xf numFmtId="183" fontId="56" fillId="2" borderId="34" xfId="0" applyNumberFormat="1" applyFont="1" applyFill="1" applyBorder="1" applyAlignment="1">
      <alignment vertical="center" wrapText="1"/>
    </xf>
    <xf numFmtId="9" fontId="55" fillId="2" borderId="34" xfId="1" applyFont="1" applyFill="1" applyBorder="1" applyAlignment="1">
      <alignment horizontal="center" vertical="center" wrapText="1"/>
    </xf>
    <xf numFmtId="2" fontId="50" fillId="34" borderId="0" xfId="0" applyNumberFormat="1" applyFont="1" applyFill="1" applyAlignment="1">
      <alignment horizontal="center" vertical="center"/>
    </xf>
    <xf numFmtId="0" fontId="75" fillId="0" borderId="0" xfId="293" applyFont="1" applyBorder="1" applyAlignment="1">
      <alignment horizontal="center" vertical="center" wrapText="1"/>
    </xf>
    <xf numFmtId="0" fontId="76" fillId="35" borderId="41" xfId="0" applyFont="1" applyFill="1" applyBorder="1" applyAlignment="1">
      <alignment vertical="center" wrapText="1"/>
    </xf>
    <xf numFmtId="0" fontId="76" fillId="35" borderId="42" xfId="0" applyFont="1" applyFill="1" applyBorder="1" applyAlignment="1">
      <alignment vertical="center" wrapText="1"/>
    </xf>
    <xf numFmtId="3" fontId="76" fillId="35" borderId="43" xfId="0" applyNumberFormat="1" applyFont="1" applyFill="1" applyBorder="1" applyAlignment="1">
      <alignment vertical="center" wrapText="1"/>
    </xf>
    <xf numFmtId="3" fontId="76" fillId="35" borderId="44" xfId="0" applyNumberFormat="1" applyFont="1" applyFill="1" applyBorder="1" applyAlignment="1">
      <alignment vertical="center" wrapText="1"/>
    </xf>
    <xf numFmtId="0" fontId="76" fillId="36" borderId="45" xfId="0" applyFont="1" applyFill="1" applyBorder="1" applyAlignment="1">
      <alignment vertical="center" wrapText="1"/>
    </xf>
    <xf numFmtId="3" fontId="76" fillId="36" borderId="46" xfId="0" applyNumberFormat="1" applyFont="1" applyFill="1" applyBorder="1" applyAlignment="1">
      <alignment vertical="center" wrapText="1"/>
    </xf>
    <xf numFmtId="0" fontId="53" fillId="2" borderId="34" xfId="0" applyFont="1" applyFill="1" applyBorder="1" applyAlignment="1">
      <alignment horizontal="center" vertical="center"/>
    </xf>
    <xf numFmtId="0" fontId="55" fillId="2" borderId="34" xfId="0" applyFont="1" applyFill="1" applyBorder="1" applyAlignment="1">
      <alignment horizontal="center" vertical="center" wrapText="1"/>
    </xf>
    <xf numFmtId="3" fontId="55" fillId="2" borderId="34" xfId="0" applyNumberFormat="1" applyFont="1" applyFill="1" applyBorder="1" applyAlignment="1">
      <alignment horizontal="center" vertical="center" wrapText="1"/>
    </xf>
    <xf numFmtId="41" fontId="55" fillId="2" borderId="34" xfId="288" applyFont="1" applyFill="1" applyBorder="1" applyAlignment="1">
      <alignment horizontal="center" vertical="center" wrapText="1"/>
    </xf>
    <xf numFmtId="0" fontId="47" fillId="2" borderId="36" xfId="0" applyFont="1" applyFill="1" applyBorder="1" applyAlignment="1">
      <alignment horizontal="center" vertical="center" wrapText="1"/>
    </xf>
    <xf numFmtId="0" fontId="47" fillId="2" borderId="39" xfId="0" applyFont="1" applyFill="1" applyBorder="1" applyAlignment="1">
      <alignment horizontal="center" vertical="center" wrapText="1"/>
    </xf>
    <xf numFmtId="0" fontId="53" fillId="2" borderId="36" xfId="0" applyFont="1" applyFill="1" applyBorder="1" applyAlignment="1">
      <alignment horizontal="center" vertical="center" wrapText="1"/>
    </xf>
    <xf numFmtId="0" fontId="34" fillId="0" borderId="0" xfId="0" applyFont="1" applyAlignment="1">
      <alignment horizontal="center" vertical="center" wrapText="1"/>
    </xf>
    <xf numFmtId="183" fontId="56" fillId="2" borderId="36" xfId="0" applyNumberFormat="1" applyFont="1" applyFill="1" applyBorder="1" applyAlignment="1">
      <alignment horizontal="center" vertical="center" wrapText="1"/>
    </xf>
    <xf numFmtId="183" fontId="56" fillId="2" borderId="37" xfId="0" applyNumberFormat="1" applyFont="1" applyFill="1" applyBorder="1" applyAlignment="1">
      <alignment vertical="center" wrapText="1"/>
    </xf>
    <xf numFmtId="0" fontId="33" fillId="2" borderId="32" xfId="0" applyFont="1" applyFill="1" applyBorder="1" applyAlignment="1">
      <alignment horizontal="center" vertical="center"/>
    </xf>
    <xf numFmtId="0" fontId="58" fillId="2" borderId="35" xfId="0" applyFont="1" applyFill="1" applyBorder="1" applyAlignment="1">
      <alignment horizontal="center" vertical="center"/>
    </xf>
    <xf numFmtId="0" fontId="58" fillId="2" borderId="36" xfId="0" applyFont="1" applyFill="1" applyBorder="1" applyAlignment="1">
      <alignment horizontal="center" vertical="center"/>
    </xf>
    <xf numFmtId="183" fontId="56" fillId="2" borderId="35" xfId="0" applyNumberFormat="1" applyFont="1" applyFill="1" applyBorder="1" applyAlignment="1">
      <alignment horizontal="center" vertical="center" wrapText="1"/>
    </xf>
    <xf numFmtId="0" fontId="53" fillId="2" borderId="35" xfId="0" applyFont="1" applyFill="1" applyBorder="1" applyAlignment="1">
      <alignment horizontal="center" vertical="center" wrapText="1"/>
    </xf>
    <xf numFmtId="0" fontId="33" fillId="2" borderId="36" xfId="0" applyFont="1" applyFill="1" applyBorder="1" applyAlignment="1">
      <alignment horizontal="center" vertical="center" wrapText="1"/>
    </xf>
    <xf numFmtId="0" fontId="33" fillId="2" borderId="37" xfId="0" applyFont="1" applyFill="1" applyBorder="1" applyAlignment="1">
      <alignment horizontal="center" vertical="center" wrapText="1"/>
    </xf>
    <xf numFmtId="0" fontId="78" fillId="2" borderId="50" xfId="0" applyFont="1" applyFill="1" applyBorder="1" applyAlignment="1">
      <alignment vertical="center" wrapText="1"/>
    </xf>
    <xf numFmtId="0" fontId="78" fillId="2" borderId="6" xfId="0" applyFont="1" applyFill="1" applyBorder="1" applyAlignment="1">
      <alignment vertical="center" wrapText="1"/>
    </xf>
    <xf numFmtId="0" fontId="31" fillId="26" borderId="38" xfId="0" applyFont="1" applyFill="1" applyBorder="1" applyAlignment="1">
      <alignment horizontal="center" vertical="center" wrapText="1"/>
    </xf>
    <xf numFmtId="0" fontId="53" fillId="0" borderId="34" xfId="0" applyFont="1" applyBorder="1" applyAlignment="1">
      <alignment horizontal="center" vertical="center"/>
    </xf>
    <xf numFmtId="9" fontId="53" fillId="0" borderId="34" xfId="1" applyFont="1" applyBorder="1" applyAlignment="1">
      <alignment horizontal="center" vertical="center"/>
    </xf>
    <xf numFmtId="4" fontId="53" fillId="0" borderId="34" xfId="0" applyNumberFormat="1" applyFont="1" applyBorder="1" applyAlignment="1">
      <alignment horizontal="center" vertical="center"/>
    </xf>
    <xf numFmtId="43" fontId="46" fillId="0" borderId="0" xfId="0" applyNumberFormat="1" applyFont="1" applyAlignment="1">
      <alignment vertical="center" wrapText="1"/>
    </xf>
    <xf numFmtId="14" fontId="53" fillId="2" borderId="34" xfId="0" applyNumberFormat="1" applyFont="1" applyFill="1" applyBorder="1" applyAlignment="1">
      <alignment horizontal="center" vertical="center" wrapText="1"/>
    </xf>
    <xf numFmtId="42" fontId="70" fillId="32" borderId="0" xfId="293" applyNumberFormat="1" applyFont="1" applyFill="1" applyBorder="1" applyAlignment="1">
      <alignment horizontal="center" vertical="center" wrapText="1"/>
    </xf>
    <xf numFmtId="0" fontId="79" fillId="2" borderId="24" xfId="0" applyFont="1" applyFill="1" applyBorder="1" applyAlignment="1">
      <alignment horizontal="center" vertical="center" wrapText="1"/>
    </xf>
    <xf numFmtId="0" fontId="31" fillId="26" borderId="34" xfId="0" applyFont="1" applyFill="1" applyBorder="1" applyAlignment="1">
      <alignment horizontal="center" vertical="center" wrapText="1"/>
    </xf>
    <xf numFmtId="0" fontId="57" fillId="26" borderId="34" xfId="0" applyFont="1" applyFill="1" applyBorder="1" applyAlignment="1">
      <alignment horizontal="center" vertical="center" wrapText="1"/>
    </xf>
    <xf numFmtId="0" fontId="40" fillId="26" borderId="38" xfId="0" applyFont="1" applyFill="1" applyBorder="1" applyAlignment="1">
      <alignment horizontal="center" vertical="center" wrapText="1"/>
    </xf>
    <xf numFmtId="0" fontId="36" fillId="26" borderId="38" xfId="0" applyFont="1" applyFill="1" applyBorder="1" applyAlignment="1">
      <alignment vertical="center" wrapText="1"/>
    </xf>
    <xf numFmtId="0" fontId="36" fillId="26" borderId="40" xfId="0" applyFont="1" applyFill="1" applyBorder="1" applyAlignment="1">
      <alignment horizontal="center" vertical="center" wrapText="1"/>
    </xf>
    <xf numFmtId="0" fontId="40" fillId="26" borderId="40" xfId="0" applyFont="1" applyFill="1" applyBorder="1" applyAlignment="1">
      <alignment horizontal="center" vertical="center" wrapText="1"/>
    </xf>
    <xf numFmtId="0" fontId="61" fillId="2" borderId="33" xfId="0" applyFont="1" applyFill="1" applyBorder="1" applyAlignment="1">
      <alignment horizontal="center" vertical="center" wrapText="1"/>
    </xf>
    <xf numFmtId="0" fontId="61" fillId="0" borderId="34" xfId="0" applyFont="1" applyBorder="1" applyAlignment="1">
      <alignment horizontal="left" vertical="center" wrapText="1"/>
    </xf>
    <xf numFmtId="0" fontId="40" fillId="0" borderId="38" xfId="0" applyFont="1" applyBorder="1" applyAlignment="1">
      <alignment horizontal="center" vertical="center" wrapText="1"/>
    </xf>
    <xf numFmtId="0" fontId="37" fillId="0" borderId="34" xfId="0" applyFont="1" applyBorder="1" applyAlignment="1">
      <alignment horizontal="center" vertical="center" wrapText="1"/>
    </xf>
    <xf numFmtId="0" fontId="59" fillId="0" borderId="38" xfId="0" applyFont="1" applyBorder="1" applyAlignment="1">
      <alignment horizontal="center" vertical="center" wrapText="1"/>
    </xf>
    <xf numFmtId="9" fontId="35" fillId="2" borderId="32" xfId="1" applyFont="1" applyFill="1" applyBorder="1" applyAlignment="1">
      <alignment horizontal="center"/>
    </xf>
    <xf numFmtId="4" fontId="52" fillId="30" borderId="38" xfId="0" applyNumberFormat="1" applyFont="1" applyFill="1" applyBorder="1"/>
    <xf numFmtId="0" fontId="31" fillId="26" borderId="33" xfId="0" applyFont="1" applyFill="1" applyBorder="1" applyAlignment="1">
      <alignment horizontal="center" vertical="center" wrapText="1"/>
    </xf>
    <xf numFmtId="0" fontId="31" fillId="26" borderId="34" xfId="0" applyFont="1" applyFill="1" applyBorder="1" applyAlignment="1">
      <alignment vertical="center" wrapText="1"/>
    </xf>
    <xf numFmtId="0" fontId="73" fillId="26" borderId="38" xfId="0" applyFont="1" applyFill="1" applyBorder="1" applyAlignment="1">
      <alignment horizontal="center" vertical="center" wrapText="1"/>
    </xf>
    <xf numFmtId="0" fontId="31" fillId="26" borderId="32" xfId="0" applyFont="1" applyFill="1" applyBorder="1" applyAlignment="1">
      <alignment horizontal="center" vertical="center" wrapText="1"/>
    </xf>
    <xf numFmtId="182" fontId="31" fillId="28" borderId="34" xfId="0" applyNumberFormat="1" applyFont="1" applyFill="1" applyBorder="1" applyAlignment="1">
      <alignment horizontal="center" vertical="center"/>
    </xf>
    <xf numFmtId="0" fontId="51" fillId="28" borderId="32" xfId="0" applyFont="1" applyFill="1" applyBorder="1" applyAlignment="1">
      <alignment horizontal="center" vertical="center" wrapText="1"/>
    </xf>
    <xf numFmtId="0" fontId="57" fillId="26" borderId="32" xfId="0" applyFont="1" applyFill="1" applyBorder="1" applyAlignment="1">
      <alignment horizontal="center" vertical="center" wrapText="1"/>
    </xf>
    <xf numFmtId="0" fontId="79" fillId="30" borderId="32" xfId="0" applyFont="1" applyFill="1" applyBorder="1" applyAlignment="1">
      <alignment horizontal="center" vertical="center"/>
    </xf>
    <xf numFmtId="0" fontId="64" fillId="0" borderId="3" xfId="0" applyFont="1" applyBorder="1" applyAlignment="1">
      <alignment horizontal="center"/>
    </xf>
    <xf numFmtId="9" fontId="50" fillId="2" borderId="34" xfId="0" applyNumberFormat="1" applyFont="1" applyFill="1" applyBorder="1" applyAlignment="1">
      <alignment vertical="center"/>
    </xf>
    <xf numFmtId="0" fontId="33" fillId="2" borderId="3" xfId="0" applyFont="1" applyFill="1" applyBorder="1" applyAlignment="1">
      <alignment horizontal="center" wrapText="1"/>
    </xf>
    <xf numFmtId="0" fontId="0" fillId="0" borderId="34" xfId="0" applyBorder="1" applyAlignment="1">
      <alignment horizontal="center"/>
    </xf>
    <xf numFmtId="0" fontId="76" fillId="35" borderId="60" xfId="0" applyFont="1" applyFill="1" applyBorder="1" applyAlignment="1">
      <alignment vertical="center" wrapText="1"/>
    </xf>
    <xf numFmtId="3" fontId="76" fillId="35" borderId="61" xfId="0" applyNumberFormat="1" applyFont="1" applyFill="1" applyBorder="1" applyAlignment="1">
      <alignment vertical="center" wrapText="1"/>
    </xf>
    <xf numFmtId="0" fontId="36" fillId="0" borderId="58" xfId="0" applyFont="1" applyBorder="1"/>
    <xf numFmtId="0" fontId="36" fillId="37" borderId="57" xfId="0" applyFont="1" applyFill="1" applyBorder="1" applyAlignment="1">
      <alignment horizontal="center" vertical="center"/>
    </xf>
    <xf numFmtId="0" fontId="36" fillId="37" borderId="59" xfId="0" applyFont="1" applyFill="1" applyBorder="1" applyAlignment="1">
      <alignment horizontal="center" vertical="center" wrapText="1"/>
    </xf>
    <xf numFmtId="0" fontId="0" fillId="38" borderId="34" xfId="0" applyFill="1" applyBorder="1" applyAlignment="1">
      <alignment horizontal="center"/>
    </xf>
    <xf numFmtId="0" fontId="79" fillId="2" borderId="62" xfId="0" applyFont="1" applyFill="1" applyBorder="1" applyAlignment="1">
      <alignment horizontal="center" vertical="center" wrapText="1"/>
    </xf>
    <xf numFmtId="0" fontId="81" fillId="30" borderId="22" xfId="0" applyFont="1" applyFill="1" applyBorder="1" applyAlignment="1">
      <alignment horizontal="centerContinuous" vertical="center" wrapText="1"/>
    </xf>
    <xf numFmtId="0" fontId="81" fillId="30" borderId="23" xfId="0" applyFont="1" applyFill="1" applyBorder="1" applyAlignment="1">
      <alignment horizontal="centerContinuous" vertical="center" wrapText="1"/>
    </xf>
    <xf numFmtId="0" fontId="81" fillId="30" borderId="24" xfId="0" applyFont="1" applyFill="1" applyBorder="1" applyAlignment="1">
      <alignment horizontal="centerContinuous" vertical="center" wrapText="1"/>
    </xf>
    <xf numFmtId="0" fontId="50" fillId="30" borderId="22" xfId="0" applyFont="1" applyFill="1" applyBorder="1" applyAlignment="1">
      <alignment horizontal="centerContinuous" vertical="center" wrapText="1"/>
    </xf>
    <xf numFmtId="0" fontId="50" fillId="30" borderId="24" xfId="0" applyFont="1" applyFill="1" applyBorder="1" applyAlignment="1">
      <alignment horizontal="centerContinuous" vertical="center" wrapText="1"/>
    </xf>
    <xf numFmtId="0" fontId="58" fillId="25" borderId="33" xfId="0" applyFont="1" applyFill="1" applyBorder="1" applyAlignment="1">
      <alignment horizontal="centerContinuous" vertical="center"/>
    </xf>
    <xf numFmtId="0" fontId="58" fillId="25" borderId="34" xfId="0" applyFont="1" applyFill="1" applyBorder="1" applyAlignment="1">
      <alignment horizontal="centerContinuous" vertical="center"/>
    </xf>
    <xf numFmtId="0" fontId="58" fillId="25" borderId="32" xfId="0" applyFont="1" applyFill="1" applyBorder="1" applyAlignment="1">
      <alignment horizontal="centerContinuous" vertical="center"/>
    </xf>
    <xf numFmtId="0" fontId="58" fillId="25" borderId="52" xfId="0" applyFont="1" applyFill="1" applyBorder="1" applyAlignment="1">
      <alignment horizontal="centerContinuous" vertical="center"/>
    </xf>
    <xf numFmtId="0" fontId="58" fillId="25" borderId="47" xfId="0" applyFont="1" applyFill="1" applyBorder="1" applyAlignment="1">
      <alignment horizontal="centerContinuous" vertical="center"/>
    </xf>
    <xf numFmtId="0" fontId="58" fillId="25" borderId="51" xfId="0" applyFont="1" applyFill="1" applyBorder="1" applyAlignment="1">
      <alignment horizontal="centerContinuous" vertical="center"/>
    </xf>
    <xf numFmtId="0" fontId="58" fillId="25" borderId="53" xfId="0" applyFont="1" applyFill="1" applyBorder="1" applyAlignment="1">
      <alignment horizontal="centerContinuous" vertical="center"/>
    </xf>
    <xf numFmtId="0" fontId="58" fillId="25" borderId="3" xfId="0" applyFont="1" applyFill="1" applyBorder="1" applyAlignment="1">
      <alignment horizontal="centerContinuous" vertical="center"/>
    </xf>
    <xf numFmtId="0" fontId="58" fillId="25" borderId="16" xfId="0" applyFont="1" applyFill="1" applyBorder="1" applyAlignment="1">
      <alignment horizontal="centerContinuous" vertical="center"/>
    </xf>
    <xf numFmtId="0" fontId="58" fillId="25" borderId="54" xfId="0" applyFont="1" applyFill="1" applyBorder="1" applyAlignment="1">
      <alignment horizontal="centerContinuous" vertical="center"/>
    </xf>
    <xf numFmtId="0" fontId="34" fillId="0" borderId="1" xfId="0" applyFont="1" applyBorder="1" applyAlignment="1">
      <alignment horizontal="centerContinuous"/>
    </xf>
    <xf numFmtId="0" fontId="34" fillId="0" borderId="6" xfId="0" applyFont="1" applyBorder="1" applyAlignment="1">
      <alignment horizontal="centerContinuous"/>
    </xf>
    <xf numFmtId="0" fontId="79" fillId="0" borderId="5" xfId="0" applyFont="1" applyBorder="1" applyAlignment="1">
      <alignment horizontal="centerContinuous" vertical="center"/>
    </xf>
    <xf numFmtId="0" fontId="79" fillId="2" borderId="30" xfId="0" applyFont="1" applyFill="1" applyBorder="1" applyAlignment="1">
      <alignment vertical="center" wrapText="1"/>
    </xf>
    <xf numFmtId="0" fontId="79" fillId="2" borderId="0" xfId="0" applyFont="1" applyFill="1" applyAlignment="1">
      <alignment vertical="center" wrapText="1"/>
    </xf>
    <xf numFmtId="0" fontId="79" fillId="2" borderId="0" xfId="0" applyFont="1" applyFill="1" applyAlignment="1">
      <alignment horizontal="centerContinuous" vertical="center" wrapText="1"/>
    </xf>
    <xf numFmtId="0" fontId="34" fillId="0" borderId="29" xfId="0" applyFont="1" applyBorder="1"/>
    <xf numFmtId="0" fontId="79" fillId="2" borderId="31" xfId="0" applyFont="1" applyFill="1" applyBorder="1" applyAlignment="1">
      <alignment vertical="center" wrapText="1"/>
    </xf>
    <xf numFmtId="0" fontId="79" fillId="2" borderId="25" xfId="0" applyFont="1" applyFill="1" applyBorder="1" applyAlignment="1">
      <alignment vertical="center" wrapText="1"/>
    </xf>
    <xf numFmtId="0" fontId="79" fillId="2" borderId="21" xfId="0" applyFont="1" applyFill="1" applyBorder="1" applyAlignment="1">
      <alignment vertical="center" wrapText="1"/>
    </xf>
    <xf numFmtId="0" fontId="79" fillId="2" borderId="25" xfId="0" applyFont="1" applyFill="1" applyBorder="1" applyAlignment="1">
      <alignment horizontal="centerContinuous" vertical="center" wrapText="1"/>
    </xf>
    <xf numFmtId="0" fontId="79" fillId="2" borderId="21" xfId="0" applyFont="1" applyFill="1" applyBorder="1" applyAlignment="1">
      <alignment horizontal="centerContinuous" vertical="center" wrapText="1"/>
    </xf>
    <xf numFmtId="0" fontId="79" fillId="2" borderId="26" xfId="0" applyFont="1" applyFill="1" applyBorder="1" applyAlignment="1">
      <alignment vertical="center" wrapText="1"/>
    </xf>
    <xf numFmtId="0" fontId="79" fillId="2" borderId="27" xfId="0" applyFont="1" applyFill="1" applyBorder="1" applyAlignment="1">
      <alignment vertical="center" wrapText="1"/>
    </xf>
    <xf numFmtId="0" fontId="79" fillId="2" borderId="28" xfId="0" applyFont="1" applyFill="1" applyBorder="1" applyAlignment="1">
      <alignment vertical="center" wrapText="1"/>
    </xf>
    <xf numFmtId="0" fontId="36" fillId="37" borderId="63" xfId="0" applyFont="1" applyFill="1" applyBorder="1" applyAlignment="1">
      <alignment horizontal="center" vertical="center" wrapText="1"/>
    </xf>
    <xf numFmtId="0" fontId="36" fillId="38" borderId="58" xfId="0" applyFont="1" applyFill="1" applyBorder="1"/>
    <xf numFmtId="43" fontId="75" fillId="0" borderId="0" xfId="293" applyNumberFormat="1" applyFont="1" applyBorder="1" applyAlignment="1">
      <alignment horizontal="center" vertical="center" wrapText="1"/>
    </xf>
    <xf numFmtId="43" fontId="70" fillId="32" borderId="0" xfId="293" applyNumberFormat="1" applyFont="1" applyFill="1" applyBorder="1" applyAlignment="1">
      <alignment horizontal="center" vertical="center" wrapText="1"/>
    </xf>
    <xf numFmtId="42" fontId="75" fillId="0" borderId="0" xfId="293" applyNumberFormat="1" applyFont="1" applyBorder="1" applyAlignment="1">
      <alignment horizontal="center" vertical="center" wrapText="1"/>
    </xf>
    <xf numFmtId="186" fontId="75" fillId="0" borderId="0" xfId="293" applyNumberFormat="1" applyFont="1" applyBorder="1" applyAlignment="1">
      <alignment horizontal="center" vertical="center" wrapText="1"/>
    </xf>
    <xf numFmtId="0" fontId="0" fillId="38" borderId="64" xfId="0" applyFill="1" applyBorder="1" applyAlignment="1">
      <alignment horizontal="center"/>
    </xf>
    <xf numFmtId="0" fontId="0" fillId="38" borderId="66" xfId="0" applyFill="1"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28" borderId="34" xfId="0" applyFill="1" applyBorder="1" applyAlignment="1">
      <alignment horizontal="center"/>
    </xf>
    <xf numFmtId="0" fontId="0" fillId="0" borderId="37" xfId="0" applyBorder="1"/>
    <xf numFmtId="42" fontId="53" fillId="0" borderId="34" xfId="294" applyFont="1" applyBorder="1" applyAlignment="1">
      <alignment horizontal="center" vertical="center"/>
    </xf>
    <xf numFmtId="14" fontId="53" fillId="0" borderId="34" xfId="0" applyNumberFormat="1" applyFont="1" applyBorder="1" applyAlignment="1">
      <alignment horizontal="center" vertical="center"/>
    </xf>
    <xf numFmtId="0" fontId="31" fillId="2" borderId="34" xfId="0" applyFont="1" applyFill="1" applyBorder="1" applyAlignment="1">
      <alignment horizontal="center" vertical="center" wrapText="1"/>
    </xf>
    <xf numFmtId="0" fontId="53" fillId="0" borderId="34" xfId="0" applyFont="1" applyBorder="1" applyAlignment="1">
      <alignment horizontal="center" vertical="center" wrapText="1"/>
    </xf>
    <xf numFmtId="0" fontId="86" fillId="0" borderId="34" xfId="0" applyFont="1" applyBorder="1" applyAlignment="1">
      <alignment horizontal="center" vertical="center"/>
    </xf>
    <xf numFmtId="0" fontId="53" fillId="2" borderId="34" xfId="0" applyFont="1" applyFill="1" applyBorder="1" applyAlignment="1">
      <alignment horizontal="center" vertical="center" wrapText="1"/>
    </xf>
    <xf numFmtId="0" fontId="86" fillId="0" borderId="34" xfId="0" applyFont="1" applyBorder="1" applyAlignment="1">
      <alignment horizontal="center" vertical="center" wrapText="1"/>
    </xf>
    <xf numFmtId="0" fontId="87" fillId="0" borderId="0" xfId="0" applyFont="1"/>
    <xf numFmtId="0" fontId="88" fillId="2" borderId="34" xfId="0" applyFont="1" applyFill="1" applyBorder="1" applyAlignment="1">
      <alignment horizontal="center" vertical="center" wrapText="1"/>
    </xf>
    <xf numFmtId="14" fontId="86" fillId="0" borderId="34" xfId="0" applyNumberFormat="1" applyFont="1" applyBorder="1" applyAlignment="1">
      <alignment horizontal="center" vertical="center"/>
    </xf>
    <xf numFmtId="42" fontId="86" fillId="0" borderId="34" xfId="294" applyFont="1" applyBorder="1" applyAlignment="1">
      <alignment horizontal="center" vertical="center"/>
    </xf>
    <xf numFmtId="4" fontId="86" fillId="0" borderId="34" xfId="0" applyNumberFormat="1" applyFont="1" applyBorder="1" applyAlignment="1">
      <alignment horizontal="center" vertical="center"/>
    </xf>
    <xf numFmtId="182" fontId="88" fillId="28" borderId="34" xfId="0" applyNumberFormat="1" applyFont="1" applyFill="1" applyBorder="1" applyAlignment="1">
      <alignment horizontal="center" vertical="center"/>
    </xf>
    <xf numFmtId="14" fontId="86" fillId="2" borderId="34" xfId="0" applyNumberFormat="1" applyFont="1" applyFill="1" applyBorder="1" applyAlignment="1">
      <alignment horizontal="center" vertical="center" wrapText="1"/>
    </xf>
    <xf numFmtId="9" fontId="90" fillId="2" borderId="34" xfId="1" applyFont="1" applyFill="1" applyBorder="1" applyAlignment="1">
      <alignment horizontal="center" vertical="center" wrapText="1"/>
    </xf>
    <xf numFmtId="0" fontId="89" fillId="28" borderId="32" xfId="0" applyFont="1" applyFill="1" applyBorder="1" applyAlignment="1">
      <alignment horizontal="center" vertical="center" wrapText="1"/>
    </xf>
    <xf numFmtId="0" fontId="91" fillId="0" borderId="0" xfId="0" applyFont="1" applyAlignment="1">
      <alignment vertical="center" wrapText="1"/>
    </xf>
    <xf numFmtId="43" fontId="75" fillId="0" borderId="0" xfId="293" applyNumberFormat="1" applyFont="1" applyAlignment="1">
      <alignment horizontal="center" vertical="center" wrapText="1"/>
    </xf>
    <xf numFmtId="0" fontId="92" fillId="35" borderId="41" xfId="0" applyFont="1" applyFill="1" applyBorder="1" applyAlignment="1">
      <alignment vertical="center" wrapText="1"/>
    </xf>
    <xf numFmtId="3" fontId="92" fillId="35" borderId="44" xfId="0" applyNumberFormat="1" applyFont="1" applyFill="1" applyBorder="1" applyAlignment="1">
      <alignment vertical="center" wrapText="1"/>
    </xf>
    <xf numFmtId="0" fontId="90" fillId="0" borderId="34" xfId="0" applyFont="1" applyBorder="1" applyAlignment="1">
      <alignment horizontal="center" vertical="center" wrapText="1"/>
    </xf>
    <xf numFmtId="0" fontId="55" fillId="0" borderId="34" xfId="0" applyFont="1" applyBorder="1" applyAlignment="1">
      <alignment horizontal="center" vertical="center" wrapText="1"/>
    </xf>
    <xf numFmtId="0" fontId="86" fillId="2" borderId="34" xfId="0" applyFont="1" applyFill="1" applyBorder="1" applyAlignment="1">
      <alignment horizontal="center" vertical="center" wrapText="1"/>
    </xf>
    <xf numFmtId="184" fontId="86" fillId="0" borderId="34" xfId="0" applyNumberFormat="1" applyFont="1" applyBorder="1" applyAlignment="1">
      <alignment horizontal="center" vertical="center" wrapText="1"/>
    </xf>
    <xf numFmtId="0" fontId="94" fillId="0" borderId="34" xfId="0" applyFont="1" applyBorder="1" applyAlignment="1">
      <alignment horizontal="left" vertical="center" wrapText="1"/>
    </xf>
    <xf numFmtId="0" fontId="95" fillId="0" borderId="34" xfId="0" applyFont="1" applyBorder="1" applyAlignment="1">
      <alignment horizontal="left" vertical="center" wrapText="1"/>
    </xf>
    <xf numFmtId="0" fontId="93" fillId="0" borderId="0" xfId="0" applyFont="1" applyAlignment="1">
      <alignment horizontal="left" vertical="center" wrapText="1"/>
    </xf>
    <xf numFmtId="0" fontId="94" fillId="0" borderId="3" xfId="0" applyFont="1" applyBorder="1" applyAlignment="1">
      <alignment horizontal="left" vertical="center" wrapText="1"/>
    </xf>
    <xf numFmtId="0" fontId="93" fillId="0" borderId="3" xfId="0" applyFont="1" applyBorder="1" applyAlignment="1">
      <alignment horizontal="left" vertical="center" wrapText="1"/>
    </xf>
    <xf numFmtId="0" fontId="94" fillId="30" borderId="3" xfId="0" applyFont="1" applyFill="1" applyBorder="1" applyAlignment="1">
      <alignment horizontal="left" vertical="center" wrapText="1"/>
    </xf>
    <xf numFmtId="0" fontId="53" fillId="30" borderId="34" xfId="0" applyFont="1" applyFill="1" applyBorder="1" applyAlignment="1">
      <alignment horizontal="center" vertical="center" wrapText="1"/>
    </xf>
    <xf numFmtId="0" fontId="86" fillId="30" borderId="34" xfId="0" applyFont="1" applyFill="1" applyBorder="1" applyAlignment="1">
      <alignment horizontal="center" vertical="center" wrapText="1"/>
    </xf>
    <xf numFmtId="190" fontId="0" fillId="38" borderId="34" xfId="0" applyNumberFormat="1" applyFill="1" applyBorder="1" applyAlignment="1">
      <alignment horizontal="center"/>
    </xf>
    <xf numFmtId="182" fontId="88" fillId="28" borderId="47" xfId="0" applyNumberFormat="1" applyFont="1" applyFill="1" applyBorder="1" applyAlignment="1">
      <alignment vertical="center"/>
    </xf>
    <xf numFmtId="42" fontId="86" fillId="0" borderId="47" xfId="294" applyFont="1" applyBorder="1" applyAlignment="1">
      <alignment vertical="center"/>
    </xf>
    <xf numFmtId="42" fontId="86" fillId="0" borderId="3" xfId="294" applyFont="1" applyBorder="1" applyAlignment="1">
      <alignment vertical="center"/>
    </xf>
    <xf numFmtId="9" fontId="86" fillId="0" borderId="47" xfId="1" applyFont="1" applyBorder="1" applyAlignment="1">
      <alignment vertical="center"/>
    </xf>
    <xf numFmtId="9" fontId="86" fillId="0" borderId="3" xfId="1" applyFont="1" applyBorder="1" applyAlignment="1">
      <alignment vertical="center"/>
    </xf>
    <xf numFmtId="14" fontId="86" fillId="0" borderId="47" xfId="0" applyNumberFormat="1" applyFont="1" applyBorder="1" applyAlignment="1">
      <alignment vertical="center"/>
    </xf>
    <xf numFmtId="14" fontId="86" fillId="0" borderId="3" xfId="0" applyNumberFormat="1" applyFont="1" applyBorder="1" applyAlignment="1">
      <alignment vertical="center"/>
    </xf>
    <xf numFmtId="4" fontId="86" fillId="0" borderId="47" xfId="0" applyNumberFormat="1" applyFont="1" applyBorder="1" applyAlignment="1">
      <alignment vertical="center"/>
    </xf>
    <xf numFmtId="4" fontId="86" fillId="0" borderId="3" xfId="0" applyNumberFormat="1" applyFont="1" applyBorder="1" applyAlignment="1">
      <alignment vertical="center"/>
    </xf>
    <xf numFmtId="0" fontId="63" fillId="0" borderId="34" xfId="0" applyFont="1" applyBorder="1" applyAlignment="1">
      <alignment horizontal="justify" vertical="center" wrapText="1"/>
    </xf>
    <xf numFmtId="0" fontId="41" fillId="2" borderId="2" xfId="0" applyFont="1" applyFill="1" applyBorder="1" applyAlignment="1">
      <alignment horizontal="center" wrapText="1"/>
    </xf>
    <xf numFmtId="0" fontId="41" fillId="2" borderId="0" xfId="0" applyFont="1" applyFill="1" applyAlignment="1">
      <alignment horizontal="center" wrapText="1"/>
    </xf>
    <xf numFmtId="0" fontId="37" fillId="2" borderId="2" xfId="0" applyFont="1" applyFill="1" applyBorder="1" applyAlignment="1">
      <alignment horizontal="center" vertical="center" wrapText="1"/>
    </xf>
    <xf numFmtId="0" fontId="37" fillId="2" borderId="0" xfId="0" applyFont="1" applyFill="1" applyAlignment="1">
      <alignment horizontal="center" vertical="center" wrapText="1"/>
    </xf>
    <xf numFmtId="0" fontId="42" fillId="2" borderId="2" xfId="0" applyFont="1" applyFill="1" applyBorder="1" applyAlignment="1">
      <alignment horizontal="center" wrapText="1"/>
    </xf>
    <xf numFmtId="0" fontId="42" fillId="2" borderId="0" xfId="0" applyFont="1" applyFill="1" applyAlignment="1">
      <alignment horizontal="center" wrapText="1"/>
    </xf>
    <xf numFmtId="0" fontId="44" fillId="26" borderId="34" xfId="0" applyFont="1" applyFill="1" applyBorder="1" applyAlignment="1">
      <alignment horizontal="center" vertical="center" wrapText="1"/>
    </xf>
    <xf numFmtId="0" fontId="59" fillId="26" borderId="38" xfId="0" applyFont="1" applyFill="1" applyBorder="1" applyAlignment="1">
      <alignment horizontal="center" vertical="center" wrapText="1"/>
    </xf>
    <xf numFmtId="0" fontId="59" fillId="26" borderId="36" xfId="0" applyFont="1" applyFill="1" applyBorder="1" applyAlignment="1">
      <alignment horizontal="center" vertical="center" wrapText="1"/>
    </xf>
    <xf numFmtId="0" fontId="59" fillId="26" borderId="37" xfId="0" applyFont="1" applyFill="1" applyBorder="1" applyAlignment="1">
      <alignment horizontal="center" vertical="center" wrapText="1"/>
    </xf>
    <xf numFmtId="0" fontId="39" fillId="26" borderId="47" xfId="0" applyFont="1" applyFill="1" applyBorder="1" applyAlignment="1">
      <alignment horizontal="center" vertical="center" wrapText="1"/>
    </xf>
    <xf numFmtId="0" fontId="39" fillId="26" borderId="16" xfId="0" applyFont="1" applyFill="1" applyBorder="1" applyAlignment="1">
      <alignment horizontal="center" vertical="center" wrapText="1"/>
    </xf>
    <xf numFmtId="0" fontId="39" fillId="26" borderId="3" xfId="0" applyFont="1" applyFill="1" applyBorder="1" applyAlignment="1">
      <alignment horizontal="center" vertical="center" wrapText="1"/>
    </xf>
    <xf numFmtId="0" fontId="37" fillId="26" borderId="40" xfId="0" applyFont="1" applyFill="1" applyBorder="1" applyAlignment="1">
      <alignment horizontal="center" vertical="center" wrapText="1"/>
    </xf>
    <xf numFmtId="0" fontId="37" fillId="26" borderId="48" xfId="0" applyFont="1" applyFill="1" applyBorder="1" applyAlignment="1">
      <alignment horizontal="center" vertical="center" wrapText="1"/>
    </xf>
    <xf numFmtId="0" fontId="37" fillId="26" borderId="2" xfId="0" applyFont="1" applyFill="1" applyBorder="1" applyAlignment="1">
      <alignment horizontal="center" vertical="center" wrapText="1"/>
    </xf>
    <xf numFmtId="0" fontId="37" fillId="26" borderId="4" xfId="0" applyFont="1" applyFill="1" applyBorder="1" applyAlignment="1">
      <alignment horizontal="center" vertical="center" wrapText="1"/>
    </xf>
    <xf numFmtId="0" fontId="37" fillId="26" borderId="5" xfId="0" applyFont="1" applyFill="1" applyBorder="1" applyAlignment="1">
      <alignment horizontal="center" vertical="center" wrapText="1"/>
    </xf>
    <xf numFmtId="0" fontId="37" fillId="26" borderId="6" xfId="0" applyFont="1" applyFill="1" applyBorder="1" applyAlignment="1">
      <alignment horizontal="center" vertical="center" wrapText="1"/>
    </xf>
    <xf numFmtId="0" fontId="40" fillId="26" borderId="38" xfId="0" applyFont="1" applyFill="1" applyBorder="1" applyAlignment="1">
      <alignment horizontal="center" vertical="center" wrapText="1"/>
    </xf>
    <xf numFmtId="0" fontId="40" fillId="26" borderId="36" xfId="0" applyFont="1" applyFill="1" applyBorder="1" applyAlignment="1">
      <alignment horizontal="center" vertical="center" wrapText="1"/>
    </xf>
    <xf numFmtId="0" fontId="40" fillId="26" borderId="37" xfId="0" applyFont="1" applyFill="1" applyBorder="1" applyAlignment="1">
      <alignment horizontal="center" vertical="center" wrapText="1"/>
    </xf>
    <xf numFmtId="0" fontId="0" fillId="0" borderId="38" xfId="0" applyBorder="1" applyAlignment="1">
      <alignment horizontal="center"/>
    </xf>
    <xf numFmtId="0" fontId="0" fillId="0" borderId="37" xfId="0" applyBorder="1" applyAlignment="1">
      <alignment horizontal="center"/>
    </xf>
    <xf numFmtId="0" fontId="0" fillId="28" borderId="38" xfId="0" applyFill="1" applyBorder="1" applyAlignment="1">
      <alignment horizontal="center"/>
    </xf>
    <xf numFmtId="0" fontId="0" fillId="28" borderId="37" xfId="0" applyFill="1" applyBorder="1" applyAlignment="1">
      <alignment horizontal="center"/>
    </xf>
    <xf numFmtId="0" fontId="36" fillId="28" borderId="22" xfId="0" applyFont="1" applyFill="1" applyBorder="1" applyAlignment="1">
      <alignment horizontal="center"/>
    </xf>
    <xf numFmtId="0" fontId="36" fillId="28" borderId="23" xfId="0" applyFont="1" applyFill="1" applyBorder="1" applyAlignment="1">
      <alignment horizontal="center"/>
    </xf>
    <xf numFmtId="0" fontId="36" fillId="28" borderId="24" xfId="0" applyFont="1" applyFill="1" applyBorder="1" applyAlignment="1">
      <alignment horizontal="center"/>
    </xf>
    <xf numFmtId="0" fontId="82" fillId="38" borderId="69" xfId="0" applyFont="1" applyFill="1" applyBorder="1" applyAlignment="1">
      <alignment horizontal="center"/>
    </xf>
    <xf numFmtId="0" fontId="82" fillId="38" borderId="65" xfId="0" applyFont="1" applyFill="1" applyBorder="1" applyAlignment="1">
      <alignment horizontal="center"/>
    </xf>
    <xf numFmtId="0" fontId="0" fillId="0" borderId="69" xfId="0" applyBorder="1" applyAlignment="1">
      <alignment horizontal="center"/>
    </xf>
    <xf numFmtId="0" fontId="0" fillId="0" borderId="65" xfId="0" applyBorder="1" applyAlignment="1">
      <alignment horizontal="center"/>
    </xf>
    <xf numFmtId="0" fontId="40" fillId="37" borderId="34" xfId="0" applyFont="1" applyFill="1" applyBorder="1" applyAlignment="1">
      <alignment horizontal="center"/>
    </xf>
    <xf numFmtId="0" fontId="67" fillId="31" borderId="17" xfId="0" applyFont="1" applyFill="1" applyBorder="1" applyAlignment="1">
      <alignment horizontal="center" vertical="center"/>
    </xf>
    <xf numFmtId="0" fontId="67" fillId="31" borderId="18" xfId="0" applyFont="1" applyFill="1" applyBorder="1" applyAlignment="1">
      <alignment horizontal="center" vertical="center"/>
    </xf>
    <xf numFmtId="0" fontId="67" fillId="31" borderId="19" xfId="0" applyFont="1" applyFill="1" applyBorder="1" applyAlignment="1">
      <alignment horizontal="center" vertical="center"/>
    </xf>
    <xf numFmtId="0" fontId="58" fillId="31" borderId="33" xfId="0" applyFont="1" applyFill="1" applyBorder="1" applyAlignment="1">
      <alignment horizontal="center"/>
    </xf>
    <xf numFmtId="0" fontId="58" fillId="31" borderId="34" xfId="0" applyFont="1" applyFill="1" applyBorder="1" applyAlignment="1">
      <alignment horizontal="center"/>
    </xf>
    <xf numFmtId="0" fontId="58" fillId="31" borderId="32" xfId="0" applyFont="1" applyFill="1" applyBorder="1" applyAlignment="1">
      <alignment horizontal="center"/>
    </xf>
    <xf numFmtId="0" fontId="3" fillId="33" borderId="49" xfId="0" applyFont="1" applyFill="1" applyBorder="1" applyAlignment="1">
      <alignment horizontal="center" vertical="center" wrapText="1"/>
    </xf>
    <xf numFmtId="0" fontId="3" fillId="33" borderId="56" xfId="0" applyFont="1" applyFill="1" applyBorder="1" applyAlignment="1">
      <alignment horizontal="center" vertical="center" wrapText="1"/>
    </xf>
    <xf numFmtId="0" fontId="3" fillId="33" borderId="36" xfId="0" applyFont="1" applyFill="1" applyBorder="1" applyAlignment="1">
      <alignment horizontal="center" vertical="center" wrapText="1"/>
    </xf>
    <xf numFmtId="0" fontId="3" fillId="33" borderId="39" xfId="0" applyFont="1" applyFill="1" applyBorder="1" applyAlignment="1">
      <alignment horizontal="center" vertical="center" wrapText="1"/>
    </xf>
    <xf numFmtId="0" fontId="45" fillId="2" borderId="34" xfId="0" applyFont="1" applyFill="1" applyBorder="1" applyAlignment="1">
      <alignment horizontal="center" vertical="center"/>
    </xf>
    <xf numFmtId="0" fontId="50" fillId="2" borderId="40" xfId="0" applyFont="1" applyFill="1" applyBorder="1" applyAlignment="1">
      <alignment horizontal="center" vertical="center"/>
    </xf>
    <xf numFmtId="0" fontId="50" fillId="2" borderId="56" xfId="0" applyFont="1" applyFill="1" applyBorder="1" applyAlignment="1">
      <alignment horizontal="center" vertical="center"/>
    </xf>
    <xf numFmtId="0" fontId="50" fillId="2" borderId="48" xfId="0" applyFont="1" applyFill="1" applyBorder="1" applyAlignment="1">
      <alignment horizontal="center" vertical="center"/>
    </xf>
    <xf numFmtId="0" fontId="50" fillId="2" borderId="2" xfId="0" applyFont="1" applyFill="1" applyBorder="1" applyAlignment="1">
      <alignment horizontal="center" vertical="center"/>
    </xf>
    <xf numFmtId="0" fontId="50" fillId="2" borderId="0" xfId="0" applyFont="1" applyFill="1" applyAlignment="1">
      <alignment horizontal="center" vertical="center"/>
    </xf>
    <xf numFmtId="0" fontId="50" fillId="2" borderId="4" xfId="0" applyFont="1" applyFill="1" applyBorder="1" applyAlignment="1">
      <alignment horizontal="center" vertical="center"/>
    </xf>
    <xf numFmtId="0" fontId="50" fillId="2" borderId="5" xfId="0" applyFont="1" applyFill="1" applyBorder="1" applyAlignment="1">
      <alignment horizontal="center" vertical="center"/>
    </xf>
    <xf numFmtId="0" fontId="50" fillId="2" borderId="1" xfId="0" applyFont="1" applyFill="1" applyBorder="1" applyAlignment="1">
      <alignment horizontal="center" vertical="center"/>
    </xf>
    <xf numFmtId="0" fontId="50" fillId="2" borderId="6" xfId="0" applyFont="1" applyFill="1" applyBorder="1" applyAlignment="1">
      <alignment horizontal="center" vertical="center"/>
    </xf>
    <xf numFmtId="0" fontId="53" fillId="34" borderId="37" xfId="0" applyFont="1" applyFill="1" applyBorder="1" applyAlignment="1">
      <alignment horizontal="center" vertical="center" wrapText="1"/>
    </xf>
    <xf numFmtId="0" fontId="53" fillId="34" borderId="34" xfId="0" applyFont="1" applyFill="1" applyBorder="1" applyAlignment="1">
      <alignment horizontal="center" vertical="center" wrapText="1"/>
    </xf>
    <xf numFmtId="0" fontId="53" fillId="2" borderId="36" xfId="0" applyFont="1" applyFill="1" applyBorder="1" applyAlignment="1">
      <alignment horizontal="center" vertical="center" wrapText="1"/>
    </xf>
    <xf numFmtId="0" fontId="53" fillId="2" borderId="37" xfId="0" applyFont="1" applyFill="1" applyBorder="1" applyAlignment="1">
      <alignment horizontal="center" vertical="center" wrapText="1"/>
    </xf>
    <xf numFmtId="0" fontId="53" fillId="2" borderId="34" xfId="0" applyFont="1" applyFill="1" applyBorder="1" applyAlignment="1">
      <alignment horizontal="center" vertical="center" wrapText="1"/>
    </xf>
    <xf numFmtId="0" fontId="33" fillId="26" borderId="33" xfId="0" applyFont="1" applyFill="1" applyBorder="1" applyAlignment="1">
      <alignment horizontal="center" vertical="center"/>
    </xf>
    <xf numFmtId="0" fontId="33" fillId="26" borderId="34" xfId="0" applyFont="1" applyFill="1" applyBorder="1" applyAlignment="1">
      <alignment horizontal="center" vertical="center"/>
    </xf>
    <xf numFmtId="0" fontId="33" fillId="26" borderId="32" xfId="0" applyFont="1" applyFill="1" applyBorder="1" applyAlignment="1">
      <alignment horizontal="center" vertical="center"/>
    </xf>
    <xf numFmtId="0" fontId="50" fillId="2" borderId="38" xfId="0" applyFont="1" applyFill="1" applyBorder="1" applyAlignment="1">
      <alignment horizontal="center" vertical="center"/>
    </xf>
    <xf numFmtId="0" fontId="50" fillId="2" borderId="37" xfId="0" applyFont="1" applyFill="1" applyBorder="1" applyAlignment="1">
      <alignment horizontal="center" vertical="center"/>
    </xf>
    <xf numFmtId="0" fontId="35" fillId="2" borderId="37" xfId="0" applyFont="1" applyFill="1" applyBorder="1" applyAlignment="1">
      <alignment horizontal="center"/>
    </xf>
    <xf numFmtId="0" fontId="35" fillId="2" borderId="34" xfId="0" applyFont="1" applyFill="1" applyBorder="1" applyAlignment="1">
      <alignment horizontal="center"/>
    </xf>
    <xf numFmtId="0" fontId="38" fillId="0" borderId="0" xfId="0" applyFont="1" applyAlignment="1">
      <alignment horizontal="center"/>
    </xf>
    <xf numFmtId="0" fontId="68" fillId="31" borderId="5" xfId="0" applyFont="1" applyFill="1" applyBorder="1" applyAlignment="1">
      <alignment horizontal="center"/>
    </xf>
    <xf numFmtId="0" fontId="68" fillId="31" borderId="1" xfId="0" applyFont="1" applyFill="1" applyBorder="1" applyAlignment="1">
      <alignment horizontal="center"/>
    </xf>
    <xf numFmtId="0" fontId="68" fillId="31" borderId="6" xfId="0" applyFont="1" applyFill="1" applyBorder="1" applyAlignment="1">
      <alignment horizontal="center"/>
    </xf>
    <xf numFmtId="4" fontId="54" fillId="2" borderId="38" xfId="0" applyNumberFormat="1" applyFont="1" applyFill="1" applyBorder="1" applyAlignment="1">
      <alignment horizontal="center"/>
    </xf>
    <xf numFmtId="4" fontId="54" fillId="2" borderId="36" xfId="0" applyNumberFormat="1" applyFont="1" applyFill="1" applyBorder="1" applyAlignment="1">
      <alignment horizontal="center"/>
    </xf>
    <xf numFmtId="4" fontId="54" fillId="2" borderId="37" xfId="0" applyNumberFormat="1" applyFont="1" applyFill="1" applyBorder="1" applyAlignment="1">
      <alignment horizontal="center"/>
    </xf>
    <xf numFmtId="4" fontId="52" fillId="28" borderId="38" xfId="0" applyNumberFormat="1" applyFont="1" applyFill="1" applyBorder="1" applyAlignment="1">
      <alignment horizontal="left"/>
    </xf>
    <xf numFmtId="4" fontId="52" fillId="28" borderId="36" xfId="0" applyNumberFormat="1" applyFont="1" applyFill="1" applyBorder="1" applyAlignment="1">
      <alignment horizontal="left"/>
    </xf>
    <xf numFmtId="4" fontId="52" fillId="28" borderId="39" xfId="0" applyNumberFormat="1" applyFont="1" applyFill="1" applyBorder="1" applyAlignment="1">
      <alignment horizontal="left"/>
    </xf>
    <xf numFmtId="0" fontId="58" fillId="25" borderId="35" xfId="0" applyFont="1" applyFill="1" applyBorder="1" applyAlignment="1">
      <alignment horizontal="center" vertical="center"/>
    </xf>
    <xf numFmtId="0" fontId="58" fillId="25" borderId="36" xfId="0" applyFont="1" applyFill="1" applyBorder="1" applyAlignment="1">
      <alignment horizontal="center" vertical="center"/>
    </xf>
    <xf numFmtId="0" fontId="58" fillId="25" borderId="39" xfId="0" applyFont="1" applyFill="1" applyBorder="1" applyAlignment="1">
      <alignment horizontal="center" vertical="center"/>
    </xf>
    <xf numFmtId="183" fontId="56" fillId="2" borderId="36" xfId="0" applyNumberFormat="1" applyFont="1" applyFill="1" applyBorder="1" applyAlignment="1">
      <alignment horizontal="center" vertical="center" wrapText="1"/>
    </xf>
    <xf numFmtId="0" fontId="74" fillId="2" borderId="35" xfId="0" applyFont="1" applyFill="1" applyBorder="1" applyAlignment="1">
      <alignment horizontal="center" vertical="center" wrapText="1"/>
    </xf>
    <xf numFmtId="0" fontId="74" fillId="2" borderId="36" xfId="0" applyFont="1" applyFill="1" applyBorder="1" applyAlignment="1">
      <alignment horizontal="center" vertical="center" wrapText="1"/>
    </xf>
    <xf numFmtId="0" fontId="74" fillId="2" borderId="39" xfId="0" applyFont="1" applyFill="1" applyBorder="1" applyAlignment="1">
      <alignment horizontal="center" vertical="center" wrapText="1"/>
    </xf>
    <xf numFmtId="0" fontId="69" fillId="0" borderId="0" xfId="0" applyFont="1" applyAlignment="1">
      <alignment horizontal="center" wrapText="1"/>
    </xf>
    <xf numFmtId="165" fontId="80" fillId="26" borderId="33" xfId="0" applyNumberFormat="1" applyFont="1" applyFill="1" applyBorder="1" applyAlignment="1">
      <alignment vertical="center" textRotation="90" wrapText="1"/>
    </xf>
    <xf numFmtId="165" fontId="72" fillId="26" borderId="36" xfId="0" applyNumberFormat="1" applyFont="1" applyFill="1" applyBorder="1" applyAlignment="1">
      <alignment horizontal="center" vertical="center" textRotation="90" wrapText="1"/>
    </xf>
    <xf numFmtId="165" fontId="72" fillId="26" borderId="37" xfId="0" applyNumberFormat="1" applyFont="1" applyFill="1" applyBorder="1" applyAlignment="1">
      <alignment horizontal="center" vertical="center" textRotation="90" wrapText="1"/>
    </xf>
    <xf numFmtId="0" fontId="58" fillId="25" borderId="37" xfId="0" applyFont="1" applyFill="1" applyBorder="1" applyAlignment="1">
      <alignment horizontal="center" vertical="center"/>
    </xf>
    <xf numFmtId="165" fontId="72" fillId="26" borderId="52" xfId="0" applyNumberFormat="1" applyFont="1" applyFill="1" applyBorder="1" applyAlignment="1">
      <alignment horizontal="center" vertical="center" textRotation="90" wrapText="1"/>
    </xf>
    <xf numFmtId="165" fontId="72" fillId="26" borderId="53" xfId="0" applyNumberFormat="1" applyFont="1" applyFill="1" applyBorder="1" applyAlignment="1">
      <alignment horizontal="center" vertical="center" textRotation="90" wrapText="1"/>
    </xf>
    <xf numFmtId="182" fontId="31" fillId="28" borderId="38" xfId="0" applyNumberFormat="1" applyFont="1" applyFill="1" applyBorder="1" applyAlignment="1">
      <alignment horizontal="center" vertical="center"/>
    </xf>
    <xf numFmtId="182" fontId="31" fillId="28" borderId="39" xfId="0" applyNumberFormat="1" applyFont="1" applyFill="1" applyBorder="1" applyAlignment="1">
      <alignment horizontal="center" vertical="center"/>
    </xf>
    <xf numFmtId="0" fontId="33" fillId="27" borderId="40" xfId="0" applyFont="1" applyFill="1" applyBorder="1" applyAlignment="1">
      <alignment horizontal="center" vertical="center" wrapText="1"/>
    </xf>
    <xf numFmtId="0" fontId="33" fillId="27" borderId="56" xfId="0" applyFont="1" applyFill="1" applyBorder="1" applyAlignment="1">
      <alignment horizontal="center" vertical="center" wrapText="1"/>
    </xf>
    <xf numFmtId="0" fontId="33" fillId="27" borderId="55" xfId="0" applyFont="1" applyFill="1" applyBorder="1" applyAlignment="1">
      <alignment horizontal="center" vertical="center" wrapText="1"/>
    </xf>
    <xf numFmtId="0" fontId="78" fillId="2" borderId="35" xfId="0" applyFont="1" applyFill="1" applyBorder="1" applyAlignment="1">
      <alignment horizontal="center" vertical="center" wrapText="1"/>
    </xf>
    <xf numFmtId="0" fontId="78" fillId="2" borderId="36" xfId="0" applyFont="1" applyFill="1" applyBorder="1" applyAlignment="1">
      <alignment horizontal="center" vertical="center" wrapText="1"/>
    </xf>
    <xf numFmtId="0" fontId="77" fillId="2" borderId="35" xfId="0" applyFont="1" applyFill="1" applyBorder="1" applyAlignment="1">
      <alignment horizontal="center" vertical="center" wrapText="1"/>
    </xf>
    <xf numFmtId="0" fontId="77" fillId="2" borderId="36" xfId="0" applyFont="1" applyFill="1" applyBorder="1" applyAlignment="1">
      <alignment horizontal="center" vertical="center" wrapText="1"/>
    </xf>
    <xf numFmtId="0" fontId="77" fillId="2" borderId="37" xfId="0" applyFont="1" applyFill="1" applyBorder="1" applyAlignment="1">
      <alignment horizontal="center" vertical="center" wrapText="1"/>
    </xf>
    <xf numFmtId="0" fontId="58" fillId="25" borderId="33" xfId="0" applyFont="1" applyFill="1" applyBorder="1" applyAlignment="1">
      <alignment horizontal="center" vertical="center"/>
    </xf>
    <xf numFmtId="0" fontId="58" fillId="25" borderId="34" xfId="0" applyFont="1" applyFill="1" applyBorder="1" applyAlignment="1">
      <alignment horizontal="center" vertical="center"/>
    </xf>
    <xf numFmtId="0" fontId="58" fillId="25" borderId="32" xfId="0" applyFont="1" applyFill="1" applyBorder="1" applyAlignment="1">
      <alignment horizontal="center" vertical="center"/>
    </xf>
    <xf numFmtId="0" fontId="78" fillId="2" borderId="33" xfId="0" applyFont="1" applyFill="1" applyBorder="1" applyAlignment="1">
      <alignment horizontal="center" vertical="center" wrapText="1"/>
    </xf>
    <xf numFmtId="0" fontId="78" fillId="2" borderId="34" xfId="0" applyFont="1" applyFill="1" applyBorder="1" applyAlignment="1">
      <alignment horizontal="center" vertical="center" wrapText="1"/>
    </xf>
    <xf numFmtId="0" fontId="78" fillId="2" borderId="40" xfId="0" applyFont="1" applyFill="1" applyBorder="1" applyAlignment="1">
      <alignment horizontal="center" vertical="center" wrapText="1"/>
    </xf>
    <xf numFmtId="0" fontId="78" fillId="2" borderId="56" xfId="0" applyFont="1" applyFill="1" applyBorder="1" applyAlignment="1">
      <alignment horizontal="center" vertical="center" wrapText="1"/>
    </xf>
    <xf numFmtId="0" fontId="78" fillId="2" borderId="48" xfId="0" applyFont="1" applyFill="1" applyBorder="1" applyAlignment="1">
      <alignment horizontal="center" vertical="center" wrapText="1"/>
    </xf>
    <xf numFmtId="0" fontId="78" fillId="2" borderId="2" xfId="0" applyFont="1" applyFill="1" applyBorder="1" applyAlignment="1">
      <alignment horizontal="center" vertical="center" wrapText="1"/>
    </xf>
    <xf numFmtId="0" fontId="78" fillId="2" borderId="0" xfId="0" applyFont="1" applyFill="1" applyAlignment="1">
      <alignment horizontal="center" vertical="center" wrapText="1"/>
    </xf>
    <xf numFmtId="0" fontId="78" fillId="2" borderId="5" xfId="0" applyFont="1" applyFill="1" applyBorder="1" applyAlignment="1">
      <alignment horizontal="center" vertical="center" wrapText="1"/>
    </xf>
    <xf numFmtId="0" fontId="78" fillId="2" borderId="1" xfId="0" applyFont="1" applyFill="1" applyBorder="1" applyAlignment="1">
      <alignment horizontal="center" vertical="center" wrapText="1"/>
    </xf>
    <xf numFmtId="0" fontId="78" fillId="2" borderId="49" xfId="0" applyFont="1" applyFill="1" applyBorder="1" applyAlignment="1">
      <alignment horizontal="center" vertical="center" wrapText="1"/>
    </xf>
    <xf numFmtId="0" fontId="78" fillId="2" borderId="50" xfId="0" applyFont="1" applyFill="1" applyBorder="1" applyAlignment="1">
      <alignment horizontal="center" vertical="center" wrapText="1"/>
    </xf>
    <xf numFmtId="0" fontId="78" fillId="2" borderId="6" xfId="0" applyFont="1" applyFill="1" applyBorder="1" applyAlignment="1">
      <alignment horizontal="center" vertical="center" wrapText="1"/>
    </xf>
    <xf numFmtId="0" fontId="78" fillId="2" borderId="22" xfId="0" applyFont="1" applyFill="1" applyBorder="1" applyAlignment="1">
      <alignment horizontal="center" vertical="center" wrapText="1"/>
    </xf>
    <xf numFmtId="0" fontId="78" fillId="2" borderId="23" xfId="0" applyFont="1" applyFill="1" applyBorder="1" applyAlignment="1">
      <alignment horizontal="center" vertical="center" wrapText="1"/>
    </xf>
    <xf numFmtId="0" fontId="78" fillId="2" borderId="24" xfId="0" applyFont="1" applyFill="1" applyBorder="1" applyAlignment="1">
      <alignment horizontal="center" vertical="center" wrapText="1"/>
    </xf>
    <xf numFmtId="0" fontId="78" fillId="2" borderId="37" xfId="0" applyFont="1" applyFill="1" applyBorder="1" applyAlignment="1">
      <alignment horizontal="center" vertical="center" wrapText="1"/>
    </xf>
    <xf numFmtId="0" fontId="78" fillId="2" borderId="38" xfId="0" applyFont="1" applyFill="1" applyBorder="1" applyAlignment="1">
      <alignment horizontal="center" vertical="center" wrapText="1"/>
    </xf>
    <xf numFmtId="185" fontId="49" fillId="2" borderId="22" xfId="0" applyNumberFormat="1" applyFont="1" applyFill="1" applyBorder="1" applyAlignment="1">
      <alignment horizontal="center"/>
    </xf>
    <xf numFmtId="185" fontId="49" fillId="2" borderId="23" xfId="0" applyNumberFormat="1" applyFont="1" applyFill="1" applyBorder="1" applyAlignment="1">
      <alignment horizontal="center"/>
    </xf>
    <xf numFmtId="185" fontId="49" fillId="2" borderId="24" xfId="0" applyNumberFormat="1" applyFont="1" applyFill="1" applyBorder="1" applyAlignment="1">
      <alignment horizontal="center"/>
    </xf>
    <xf numFmtId="0" fontId="65" fillId="0" borderId="29" xfId="0" applyFont="1" applyBorder="1" applyAlignment="1">
      <alignment horizontal="justify" vertical="center"/>
    </xf>
    <xf numFmtId="0" fontId="65" fillId="0" borderId="30" xfId="0" applyFont="1" applyBorder="1" applyAlignment="1">
      <alignment horizontal="justify" vertical="center"/>
    </xf>
    <xf numFmtId="0" fontId="65" fillId="0" borderId="31" xfId="0" applyFont="1" applyBorder="1" applyAlignment="1">
      <alignment horizontal="justify" vertical="center"/>
    </xf>
    <xf numFmtId="0" fontId="65" fillId="0" borderId="25" xfId="0" applyFont="1" applyBorder="1" applyAlignment="1">
      <alignment horizontal="justify" vertical="center"/>
    </xf>
    <xf numFmtId="0" fontId="65" fillId="0" borderId="0" xfId="0" applyFont="1" applyAlignment="1">
      <alignment horizontal="justify" vertical="center"/>
    </xf>
    <xf numFmtId="0" fontId="65" fillId="0" borderId="21" xfId="0" applyFont="1" applyBorder="1" applyAlignment="1">
      <alignment horizontal="justify" vertical="center"/>
    </xf>
    <xf numFmtId="0" fontId="65" fillId="0" borderId="26" xfId="0" applyFont="1" applyBorder="1" applyAlignment="1">
      <alignment horizontal="justify" vertical="center"/>
    </xf>
    <xf numFmtId="0" fontId="65" fillId="0" borderId="27" xfId="0" applyFont="1" applyBorder="1" applyAlignment="1">
      <alignment horizontal="justify" vertical="center"/>
    </xf>
    <xf numFmtId="0" fontId="65" fillId="0" borderId="28" xfId="0" applyFont="1" applyBorder="1" applyAlignment="1">
      <alignment horizontal="justify" vertical="center"/>
    </xf>
    <xf numFmtId="0" fontId="58" fillId="29" borderId="26" xfId="0" applyFont="1" applyFill="1" applyBorder="1" applyAlignment="1">
      <alignment horizontal="right" vertical="center" wrapText="1"/>
    </xf>
    <xf numFmtId="0" fontId="58" fillId="29" borderId="27" xfId="0" applyFont="1" applyFill="1" applyBorder="1" applyAlignment="1">
      <alignment horizontal="right" vertical="center" wrapText="1"/>
    </xf>
    <xf numFmtId="0" fontId="47" fillId="2" borderId="22" xfId="0" applyFont="1" applyFill="1" applyBorder="1" applyAlignment="1">
      <alignment horizontal="center"/>
    </xf>
    <xf numFmtId="0" fontId="47" fillId="2" borderId="23" xfId="0" applyFont="1" applyFill="1" applyBorder="1" applyAlignment="1">
      <alignment horizontal="center"/>
    </xf>
    <xf numFmtId="0" fontId="47" fillId="2" borderId="24" xfId="0" applyFont="1" applyFill="1" applyBorder="1" applyAlignment="1">
      <alignment horizontal="center"/>
    </xf>
    <xf numFmtId="182" fontId="88" fillId="28" borderId="47" xfId="0" applyNumberFormat="1" applyFont="1" applyFill="1" applyBorder="1" applyAlignment="1">
      <alignment horizontal="center" vertical="center"/>
    </xf>
    <xf numFmtId="182" fontId="88" fillId="28" borderId="3" xfId="0" applyNumberFormat="1" applyFont="1" applyFill="1" applyBorder="1" applyAlignment="1">
      <alignment horizontal="center" vertical="center"/>
    </xf>
    <xf numFmtId="0" fontId="53" fillId="0" borderId="47" xfId="0" applyFont="1" applyBorder="1" applyAlignment="1">
      <alignment horizontal="center" vertical="center" wrapText="1"/>
    </xf>
    <xf numFmtId="0" fontId="86" fillId="0" borderId="3" xfId="0" applyFont="1" applyBorder="1" applyAlignment="1">
      <alignment horizontal="center" vertical="center" wrapText="1"/>
    </xf>
    <xf numFmtId="0" fontId="89" fillId="28" borderId="51" xfId="0" applyFont="1" applyFill="1" applyBorder="1" applyAlignment="1">
      <alignment horizontal="center" vertical="center" wrapText="1"/>
    </xf>
    <xf numFmtId="0" fontId="89" fillId="28" borderId="70" xfId="0" applyFont="1" applyFill="1" applyBorder="1" applyAlignment="1">
      <alignment horizontal="center" vertical="center" wrapText="1"/>
    </xf>
    <xf numFmtId="0" fontId="86" fillId="0" borderId="47" xfId="0" applyFont="1" applyBorder="1" applyAlignment="1">
      <alignment horizontal="center" vertical="center"/>
    </xf>
    <xf numFmtId="0" fontId="86" fillId="0" borderId="3" xfId="0" applyFont="1" applyBorder="1" applyAlignment="1">
      <alignment horizontal="center" vertical="center"/>
    </xf>
    <xf numFmtId="0" fontId="38" fillId="2" borderId="40" xfId="0" applyFont="1" applyFill="1" applyBorder="1" applyAlignment="1">
      <alignment horizontal="center" vertical="center"/>
    </xf>
    <xf numFmtId="0" fontId="38" fillId="2" borderId="56" xfId="0" applyFont="1" applyFill="1" applyBorder="1" applyAlignment="1">
      <alignment horizontal="center" vertical="center"/>
    </xf>
    <xf numFmtId="0" fontId="38" fillId="2" borderId="48" xfId="0" applyFont="1" applyFill="1" applyBorder="1" applyAlignment="1">
      <alignment horizontal="center" vertical="center"/>
    </xf>
    <xf numFmtId="0" fontId="38" fillId="2" borderId="2" xfId="0" applyFont="1" applyFill="1" applyBorder="1" applyAlignment="1">
      <alignment horizontal="center" vertical="center"/>
    </xf>
    <xf numFmtId="0" fontId="38" fillId="2" borderId="0" xfId="0" applyFont="1" applyFill="1" applyAlignment="1">
      <alignment horizontal="center" vertical="center"/>
    </xf>
    <xf numFmtId="0" fontId="38" fillId="2" borderId="4" xfId="0" applyFont="1" applyFill="1" applyBorder="1" applyAlignment="1">
      <alignment horizontal="center" vertical="center"/>
    </xf>
    <xf numFmtId="0" fontId="38" fillId="2" borderId="5" xfId="0" applyFont="1" applyFill="1" applyBorder="1" applyAlignment="1">
      <alignment horizontal="center" vertical="center"/>
    </xf>
    <xf numFmtId="0" fontId="38" fillId="2" borderId="1" xfId="0" applyFont="1" applyFill="1" applyBorder="1" applyAlignment="1">
      <alignment horizontal="center" vertical="center"/>
    </xf>
    <xf numFmtId="0" fontId="38" fillId="2" borderId="6" xfId="0" applyFont="1" applyFill="1" applyBorder="1" applyAlignment="1">
      <alignment horizontal="center" vertical="center"/>
    </xf>
    <xf numFmtId="0" fontId="53" fillId="0" borderId="36" xfId="0" applyFont="1" applyBorder="1" applyAlignment="1">
      <alignment horizontal="center"/>
    </xf>
    <xf numFmtId="0" fontId="53" fillId="0" borderId="37" xfId="0" applyFont="1" applyBorder="1" applyAlignment="1">
      <alignment horizontal="center"/>
    </xf>
    <xf numFmtId="165" fontId="72" fillId="26" borderId="33" xfId="0" applyNumberFormat="1" applyFont="1" applyFill="1" applyBorder="1" applyAlignment="1">
      <alignment vertical="center" textRotation="90" wrapText="1"/>
    </xf>
    <xf numFmtId="0" fontId="88" fillId="2" borderId="47" xfId="0" applyFont="1" applyFill="1" applyBorder="1" applyAlignment="1">
      <alignment horizontal="center" vertical="center" wrapText="1"/>
    </xf>
    <xf numFmtId="0" fontId="88" fillId="2" borderId="3" xfId="0" applyFont="1" applyFill="1" applyBorder="1" applyAlignment="1">
      <alignment horizontal="center" vertical="center" wrapText="1"/>
    </xf>
    <xf numFmtId="0" fontId="86" fillId="0" borderId="47" xfId="0" applyFont="1" applyBorder="1" applyAlignment="1">
      <alignment horizontal="center" vertical="center" wrapText="1"/>
    </xf>
    <xf numFmtId="0" fontId="65" fillId="0" borderId="29" xfId="0" applyFont="1" applyBorder="1" applyAlignment="1">
      <alignment horizontal="left" vertical="center" wrapText="1"/>
    </xf>
    <xf numFmtId="0" fontId="65" fillId="0" borderId="30" xfId="0" applyFont="1" applyBorder="1" applyAlignment="1">
      <alignment horizontal="left" vertical="center"/>
    </xf>
    <xf numFmtId="0" fontId="65" fillId="0" borderId="31" xfId="0" applyFont="1" applyBorder="1" applyAlignment="1">
      <alignment horizontal="left" vertical="center"/>
    </xf>
    <xf numFmtId="0" fontId="65" fillId="0" borderId="25" xfId="0" applyFont="1" applyBorder="1" applyAlignment="1">
      <alignment horizontal="left" vertical="center"/>
    </xf>
    <xf numFmtId="0" fontId="65" fillId="0" borderId="0" xfId="0" applyFont="1" applyAlignment="1">
      <alignment horizontal="left" vertical="center"/>
    </xf>
    <xf numFmtId="0" fontId="65" fillId="0" borderId="21" xfId="0" applyFont="1" applyBorder="1" applyAlignment="1">
      <alignment horizontal="left" vertical="center"/>
    </xf>
    <xf numFmtId="0" fontId="65" fillId="0" borderId="26" xfId="0" applyFont="1" applyBorder="1" applyAlignment="1">
      <alignment horizontal="left" vertical="center"/>
    </xf>
    <xf numFmtId="0" fontId="65" fillId="0" borderId="27" xfId="0" applyFont="1" applyBorder="1" applyAlignment="1">
      <alignment horizontal="left" vertical="center"/>
    </xf>
    <xf numFmtId="0" fontId="65" fillId="0" borderId="28" xfId="0" applyFont="1" applyBorder="1" applyAlignment="1">
      <alignment horizontal="left" vertical="center"/>
    </xf>
    <xf numFmtId="0" fontId="34" fillId="0" borderId="36" xfId="0" applyFont="1" applyBorder="1" applyAlignment="1">
      <alignment horizontal="center"/>
    </xf>
    <xf numFmtId="0" fontId="34" fillId="0" borderId="37" xfId="0" applyFont="1" applyBorder="1" applyAlignment="1">
      <alignment horizontal="center"/>
    </xf>
    <xf numFmtId="165" fontId="72" fillId="26" borderId="33" xfId="0" applyNumberFormat="1" applyFont="1" applyFill="1" applyBorder="1" applyAlignment="1">
      <alignment horizontal="center" vertical="center" textRotation="90" wrapText="1"/>
    </xf>
    <xf numFmtId="0" fontId="99" fillId="0" borderId="29" xfId="0" applyFont="1" applyBorder="1" applyAlignment="1">
      <alignment horizontal="left" vertical="center" wrapText="1"/>
    </xf>
    <xf numFmtId="0" fontId="99" fillId="0" borderId="30" xfId="0" applyFont="1" applyBorder="1" applyAlignment="1">
      <alignment horizontal="left" vertical="center"/>
    </xf>
    <xf numFmtId="0" fontId="99" fillId="0" borderId="31" xfId="0" applyFont="1" applyBorder="1" applyAlignment="1">
      <alignment horizontal="left" vertical="center"/>
    </xf>
    <xf numFmtId="0" fontId="99" fillId="0" borderId="25" xfId="0" applyFont="1" applyBorder="1" applyAlignment="1">
      <alignment horizontal="left" vertical="center"/>
    </xf>
    <xf numFmtId="0" fontId="99" fillId="0" borderId="0" xfId="0" applyFont="1" applyAlignment="1">
      <alignment horizontal="left" vertical="center"/>
    </xf>
    <xf numFmtId="0" fontId="99" fillId="0" borderId="21" xfId="0" applyFont="1" applyBorder="1" applyAlignment="1">
      <alignment horizontal="left" vertical="center"/>
    </xf>
    <xf numFmtId="0" fontId="99" fillId="0" borderId="26" xfId="0" applyFont="1" applyBorder="1" applyAlignment="1">
      <alignment horizontal="left" vertical="center"/>
    </xf>
    <xf numFmtId="0" fontId="99" fillId="0" borderId="27" xfId="0" applyFont="1" applyBorder="1" applyAlignment="1">
      <alignment horizontal="left" vertical="center"/>
    </xf>
    <xf numFmtId="0" fontId="99" fillId="0" borderId="28" xfId="0" applyFont="1" applyBorder="1" applyAlignment="1">
      <alignment horizontal="left" vertical="center"/>
    </xf>
    <xf numFmtId="0" fontId="65" fillId="0" borderId="29" xfId="0" applyFont="1" applyBorder="1" applyAlignment="1">
      <alignment horizontal="justify" vertical="center" wrapText="1"/>
    </xf>
    <xf numFmtId="0" fontId="79" fillId="2" borderId="5" xfId="0" applyFont="1" applyFill="1" applyBorder="1" applyAlignment="1">
      <alignment horizontal="center" vertical="center" wrapText="1"/>
    </xf>
    <xf numFmtId="0" fontId="79" fillId="2" borderId="1" xfId="0" applyFont="1" applyFill="1" applyBorder="1" applyAlignment="1">
      <alignment horizontal="center" vertical="center" wrapText="1"/>
    </xf>
    <xf numFmtId="0" fontId="79" fillId="2" borderId="20" xfId="0" applyFont="1" applyFill="1" applyBorder="1" applyAlignment="1">
      <alignment horizontal="center" vertical="center" wrapText="1"/>
    </xf>
    <xf numFmtId="165" fontId="97" fillId="26" borderId="33" xfId="0" applyNumberFormat="1" applyFont="1" applyFill="1" applyBorder="1" applyAlignment="1">
      <alignment horizontal="center" vertical="top" textRotation="90" wrapText="1"/>
    </xf>
    <xf numFmtId="0" fontId="34" fillId="0" borderId="36" xfId="0" applyFont="1" applyBorder="1" applyAlignment="1">
      <alignment horizontal="center" wrapText="1"/>
    </xf>
    <xf numFmtId="165" fontId="72" fillId="26" borderId="33" xfId="0" applyNumberFormat="1" applyFont="1" applyFill="1" applyBorder="1" applyAlignment="1">
      <alignment horizontal="center" vertical="top" textRotation="90" wrapText="1"/>
    </xf>
    <xf numFmtId="165" fontId="96" fillId="26" borderId="33" xfId="0" applyNumberFormat="1" applyFont="1" applyFill="1" applyBorder="1" applyAlignment="1">
      <alignment horizontal="center" vertical="center" textRotation="90" wrapText="1"/>
    </xf>
    <xf numFmtId="0" fontId="86" fillId="2" borderId="36" xfId="0" applyFont="1" applyFill="1" applyBorder="1" applyAlignment="1">
      <alignment horizontal="center" vertical="center" wrapText="1"/>
    </xf>
    <xf numFmtId="0" fontId="86" fillId="2" borderId="37" xfId="0" applyFont="1" applyFill="1" applyBorder="1" applyAlignment="1">
      <alignment horizontal="center" vertical="center" wrapText="1"/>
    </xf>
    <xf numFmtId="165" fontId="98" fillId="26" borderId="33" xfId="0" applyNumberFormat="1" applyFont="1" applyFill="1" applyBorder="1" applyAlignment="1">
      <alignment horizontal="center" vertical="center" textRotation="90" wrapText="1"/>
    </xf>
    <xf numFmtId="0" fontId="71" fillId="0" borderId="29" xfId="0" applyFont="1" applyBorder="1" applyAlignment="1">
      <alignment horizontal="left" vertical="center" wrapText="1"/>
    </xf>
    <xf numFmtId="0" fontId="71" fillId="0" borderId="30" xfId="0" applyFont="1" applyBorder="1" applyAlignment="1">
      <alignment horizontal="left" vertical="center"/>
    </xf>
    <xf numFmtId="0" fontId="71" fillId="0" borderId="31" xfId="0" applyFont="1" applyBorder="1" applyAlignment="1">
      <alignment horizontal="left" vertical="center"/>
    </xf>
    <xf numFmtId="0" fontId="71" fillId="0" borderId="25" xfId="0" applyFont="1" applyBorder="1" applyAlignment="1">
      <alignment horizontal="left" vertical="center"/>
    </xf>
    <xf numFmtId="0" fontId="71" fillId="0" borderId="0" xfId="0" applyFont="1" applyAlignment="1">
      <alignment horizontal="left" vertical="center"/>
    </xf>
    <xf numFmtId="0" fontId="71" fillId="0" borderId="21" xfId="0" applyFont="1" applyBorder="1" applyAlignment="1">
      <alignment horizontal="left" vertical="center"/>
    </xf>
    <xf numFmtId="0" fontId="71" fillId="0" borderId="26" xfId="0" applyFont="1" applyBorder="1" applyAlignment="1">
      <alignment horizontal="left" vertical="center"/>
    </xf>
    <xf numFmtId="0" fontId="71" fillId="0" borderId="27" xfId="0" applyFont="1" applyBorder="1" applyAlignment="1">
      <alignment horizontal="left" vertical="center"/>
    </xf>
    <xf numFmtId="0" fontId="71" fillId="0" borderId="28" xfId="0" applyFont="1" applyBorder="1" applyAlignment="1">
      <alignment horizontal="left" vertical="center"/>
    </xf>
  </cellXfs>
  <cellStyles count="331">
    <cellStyle name="0,0_x000d__x000a_NA_x000d__x000a_" xfId="5" xr:uid="{00000000-0005-0000-0000-000000000000}"/>
    <cellStyle name="0,0_x000d__x000a_NA_x000d__x000a_ 2" xfId="6" xr:uid="{00000000-0005-0000-0000-000001000000}"/>
    <cellStyle name="20% - Accent1" xfId="7" xr:uid="{00000000-0005-0000-0000-000002000000}"/>
    <cellStyle name="20% - Accent2" xfId="8" xr:uid="{00000000-0005-0000-0000-000003000000}"/>
    <cellStyle name="20% - Accent3" xfId="9" xr:uid="{00000000-0005-0000-0000-000004000000}"/>
    <cellStyle name="20% - Accent4" xfId="10" xr:uid="{00000000-0005-0000-0000-000005000000}"/>
    <cellStyle name="20% - Accent5" xfId="11" xr:uid="{00000000-0005-0000-0000-000006000000}"/>
    <cellStyle name="20% - Accent6" xfId="12" xr:uid="{00000000-0005-0000-0000-000007000000}"/>
    <cellStyle name="20% - Énfasis1 2" xfId="13" xr:uid="{00000000-0005-0000-0000-000008000000}"/>
    <cellStyle name="20% - Énfasis2 2" xfId="14" xr:uid="{00000000-0005-0000-0000-000009000000}"/>
    <cellStyle name="20% - Énfasis3 2" xfId="15" xr:uid="{00000000-0005-0000-0000-00000A000000}"/>
    <cellStyle name="20% - Énfasis4 2" xfId="16" xr:uid="{00000000-0005-0000-0000-00000B000000}"/>
    <cellStyle name="20% - Énfasis5 2" xfId="17" xr:uid="{00000000-0005-0000-0000-00000C000000}"/>
    <cellStyle name="20% - Énfasis6 2" xfId="18" xr:uid="{00000000-0005-0000-0000-00000D000000}"/>
    <cellStyle name="40% - Accent1" xfId="19" xr:uid="{00000000-0005-0000-0000-00000E000000}"/>
    <cellStyle name="40% - Accent2" xfId="20" xr:uid="{00000000-0005-0000-0000-00000F000000}"/>
    <cellStyle name="40% - Accent3" xfId="21" xr:uid="{00000000-0005-0000-0000-000010000000}"/>
    <cellStyle name="40% - Accent4" xfId="22" xr:uid="{00000000-0005-0000-0000-000011000000}"/>
    <cellStyle name="40% - Accent5" xfId="23" xr:uid="{00000000-0005-0000-0000-000012000000}"/>
    <cellStyle name="40% - Accent6" xfId="24" xr:uid="{00000000-0005-0000-0000-000013000000}"/>
    <cellStyle name="40% - Énfasis1 2" xfId="25" xr:uid="{00000000-0005-0000-0000-000014000000}"/>
    <cellStyle name="40% - Énfasis2 2" xfId="26" xr:uid="{00000000-0005-0000-0000-000015000000}"/>
    <cellStyle name="40% - Énfasis3 2" xfId="27" xr:uid="{00000000-0005-0000-0000-000016000000}"/>
    <cellStyle name="40% - Énfasis4 2" xfId="28" xr:uid="{00000000-0005-0000-0000-000017000000}"/>
    <cellStyle name="40% - Énfasis5 2" xfId="29" xr:uid="{00000000-0005-0000-0000-000018000000}"/>
    <cellStyle name="40% - Énfasis6 2" xfId="30" xr:uid="{00000000-0005-0000-0000-000019000000}"/>
    <cellStyle name="60% - Accent1" xfId="31" xr:uid="{00000000-0005-0000-0000-00001A000000}"/>
    <cellStyle name="60% - Accent2" xfId="32" xr:uid="{00000000-0005-0000-0000-00001B000000}"/>
    <cellStyle name="60% - Accent3" xfId="33" xr:uid="{00000000-0005-0000-0000-00001C000000}"/>
    <cellStyle name="60% - Accent4" xfId="34" xr:uid="{00000000-0005-0000-0000-00001D000000}"/>
    <cellStyle name="60% - Accent5" xfId="35" xr:uid="{00000000-0005-0000-0000-00001E000000}"/>
    <cellStyle name="60% - Accent6" xfId="36" xr:uid="{00000000-0005-0000-0000-00001F000000}"/>
    <cellStyle name="60% - Énfasis1 2" xfId="37" xr:uid="{00000000-0005-0000-0000-000020000000}"/>
    <cellStyle name="60% - Énfasis2 2" xfId="38" xr:uid="{00000000-0005-0000-0000-000021000000}"/>
    <cellStyle name="60% - Énfasis3 2" xfId="39" xr:uid="{00000000-0005-0000-0000-000022000000}"/>
    <cellStyle name="60% - Énfasis4 2" xfId="40" xr:uid="{00000000-0005-0000-0000-000023000000}"/>
    <cellStyle name="60% - Énfasis5 2" xfId="41" xr:uid="{00000000-0005-0000-0000-000024000000}"/>
    <cellStyle name="60% - Énfasis6 2" xfId="42" xr:uid="{00000000-0005-0000-0000-000025000000}"/>
    <cellStyle name="Accent1" xfId="43" xr:uid="{00000000-0005-0000-0000-000026000000}"/>
    <cellStyle name="Accent2" xfId="44" xr:uid="{00000000-0005-0000-0000-000027000000}"/>
    <cellStyle name="Accent3" xfId="45" xr:uid="{00000000-0005-0000-0000-000028000000}"/>
    <cellStyle name="Accent4" xfId="46" xr:uid="{00000000-0005-0000-0000-000029000000}"/>
    <cellStyle name="Accent5" xfId="47" xr:uid="{00000000-0005-0000-0000-00002A000000}"/>
    <cellStyle name="Accent6" xfId="48" xr:uid="{00000000-0005-0000-0000-00002B000000}"/>
    <cellStyle name="Bad" xfId="49" xr:uid="{00000000-0005-0000-0000-00002C000000}"/>
    <cellStyle name="Buena 2" xfId="50" xr:uid="{00000000-0005-0000-0000-00002D000000}"/>
    <cellStyle name="Calculation" xfId="51" xr:uid="{00000000-0005-0000-0000-00002E000000}"/>
    <cellStyle name="Calculation 2" xfId="52" xr:uid="{00000000-0005-0000-0000-00002F000000}"/>
    <cellStyle name="Calculation 3" xfId="53" xr:uid="{00000000-0005-0000-0000-000030000000}"/>
    <cellStyle name="Calculation 4" xfId="54" xr:uid="{00000000-0005-0000-0000-000031000000}"/>
    <cellStyle name="Calculation 5" xfId="55" xr:uid="{00000000-0005-0000-0000-000032000000}"/>
    <cellStyle name="Calculation 6" xfId="56" xr:uid="{00000000-0005-0000-0000-000033000000}"/>
    <cellStyle name="Calculation 7" xfId="57" xr:uid="{00000000-0005-0000-0000-000034000000}"/>
    <cellStyle name="Calculation 8" xfId="58" xr:uid="{00000000-0005-0000-0000-000035000000}"/>
    <cellStyle name="Calculation 9" xfId="59" xr:uid="{00000000-0005-0000-0000-000036000000}"/>
    <cellStyle name="Cálculo 2" xfId="60" xr:uid="{00000000-0005-0000-0000-000037000000}"/>
    <cellStyle name="Cálculo 2 2" xfId="61" xr:uid="{00000000-0005-0000-0000-000038000000}"/>
    <cellStyle name="Cálculo 2 3" xfId="62" xr:uid="{00000000-0005-0000-0000-000039000000}"/>
    <cellStyle name="Cálculo 2 4" xfId="63" xr:uid="{00000000-0005-0000-0000-00003A000000}"/>
    <cellStyle name="Cálculo 2 5" xfId="64" xr:uid="{00000000-0005-0000-0000-00003B000000}"/>
    <cellStyle name="Cálculo 2 6" xfId="65" xr:uid="{00000000-0005-0000-0000-00003C000000}"/>
    <cellStyle name="Cálculo 2 7" xfId="66" xr:uid="{00000000-0005-0000-0000-00003D000000}"/>
    <cellStyle name="Cálculo 2 8" xfId="67" xr:uid="{00000000-0005-0000-0000-00003E000000}"/>
    <cellStyle name="Cálculo 2 9" xfId="68" xr:uid="{00000000-0005-0000-0000-00003F000000}"/>
    <cellStyle name="Celda de comprobación 2" xfId="69" xr:uid="{00000000-0005-0000-0000-000040000000}"/>
    <cellStyle name="Celda vinculada 2" xfId="70" xr:uid="{00000000-0005-0000-0000-000041000000}"/>
    <cellStyle name="Check Cell" xfId="71" xr:uid="{00000000-0005-0000-0000-000042000000}"/>
    <cellStyle name="Comma" xfId="231" xr:uid="{00000000-0005-0000-0000-000043000000}"/>
    <cellStyle name="Currency" xfId="232" xr:uid="{00000000-0005-0000-0000-000044000000}"/>
    <cellStyle name="Date" xfId="233" xr:uid="{00000000-0005-0000-0000-000045000000}"/>
    <cellStyle name="Encabezado 1" xfId="234" xr:uid="{00000000-0005-0000-0000-000046000000}"/>
    <cellStyle name="Encabezado 2" xfId="235" xr:uid="{00000000-0005-0000-0000-000047000000}"/>
    <cellStyle name="Encabezado 4 2" xfId="72" xr:uid="{00000000-0005-0000-0000-000048000000}"/>
    <cellStyle name="Énfasis1 2" xfId="73" xr:uid="{00000000-0005-0000-0000-000049000000}"/>
    <cellStyle name="Énfasis2 2" xfId="74" xr:uid="{00000000-0005-0000-0000-00004A000000}"/>
    <cellStyle name="Énfasis3 2" xfId="75" xr:uid="{00000000-0005-0000-0000-00004B000000}"/>
    <cellStyle name="Énfasis4 2" xfId="76" xr:uid="{00000000-0005-0000-0000-00004C000000}"/>
    <cellStyle name="Énfasis5 2" xfId="77" xr:uid="{00000000-0005-0000-0000-00004D000000}"/>
    <cellStyle name="Énfasis6 2" xfId="78" xr:uid="{00000000-0005-0000-0000-00004E000000}"/>
    <cellStyle name="Entrada 2" xfId="79" xr:uid="{00000000-0005-0000-0000-00004F000000}"/>
    <cellStyle name="Entrada 2 2" xfId="80" xr:uid="{00000000-0005-0000-0000-000050000000}"/>
    <cellStyle name="Entrada 2 3" xfId="81" xr:uid="{00000000-0005-0000-0000-000051000000}"/>
    <cellStyle name="Entrada 2 4" xfId="82" xr:uid="{00000000-0005-0000-0000-000052000000}"/>
    <cellStyle name="Entrada 2 5" xfId="83" xr:uid="{00000000-0005-0000-0000-000053000000}"/>
    <cellStyle name="Entrada 2 6" xfId="84" xr:uid="{00000000-0005-0000-0000-000054000000}"/>
    <cellStyle name="Entrada 2 7" xfId="85" xr:uid="{00000000-0005-0000-0000-000055000000}"/>
    <cellStyle name="Entrada 2 8" xfId="86" xr:uid="{00000000-0005-0000-0000-000056000000}"/>
    <cellStyle name="Entrada 2 9" xfId="87" xr:uid="{00000000-0005-0000-0000-000057000000}"/>
    <cellStyle name="Estilo 1" xfId="236" xr:uid="{00000000-0005-0000-0000-000058000000}"/>
    <cellStyle name="Euro" xfId="88" xr:uid="{00000000-0005-0000-0000-000059000000}"/>
    <cellStyle name="Euro 2" xfId="237" xr:uid="{00000000-0005-0000-0000-00005A000000}"/>
    <cellStyle name="Explanatory Text" xfId="89" xr:uid="{00000000-0005-0000-0000-00005B000000}"/>
    <cellStyle name="F2" xfId="238" xr:uid="{00000000-0005-0000-0000-00005C000000}"/>
    <cellStyle name="F3" xfId="239" xr:uid="{00000000-0005-0000-0000-00005D000000}"/>
    <cellStyle name="F4" xfId="240" xr:uid="{00000000-0005-0000-0000-00005E000000}"/>
    <cellStyle name="F5" xfId="241" xr:uid="{00000000-0005-0000-0000-00005F000000}"/>
    <cellStyle name="F6" xfId="242" xr:uid="{00000000-0005-0000-0000-000060000000}"/>
    <cellStyle name="F7" xfId="243" xr:uid="{00000000-0005-0000-0000-000061000000}"/>
    <cellStyle name="F8" xfId="244" xr:uid="{00000000-0005-0000-0000-000062000000}"/>
    <cellStyle name="Fecha" xfId="245" xr:uid="{00000000-0005-0000-0000-000063000000}"/>
    <cellStyle name="Fecha 2" xfId="246" xr:uid="{00000000-0005-0000-0000-000064000000}"/>
    <cellStyle name="Fijo" xfId="247" xr:uid="{00000000-0005-0000-0000-000065000000}"/>
    <cellStyle name="Fijo 2" xfId="248" xr:uid="{00000000-0005-0000-0000-000066000000}"/>
    <cellStyle name="Fixed" xfId="249" xr:uid="{00000000-0005-0000-0000-000067000000}"/>
    <cellStyle name="Good" xfId="90" xr:uid="{00000000-0005-0000-0000-000068000000}"/>
    <cellStyle name="Heading 1" xfId="91" xr:uid="{00000000-0005-0000-0000-000069000000}"/>
    <cellStyle name="Heading 2" xfId="92" xr:uid="{00000000-0005-0000-0000-00006A000000}"/>
    <cellStyle name="Heading 3" xfId="93" xr:uid="{00000000-0005-0000-0000-00006B000000}"/>
    <cellStyle name="Heading 4" xfId="94" xr:uid="{00000000-0005-0000-0000-00006C000000}"/>
    <cellStyle name="Heading1" xfId="250" xr:uid="{00000000-0005-0000-0000-00006D000000}"/>
    <cellStyle name="Heading2" xfId="251" xr:uid="{00000000-0005-0000-0000-00006E000000}"/>
    <cellStyle name="Hipervínculo" xfId="293" builtinId="8"/>
    <cellStyle name="Hipervínculo 2" xfId="4" xr:uid="{00000000-0005-0000-0000-000070000000}"/>
    <cellStyle name="Hipervínculo 2 2" xfId="252" xr:uid="{00000000-0005-0000-0000-000071000000}"/>
    <cellStyle name="Incorrecto 2" xfId="95" xr:uid="{00000000-0005-0000-0000-000072000000}"/>
    <cellStyle name="Input" xfId="96" xr:uid="{00000000-0005-0000-0000-000073000000}"/>
    <cellStyle name="Input 2" xfId="97" xr:uid="{00000000-0005-0000-0000-000074000000}"/>
    <cellStyle name="Input 3" xfId="98" xr:uid="{00000000-0005-0000-0000-000075000000}"/>
    <cellStyle name="Input 4" xfId="99" xr:uid="{00000000-0005-0000-0000-000076000000}"/>
    <cellStyle name="Input 5" xfId="100" xr:uid="{00000000-0005-0000-0000-000077000000}"/>
    <cellStyle name="Input 6" xfId="101" xr:uid="{00000000-0005-0000-0000-000078000000}"/>
    <cellStyle name="Input 7" xfId="102" xr:uid="{00000000-0005-0000-0000-000079000000}"/>
    <cellStyle name="Input 8" xfId="103" xr:uid="{00000000-0005-0000-0000-00007A000000}"/>
    <cellStyle name="Input 9" xfId="104" xr:uid="{00000000-0005-0000-0000-00007B000000}"/>
    <cellStyle name="Linked Cell" xfId="105" xr:uid="{00000000-0005-0000-0000-00007C000000}"/>
    <cellStyle name="Millares [0]" xfId="288" builtinId="6"/>
    <cellStyle name="Millares [0] 2" xfId="253" xr:uid="{00000000-0005-0000-0000-00007E000000}"/>
    <cellStyle name="Millares [0] 3" xfId="289" xr:uid="{00000000-0005-0000-0000-00007F000000}"/>
    <cellStyle name="Millares 10" xfId="291" xr:uid="{00000000-0005-0000-0000-000080000000}"/>
    <cellStyle name="Millares 11" xfId="295" xr:uid="{00000000-0005-0000-0000-000081000000}"/>
    <cellStyle name="Millares 12" xfId="292" xr:uid="{00000000-0005-0000-0000-000082000000}"/>
    <cellStyle name="Millares 13" xfId="321" xr:uid="{861E1995-7540-45E6-8DD2-A2A994B1864A}"/>
    <cellStyle name="Millares 14" xfId="328" xr:uid="{5CFEC0E0-054C-4F3B-9970-FB9E128CD69D}"/>
    <cellStyle name="Millares 15" xfId="327" xr:uid="{673F98AD-CCCE-4803-9C1D-30DD890D6FDE}"/>
    <cellStyle name="Millares 2" xfId="106" xr:uid="{00000000-0005-0000-0000-000083000000}"/>
    <cellStyle name="Millares 2 2" xfId="3" xr:uid="{00000000-0005-0000-0000-000084000000}"/>
    <cellStyle name="Millares 2 2 2" xfId="107" xr:uid="{00000000-0005-0000-0000-000085000000}"/>
    <cellStyle name="Millares 2 2 3" xfId="254" xr:uid="{00000000-0005-0000-0000-000086000000}"/>
    <cellStyle name="Millares 2 2 4" xfId="317" xr:uid="{3B6F1991-11B5-4C29-8770-FE896EA5E3E2}"/>
    <cellStyle name="Millares 2 3" xfId="108" xr:uid="{00000000-0005-0000-0000-000087000000}"/>
    <cellStyle name="Millares 2 3 2" xfId="255" xr:uid="{00000000-0005-0000-0000-000088000000}"/>
    <cellStyle name="Millares 2 3 3" xfId="325" xr:uid="{19030EFE-F99B-4915-9F06-0A75EBE3DB13}"/>
    <cellStyle name="Millares 2 4" xfId="109" xr:uid="{00000000-0005-0000-0000-000089000000}"/>
    <cellStyle name="Millares 2 5" xfId="110" xr:uid="{00000000-0005-0000-0000-00008A000000}"/>
    <cellStyle name="Millares 2 6" xfId="111" xr:uid="{00000000-0005-0000-0000-00008B000000}"/>
    <cellStyle name="Millares 2 7" xfId="311" xr:uid="{65EBC4D3-DCB0-4E46-ABB7-B294A3BD76F0}"/>
    <cellStyle name="Millares 3" xfId="112" xr:uid="{00000000-0005-0000-0000-00008C000000}"/>
    <cellStyle name="Millares 3 2" xfId="113" xr:uid="{00000000-0005-0000-0000-00008D000000}"/>
    <cellStyle name="Millares 3 2 2" xfId="258" xr:uid="{00000000-0005-0000-0000-00008E000000}"/>
    <cellStyle name="Millares 3 2 3" xfId="257" xr:uid="{00000000-0005-0000-0000-00008F000000}"/>
    <cellStyle name="Millares 3 3" xfId="114" xr:uid="{00000000-0005-0000-0000-000090000000}"/>
    <cellStyle name="Millares 3 3 2" xfId="259" xr:uid="{00000000-0005-0000-0000-000091000000}"/>
    <cellStyle name="Millares 3 4" xfId="256" xr:uid="{00000000-0005-0000-0000-000092000000}"/>
    <cellStyle name="Millares 3 5" xfId="320" xr:uid="{4936E234-E72C-4439-BDE2-9D510952FA34}"/>
    <cellStyle name="Millares 4" xfId="115" xr:uid="{00000000-0005-0000-0000-000093000000}"/>
    <cellStyle name="Millares 4 2" xfId="260" xr:uid="{00000000-0005-0000-0000-000094000000}"/>
    <cellStyle name="Millares 4 2 2" xfId="261" xr:uid="{00000000-0005-0000-0000-000095000000}"/>
    <cellStyle name="Millares 4 3" xfId="262" xr:uid="{00000000-0005-0000-0000-000096000000}"/>
    <cellStyle name="Millares 5" xfId="116" xr:uid="{00000000-0005-0000-0000-000097000000}"/>
    <cellStyle name="Millares 5 2" xfId="117" xr:uid="{00000000-0005-0000-0000-000098000000}"/>
    <cellStyle name="Millares 5 2 2" xfId="264" xr:uid="{00000000-0005-0000-0000-000099000000}"/>
    <cellStyle name="Millares 5 3" xfId="263" xr:uid="{00000000-0005-0000-0000-00009A000000}"/>
    <cellStyle name="Millares 6" xfId="118" xr:uid="{00000000-0005-0000-0000-00009B000000}"/>
    <cellStyle name="Millares 6 2" xfId="265" xr:uid="{00000000-0005-0000-0000-00009C000000}"/>
    <cellStyle name="Millares 7" xfId="119" xr:uid="{00000000-0005-0000-0000-00009D000000}"/>
    <cellStyle name="Millares 8" xfId="120" xr:uid="{00000000-0005-0000-0000-00009E000000}"/>
    <cellStyle name="Millares 9" xfId="290" xr:uid="{00000000-0005-0000-0000-00009F000000}"/>
    <cellStyle name="MillÔres [0]_LISTADO MAESTRO DE DOCUMENTOS" xfId="266" xr:uid="{00000000-0005-0000-0000-0000A0000000}"/>
    <cellStyle name="Moneda [0]" xfId="294" builtinId="7"/>
    <cellStyle name="Moneda [0] 2" xfId="297" xr:uid="{B9C55D7C-8593-4B22-B562-F05C53AF32FD}"/>
    <cellStyle name="Moneda 10" xfId="299" xr:uid="{D3D4799E-DD87-4B9D-AFF6-1802507BB9E9}"/>
    <cellStyle name="Moneda 11" xfId="300" xr:uid="{544FC93C-5E95-41BC-AD61-69E86C72AA99}"/>
    <cellStyle name="Moneda 12" xfId="301" xr:uid="{EA125A65-7310-4190-831B-5EF707EAAA25}"/>
    <cellStyle name="Moneda 13" xfId="298" xr:uid="{B2E49559-5F1A-473F-AA90-5855AFF2FEC6}"/>
    <cellStyle name="Moneda 14" xfId="302" xr:uid="{1B6F5A6D-563A-493E-82D6-1927D044FC3B}"/>
    <cellStyle name="Moneda 15" xfId="303" xr:uid="{A7099941-45B4-4749-A1D7-FEA178B39BF4}"/>
    <cellStyle name="Moneda 16" xfId="304" xr:uid="{62095A01-44EC-4674-9A5E-2FC9A5913B13}"/>
    <cellStyle name="Moneda 17" xfId="322" xr:uid="{464ACB98-5639-4CBA-8CC9-2D36A46CE1DF}"/>
    <cellStyle name="Moneda 18" xfId="329" xr:uid="{AB8C760B-5458-4926-B9C2-D37481B16BD2}"/>
    <cellStyle name="Moneda 19" xfId="330" xr:uid="{CFD95579-2B68-4ACD-BEB7-888E0B4E1C83}"/>
    <cellStyle name="Moneda 2" xfId="121" xr:uid="{00000000-0005-0000-0000-0000A2000000}"/>
    <cellStyle name="Moneda 2 10" xfId="267" xr:uid="{00000000-0005-0000-0000-0000A3000000}"/>
    <cellStyle name="Moneda 2 11" xfId="305" xr:uid="{FF82C83F-2DA6-49E7-9C14-3F834F6AE2F3}"/>
    <cellStyle name="Moneda 2 2" xfId="122" xr:uid="{00000000-0005-0000-0000-0000A4000000}"/>
    <cellStyle name="Moneda 2 2 2" xfId="123" xr:uid="{00000000-0005-0000-0000-0000A5000000}"/>
    <cellStyle name="Moneda 2 2 2 2 2" xfId="313" xr:uid="{2AF50BD4-A23A-4690-84F7-ECE9101CAC2E}"/>
    <cellStyle name="Moneda 2 2 3" xfId="124" xr:uid="{00000000-0005-0000-0000-0000A6000000}"/>
    <cellStyle name="Moneda 2 2 4" xfId="268" xr:uid="{00000000-0005-0000-0000-0000A7000000}"/>
    <cellStyle name="Moneda 2 2 5" xfId="312" xr:uid="{B4CBC50A-E31E-49C8-98E1-1A47F9CC4D22}"/>
    <cellStyle name="Moneda 2 3" xfId="125" xr:uid="{00000000-0005-0000-0000-0000A8000000}"/>
    <cellStyle name="Moneda 2 3 2" xfId="318" xr:uid="{1088714D-D96D-40AE-8E51-3EA74818DAF7}"/>
    <cellStyle name="Moneda 2 4" xfId="126" xr:uid="{00000000-0005-0000-0000-0000A9000000}"/>
    <cellStyle name="Moneda 2 5" xfId="127" xr:uid="{00000000-0005-0000-0000-0000AA000000}"/>
    <cellStyle name="Moneda 2 6" xfId="128" xr:uid="{00000000-0005-0000-0000-0000AB000000}"/>
    <cellStyle name="Moneda 2 7" xfId="129" xr:uid="{00000000-0005-0000-0000-0000AC000000}"/>
    <cellStyle name="Moneda 2 8" xfId="130" xr:uid="{00000000-0005-0000-0000-0000AD000000}"/>
    <cellStyle name="Moneda 2 8 2" xfId="131" xr:uid="{00000000-0005-0000-0000-0000AE000000}"/>
    <cellStyle name="Moneda 2 9" xfId="132" xr:uid="{00000000-0005-0000-0000-0000AF000000}"/>
    <cellStyle name="Moneda 3" xfId="133" xr:uid="{00000000-0005-0000-0000-0000B0000000}"/>
    <cellStyle name="Moneda 3 2" xfId="134" xr:uid="{00000000-0005-0000-0000-0000B1000000}"/>
    <cellStyle name="Moneda 4" xfId="135" xr:uid="{00000000-0005-0000-0000-0000B2000000}"/>
    <cellStyle name="Moneda 5" xfId="136" xr:uid="{00000000-0005-0000-0000-0000B3000000}"/>
    <cellStyle name="Moneda 6" xfId="137" xr:uid="{00000000-0005-0000-0000-0000B4000000}"/>
    <cellStyle name="Moneda 7" xfId="138" xr:uid="{00000000-0005-0000-0000-0000B5000000}"/>
    <cellStyle name="Moneda 8" xfId="139" xr:uid="{00000000-0005-0000-0000-0000B6000000}"/>
    <cellStyle name="Moneda 9" xfId="296" xr:uid="{AAC996C1-7F45-4859-AD45-701F5A463B91}"/>
    <cellStyle name="Moneda0" xfId="269" xr:uid="{00000000-0005-0000-0000-0000B7000000}"/>
    <cellStyle name="Moneda0 2" xfId="270" xr:uid="{00000000-0005-0000-0000-0000B8000000}"/>
    <cellStyle name="Neutral 2" xfId="140" xr:uid="{00000000-0005-0000-0000-0000B9000000}"/>
    <cellStyle name="Normal" xfId="0" builtinId="0"/>
    <cellStyle name="Normal 10" xfId="141" xr:uid="{00000000-0005-0000-0000-0000BB000000}"/>
    <cellStyle name="Normal 11" xfId="142" xr:uid="{00000000-0005-0000-0000-0000BC000000}"/>
    <cellStyle name="Normal 12" xfId="143" xr:uid="{00000000-0005-0000-0000-0000BD000000}"/>
    <cellStyle name="Normal 12 2" xfId="271" xr:uid="{00000000-0005-0000-0000-0000BE000000}"/>
    <cellStyle name="Normal 13" xfId="144" xr:uid="{00000000-0005-0000-0000-0000BF000000}"/>
    <cellStyle name="Normal 13 2" xfId="310" xr:uid="{D416240C-8F45-4699-B929-83AD80407812}"/>
    <cellStyle name="Normal 2" xfId="2" xr:uid="{00000000-0005-0000-0000-0000C0000000}"/>
    <cellStyle name="Normal 2 10 3" xfId="309" xr:uid="{C860A34B-5012-4B92-9323-B178AC8B81D3}"/>
    <cellStyle name="Normal 2 2" xfId="145" xr:uid="{00000000-0005-0000-0000-0000C1000000}"/>
    <cellStyle name="Normal 2 2 2" xfId="146" xr:uid="{00000000-0005-0000-0000-0000C2000000}"/>
    <cellStyle name="Normal 2 2 3" xfId="273" xr:uid="{00000000-0005-0000-0000-0000C3000000}"/>
    <cellStyle name="Normal 2 2 4" xfId="287" xr:uid="{00000000-0005-0000-0000-0000C4000000}"/>
    <cellStyle name="Normal 2 3" xfId="274" xr:uid="{00000000-0005-0000-0000-0000C5000000}"/>
    <cellStyle name="Normal 2 3 2" xfId="275" xr:uid="{00000000-0005-0000-0000-0000C6000000}"/>
    <cellStyle name="Normal 2 3 3" xfId="316" xr:uid="{5B445265-2C6A-455F-B2BC-8E756C45D13D}"/>
    <cellStyle name="Normal 2 4" xfId="276" xr:uid="{00000000-0005-0000-0000-0000C7000000}"/>
    <cellStyle name="Normal 2 5" xfId="272" xr:uid="{00000000-0005-0000-0000-0000C8000000}"/>
    <cellStyle name="Normal 20" xfId="324" xr:uid="{DD124F7C-483A-42A7-B3DE-3E92F79428BD}"/>
    <cellStyle name="Normal 3" xfId="147" xr:uid="{00000000-0005-0000-0000-0000C9000000}"/>
    <cellStyle name="Normal 3 11" xfId="308" xr:uid="{12122A58-29E3-47FD-9C3F-289EEEC72024}"/>
    <cellStyle name="Normal 3 2" xfId="148" xr:uid="{00000000-0005-0000-0000-0000CA000000}"/>
    <cellStyle name="Normal 3 2 2" xfId="149" xr:uid="{00000000-0005-0000-0000-0000CB000000}"/>
    <cellStyle name="Normal 3 2 3" xfId="150" xr:uid="{00000000-0005-0000-0000-0000CC000000}"/>
    <cellStyle name="Normal 3 2 4" xfId="277" xr:uid="{00000000-0005-0000-0000-0000CD000000}"/>
    <cellStyle name="Normal 3 3" xfId="315" xr:uid="{25684040-1BD7-4CF9-98BC-C721874DEDAB}"/>
    <cellStyle name="Normal 3 4" xfId="307" xr:uid="{8BFC0575-6D44-4A51-B611-FF136BA32217}"/>
    <cellStyle name="Normal 4" xfId="151" xr:uid="{00000000-0005-0000-0000-0000CE000000}"/>
    <cellStyle name="Normal 4 2" xfId="152" xr:uid="{00000000-0005-0000-0000-0000CF000000}"/>
    <cellStyle name="Normal 4 2 2" xfId="279" xr:uid="{00000000-0005-0000-0000-0000D0000000}"/>
    <cellStyle name="Normal 4 3" xfId="278" xr:uid="{00000000-0005-0000-0000-0000D1000000}"/>
    <cellStyle name="Normal 4 4" xfId="323" xr:uid="{1D82AEA9-CE82-451F-91E9-7834D0A88E18}"/>
    <cellStyle name="Normal 5" xfId="153" xr:uid="{00000000-0005-0000-0000-0000D2000000}"/>
    <cellStyle name="Normal 5 2" xfId="154" xr:uid="{00000000-0005-0000-0000-0000D3000000}"/>
    <cellStyle name="Normal 5 2 2" xfId="155" xr:uid="{00000000-0005-0000-0000-0000D4000000}"/>
    <cellStyle name="Normal 5 3" xfId="156" xr:uid="{00000000-0005-0000-0000-0000D5000000}"/>
    <cellStyle name="Normal 5 4" xfId="157" xr:uid="{00000000-0005-0000-0000-0000D6000000}"/>
    <cellStyle name="Normal 5 5" xfId="280" xr:uid="{00000000-0005-0000-0000-0000D7000000}"/>
    <cellStyle name="Normal 5 6" xfId="326" xr:uid="{F6C7966B-D636-46F3-B584-31A66F004CCA}"/>
    <cellStyle name="Normal 6" xfId="158" xr:uid="{00000000-0005-0000-0000-0000D8000000}"/>
    <cellStyle name="Normal 6 2" xfId="159" xr:uid="{00000000-0005-0000-0000-0000D9000000}"/>
    <cellStyle name="Normal 6 3" xfId="281" xr:uid="{00000000-0005-0000-0000-0000DA000000}"/>
    <cellStyle name="Normal 7" xfId="160" xr:uid="{00000000-0005-0000-0000-0000DB000000}"/>
    <cellStyle name="Normal 7 2" xfId="161" xr:uid="{00000000-0005-0000-0000-0000DC000000}"/>
    <cellStyle name="Normal 8" xfId="162" xr:uid="{00000000-0005-0000-0000-0000DD000000}"/>
    <cellStyle name="Normal 9" xfId="163" xr:uid="{00000000-0005-0000-0000-0000DE000000}"/>
    <cellStyle name="Notas 2" xfId="164" xr:uid="{00000000-0005-0000-0000-0000DF000000}"/>
    <cellStyle name="Notas 2 2" xfId="165" xr:uid="{00000000-0005-0000-0000-0000E0000000}"/>
    <cellStyle name="Notas 2 3" xfId="166" xr:uid="{00000000-0005-0000-0000-0000E1000000}"/>
    <cellStyle name="Notas 2 4" xfId="167" xr:uid="{00000000-0005-0000-0000-0000E2000000}"/>
    <cellStyle name="Notas 2 5" xfId="168" xr:uid="{00000000-0005-0000-0000-0000E3000000}"/>
    <cellStyle name="Notas 2 6" xfId="169" xr:uid="{00000000-0005-0000-0000-0000E4000000}"/>
    <cellStyle name="Notas 2 7" xfId="170" xr:uid="{00000000-0005-0000-0000-0000E5000000}"/>
    <cellStyle name="Notas 2 8" xfId="171" xr:uid="{00000000-0005-0000-0000-0000E6000000}"/>
    <cellStyle name="Notas 2 9" xfId="172" xr:uid="{00000000-0005-0000-0000-0000E7000000}"/>
    <cellStyle name="Note" xfId="173" xr:uid="{00000000-0005-0000-0000-0000E8000000}"/>
    <cellStyle name="Note 2" xfId="174" xr:uid="{00000000-0005-0000-0000-0000E9000000}"/>
    <cellStyle name="Note 3" xfId="175" xr:uid="{00000000-0005-0000-0000-0000EA000000}"/>
    <cellStyle name="Note 4" xfId="176" xr:uid="{00000000-0005-0000-0000-0000EB000000}"/>
    <cellStyle name="Note 5" xfId="177" xr:uid="{00000000-0005-0000-0000-0000EC000000}"/>
    <cellStyle name="Note 6" xfId="178" xr:uid="{00000000-0005-0000-0000-0000ED000000}"/>
    <cellStyle name="Note 7" xfId="179" xr:uid="{00000000-0005-0000-0000-0000EE000000}"/>
    <cellStyle name="Note 8" xfId="180" xr:uid="{00000000-0005-0000-0000-0000EF000000}"/>
    <cellStyle name="Note 9" xfId="181" xr:uid="{00000000-0005-0000-0000-0000F0000000}"/>
    <cellStyle name="Output" xfId="182" xr:uid="{00000000-0005-0000-0000-0000F1000000}"/>
    <cellStyle name="Output 2" xfId="183" xr:uid="{00000000-0005-0000-0000-0000F2000000}"/>
    <cellStyle name="Output 3" xfId="184" xr:uid="{00000000-0005-0000-0000-0000F3000000}"/>
    <cellStyle name="Output 4" xfId="185" xr:uid="{00000000-0005-0000-0000-0000F4000000}"/>
    <cellStyle name="Output 5" xfId="186" xr:uid="{00000000-0005-0000-0000-0000F5000000}"/>
    <cellStyle name="Output 6" xfId="187" xr:uid="{00000000-0005-0000-0000-0000F6000000}"/>
    <cellStyle name="Output 7" xfId="188" xr:uid="{00000000-0005-0000-0000-0000F7000000}"/>
    <cellStyle name="Output 8" xfId="189" xr:uid="{00000000-0005-0000-0000-0000F8000000}"/>
    <cellStyle name="Output 9" xfId="190" xr:uid="{00000000-0005-0000-0000-0000F9000000}"/>
    <cellStyle name="Percent" xfId="1" xr:uid="{00000000-0005-0000-0000-0000FA000000}"/>
    <cellStyle name="Porcentaje 2" xfId="191" xr:uid="{00000000-0005-0000-0000-0000FC000000}"/>
    <cellStyle name="Porcentaje 2 2" xfId="283" xr:uid="{00000000-0005-0000-0000-0000FD000000}"/>
    <cellStyle name="Porcentaje 2 2 2" xfId="314" xr:uid="{B3D171EA-132F-40F2-8DAD-DBCAE9F44448}"/>
    <cellStyle name="Porcentaje 2 3" xfId="282" xr:uid="{00000000-0005-0000-0000-0000FE000000}"/>
    <cellStyle name="Porcentaje 2 4" xfId="319" xr:uid="{D14EC8F2-957A-4828-88ED-0ACD5CE75133}"/>
    <cellStyle name="Porcentaje 3" xfId="192" xr:uid="{00000000-0005-0000-0000-0000FF000000}"/>
    <cellStyle name="Porcentaje 4" xfId="193" xr:uid="{00000000-0005-0000-0000-000000010000}"/>
    <cellStyle name="Porcentaje 5" xfId="306" xr:uid="{F02C998E-20E9-40E9-B40B-7343D2B31F73}"/>
    <cellStyle name="Porcentual 2" xfId="194" xr:uid="{00000000-0005-0000-0000-000001010000}"/>
    <cellStyle name="Porcentual 2 2" xfId="195" xr:uid="{00000000-0005-0000-0000-000002010000}"/>
    <cellStyle name="Porcentual 2 3" xfId="196" xr:uid="{00000000-0005-0000-0000-000003010000}"/>
    <cellStyle name="Porcentual 2 4" xfId="197" xr:uid="{00000000-0005-0000-0000-000004010000}"/>
    <cellStyle name="Porcentual 2 5" xfId="198" xr:uid="{00000000-0005-0000-0000-000005010000}"/>
    <cellStyle name="Porcentual 2 6" xfId="199" xr:uid="{00000000-0005-0000-0000-000006010000}"/>
    <cellStyle name="Porcentual 2 7" xfId="200" xr:uid="{00000000-0005-0000-0000-000007010000}"/>
    <cellStyle name="Porcentual 2 8" xfId="201" xr:uid="{00000000-0005-0000-0000-000008010000}"/>
    <cellStyle name="Porcentual 3" xfId="202" xr:uid="{00000000-0005-0000-0000-000009010000}"/>
    <cellStyle name="Porcentual 3 2" xfId="284" xr:uid="{00000000-0005-0000-0000-00000A010000}"/>
    <cellStyle name="Porcentual 4" xfId="203" xr:uid="{00000000-0005-0000-0000-00000B010000}"/>
    <cellStyle name="Porcentual 4 2" xfId="204" xr:uid="{00000000-0005-0000-0000-00000C010000}"/>
    <cellStyle name="Punto0" xfId="285" xr:uid="{00000000-0005-0000-0000-00000D010000}"/>
    <cellStyle name="Punto0 2" xfId="286" xr:uid="{00000000-0005-0000-0000-00000E010000}"/>
    <cellStyle name="Salida 2" xfId="205" xr:uid="{00000000-0005-0000-0000-00000F010000}"/>
    <cellStyle name="Salida 2 2" xfId="206" xr:uid="{00000000-0005-0000-0000-000010010000}"/>
    <cellStyle name="Salida 2 3" xfId="207" xr:uid="{00000000-0005-0000-0000-000011010000}"/>
    <cellStyle name="Salida 2 4" xfId="208" xr:uid="{00000000-0005-0000-0000-000012010000}"/>
    <cellStyle name="Salida 2 5" xfId="209" xr:uid="{00000000-0005-0000-0000-000013010000}"/>
    <cellStyle name="Salida 2 6" xfId="210" xr:uid="{00000000-0005-0000-0000-000014010000}"/>
    <cellStyle name="Salida 2 7" xfId="211" xr:uid="{00000000-0005-0000-0000-000015010000}"/>
    <cellStyle name="Salida 2 8" xfId="212" xr:uid="{00000000-0005-0000-0000-000016010000}"/>
    <cellStyle name="Salida 2 9" xfId="213" xr:uid="{00000000-0005-0000-0000-000017010000}"/>
    <cellStyle name="Texto de advertencia 2" xfId="214" xr:uid="{00000000-0005-0000-0000-000018010000}"/>
    <cellStyle name="Texto explicativo 2" xfId="215" xr:uid="{00000000-0005-0000-0000-000019010000}"/>
    <cellStyle name="Title" xfId="216" xr:uid="{00000000-0005-0000-0000-00001A010000}"/>
    <cellStyle name="Título 1 2" xfId="217" xr:uid="{00000000-0005-0000-0000-00001B010000}"/>
    <cellStyle name="Título 2 2" xfId="218" xr:uid="{00000000-0005-0000-0000-00001C010000}"/>
    <cellStyle name="Título 3 2" xfId="219" xr:uid="{00000000-0005-0000-0000-00001D010000}"/>
    <cellStyle name="Título 4" xfId="220" xr:uid="{00000000-0005-0000-0000-00001E010000}"/>
    <cellStyle name="Total 2" xfId="221" xr:uid="{00000000-0005-0000-0000-00001F010000}"/>
    <cellStyle name="Total 2 2" xfId="222" xr:uid="{00000000-0005-0000-0000-000020010000}"/>
    <cellStyle name="Total 2 3" xfId="223" xr:uid="{00000000-0005-0000-0000-000021010000}"/>
    <cellStyle name="Total 2 4" xfId="224" xr:uid="{00000000-0005-0000-0000-000022010000}"/>
    <cellStyle name="Total 2 5" xfId="225" xr:uid="{00000000-0005-0000-0000-000023010000}"/>
    <cellStyle name="Total 2 6" xfId="226" xr:uid="{00000000-0005-0000-0000-000024010000}"/>
    <cellStyle name="Total 2 7" xfId="227" xr:uid="{00000000-0005-0000-0000-000025010000}"/>
    <cellStyle name="Total 2 8" xfId="228" xr:uid="{00000000-0005-0000-0000-000026010000}"/>
    <cellStyle name="Total 2 9" xfId="229" xr:uid="{00000000-0005-0000-0000-000027010000}"/>
    <cellStyle name="Warning Text" xfId="230" xr:uid="{00000000-0005-0000-0000-000028010000}"/>
  </cellStyles>
  <dxfs count="513">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50F828"/>
      <color rgb="FFFF00FF"/>
      <color rgb="FF00FFFF"/>
      <color rgb="FF8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4.png"/><Relationship Id="rId4" Type="http://schemas.openxmlformats.org/officeDocument/2006/relationships/image" Target="../media/image8.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104775</xdr:rowOff>
    </xdr:from>
    <xdr:to>
      <xdr:col>1</xdr:col>
      <xdr:colOff>1081297</xdr:colOff>
      <xdr:row>2</xdr:row>
      <xdr:rowOff>266701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13334" t="14902" r="13939" b="12941"/>
        <a:stretch/>
      </xdr:blipFill>
      <xdr:spPr>
        <a:xfrm>
          <a:off x="342900" y="104775"/>
          <a:ext cx="1205122" cy="9239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23812</xdr:colOff>
      <xdr:row>0</xdr:row>
      <xdr:rowOff>23813</xdr:rowOff>
    </xdr:from>
    <xdr:to>
      <xdr:col>22</xdr:col>
      <xdr:colOff>403250</xdr:colOff>
      <xdr:row>80</xdr:row>
      <xdr:rowOff>92196</xdr:rowOff>
    </xdr:to>
    <xdr:pic>
      <xdr:nvPicPr>
        <xdr:cNvPr id="21" name="Imagen 20">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1"/>
        <a:stretch>
          <a:fillRect/>
        </a:stretch>
      </xdr:blipFill>
      <xdr:spPr>
        <a:xfrm>
          <a:off x="23812" y="23813"/>
          <a:ext cx="17143438" cy="15308383"/>
        </a:xfrm>
        <a:prstGeom prst="rect">
          <a:avLst/>
        </a:prstGeom>
      </xdr:spPr>
    </xdr:pic>
    <xdr:clientData/>
  </xdr:twoCellAnchor>
  <xdr:twoCellAnchor editAs="oneCell">
    <xdr:from>
      <xdr:col>22</xdr:col>
      <xdr:colOff>333375</xdr:colOff>
      <xdr:row>0</xdr:row>
      <xdr:rowOff>0</xdr:rowOff>
    </xdr:from>
    <xdr:to>
      <xdr:col>29</xdr:col>
      <xdr:colOff>120459</xdr:colOff>
      <xdr:row>30</xdr:row>
      <xdr:rowOff>70605</xdr:rowOff>
    </xdr:to>
    <xdr:pic>
      <xdr:nvPicPr>
        <xdr:cNvPr id="24" name="Imagen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2">
          <a:duotone>
            <a:prstClr val="black"/>
            <a:schemeClr val="accent4">
              <a:tint val="45000"/>
              <a:satMod val="400000"/>
            </a:schemeClr>
          </a:duotone>
        </a:blip>
        <a:stretch>
          <a:fillRect/>
        </a:stretch>
      </xdr:blipFill>
      <xdr:spPr>
        <a:xfrm>
          <a:off x="17097375" y="0"/>
          <a:ext cx="5121084" cy="57856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ABA715A7-E9D7-4F94-A4C0-AD77D577F615}"/>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F2D4EBDD-5353-4E89-B2E2-A25AC383D0F8}"/>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DB01D156-C2BF-4E35-970D-E98D1580E908}"/>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twoCellAnchor editAs="oneCell">
    <xdr:from>
      <xdr:col>21</xdr:col>
      <xdr:colOff>533400</xdr:colOff>
      <xdr:row>18</xdr:row>
      <xdr:rowOff>1981200</xdr:rowOff>
    </xdr:from>
    <xdr:to>
      <xdr:col>26</xdr:col>
      <xdr:colOff>457200</xdr:colOff>
      <xdr:row>22</xdr:row>
      <xdr:rowOff>304800</xdr:rowOff>
    </xdr:to>
    <xdr:pic>
      <xdr:nvPicPr>
        <xdr:cNvPr id="4" name="Picture 3">
          <a:extLst>
            <a:ext uri="{FF2B5EF4-FFF2-40B4-BE49-F238E27FC236}">
              <a16:creationId xmlns:a16="http://schemas.microsoft.com/office/drawing/2014/main" id="{66D1D348-B81D-FAD2-0498-E238A39B5926}"/>
            </a:ext>
            <a:ext uri="{147F2762-F138-4A5C-976F-8EAC2B608ADB}">
              <a16:predDERef xmlns:a16="http://schemas.microsoft.com/office/drawing/2014/main" pred="{A0DD1DDD-0CB1-1FB2-0F1E-C10AE6CC18D0}"/>
            </a:ext>
          </a:extLst>
        </xdr:cNvPr>
        <xdr:cNvPicPr>
          <a:picLocks noChangeAspect="1"/>
        </xdr:cNvPicPr>
      </xdr:nvPicPr>
      <xdr:blipFill>
        <a:blip xmlns:r="http://schemas.openxmlformats.org/officeDocument/2006/relationships" r:embed="rId2"/>
        <a:stretch>
          <a:fillRect/>
        </a:stretch>
      </xdr:blipFill>
      <xdr:spPr>
        <a:xfrm>
          <a:off x="31222950" y="13935075"/>
          <a:ext cx="4572000" cy="19526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754813</xdr:rowOff>
    </xdr:to>
    <xdr:pic>
      <xdr:nvPicPr>
        <xdr:cNvPr id="2" name="Imagen 1">
          <a:extLst>
            <a:ext uri="{FF2B5EF4-FFF2-40B4-BE49-F238E27FC236}">
              <a16:creationId xmlns:a16="http://schemas.microsoft.com/office/drawing/2014/main" id="{33612A93-74D4-43F0-83EB-F21430261DDF}"/>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24</xdr:col>
      <xdr:colOff>209736</xdr:colOff>
      <xdr:row>23</xdr:row>
      <xdr:rowOff>258793</xdr:rowOff>
    </xdr:from>
    <xdr:to>
      <xdr:col>29</xdr:col>
      <xdr:colOff>454127</xdr:colOff>
      <xdr:row>28</xdr:row>
      <xdr:rowOff>754813</xdr:rowOff>
    </xdr:to>
    <xdr:pic>
      <xdr:nvPicPr>
        <xdr:cNvPr id="2" name="Imagen 1">
          <a:extLst>
            <a:ext uri="{FF2B5EF4-FFF2-40B4-BE49-F238E27FC236}">
              <a16:creationId xmlns:a16="http://schemas.microsoft.com/office/drawing/2014/main" id="{5BF16E15-852B-44DC-BCDD-BEA874A0F381}"/>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24</xdr:col>
      <xdr:colOff>209736</xdr:colOff>
      <xdr:row>24</xdr:row>
      <xdr:rowOff>258793</xdr:rowOff>
    </xdr:from>
    <xdr:to>
      <xdr:col>29</xdr:col>
      <xdr:colOff>454128</xdr:colOff>
      <xdr:row>29</xdr:row>
      <xdr:rowOff>754813</xdr:rowOff>
    </xdr:to>
    <xdr:pic>
      <xdr:nvPicPr>
        <xdr:cNvPr id="2" name="Imagen 1">
          <a:extLst>
            <a:ext uri="{FF2B5EF4-FFF2-40B4-BE49-F238E27FC236}">
              <a16:creationId xmlns:a16="http://schemas.microsoft.com/office/drawing/2014/main" id="{6D296A37-605A-4510-B340-075A9F2437F0}"/>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754813</xdr:rowOff>
    </xdr:to>
    <xdr:pic>
      <xdr:nvPicPr>
        <xdr:cNvPr id="2" name="Imagen 1">
          <a:extLst>
            <a:ext uri="{FF2B5EF4-FFF2-40B4-BE49-F238E27FC236}">
              <a16:creationId xmlns:a16="http://schemas.microsoft.com/office/drawing/2014/main" id="{CE83BA99-69EB-E498-878E-5DCE87755142}"/>
            </a:ext>
          </a:extLst>
        </xdr:cNvPr>
        <xdr:cNvPicPr>
          <a:picLocks noChangeAspect="1"/>
        </xdr:cNvPicPr>
      </xdr:nvPicPr>
      <xdr:blipFill>
        <a:blip xmlns:r="http://schemas.openxmlformats.org/officeDocument/2006/relationships" r:embed="rId1"/>
        <a:stretch>
          <a:fillRect/>
        </a:stretch>
      </xdr:blipFill>
      <xdr:spPr>
        <a:xfrm>
          <a:off x="34046849" y="14427681"/>
          <a:ext cx="7425884" cy="552090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0A76E74F-836B-4137-A083-5F8F2D1FB7F4}"/>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8027B76B-6864-4F69-8D6B-1B0350D679FA}"/>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9136877D-1EDE-4A7A-9762-5E77AC793210}"/>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31B99ED6-8E8F-4D84-A1BE-D821714BCC0F}"/>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FDE3FD54-BFBC-4D76-B41F-FCEF6059CF3C}"/>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DD908583-091D-475A-B00E-0F5F491914F8}"/>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twoCellAnchor editAs="oneCell">
    <xdr:from>
      <xdr:col>19</xdr:col>
      <xdr:colOff>571500</xdr:colOff>
      <xdr:row>15</xdr:row>
      <xdr:rowOff>333375</xdr:rowOff>
    </xdr:from>
    <xdr:to>
      <xdr:col>22</xdr:col>
      <xdr:colOff>1152525</xdr:colOff>
      <xdr:row>16</xdr:row>
      <xdr:rowOff>1666875</xdr:rowOff>
    </xdr:to>
    <xdr:pic>
      <xdr:nvPicPr>
        <xdr:cNvPr id="3" name="Picture 2">
          <a:extLst>
            <a:ext uri="{FF2B5EF4-FFF2-40B4-BE49-F238E27FC236}">
              <a16:creationId xmlns:a16="http://schemas.microsoft.com/office/drawing/2014/main" id="{A2D0E07C-A484-95A0-C4CE-61EC3547C8BD}"/>
            </a:ext>
            <a:ext uri="{147F2762-F138-4A5C-976F-8EAC2B608ADB}">
              <a16:predDERef xmlns:a16="http://schemas.microsoft.com/office/drawing/2014/main" pred="{DD908583-091D-475A-B00E-0F5F491914F8}"/>
            </a:ext>
          </a:extLst>
        </xdr:cNvPr>
        <xdr:cNvPicPr>
          <a:picLocks noChangeAspect="1"/>
        </xdr:cNvPicPr>
      </xdr:nvPicPr>
      <xdr:blipFill>
        <a:blip xmlns:r="http://schemas.openxmlformats.org/officeDocument/2006/relationships" r:embed="rId2"/>
        <a:stretch>
          <a:fillRect/>
        </a:stretch>
      </xdr:blipFill>
      <xdr:spPr>
        <a:xfrm>
          <a:off x="28498800" y="7534275"/>
          <a:ext cx="4581525" cy="2781300"/>
        </a:xfrm>
        <a:prstGeom prst="rect">
          <a:avLst/>
        </a:prstGeom>
      </xdr:spPr>
    </xdr:pic>
    <xdr:clientData/>
  </xdr:twoCellAnchor>
  <xdr:twoCellAnchor editAs="oneCell">
    <xdr:from>
      <xdr:col>22</xdr:col>
      <xdr:colOff>1257300</xdr:colOff>
      <xdr:row>15</xdr:row>
      <xdr:rowOff>381000</xdr:rowOff>
    </xdr:from>
    <xdr:to>
      <xdr:col>28</xdr:col>
      <xdr:colOff>361950</xdr:colOff>
      <xdr:row>16</xdr:row>
      <xdr:rowOff>1676400</xdr:rowOff>
    </xdr:to>
    <xdr:pic>
      <xdr:nvPicPr>
        <xdr:cNvPr id="4" name="Picture 3">
          <a:extLst>
            <a:ext uri="{FF2B5EF4-FFF2-40B4-BE49-F238E27FC236}">
              <a16:creationId xmlns:a16="http://schemas.microsoft.com/office/drawing/2014/main" id="{C13062D7-8E24-2F25-73BF-5F835EF1C233}"/>
            </a:ext>
            <a:ext uri="{147F2762-F138-4A5C-976F-8EAC2B608ADB}">
              <a16:predDERef xmlns:a16="http://schemas.microsoft.com/office/drawing/2014/main" pred="{A2D0E07C-A484-95A0-C4CE-61EC3547C8BD}"/>
            </a:ext>
          </a:extLst>
        </xdr:cNvPr>
        <xdr:cNvPicPr>
          <a:picLocks noChangeAspect="1"/>
        </xdr:cNvPicPr>
      </xdr:nvPicPr>
      <xdr:blipFill>
        <a:blip xmlns:r="http://schemas.openxmlformats.org/officeDocument/2006/relationships" r:embed="rId3"/>
        <a:stretch>
          <a:fillRect/>
        </a:stretch>
      </xdr:blipFill>
      <xdr:spPr>
        <a:xfrm>
          <a:off x="33185100" y="7581900"/>
          <a:ext cx="4133850" cy="2743200"/>
        </a:xfrm>
        <a:prstGeom prst="rect">
          <a:avLst/>
        </a:prstGeom>
      </xdr:spPr>
    </xdr:pic>
    <xdr:clientData/>
  </xdr:twoCellAnchor>
  <xdr:twoCellAnchor editAs="oneCell">
    <xdr:from>
      <xdr:col>19</xdr:col>
      <xdr:colOff>390525</xdr:colOff>
      <xdr:row>18</xdr:row>
      <xdr:rowOff>0</xdr:rowOff>
    </xdr:from>
    <xdr:to>
      <xdr:col>22</xdr:col>
      <xdr:colOff>981075</xdr:colOff>
      <xdr:row>18</xdr:row>
      <xdr:rowOff>1943100</xdr:rowOff>
    </xdr:to>
    <xdr:pic>
      <xdr:nvPicPr>
        <xdr:cNvPr id="8" name="Picture 5">
          <a:extLst>
            <a:ext uri="{FF2B5EF4-FFF2-40B4-BE49-F238E27FC236}">
              <a16:creationId xmlns:a16="http://schemas.microsoft.com/office/drawing/2014/main" id="{6ABFCBC3-443B-EB51-EC35-0F054454E00E}"/>
            </a:ext>
            <a:ext uri="{147F2762-F138-4A5C-976F-8EAC2B608ADB}">
              <a16:predDERef xmlns:a16="http://schemas.microsoft.com/office/drawing/2014/main" pred="{C13062D7-8E24-2F25-73BF-5F835EF1C233}"/>
            </a:ext>
          </a:extLst>
        </xdr:cNvPr>
        <xdr:cNvPicPr>
          <a:picLocks noChangeAspect="1"/>
        </xdr:cNvPicPr>
      </xdr:nvPicPr>
      <xdr:blipFill>
        <a:blip xmlns:r="http://schemas.openxmlformats.org/officeDocument/2006/relationships" r:embed="rId4"/>
        <a:stretch>
          <a:fillRect/>
        </a:stretch>
      </xdr:blipFill>
      <xdr:spPr>
        <a:xfrm>
          <a:off x="28317825" y="12077700"/>
          <a:ext cx="4591050" cy="19431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09591EE8-B56E-4B9D-B9EC-9EBF6019D80C}"/>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05D0A8F7-AAFC-4458-9EBF-921C9204D824}"/>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twoCellAnchor editAs="oneCell">
    <xdr:from>
      <xdr:col>20</xdr:col>
      <xdr:colOff>116898</xdr:colOff>
      <xdr:row>18</xdr:row>
      <xdr:rowOff>60613</xdr:rowOff>
    </xdr:from>
    <xdr:to>
      <xdr:col>38</xdr:col>
      <xdr:colOff>544126</xdr:colOff>
      <xdr:row>27</xdr:row>
      <xdr:rowOff>8888</xdr:rowOff>
    </xdr:to>
    <xdr:pic>
      <xdr:nvPicPr>
        <xdr:cNvPr id="3" name="Imagen 2">
          <a:extLst>
            <a:ext uri="{FF2B5EF4-FFF2-40B4-BE49-F238E27FC236}">
              <a16:creationId xmlns:a16="http://schemas.microsoft.com/office/drawing/2014/main" id="{6A3F735E-71CA-B405-73A6-30EFF97E48FB}"/>
            </a:ext>
          </a:extLst>
        </xdr:cNvPr>
        <xdr:cNvPicPr>
          <a:picLocks noChangeAspect="1"/>
        </xdr:cNvPicPr>
      </xdr:nvPicPr>
      <xdr:blipFill>
        <a:blip xmlns:r="http://schemas.openxmlformats.org/officeDocument/2006/relationships" r:embed="rId2"/>
        <a:stretch>
          <a:fillRect/>
        </a:stretch>
      </xdr:blipFill>
      <xdr:spPr>
        <a:xfrm>
          <a:off x="29525336" y="11990676"/>
          <a:ext cx="18096103" cy="861602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F7EB119A-6320-4393-9CF8-D9AC3EB25A82}"/>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A72FAC13-2648-4D82-8AD3-A24AC4F9DCD7}"/>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twoCellAnchor editAs="oneCell">
    <xdr:from>
      <xdr:col>18</xdr:col>
      <xdr:colOff>190501</xdr:colOff>
      <xdr:row>15</xdr:row>
      <xdr:rowOff>1281546</xdr:rowOff>
    </xdr:from>
    <xdr:to>
      <xdr:col>19</xdr:col>
      <xdr:colOff>419067</xdr:colOff>
      <xdr:row>16</xdr:row>
      <xdr:rowOff>1679864</xdr:rowOff>
    </xdr:to>
    <xdr:pic>
      <xdr:nvPicPr>
        <xdr:cNvPr id="3" name="Imagen 2">
          <a:extLst>
            <a:ext uri="{FF2B5EF4-FFF2-40B4-BE49-F238E27FC236}">
              <a16:creationId xmlns:a16="http://schemas.microsoft.com/office/drawing/2014/main" id="{9105D43F-6BE3-4E3B-A021-160BEE7F1325}"/>
            </a:ext>
          </a:extLst>
        </xdr:cNvPr>
        <xdr:cNvPicPr>
          <a:picLocks noChangeAspect="1"/>
        </xdr:cNvPicPr>
      </xdr:nvPicPr>
      <xdr:blipFill>
        <a:blip xmlns:r="http://schemas.openxmlformats.org/officeDocument/2006/relationships" r:embed="rId2"/>
        <a:stretch>
          <a:fillRect/>
        </a:stretch>
      </xdr:blipFill>
      <xdr:spPr>
        <a:xfrm>
          <a:off x="26773910" y="8382001"/>
          <a:ext cx="1527430" cy="185304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24</xdr:col>
      <xdr:colOff>209736</xdr:colOff>
      <xdr:row>22</xdr:row>
      <xdr:rowOff>258793</xdr:rowOff>
    </xdr:from>
    <xdr:to>
      <xdr:col>29</xdr:col>
      <xdr:colOff>454128</xdr:colOff>
      <xdr:row>27</xdr:row>
      <xdr:rowOff>754812</xdr:rowOff>
    </xdr:to>
    <xdr:pic>
      <xdr:nvPicPr>
        <xdr:cNvPr id="2" name="Imagen 1">
          <a:extLst>
            <a:ext uri="{FF2B5EF4-FFF2-40B4-BE49-F238E27FC236}">
              <a16:creationId xmlns:a16="http://schemas.microsoft.com/office/drawing/2014/main" id="{0C4CF430-B117-4813-93BA-D895E7E7326F}"/>
            </a:ext>
          </a:extLst>
        </xdr:cNvPr>
        <xdr:cNvPicPr>
          <a:picLocks noChangeAspect="1"/>
        </xdr:cNvPicPr>
      </xdr:nvPicPr>
      <xdr:blipFill>
        <a:blip xmlns:r="http://schemas.openxmlformats.org/officeDocument/2006/relationships" r:embed="rId1"/>
        <a:stretch>
          <a:fillRect/>
        </a:stretch>
      </xdr:blipFill>
      <xdr:spPr>
        <a:xfrm>
          <a:off x="33556761" y="15841693"/>
          <a:ext cx="7150017" cy="55156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untaje%20Definitivo%20Evaluaci&#243;n%20Oferta%2024001240%20L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TS OFERTA"/>
      <sheetName val="PRESUPUESTO OFICIAL (Entidad)"/>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s>
    <sheetDataSet>
      <sheetData sheetId="0">
        <row r="3">
          <cell r="J3">
            <v>0</v>
          </cell>
        </row>
        <row r="4">
          <cell r="J4">
            <v>58.046104246047641</v>
          </cell>
        </row>
        <row r="5">
          <cell r="J5">
            <v>58.018296975483203</v>
          </cell>
        </row>
        <row r="6">
          <cell r="J6">
            <v>58.410614638067884</v>
          </cell>
        </row>
        <row r="7">
          <cell r="J7">
            <v>57.206043486222292</v>
          </cell>
        </row>
        <row r="8">
          <cell r="J8">
            <v>56.915560180766967</v>
          </cell>
        </row>
        <row r="9">
          <cell r="J9">
            <v>58.609724637346638</v>
          </cell>
        </row>
        <row r="10">
          <cell r="J10">
            <v>0</v>
          </cell>
        </row>
        <row r="11">
          <cell r="J11">
            <v>57.591572336437487</v>
          </cell>
        </row>
        <row r="12">
          <cell r="J12">
            <v>58.018694180854403</v>
          </cell>
        </row>
        <row r="13">
          <cell r="J13">
            <v>58.399494861340614</v>
          </cell>
        </row>
        <row r="14">
          <cell r="J14">
            <v>57.909914037334666</v>
          </cell>
        </row>
        <row r="15">
          <cell r="J15">
            <v>58.431159190233977</v>
          </cell>
        </row>
        <row r="16">
          <cell r="J16">
            <v>57.9503688166483</v>
          </cell>
        </row>
        <row r="17">
          <cell r="J17">
            <v>0</v>
          </cell>
        </row>
        <row r="18">
          <cell r="J18">
            <v>58.471682881994759</v>
          </cell>
        </row>
        <row r="19">
          <cell r="J19">
            <v>58.89768878167807</v>
          </cell>
        </row>
        <row r="20">
          <cell r="J20">
            <v>59.5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1"/>
    <pageSetUpPr fitToPage="1"/>
  </sheetPr>
  <dimension ref="A1:N7"/>
  <sheetViews>
    <sheetView zoomScaleNormal="100" zoomScaleSheetLayoutView="100" workbookViewId="0">
      <selection activeCell="C17" sqref="C17"/>
    </sheetView>
  </sheetViews>
  <sheetFormatPr baseColWidth="10" defaultColWidth="11.42578125" defaultRowHeight="15"/>
  <cols>
    <col min="1" max="1" width="7" style="1" customWidth="1"/>
    <col min="2" max="2" width="20.42578125" style="1" customWidth="1"/>
    <col min="3" max="6" width="13.5703125" style="1" customWidth="1"/>
    <col min="7" max="7" width="23.140625" style="1" customWidth="1"/>
    <col min="8" max="8" width="18.42578125" style="1" customWidth="1"/>
    <col min="9" max="9" width="15.5703125" style="1" customWidth="1"/>
    <col min="10" max="10" width="14.85546875" style="1" customWidth="1"/>
    <col min="11" max="12" width="18.42578125" style="1" customWidth="1"/>
    <col min="13" max="13" width="61.42578125" style="1" customWidth="1"/>
    <col min="14" max="14" width="26.85546875" style="1" customWidth="1"/>
    <col min="15" max="16384" width="11.42578125" style="1"/>
  </cols>
  <sheetData>
    <row r="1" spans="1:14" ht="23.45" customHeight="1">
      <c r="A1" s="188" t="s">
        <v>0</v>
      </c>
      <c r="B1" s="189"/>
      <c r="C1" s="189"/>
      <c r="D1" s="189"/>
      <c r="E1" s="189"/>
      <c r="F1" s="189"/>
      <c r="G1" s="189"/>
      <c r="H1" s="189"/>
      <c r="I1" s="189"/>
      <c r="J1" s="189"/>
      <c r="K1" s="189"/>
      <c r="L1" s="189"/>
      <c r="M1" s="189"/>
      <c r="N1" s="189"/>
    </row>
    <row r="2" spans="1:14" ht="36.950000000000003" customHeight="1">
      <c r="A2" s="190" t="s">
        <v>1</v>
      </c>
      <c r="B2" s="191"/>
      <c r="C2" s="191"/>
      <c r="D2" s="191"/>
      <c r="E2" s="191"/>
      <c r="F2" s="191"/>
      <c r="G2" s="191"/>
      <c r="H2" s="191"/>
      <c r="I2" s="191"/>
      <c r="J2" s="191"/>
      <c r="K2" s="191"/>
      <c r="L2" s="191"/>
      <c r="M2" s="191"/>
      <c r="N2" s="191"/>
    </row>
    <row r="3" spans="1:14" ht="27" customHeight="1">
      <c r="A3" s="192" t="e">
        <f>#REF!</f>
        <v>#REF!</v>
      </c>
      <c r="B3" s="193"/>
      <c r="C3" s="193"/>
      <c r="D3" s="193"/>
      <c r="E3" s="193"/>
      <c r="F3" s="193"/>
      <c r="G3" s="193"/>
      <c r="H3" s="193"/>
      <c r="I3" s="193"/>
      <c r="J3" s="193"/>
      <c r="K3" s="193"/>
      <c r="L3" s="193"/>
      <c r="M3" s="193"/>
      <c r="N3" s="193"/>
    </row>
    <row r="4" spans="1:14" ht="21.2" customHeight="1">
      <c r="A4" s="194" t="s">
        <v>2</v>
      </c>
      <c r="B4" s="194"/>
      <c r="C4" s="195" t="s">
        <v>3</v>
      </c>
      <c r="D4" s="196"/>
      <c r="E4" s="196"/>
      <c r="F4" s="196"/>
      <c r="G4" s="197"/>
      <c r="H4" s="195" t="s">
        <v>4</v>
      </c>
      <c r="I4" s="196"/>
      <c r="J4" s="197"/>
      <c r="K4" s="198" t="s">
        <v>5</v>
      </c>
      <c r="L4" s="198" t="s">
        <v>6</v>
      </c>
      <c r="M4" s="201" t="s">
        <v>7</v>
      </c>
      <c r="N4" s="202"/>
    </row>
    <row r="5" spans="1:14" ht="47.25">
      <c r="A5" s="194"/>
      <c r="B5" s="194"/>
      <c r="C5" s="207" t="s">
        <v>8</v>
      </c>
      <c r="D5" s="208"/>
      <c r="E5" s="208"/>
      <c r="F5" s="209"/>
      <c r="G5" s="73" t="s">
        <v>9</v>
      </c>
      <c r="H5" s="73" t="s">
        <v>10</v>
      </c>
      <c r="I5" s="73" t="s">
        <v>11</v>
      </c>
      <c r="J5" s="73" t="s">
        <v>12</v>
      </c>
      <c r="K5" s="199"/>
      <c r="L5" s="199"/>
      <c r="M5" s="203"/>
      <c r="N5" s="204"/>
    </row>
    <row r="6" spans="1:14" ht="68.25">
      <c r="A6" s="194"/>
      <c r="B6" s="194"/>
      <c r="C6" s="74" t="s">
        <v>13</v>
      </c>
      <c r="D6" s="74" t="s">
        <v>14</v>
      </c>
      <c r="E6" s="74" t="s">
        <v>15</v>
      </c>
      <c r="F6" s="74" t="s">
        <v>16</v>
      </c>
      <c r="G6" s="75" t="s">
        <v>17</v>
      </c>
      <c r="H6" s="76" t="s">
        <v>18</v>
      </c>
      <c r="I6" s="76" t="s">
        <v>19</v>
      </c>
      <c r="J6" s="76" t="s">
        <v>20</v>
      </c>
      <c r="K6" s="200"/>
      <c r="L6" s="200"/>
      <c r="M6" s="205"/>
      <c r="N6" s="206"/>
    </row>
    <row r="7" spans="1:14" ht="23.25">
      <c r="A7" s="77">
        <v>1</v>
      </c>
      <c r="B7" s="78" t="e">
        <f>+#REF!</f>
        <v>#REF!</v>
      </c>
      <c r="C7" s="79" t="e">
        <f>+#REF!</f>
        <v>#REF!</v>
      </c>
      <c r="D7" s="79" t="e">
        <f>+#REF!</f>
        <v>#REF!</v>
      </c>
      <c r="E7" s="79" t="e">
        <f>+#REF!</f>
        <v>#REF!</v>
      </c>
      <c r="F7" s="79" t="e">
        <f>+#REF!</f>
        <v>#REF!</v>
      </c>
      <c r="G7" s="79" t="e">
        <f>+#REF!</f>
        <v>#REF!</v>
      </c>
      <c r="H7" s="80" t="e">
        <f>+#REF!</f>
        <v>#REF!</v>
      </c>
      <c r="I7" s="80" t="e">
        <f>+#REF!</f>
        <v>#REF!</v>
      </c>
      <c r="J7" s="80" t="e">
        <f>+#REF!+#REF!</f>
        <v>#REF!</v>
      </c>
      <c r="K7" s="81" t="e">
        <f>+#REF!</f>
        <v>#REF!</v>
      </c>
      <c r="L7" s="80" t="e">
        <f>+H7+I7+J7</f>
        <v>#REF!</v>
      </c>
      <c r="M7" s="187" t="e">
        <f>+#REF!</f>
        <v>#REF!</v>
      </c>
      <c r="N7" s="187"/>
    </row>
  </sheetData>
  <mergeCells count="11">
    <mergeCell ref="M7:N7"/>
    <mergeCell ref="A1:N1"/>
    <mergeCell ref="A2:N2"/>
    <mergeCell ref="A3:N3"/>
    <mergeCell ref="A4:B6"/>
    <mergeCell ref="C4:G4"/>
    <mergeCell ref="H4:J4"/>
    <mergeCell ref="K4:K6"/>
    <mergeCell ref="L4:L6"/>
    <mergeCell ref="M4:N6"/>
    <mergeCell ref="C5:F5"/>
  </mergeCells>
  <pageMargins left="0.70866141732283472" right="0.70866141732283472" top="0.74803149606299213" bottom="0.74803149606299213" header="0.31496062992125984" footer="0.31496062992125984"/>
  <pageSetup scale="43" fitToHeight="0" orientation="landscape" r:id="rId1"/>
  <colBreaks count="1" manualBreakCount="1">
    <brk id="1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B42"/>
  <sheetViews>
    <sheetView workbookViewId="0">
      <selection activeCell="C5" sqref="C5:D5"/>
    </sheetView>
  </sheetViews>
  <sheetFormatPr baseColWidth="10" defaultColWidth="11.42578125" defaultRowHeight="15"/>
  <cols>
    <col min="1" max="1" width="5.42578125" bestFit="1" customWidth="1"/>
    <col min="2" max="2" width="11.42578125" bestFit="1" customWidth="1"/>
  </cols>
  <sheetData>
    <row r="1" spans="1:2">
      <c r="A1" s="2"/>
      <c r="B1" s="2"/>
    </row>
    <row r="2" spans="1:2">
      <c r="A2" s="2">
        <v>1980</v>
      </c>
      <c r="B2" s="12">
        <v>4500</v>
      </c>
    </row>
    <row r="3" spans="1:2">
      <c r="A3" s="2">
        <v>1981</v>
      </c>
      <c r="B3" s="12">
        <v>5700</v>
      </c>
    </row>
    <row r="4" spans="1:2">
      <c r="A4" s="2">
        <v>1982</v>
      </c>
      <c r="B4" s="12">
        <v>7410</v>
      </c>
    </row>
    <row r="5" spans="1:2">
      <c r="A5" s="2">
        <v>1983</v>
      </c>
      <c r="B5" s="12">
        <v>9261</v>
      </c>
    </row>
    <row r="6" spans="1:2">
      <c r="A6" s="2">
        <v>1984</v>
      </c>
      <c r="B6" s="12">
        <v>11298</v>
      </c>
    </row>
    <row r="7" spans="1:2">
      <c r="A7" s="2">
        <v>1985</v>
      </c>
      <c r="B7" s="12">
        <v>13558</v>
      </c>
    </row>
    <row r="8" spans="1:2">
      <c r="A8" s="2">
        <v>1986</v>
      </c>
      <c r="B8" s="12">
        <v>16811</v>
      </c>
    </row>
    <row r="9" spans="1:2">
      <c r="A9" s="2">
        <v>1987</v>
      </c>
      <c r="B9" s="12">
        <v>20510</v>
      </c>
    </row>
    <row r="10" spans="1:2">
      <c r="A10" s="2">
        <v>1988</v>
      </c>
      <c r="B10" s="12">
        <v>25637</v>
      </c>
    </row>
    <row r="11" spans="1:2">
      <c r="A11" s="2">
        <v>1989</v>
      </c>
      <c r="B11" s="12">
        <v>32560</v>
      </c>
    </row>
    <row r="12" spans="1:2">
      <c r="A12" s="2">
        <v>1990</v>
      </c>
      <c r="B12" s="12">
        <v>41025</v>
      </c>
    </row>
    <row r="13" spans="1:2">
      <c r="A13" s="2">
        <v>1991</v>
      </c>
      <c r="B13" s="12">
        <v>51716</v>
      </c>
    </row>
    <row r="14" spans="1:2">
      <c r="A14" s="2">
        <v>1992</v>
      </c>
      <c r="B14" s="12">
        <v>65190</v>
      </c>
    </row>
    <row r="15" spans="1:2">
      <c r="A15" s="2">
        <v>1993</v>
      </c>
      <c r="B15" s="12">
        <v>81510</v>
      </c>
    </row>
    <row r="16" spans="1:2">
      <c r="A16" s="2">
        <v>1994</v>
      </c>
      <c r="B16" s="12">
        <v>98700</v>
      </c>
    </row>
    <row r="17" spans="1:2">
      <c r="A17" s="2">
        <v>1995</v>
      </c>
      <c r="B17" s="12">
        <v>118934</v>
      </c>
    </row>
    <row r="18" spans="1:2">
      <c r="A18" s="2">
        <v>1996</v>
      </c>
      <c r="B18" s="12">
        <v>142125</v>
      </c>
    </row>
    <row r="19" spans="1:2">
      <c r="A19" s="2">
        <v>1997</v>
      </c>
      <c r="B19" s="12">
        <v>172005</v>
      </c>
    </row>
    <row r="20" spans="1:2">
      <c r="A20" s="2">
        <v>1998</v>
      </c>
      <c r="B20" s="12">
        <v>203826</v>
      </c>
    </row>
    <row r="21" spans="1:2">
      <c r="A21" s="2">
        <v>1999</v>
      </c>
      <c r="B21" s="12">
        <v>236460</v>
      </c>
    </row>
    <row r="22" spans="1:2">
      <c r="A22" s="2">
        <v>2000</v>
      </c>
      <c r="B22" s="12">
        <v>260100</v>
      </c>
    </row>
    <row r="23" spans="1:2">
      <c r="A23" s="2">
        <v>2001</v>
      </c>
      <c r="B23" s="12">
        <v>286000</v>
      </c>
    </row>
    <row r="24" spans="1:2">
      <c r="A24" s="2">
        <v>2002</v>
      </c>
      <c r="B24" s="12">
        <v>309000</v>
      </c>
    </row>
    <row r="25" spans="1:2">
      <c r="A25" s="2">
        <v>2003</v>
      </c>
      <c r="B25" s="12">
        <v>332000</v>
      </c>
    </row>
    <row r="26" spans="1:2">
      <c r="A26" s="2">
        <v>2004</v>
      </c>
      <c r="B26" s="12">
        <v>358000</v>
      </c>
    </row>
    <row r="27" spans="1:2">
      <c r="A27" s="2">
        <v>2005</v>
      </c>
      <c r="B27" s="12">
        <v>381500</v>
      </c>
    </row>
    <row r="28" spans="1:2">
      <c r="A28" s="2">
        <v>2006</v>
      </c>
      <c r="B28" s="12">
        <v>408000</v>
      </c>
    </row>
    <row r="29" spans="1:2">
      <c r="A29" s="2">
        <v>2007</v>
      </c>
      <c r="B29" s="12">
        <v>433700</v>
      </c>
    </row>
    <row r="30" spans="1:2">
      <c r="A30" s="2">
        <v>2008</v>
      </c>
      <c r="B30" s="12">
        <v>461500</v>
      </c>
    </row>
    <row r="31" spans="1:2">
      <c r="A31" s="2">
        <v>2009</v>
      </c>
      <c r="B31" s="12">
        <v>496900</v>
      </c>
    </row>
    <row r="32" spans="1:2">
      <c r="A32" s="2">
        <v>2010</v>
      </c>
      <c r="B32" s="12">
        <v>515000</v>
      </c>
    </row>
    <row r="33" spans="1:2">
      <c r="A33" s="2">
        <v>2011</v>
      </c>
      <c r="B33" s="12">
        <v>535600</v>
      </c>
    </row>
    <row r="34" spans="1:2">
      <c r="A34" s="2">
        <v>2012</v>
      </c>
      <c r="B34" s="12">
        <v>566700</v>
      </c>
    </row>
    <row r="35" spans="1:2">
      <c r="A35" s="2">
        <v>2013</v>
      </c>
      <c r="B35" s="12">
        <v>589500</v>
      </c>
    </row>
    <row r="36" spans="1:2">
      <c r="A36" s="2">
        <v>2014</v>
      </c>
      <c r="B36" s="12">
        <v>616000</v>
      </c>
    </row>
    <row r="37" spans="1:2">
      <c r="A37" s="2">
        <v>2015</v>
      </c>
      <c r="B37" s="12">
        <v>644350</v>
      </c>
    </row>
    <row r="38" spans="1:2">
      <c r="A38" s="2">
        <v>2016</v>
      </c>
      <c r="B38" s="12">
        <v>689455</v>
      </c>
    </row>
    <row r="39" spans="1:2">
      <c r="A39" s="2">
        <v>2017</v>
      </c>
      <c r="B39" s="12">
        <v>737717</v>
      </c>
    </row>
    <row r="40" spans="1:2">
      <c r="A40" s="2">
        <v>2018</v>
      </c>
      <c r="B40" s="12">
        <v>781242</v>
      </c>
    </row>
    <row r="41" spans="1:2">
      <c r="A41" s="2">
        <v>2019</v>
      </c>
      <c r="B41" s="12">
        <v>828116</v>
      </c>
    </row>
    <row r="42" spans="1:2">
      <c r="A42" s="2">
        <v>2020</v>
      </c>
      <c r="B42" s="12">
        <v>877803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FF0000"/>
  </sheetPr>
  <dimension ref="A1"/>
  <sheetViews>
    <sheetView zoomScale="40" zoomScaleNormal="40" workbookViewId="0">
      <selection activeCell="AA21" sqref="AA21"/>
    </sheetView>
  </sheetViews>
  <sheetFormatPr baseColWidth="10" defaultColWidth="11.42578125" defaultRowHeight="1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A64C5-6BB1-49D9-81CE-9797ACDCA3B3}">
  <dimension ref="A2:V45"/>
  <sheetViews>
    <sheetView tabSelected="1" topLeftCell="A20" zoomScale="55" zoomScaleNormal="55" workbookViewId="0">
      <selection activeCell="C20" sqref="C20"/>
    </sheetView>
  </sheetViews>
  <sheetFormatPr baseColWidth="10" defaultColWidth="9.140625" defaultRowHeight="15"/>
  <cols>
    <col min="1" max="1" width="12.140625" bestFit="1" customWidth="1"/>
    <col min="2" max="2" width="41.5703125" bestFit="1" customWidth="1"/>
    <col min="3" max="3" width="66.5703125" bestFit="1" customWidth="1"/>
    <col min="4" max="4" width="12.42578125" customWidth="1"/>
    <col min="5" max="5" width="35.85546875" bestFit="1" customWidth="1"/>
    <col min="6" max="6" width="20.28515625" bestFit="1" customWidth="1"/>
    <col min="7" max="7" width="19.85546875" bestFit="1" customWidth="1"/>
    <col min="8" max="8" width="13.28515625" customWidth="1"/>
    <col min="9" max="9" width="17.5703125" customWidth="1"/>
    <col min="10" max="10" width="13.140625" bestFit="1" customWidth="1"/>
    <col min="11" max="11" width="20" customWidth="1"/>
    <col min="12" max="12" width="11.140625" customWidth="1"/>
    <col min="18" max="18" width="18.28515625" bestFit="1" customWidth="1"/>
    <col min="19" max="19" width="11" bestFit="1" customWidth="1"/>
  </cols>
  <sheetData>
    <row r="2" spans="1:22" ht="44.25" customHeight="1">
      <c r="A2" s="99" t="s">
        <v>21</v>
      </c>
      <c r="B2" s="99" t="s">
        <v>22</v>
      </c>
      <c r="C2" s="99" t="s">
        <v>23</v>
      </c>
      <c r="D2" s="100" t="s">
        <v>24</v>
      </c>
      <c r="E2" s="100" t="s">
        <v>25</v>
      </c>
      <c r="F2" s="100" t="s">
        <v>26</v>
      </c>
      <c r="G2" s="100" t="s">
        <v>27</v>
      </c>
      <c r="H2" s="100" t="s">
        <v>28</v>
      </c>
      <c r="I2" s="100" t="s">
        <v>29</v>
      </c>
      <c r="J2" s="100" t="s">
        <v>30</v>
      </c>
      <c r="K2" s="100" t="s">
        <v>31</v>
      </c>
      <c r="L2" s="100" t="s">
        <v>26</v>
      </c>
      <c r="M2" s="100" t="s">
        <v>27</v>
      </c>
      <c r="N2" s="100" t="s">
        <v>28</v>
      </c>
      <c r="O2" s="100" t="s">
        <v>29</v>
      </c>
      <c r="P2" s="100" t="s">
        <v>30</v>
      </c>
      <c r="Q2" s="100" t="s">
        <v>32</v>
      </c>
      <c r="R2" s="133" t="s">
        <v>33</v>
      </c>
      <c r="S2" s="133" t="s">
        <v>34</v>
      </c>
    </row>
    <row r="3" spans="1:22">
      <c r="A3" s="98">
        <v>1</v>
      </c>
      <c r="B3" s="98" t="s">
        <v>35</v>
      </c>
      <c r="C3" s="98" t="s">
        <v>36</v>
      </c>
      <c r="D3" s="95" t="str" cm="1">
        <f t="array" aca="1" ref="D3" ca="1">INDIRECT("'"&amp;A3&amp;"'!"&amp;"$O$23")</f>
        <v>CUMPLE</v>
      </c>
      <c r="E3" s="95" t="str" cm="1">
        <f t="array" aca="1" ref="E3" ca="1">INDIRECT("'"&amp;A3&amp;"'!"&amp;"$O$31")</f>
        <v>CUMPLE</v>
      </c>
      <c r="F3" s="95" t="str">
        <f>+'1'!$M$40</f>
        <v>CUMPLE</v>
      </c>
      <c r="G3" s="95" t="str">
        <f>+'1'!$M$49</f>
        <v>CUMPLE</v>
      </c>
      <c r="H3" s="95" t="str">
        <f>+'1'!$M$52</f>
        <v>CUMPLE</v>
      </c>
      <c r="I3" s="95" t="str">
        <f>+'1'!$M$54</f>
        <v>CUMPLE</v>
      </c>
      <c r="J3" s="95" t="str">
        <f>+'1'!$M$56</f>
        <v>CUMPLE</v>
      </c>
      <c r="K3" s="95" t="str">
        <f>+'1'!$O$23</f>
        <v>CUMPLE</v>
      </c>
      <c r="L3" s="95">
        <f>+'1'!$M$44</f>
        <v>20</v>
      </c>
      <c r="M3" s="95">
        <f>+'1'!$M$50</f>
        <v>1</v>
      </c>
      <c r="N3" s="95">
        <f>+'1'!$O$52</f>
        <v>19</v>
      </c>
      <c r="O3" s="95">
        <f>+'1'!$O$54</f>
        <v>0.25</v>
      </c>
      <c r="P3" s="95">
        <f>+'1'!$O$56</f>
        <v>0.25</v>
      </c>
      <c r="Q3" s="95">
        <f>+'1'!$O$58</f>
        <v>0</v>
      </c>
      <c r="R3" s="95">
        <f ca="1">+[1]RESUMEN!J3</f>
        <v>0</v>
      </c>
      <c r="S3" s="95">
        <f t="shared" ref="S3:S20" ca="1" si="0">+SUM(L3:R3)</f>
        <v>40.5</v>
      </c>
      <c r="T3">
        <f t="shared" ref="T3:T20" ca="1" si="1">_xlfn.RANK.EQ(V3,$V$3:$V$20)</f>
        <v>15</v>
      </c>
      <c r="V3" s="95">
        <f t="shared" ref="V3:V20" ca="1" si="2">IF(AND(D3="CUMPLE",E3="CUMPLE",F3="CUMPLE",G3="CUMPLE",H3="CUMPLE",I3="CUMPLE",J3="CUMPLE",K3="CUMPLE"),SUM(L3:R3),0)</f>
        <v>40.5</v>
      </c>
    </row>
    <row r="4" spans="1:22">
      <c r="A4" s="134">
        <v>2</v>
      </c>
      <c r="B4" s="134" t="s">
        <v>37</v>
      </c>
      <c r="C4" s="134" t="s">
        <v>38</v>
      </c>
      <c r="D4" s="101" t="str" cm="1">
        <f t="array" aca="1" ref="D4" ca="1">INDIRECT("'"&amp;A4&amp;"'!"&amp;"$O$23")</f>
        <v>CUMPLE</v>
      </c>
      <c r="E4" s="101" t="str" cm="1">
        <f t="array" aca="1" ref="E4" ca="1">INDIRECT("'"&amp;A4&amp;"'!"&amp;"$O$31")</f>
        <v>CUMPLE</v>
      </c>
      <c r="F4" s="101" t="str">
        <f>+'2'!$M$40</f>
        <v>CUMPLE</v>
      </c>
      <c r="G4" s="101" t="str">
        <f>+'2'!$M$49</f>
        <v>CUMPLE</v>
      </c>
      <c r="H4" s="101" t="str">
        <f>+'2'!$M$52</f>
        <v>CUMPLE</v>
      </c>
      <c r="I4" s="101" t="str">
        <f>+'2'!$M$54</f>
        <v>CUMPLE</v>
      </c>
      <c r="J4" s="101" t="str">
        <f>+'2'!$M$56</f>
        <v>CUMPLE</v>
      </c>
      <c r="K4" s="101" t="str">
        <f>+'2'!$O$23</f>
        <v>CUMPLE</v>
      </c>
      <c r="L4" s="101">
        <f>+'2'!$M$44</f>
        <v>20</v>
      </c>
      <c r="M4" s="101">
        <f>+'2'!$M$50</f>
        <v>1</v>
      </c>
      <c r="N4" s="101">
        <f>+'2'!$O$52</f>
        <v>19</v>
      </c>
      <c r="O4" s="101">
        <f>+'2'!$O$54</f>
        <v>0.25</v>
      </c>
      <c r="P4" s="101">
        <f>+'2'!$O$56</f>
        <v>0.25</v>
      </c>
      <c r="Q4" s="101">
        <f>+'2'!$O$58</f>
        <v>0</v>
      </c>
      <c r="R4" s="95">
        <f ca="1">+[1]RESUMEN!J4</f>
        <v>58.046104246047641</v>
      </c>
      <c r="S4" s="101">
        <f t="shared" ca="1" si="0"/>
        <v>98.546104246047634</v>
      </c>
      <c r="T4">
        <f t="shared" ca="1" si="1"/>
        <v>7</v>
      </c>
      <c r="V4" s="101">
        <f t="shared" ca="1" si="2"/>
        <v>98.546104246047634</v>
      </c>
    </row>
    <row r="5" spans="1:22">
      <c r="A5" s="98">
        <v>3</v>
      </c>
      <c r="B5" s="98" t="s">
        <v>39</v>
      </c>
      <c r="C5" s="98" t="s">
        <v>40</v>
      </c>
      <c r="D5" s="95" t="str" cm="1">
        <f t="array" aca="1" ref="D5" ca="1">INDIRECT("'"&amp;A5&amp;"'!"&amp;"$O$23")</f>
        <v>CUMPLE</v>
      </c>
      <c r="E5" s="95" t="str" cm="1">
        <f t="array" aca="1" ref="E5" ca="1">INDIRECT("'"&amp;A5&amp;"'!"&amp;"$O$31")</f>
        <v>CUMPLE</v>
      </c>
      <c r="F5" s="95" t="str">
        <f>+'3'!$M$40</f>
        <v>CUMPLE</v>
      </c>
      <c r="G5" s="95" t="str">
        <f>+'3'!$M$49</f>
        <v>CUMPLE</v>
      </c>
      <c r="H5" s="95" t="str">
        <f>+'3'!$M$52</f>
        <v>CUMPLE</v>
      </c>
      <c r="I5" s="95" t="str">
        <f>+'3'!$M$54</f>
        <v>CUMPLE</v>
      </c>
      <c r="J5" s="95" t="str">
        <f>+'3'!$M$56</f>
        <v>CUMPLE</v>
      </c>
      <c r="K5" s="95" t="str">
        <f>+'3'!$O$23</f>
        <v>CUMPLE</v>
      </c>
      <c r="L5" s="95">
        <f>+'3'!$M$44</f>
        <v>20</v>
      </c>
      <c r="M5" s="95">
        <f>+'3'!$M$50</f>
        <v>1</v>
      </c>
      <c r="N5" s="95">
        <f>+'3'!$O$52</f>
        <v>19</v>
      </c>
      <c r="O5" s="95">
        <f>+'3'!$O$54</f>
        <v>0.25</v>
      </c>
      <c r="P5" s="95">
        <f>+'3'!$O$56</f>
        <v>0.25</v>
      </c>
      <c r="Q5" s="95">
        <f>+'3'!$O$58</f>
        <v>0</v>
      </c>
      <c r="R5" s="95">
        <f ca="1">+[1]RESUMEN!J5</f>
        <v>58.018296975483203</v>
      </c>
      <c r="S5" s="95">
        <f t="shared" ca="1" si="0"/>
        <v>98.518296975483196</v>
      </c>
      <c r="T5">
        <f t="shared" ca="1" si="1"/>
        <v>9</v>
      </c>
      <c r="V5" s="95">
        <f t="shared" ca="1" si="2"/>
        <v>98.518296975483196</v>
      </c>
    </row>
    <row r="6" spans="1:22">
      <c r="A6" s="134">
        <v>4</v>
      </c>
      <c r="B6" s="134" t="s">
        <v>35</v>
      </c>
      <c r="C6" s="134" t="s">
        <v>41</v>
      </c>
      <c r="D6" s="101" t="str" cm="1">
        <f t="array" aca="1" ref="D6" ca="1">INDIRECT("'"&amp;A6&amp;"'!"&amp;"$O$23")</f>
        <v>CUMPLE</v>
      </c>
      <c r="E6" s="101" t="str" cm="1">
        <f t="array" aca="1" ref="E6" ca="1">INDIRECT("'"&amp;A6&amp;"'!"&amp;"$O$31")</f>
        <v>CUMPLE</v>
      </c>
      <c r="F6" s="101" t="str">
        <f>+'4'!$M$40</f>
        <v>CUMPLE</v>
      </c>
      <c r="G6" s="101" t="str">
        <f>+'4'!$M$49</f>
        <v>CUMPLE</v>
      </c>
      <c r="H6" s="101" t="str">
        <f>+'4'!$M$52</f>
        <v>CUMPLE</v>
      </c>
      <c r="I6" s="101" t="str">
        <f>+'4'!$M$54</f>
        <v>CUMPLE</v>
      </c>
      <c r="J6" s="101" t="str">
        <f>+'4'!$M$56</f>
        <v>CUMPLE</v>
      </c>
      <c r="K6" s="101" t="str">
        <f>+'4'!$O$23</f>
        <v>CUMPLE</v>
      </c>
      <c r="L6" s="101">
        <f>+'4'!$M$44</f>
        <v>20</v>
      </c>
      <c r="M6" s="101">
        <f>+'4'!$M$50</f>
        <v>1</v>
      </c>
      <c r="N6" s="101">
        <f>+'4'!$O$52</f>
        <v>19</v>
      </c>
      <c r="O6" s="101">
        <f>+'4'!$O$54</f>
        <v>0.25</v>
      </c>
      <c r="P6" s="101">
        <f>+'4'!$O$56</f>
        <v>0.25</v>
      </c>
      <c r="Q6" s="101">
        <f>+'4'!$O$58</f>
        <v>0</v>
      </c>
      <c r="R6" s="95">
        <f ca="1">+[1]RESUMEN!J6</f>
        <v>58.410614638067884</v>
      </c>
      <c r="S6" s="101">
        <f t="shared" ca="1" si="0"/>
        <v>98.910614638067884</v>
      </c>
      <c r="T6">
        <f t="shared" ca="1" si="1"/>
        <v>5</v>
      </c>
      <c r="V6" s="101">
        <f t="shared" ca="1" si="2"/>
        <v>98.910614638067884</v>
      </c>
    </row>
    <row r="7" spans="1:22">
      <c r="A7" s="98">
        <v>5</v>
      </c>
      <c r="B7" s="98" t="s">
        <v>37</v>
      </c>
      <c r="C7" s="98" t="s">
        <v>42</v>
      </c>
      <c r="D7" s="95" t="str" cm="1">
        <f t="array" aca="1" ref="D7" ca="1">INDIRECT("'"&amp;A7&amp;"'!"&amp;"$O$23")</f>
        <v>CUMPLE</v>
      </c>
      <c r="E7" s="95" t="str" cm="1">
        <f t="array" aca="1" ref="E7" ca="1">INDIRECT("'"&amp;A7&amp;"'!"&amp;"$O$32")</f>
        <v>CUMPLE</v>
      </c>
      <c r="F7" s="95" t="str">
        <f>+'5'!$M$41</f>
        <v>CUMPLE</v>
      </c>
      <c r="G7" s="95" t="str">
        <f>+'5'!$M$50</f>
        <v>CUMPLE</v>
      </c>
      <c r="H7" s="95" t="str">
        <f>+'5'!$M$53</f>
        <v>CUMPLE</v>
      </c>
      <c r="I7" s="95" t="str">
        <f>+'5'!$M$55</f>
        <v>CUMPLE</v>
      </c>
      <c r="J7" s="95" t="str">
        <f>+'5'!$M$57</f>
        <v>CUMPLE</v>
      </c>
      <c r="K7" s="95" t="str">
        <f>+'5'!$O$24</f>
        <v>CUMPLE</v>
      </c>
      <c r="L7" s="95">
        <f>+'5'!$M$45</f>
        <v>20</v>
      </c>
      <c r="M7" s="95">
        <f>+'5'!$M$51</f>
        <v>1</v>
      </c>
      <c r="N7" s="95">
        <f>+'5'!$O$53</f>
        <v>19</v>
      </c>
      <c r="O7" s="95">
        <f>+'5'!$O$55</f>
        <v>0.25</v>
      </c>
      <c r="P7" s="95">
        <f>+'5'!$O$57</f>
        <v>0.25</v>
      </c>
      <c r="Q7" s="95">
        <f>+'5'!$O$59</f>
        <v>0</v>
      </c>
      <c r="R7" s="95">
        <f ca="1">+[1]RESUMEN!J7</f>
        <v>57.206043486222292</v>
      </c>
      <c r="S7" s="95">
        <f t="shared" ca="1" si="0"/>
        <v>97.706043486222285</v>
      </c>
      <c r="T7">
        <f t="shared" ca="1" si="1"/>
        <v>13</v>
      </c>
      <c r="V7" s="95">
        <f t="shared" ca="1" si="2"/>
        <v>97.706043486222285</v>
      </c>
    </row>
    <row r="8" spans="1:22">
      <c r="A8" s="134">
        <v>6</v>
      </c>
      <c r="B8" s="134" t="s">
        <v>39</v>
      </c>
      <c r="C8" s="134" t="s">
        <v>43</v>
      </c>
      <c r="D8" s="101" t="str" cm="1">
        <f t="array" aca="1" ref="D8" ca="1">INDIRECT("'"&amp;A8&amp;"'!"&amp;"$O$23")</f>
        <v>CUMPLE</v>
      </c>
      <c r="E8" s="101" t="str" cm="1">
        <f t="array" aca="1" ref="E8" ca="1">INDIRECT("'"&amp;A8&amp;"'!"&amp;"$O$31")</f>
        <v>CUMPLE</v>
      </c>
      <c r="F8" s="101" t="str">
        <f>+'6'!$M$40</f>
        <v>CUMPLE</v>
      </c>
      <c r="G8" s="101" t="str">
        <f>+'6'!$M$49</f>
        <v>CUMPLE</v>
      </c>
      <c r="H8" s="101" t="str">
        <f>+'6'!$M$52</f>
        <v>CUMPLE</v>
      </c>
      <c r="I8" s="101" t="str">
        <f>+'6'!$M$54</f>
        <v>CUMPLE</v>
      </c>
      <c r="J8" s="101" t="str">
        <f>+'6'!$M$56</f>
        <v>CUMPLE</v>
      </c>
      <c r="K8" s="101" t="str">
        <f>+'6'!$O$23</f>
        <v>CUMPLE</v>
      </c>
      <c r="L8" s="101">
        <f>+'6'!$M$44</f>
        <v>20</v>
      </c>
      <c r="M8" s="101">
        <f>+'6'!M50</f>
        <v>1</v>
      </c>
      <c r="N8" s="101">
        <f>+'6'!O52</f>
        <v>19</v>
      </c>
      <c r="O8" s="101">
        <f>+'6'!O54</f>
        <v>0.25</v>
      </c>
      <c r="P8" s="101">
        <f>+'6'!O56</f>
        <v>0.25</v>
      </c>
      <c r="Q8" s="101">
        <f>+'6'!O58</f>
        <v>0</v>
      </c>
      <c r="R8" s="95">
        <f ca="1">+[1]RESUMEN!J8</f>
        <v>56.915560180766967</v>
      </c>
      <c r="S8" s="101">
        <f t="shared" ca="1" si="0"/>
        <v>97.41556018076696</v>
      </c>
      <c r="T8">
        <f t="shared" ca="1" si="1"/>
        <v>14</v>
      </c>
      <c r="V8" s="101">
        <f t="shared" ca="1" si="2"/>
        <v>97.41556018076696</v>
      </c>
    </row>
    <row r="9" spans="1:22">
      <c r="A9" s="98">
        <v>7</v>
      </c>
      <c r="B9" s="98" t="s">
        <v>35</v>
      </c>
      <c r="C9" s="98" t="s">
        <v>44</v>
      </c>
      <c r="D9" s="95" t="str" cm="1">
        <f t="array" aca="1" ref="D9" ca="1">INDIRECT("'"&amp;A9&amp;"'!"&amp;"$O$23")</f>
        <v>CUMPLE</v>
      </c>
      <c r="E9" s="95" t="str" cm="1">
        <f t="array" aca="1" ref="E9" ca="1">INDIRECT("'"&amp;A9&amp;"'!"&amp;"$O$31")</f>
        <v>CUMPLE</v>
      </c>
      <c r="F9" s="95" t="str">
        <f>+'7'!$M$40</f>
        <v>CUMPLE</v>
      </c>
      <c r="G9" s="95" t="str">
        <f>+'7'!$M$49</f>
        <v>NO CUMPLE</v>
      </c>
      <c r="H9" s="95" t="str">
        <f>+'7'!$M$52</f>
        <v>CUMPLE</v>
      </c>
      <c r="I9" s="95" t="str">
        <f>+'7'!$M$54</f>
        <v>CUMPLE</v>
      </c>
      <c r="J9" s="95" t="str">
        <f>+'7'!$M$56</f>
        <v>CUMPLE</v>
      </c>
      <c r="K9" s="95" t="str">
        <f>+'5'!$O$24</f>
        <v>CUMPLE</v>
      </c>
      <c r="L9" s="95">
        <f>+'7'!$M$44</f>
        <v>20</v>
      </c>
      <c r="M9" s="95">
        <f>+'7'!$M$50</f>
        <v>0</v>
      </c>
      <c r="N9" s="95">
        <f>+'7'!$O$52</f>
        <v>19</v>
      </c>
      <c r="O9" s="95">
        <f>+'7'!$O$54</f>
        <v>0.25</v>
      </c>
      <c r="P9" s="95">
        <f>+'7'!$O$56</f>
        <v>0.25</v>
      </c>
      <c r="Q9" s="95">
        <f>+'7'!$O$58</f>
        <v>0</v>
      </c>
      <c r="R9" s="95">
        <f ca="1">+[1]RESUMEN!J9</f>
        <v>58.609724637346638</v>
      </c>
      <c r="S9" s="95">
        <f t="shared" ca="1" si="0"/>
        <v>98.109724637346631</v>
      </c>
      <c r="T9">
        <f t="shared" ca="1" si="1"/>
        <v>17</v>
      </c>
      <c r="V9" s="95">
        <f t="shared" ca="1" si="2"/>
        <v>0</v>
      </c>
    </row>
    <row r="10" spans="1:22">
      <c r="A10" s="134">
        <v>8</v>
      </c>
      <c r="B10" s="134" t="s">
        <v>37</v>
      </c>
      <c r="C10" s="134" t="s">
        <v>45</v>
      </c>
      <c r="D10" s="101" t="str" cm="1">
        <f t="array" aca="1" ref="D10" ca="1">INDIRECT("'"&amp;A10&amp;"'!"&amp;"$O$23")</f>
        <v>CUMPLE</v>
      </c>
      <c r="E10" s="101" t="str" cm="1">
        <f t="array" aca="1" ref="E10" ca="1">INDIRECT("'"&amp;A10&amp;"'!"&amp;"$O$31")</f>
        <v>CUMPLE</v>
      </c>
      <c r="F10" s="101" t="str">
        <f>+'8'!$M$40</f>
        <v>CUMPLE</v>
      </c>
      <c r="G10" s="101" t="str">
        <f>+'8'!$M$49</f>
        <v>CUMPLE</v>
      </c>
      <c r="H10" s="101" t="str">
        <f>+'8'!$M$52</f>
        <v>CUMPLE</v>
      </c>
      <c r="I10" s="101" t="str">
        <f>+'8'!$M$54</f>
        <v>CUMPLE</v>
      </c>
      <c r="J10" s="101" t="str">
        <f>+'8'!$M$56</f>
        <v>CUMPLE</v>
      </c>
      <c r="K10" s="101" t="str">
        <f>+'8'!$O$23</f>
        <v>CUMPLE</v>
      </c>
      <c r="L10" s="101">
        <f>+'8'!$M$44</f>
        <v>20</v>
      </c>
      <c r="M10" s="101">
        <f>+'8'!$M$50</f>
        <v>1</v>
      </c>
      <c r="N10" s="101">
        <f>+'8'!$O$52</f>
        <v>19</v>
      </c>
      <c r="O10" s="101">
        <f>+'8'!$O$54</f>
        <v>0.25</v>
      </c>
      <c r="P10" s="101">
        <f>+'7'!$O$56</f>
        <v>0.25</v>
      </c>
      <c r="Q10" s="101">
        <f>+'8'!$O$58</f>
        <v>0</v>
      </c>
      <c r="R10" s="95">
        <f ca="1">+[1]RESUMEN!J10</f>
        <v>0</v>
      </c>
      <c r="S10" s="101">
        <f t="shared" ca="1" si="0"/>
        <v>40.5</v>
      </c>
      <c r="T10">
        <f t="shared" ca="1" si="1"/>
        <v>15</v>
      </c>
      <c r="V10" s="101">
        <f t="shared" ca="1" si="2"/>
        <v>40.5</v>
      </c>
    </row>
    <row r="11" spans="1:22">
      <c r="A11" s="98">
        <v>9</v>
      </c>
      <c r="B11" s="98" t="s">
        <v>39</v>
      </c>
      <c r="C11" s="98" t="s">
        <v>46</v>
      </c>
      <c r="D11" s="95" t="str" cm="1">
        <f t="array" aca="1" ref="D11" ca="1">INDIRECT("'"&amp;A11&amp;"'!"&amp;"$O$23")</f>
        <v>CUMPLE</v>
      </c>
      <c r="E11" s="95" t="str" cm="1">
        <f t="array" aca="1" ref="E11" ca="1">INDIRECT("'"&amp;A11&amp;"'!"&amp;"$O$31")</f>
        <v>CUMPLE</v>
      </c>
      <c r="F11" s="95" t="str">
        <f>+'9'!$M$40</f>
        <v>CUMPLE</v>
      </c>
      <c r="G11" s="95" t="str">
        <f>+'9'!$M$49</f>
        <v>CUMPLE</v>
      </c>
      <c r="H11" s="95" t="str">
        <f>+'9'!$M$52</f>
        <v>CUMPLE</v>
      </c>
      <c r="I11" s="95" t="str">
        <f>+'9'!$M$54</f>
        <v>CUMPLE</v>
      </c>
      <c r="J11" s="95" t="str">
        <f>+'9'!$M$56</f>
        <v>CUMPLE</v>
      </c>
      <c r="K11" s="95" t="str">
        <f>+'9'!$O$23</f>
        <v>CUMPLE</v>
      </c>
      <c r="L11" s="95">
        <f>+'9'!$M$44</f>
        <v>20</v>
      </c>
      <c r="M11" s="95">
        <f>+'9'!$M$50</f>
        <v>1</v>
      </c>
      <c r="N11" s="95">
        <f>+'9'!$O$52</f>
        <v>19</v>
      </c>
      <c r="O11" s="95">
        <f>+'9'!$O$54</f>
        <v>0.25</v>
      </c>
      <c r="P11" s="95">
        <f>+'7'!$O$56</f>
        <v>0.25</v>
      </c>
      <c r="Q11" s="95">
        <f>+'9'!$O$58</f>
        <v>0</v>
      </c>
      <c r="R11" s="95">
        <f ca="1">+[1]RESUMEN!J11</f>
        <v>57.591572336437487</v>
      </c>
      <c r="S11" s="95">
        <f t="shared" ca="1" si="0"/>
        <v>98.09157233643748</v>
      </c>
      <c r="T11">
        <f t="shared" ca="1" si="1"/>
        <v>12</v>
      </c>
      <c r="V11" s="95">
        <f t="shared" ca="1" si="2"/>
        <v>98.09157233643748</v>
      </c>
    </row>
    <row r="12" spans="1:22">
      <c r="A12" s="134">
        <v>10</v>
      </c>
      <c r="B12" s="134" t="s">
        <v>35</v>
      </c>
      <c r="C12" s="134" t="s">
        <v>47</v>
      </c>
      <c r="D12" s="101" t="str" cm="1">
        <f t="array" aca="1" ref="D12" ca="1">INDIRECT("'"&amp;A12&amp;"'!"&amp;"$O$23")</f>
        <v>CUMPLE</v>
      </c>
      <c r="E12" s="101" t="str" cm="1">
        <f t="array" aca="1" ref="E12" ca="1">INDIRECT("'"&amp;A12&amp;"'!"&amp;"$O$31")</f>
        <v>CUMPLE</v>
      </c>
      <c r="F12" s="101" t="str">
        <f>+'10'!$M$40</f>
        <v>CUMPLE</v>
      </c>
      <c r="G12" s="101" t="str">
        <f>+'10'!$M$49</f>
        <v>CUMPLE</v>
      </c>
      <c r="H12" s="101" t="str">
        <f>+'10'!$M$52</f>
        <v>CUMPLE</v>
      </c>
      <c r="I12" s="101" t="str">
        <f>+'10'!$M$54</f>
        <v>CUMPLE</v>
      </c>
      <c r="J12" s="101" t="str">
        <f>+'10'!$M$56</f>
        <v>CUMPLE</v>
      </c>
      <c r="K12" s="101" t="str">
        <f>+'10'!$O$23</f>
        <v>CUMPLE</v>
      </c>
      <c r="L12" s="101">
        <f>+'10'!$M$44</f>
        <v>20</v>
      </c>
      <c r="M12" s="101">
        <f>+'10'!$M$50</f>
        <v>1</v>
      </c>
      <c r="N12" s="101">
        <f>+'10'!$O$52</f>
        <v>19</v>
      </c>
      <c r="O12" s="101">
        <f>+'10'!$O$54</f>
        <v>0.25</v>
      </c>
      <c r="P12" s="101">
        <f>+'7'!$O$56</f>
        <v>0.25</v>
      </c>
      <c r="Q12" s="101">
        <f>+'10'!$O$58</f>
        <v>0</v>
      </c>
      <c r="R12" s="95">
        <f ca="1">+[1]RESUMEN!J12</f>
        <v>58.018694180854403</v>
      </c>
      <c r="S12" s="101">
        <f t="shared" ca="1" si="0"/>
        <v>98.518694180854396</v>
      </c>
      <c r="T12">
        <f t="shared" ca="1" si="1"/>
        <v>8</v>
      </c>
      <c r="V12" s="101">
        <f t="shared" ca="1" si="2"/>
        <v>98.518694180854396</v>
      </c>
    </row>
    <row r="13" spans="1:22">
      <c r="A13" s="98">
        <v>11</v>
      </c>
      <c r="B13" s="98" t="s">
        <v>37</v>
      </c>
      <c r="C13" s="98" t="s">
        <v>48</v>
      </c>
      <c r="D13" s="95" t="str" cm="1">
        <f t="array" aca="1" ref="D13" ca="1">INDIRECT("'"&amp;A13&amp;"'!"&amp;"$O$23")</f>
        <v>CUMPLE</v>
      </c>
      <c r="E13" s="95" t="str" cm="1">
        <f t="array" aca="1" ref="E13" ca="1">INDIRECT("'"&amp;A13&amp;"'!"&amp;"$O$31")</f>
        <v>CUMPLE</v>
      </c>
      <c r="F13" s="95" t="str">
        <f>+'11'!$M$40</f>
        <v>CUMPLE</v>
      </c>
      <c r="G13" s="95" t="str">
        <f>+'11'!$M$49</f>
        <v>CUMPLE</v>
      </c>
      <c r="H13" s="95" t="str">
        <f>+'11'!$M$52</f>
        <v>CUMPLE</v>
      </c>
      <c r="I13" s="95" t="str">
        <f>+'11'!$M$54</f>
        <v>CUMPLE</v>
      </c>
      <c r="J13" s="95" t="str">
        <f>+'11'!$M$56</f>
        <v>CUMPLE</v>
      </c>
      <c r="K13" s="95" t="str">
        <f>+'11'!$O$23</f>
        <v>CUMPLE</v>
      </c>
      <c r="L13" s="95">
        <f>+'11'!$M$44</f>
        <v>20</v>
      </c>
      <c r="M13" s="95">
        <f>+'11'!$M$50</f>
        <v>1</v>
      </c>
      <c r="N13" s="95">
        <f>+'11'!$O$52</f>
        <v>19</v>
      </c>
      <c r="O13" s="95">
        <f>+'11'!$O$54</f>
        <v>0.25</v>
      </c>
      <c r="P13" s="95">
        <f>+'11'!$O$56</f>
        <v>0.25</v>
      </c>
      <c r="Q13" s="95">
        <f>+'11'!$O$58</f>
        <v>0</v>
      </c>
      <c r="R13" s="95">
        <f ca="1">+[1]RESUMEN!J13</f>
        <v>58.399494861340614</v>
      </c>
      <c r="S13" s="95">
        <f t="shared" ca="1" si="0"/>
        <v>98.899494861340614</v>
      </c>
      <c r="T13">
        <f t="shared" ca="1" si="1"/>
        <v>6</v>
      </c>
      <c r="V13" s="95">
        <f t="shared" ca="1" si="2"/>
        <v>98.899494861340614</v>
      </c>
    </row>
    <row r="14" spans="1:22">
      <c r="A14" s="134">
        <v>12</v>
      </c>
      <c r="B14" s="134" t="s">
        <v>39</v>
      </c>
      <c r="C14" s="134" t="s">
        <v>49</v>
      </c>
      <c r="D14" s="101" t="str" cm="1">
        <f t="array" aca="1" ref="D14" ca="1">INDIRECT("'"&amp;A14&amp;"'!"&amp;"$O$23")</f>
        <v>CUMPLE</v>
      </c>
      <c r="E14" s="101" t="str" cm="1">
        <f t="array" aca="1" ref="E14" ca="1">INDIRECT("'"&amp;A14&amp;"'!"&amp;"$O$31")</f>
        <v>CUMPLE</v>
      </c>
      <c r="F14" s="101" t="str">
        <f>+'12'!$M$40</f>
        <v>CUMPLE</v>
      </c>
      <c r="G14" s="101" t="str">
        <f>+'12'!$M$49</f>
        <v>CUMPLE</v>
      </c>
      <c r="H14" s="101" t="str">
        <f>+'12'!$M$52</f>
        <v>CUMPLE</v>
      </c>
      <c r="I14" s="101" t="str">
        <f>+'12'!$M$54</f>
        <v>CUMPLE</v>
      </c>
      <c r="J14" s="101" t="str">
        <f>+'12'!$M$56</f>
        <v>CUMPLE</v>
      </c>
      <c r="K14" s="101" t="str">
        <f>+'12'!$O$23</f>
        <v>CUMPLE</v>
      </c>
      <c r="L14" s="101">
        <f>+'12'!$M$44</f>
        <v>20</v>
      </c>
      <c r="M14" s="101">
        <f>+'12'!$M$50</f>
        <v>1</v>
      </c>
      <c r="N14" s="101">
        <f>+'12'!$O$52</f>
        <v>19</v>
      </c>
      <c r="O14" s="101">
        <f>+'12'!$O$54</f>
        <v>0.25</v>
      </c>
      <c r="P14" s="101">
        <f>+'12'!$O$56</f>
        <v>0.25</v>
      </c>
      <c r="Q14" s="101">
        <f>+'12'!$O$58</f>
        <v>0</v>
      </c>
      <c r="R14" s="95">
        <f ca="1">+[1]RESUMEN!J14</f>
        <v>57.909914037334666</v>
      </c>
      <c r="S14" s="101">
        <f t="shared" ca="1" si="0"/>
        <v>98.409914037334659</v>
      </c>
      <c r="T14">
        <f t="shared" ca="1" si="1"/>
        <v>11</v>
      </c>
      <c r="V14" s="101">
        <f t="shared" ca="1" si="2"/>
        <v>98.409914037334659</v>
      </c>
    </row>
    <row r="15" spans="1:22">
      <c r="A15" s="98">
        <v>13</v>
      </c>
      <c r="B15" s="98" t="s">
        <v>35</v>
      </c>
      <c r="C15" s="98" t="s">
        <v>50</v>
      </c>
      <c r="D15" s="95" t="str" cm="1">
        <f t="array" aca="1" ref="D15" ca="1">INDIRECT("'"&amp;A15&amp;"'!"&amp;"$O$23")</f>
        <v>CUMPLE</v>
      </c>
      <c r="E15" s="95" t="str" cm="1">
        <f t="array" aca="1" ref="E15" ca="1">INDIRECT("'"&amp;A15&amp;"'!"&amp;"$O$31")</f>
        <v>CUMPLE</v>
      </c>
      <c r="F15" s="95" t="str">
        <f>+'13'!$M$40</f>
        <v>CUMPLE</v>
      </c>
      <c r="G15" s="95" t="str">
        <f>+'13'!$M$49</f>
        <v>CUMPLE</v>
      </c>
      <c r="H15" s="95" t="str">
        <f>+'13'!$M$52</f>
        <v>CUMPLE</v>
      </c>
      <c r="I15" s="95" t="str">
        <f>+'13'!$M$54</f>
        <v>CUMPLE</v>
      </c>
      <c r="J15" s="95" t="str">
        <f>+'13'!$M$56</f>
        <v>CUMPLE</v>
      </c>
      <c r="K15" s="95" t="str">
        <f>+'13'!$O$23</f>
        <v>CUMPLE</v>
      </c>
      <c r="L15" s="95">
        <f>+'13'!$M$44</f>
        <v>20</v>
      </c>
      <c r="M15" s="95">
        <f>+'13'!$M$50</f>
        <v>1</v>
      </c>
      <c r="N15" s="95">
        <f>+'13'!$O$52</f>
        <v>19</v>
      </c>
      <c r="O15" s="95">
        <f>+'13'!$O$54</f>
        <v>0.25</v>
      </c>
      <c r="P15" s="95">
        <f>+'13'!$O$56</f>
        <v>0.25</v>
      </c>
      <c r="Q15" s="95">
        <f>+'13'!$O$58</f>
        <v>0</v>
      </c>
      <c r="R15" s="95">
        <f ca="1">+[1]RESUMEN!J15</f>
        <v>58.431159190233977</v>
      </c>
      <c r="S15" s="95">
        <f t="shared" ca="1" si="0"/>
        <v>98.931159190233984</v>
      </c>
      <c r="T15">
        <f t="shared" ca="1" si="1"/>
        <v>4</v>
      </c>
      <c r="V15" s="95">
        <f t="shared" ca="1" si="2"/>
        <v>98.931159190233984</v>
      </c>
    </row>
    <row r="16" spans="1:22">
      <c r="A16" s="134">
        <v>14</v>
      </c>
      <c r="B16" s="134" t="s">
        <v>37</v>
      </c>
      <c r="C16" s="134" t="s">
        <v>51</v>
      </c>
      <c r="D16" s="101" t="str" cm="1">
        <f t="array" aca="1" ref="D16" ca="1">INDIRECT("'"&amp;A16&amp;"'!"&amp;"$O$23")</f>
        <v>CUMPLE</v>
      </c>
      <c r="E16" s="101" t="str" cm="1">
        <f t="array" aca="1" ref="E16" ca="1">INDIRECT("'"&amp;A16&amp;"'!"&amp;"$O$31")</f>
        <v>CUMPLE</v>
      </c>
      <c r="F16" s="101" t="str">
        <f>+'14'!$M$40</f>
        <v>CUMPLE</v>
      </c>
      <c r="G16" s="101" t="str">
        <f>+'14'!$M$49</f>
        <v>CUMPLE</v>
      </c>
      <c r="H16" s="101" t="str">
        <f>+'14'!$M$52</f>
        <v>CUMPLE</v>
      </c>
      <c r="I16" s="101" t="str">
        <f>+'14'!$M$54</f>
        <v>CUMPLE</v>
      </c>
      <c r="J16" s="101" t="str">
        <f>+'14'!$M$56</f>
        <v>CUMPLE</v>
      </c>
      <c r="K16" s="101" t="str">
        <f>+'14'!$O$23</f>
        <v>CUMPLE</v>
      </c>
      <c r="L16" s="101">
        <f>+'14'!$M$44</f>
        <v>20</v>
      </c>
      <c r="M16" s="101">
        <f>+'14'!$M$50</f>
        <v>1</v>
      </c>
      <c r="N16" s="101">
        <f>+'14'!$O$52</f>
        <v>19</v>
      </c>
      <c r="O16" s="101">
        <f>+'14'!$O$54</f>
        <v>0.25</v>
      </c>
      <c r="P16" s="101">
        <f>+'14'!$O$56</f>
        <v>0.25</v>
      </c>
      <c r="Q16" s="101">
        <f>+'14'!$O$58</f>
        <v>0</v>
      </c>
      <c r="R16" s="95">
        <f ca="1">+[1]RESUMEN!J16</f>
        <v>57.9503688166483</v>
      </c>
      <c r="S16" s="101">
        <f t="shared" ca="1" si="0"/>
        <v>98.450368816648307</v>
      </c>
      <c r="T16">
        <f t="shared" ca="1" si="1"/>
        <v>10</v>
      </c>
      <c r="V16" s="101">
        <f t="shared" ca="1" si="2"/>
        <v>98.450368816648307</v>
      </c>
    </row>
    <row r="17" spans="1:22">
      <c r="A17" s="98">
        <v>15</v>
      </c>
      <c r="B17" s="98" t="s">
        <v>39</v>
      </c>
      <c r="C17" s="98" t="s">
        <v>52</v>
      </c>
      <c r="D17" s="95" t="str" cm="1">
        <f t="array" aca="1" ref="D17" ca="1">INDIRECT("'"&amp;A17&amp;"'!"&amp;"$O$23")</f>
        <v>CUMPLE</v>
      </c>
      <c r="E17" s="95" t="str" cm="1">
        <f t="array" aca="1" ref="E17" ca="1">INDIRECT("'"&amp;A17&amp;"'!"&amp;"$O$31")</f>
        <v>NO CUMPLE</v>
      </c>
      <c r="F17" s="95" t="str">
        <f>+'15'!$M$40</f>
        <v>CUMPLE</v>
      </c>
      <c r="G17" s="95" t="str">
        <f>+'15'!$M$49</f>
        <v>CUMPLE</v>
      </c>
      <c r="H17" s="95" t="str">
        <f>+'15'!$M$52</f>
        <v>CUMPLE</v>
      </c>
      <c r="I17" s="95" t="str">
        <f>+'15'!$M$54</f>
        <v>CUMPLE</v>
      </c>
      <c r="J17" s="95" t="str">
        <f>+'15'!$M$56</f>
        <v>CUMPLE</v>
      </c>
      <c r="K17" s="95" t="str">
        <f>+'15'!$O$23</f>
        <v>CUMPLE</v>
      </c>
      <c r="L17" s="95">
        <f>+'15'!$M$44</f>
        <v>20</v>
      </c>
      <c r="M17" s="95">
        <f>+'15'!$M$50</f>
        <v>1</v>
      </c>
      <c r="N17" s="95">
        <f>+'15'!$O$52</f>
        <v>19</v>
      </c>
      <c r="O17" s="95">
        <f>+'15'!$O$54</f>
        <v>0.25</v>
      </c>
      <c r="P17" s="95">
        <f>+'15'!$O$56</f>
        <v>0.25</v>
      </c>
      <c r="Q17" s="95">
        <f>+'14'!$O$58</f>
        <v>0</v>
      </c>
      <c r="R17" s="95">
        <f ca="1">+[1]RESUMEN!J17</f>
        <v>0</v>
      </c>
      <c r="S17" s="95">
        <f t="shared" ca="1" si="0"/>
        <v>40.5</v>
      </c>
      <c r="T17">
        <f t="shared" ca="1" si="1"/>
        <v>17</v>
      </c>
      <c r="V17" s="95">
        <f t="shared" ca="1" si="2"/>
        <v>0</v>
      </c>
    </row>
    <row r="18" spans="1:22">
      <c r="A18" s="134">
        <v>16</v>
      </c>
      <c r="B18" s="134" t="s">
        <v>35</v>
      </c>
      <c r="C18" s="134" t="s">
        <v>53</v>
      </c>
      <c r="D18" s="101" t="str" cm="1">
        <f t="array" aca="1" ref="D18" ca="1">INDIRECT("'"&amp;A18&amp;"'!"&amp;"$O$23")</f>
        <v>CUMPLE</v>
      </c>
      <c r="E18" s="101" t="str" cm="1">
        <f t="array" aca="1" ref="E18" ca="1">INDIRECT("'"&amp;A18&amp;"'!"&amp;"$O$31")</f>
        <v>CUMPLE</v>
      </c>
      <c r="F18" s="101" t="str">
        <f>+'16'!$M$40</f>
        <v>CUMPLE</v>
      </c>
      <c r="G18" s="101" t="str">
        <f>+'16'!$M$49</f>
        <v>CUMPLE</v>
      </c>
      <c r="H18" s="101" t="str">
        <f>+'16'!$M$52</f>
        <v>CUMPLE</v>
      </c>
      <c r="I18" s="101" t="str">
        <f>+'16'!$M$54</f>
        <v>CUMPLE</v>
      </c>
      <c r="J18" s="101" t="str">
        <f>+'16'!$M$56</f>
        <v>CUMPLE</v>
      </c>
      <c r="K18" s="101" t="str">
        <f>+'16'!$O$23</f>
        <v>CUMPLE</v>
      </c>
      <c r="L18" s="101">
        <f>+'16'!$M$44</f>
        <v>20</v>
      </c>
      <c r="M18" s="101">
        <f>+'16'!$M$50</f>
        <v>1</v>
      </c>
      <c r="N18" s="101">
        <f>+'16'!$O$52</f>
        <v>19</v>
      </c>
      <c r="O18" s="101">
        <f>+'16'!$O$54</f>
        <v>0.25</v>
      </c>
      <c r="P18" s="101">
        <f>+'16'!$O$56</f>
        <v>0.25</v>
      </c>
      <c r="Q18" s="101">
        <f>+'16'!$O$58</f>
        <v>0</v>
      </c>
      <c r="R18" s="95">
        <f ca="1">+[1]RESUMEN!J18</f>
        <v>58.471682881994759</v>
      </c>
      <c r="S18" s="101">
        <f t="shared" ca="1" si="0"/>
        <v>98.971682881994752</v>
      </c>
      <c r="T18">
        <f t="shared" ca="1" si="1"/>
        <v>3</v>
      </c>
      <c r="V18" s="101">
        <f t="shared" ca="1" si="2"/>
        <v>98.971682881994752</v>
      </c>
    </row>
    <row r="19" spans="1:22">
      <c r="A19" s="98">
        <v>17</v>
      </c>
      <c r="B19" s="98" t="s">
        <v>37</v>
      </c>
      <c r="C19" s="98" t="s">
        <v>54</v>
      </c>
      <c r="D19" s="95" t="str" cm="1">
        <f t="array" aca="1" ref="D19" ca="1">INDIRECT("'"&amp;A19&amp;"'!"&amp;"$O$23")</f>
        <v>CUMPLE</v>
      </c>
      <c r="E19" s="95" t="str" cm="1">
        <f t="array" aca="1" ref="E19" ca="1">INDIRECT("'"&amp;A19&amp;"'!"&amp;"$O$31")</f>
        <v>CUMPLE</v>
      </c>
      <c r="F19" s="95" t="str">
        <f>+'17'!$M$40</f>
        <v>CUMPLE</v>
      </c>
      <c r="G19" s="95" t="str">
        <f>+'17'!$M$49</f>
        <v>CUMPLE</v>
      </c>
      <c r="H19" s="95" t="str">
        <f>+'17'!$M$52</f>
        <v>CUMPLE</v>
      </c>
      <c r="I19" s="95" t="str">
        <f>+'17'!$M$54</f>
        <v>CUMPLE</v>
      </c>
      <c r="J19" s="95" t="str">
        <f>+'17'!$M$56</f>
        <v>CUMPLE</v>
      </c>
      <c r="K19" s="95" t="str">
        <f>+'17'!$O$23</f>
        <v>CUMPLE</v>
      </c>
      <c r="L19" s="95">
        <f>+'17'!$M$44</f>
        <v>20</v>
      </c>
      <c r="M19" s="95">
        <f>+'17'!$M$50</f>
        <v>1</v>
      </c>
      <c r="N19" s="95">
        <f>+'17'!$O$52</f>
        <v>19</v>
      </c>
      <c r="O19" s="95">
        <f>+'17'!$O$54</f>
        <v>0.25</v>
      </c>
      <c r="P19" s="95">
        <f>+'17'!$O$56</f>
        <v>0.25</v>
      </c>
      <c r="Q19" s="95">
        <f>+'17'!$O$58</f>
        <v>0</v>
      </c>
      <c r="R19" s="95">
        <f ca="1">+[1]RESUMEN!J19</f>
        <v>58.89768878167807</v>
      </c>
      <c r="S19" s="95">
        <f t="shared" ca="1" si="0"/>
        <v>99.39768878167807</v>
      </c>
      <c r="T19">
        <f t="shared" ca="1" si="1"/>
        <v>2</v>
      </c>
      <c r="V19" s="95">
        <f t="shared" ca="1" si="2"/>
        <v>99.39768878167807</v>
      </c>
    </row>
    <row r="20" spans="1:22">
      <c r="A20" s="134">
        <v>18</v>
      </c>
      <c r="B20" s="134" t="s">
        <v>39</v>
      </c>
      <c r="C20" s="134" t="s">
        <v>55</v>
      </c>
      <c r="D20" s="101" t="str" cm="1">
        <f t="array" aca="1" ref="D20" ca="1">INDIRECT("'"&amp;A20&amp;"'!"&amp;"$O$23")</f>
        <v>CUMPLE</v>
      </c>
      <c r="E20" s="101" t="str" cm="1">
        <f t="array" aca="1" ref="E20" ca="1">INDIRECT("'"&amp;A20&amp;"'!"&amp;"$O$31")</f>
        <v>CUMPLE</v>
      </c>
      <c r="F20" s="101" t="str">
        <f>+'18'!$M$40</f>
        <v>CUMPLE</v>
      </c>
      <c r="G20" s="101" t="str">
        <f>+'18'!$M$49</f>
        <v>CUMPLE</v>
      </c>
      <c r="H20" s="101" t="str">
        <f>+'18'!$M$52</f>
        <v>CUMPLE</v>
      </c>
      <c r="I20" s="101" t="str">
        <f>+'18'!$M$54</f>
        <v>CUMPLE</v>
      </c>
      <c r="J20" s="101" t="str">
        <f>+'18'!$M$56</f>
        <v>CUMPLE</v>
      </c>
      <c r="K20" s="101" t="str">
        <f>+'18'!$O$23</f>
        <v>CUMPLE</v>
      </c>
      <c r="L20" s="101">
        <f>+'18'!$M$44</f>
        <v>20</v>
      </c>
      <c r="M20" s="101">
        <f>+'18'!$M$50</f>
        <v>1</v>
      </c>
      <c r="N20" s="101">
        <f>+'18'!$O$52</f>
        <v>19</v>
      </c>
      <c r="O20" s="101">
        <f>+'18'!$O$54</f>
        <v>0.25</v>
      </c>
      <c r="P20" s="101">
        <f>+'18'!$O$56</f>
        <v>0.25</v>
      </c>
      <c r="Q20" s="101">
        <f>+'18'!$O$58</f>
        <v>0</v>
      </c>
      <c r="R20" s="95">
        <f ca="1">+[1]RESUMEN!J20</f>
        <v>59.5</v>
      </c>
      <c r="S20" s="177">
        <f t="shared" ca="1" si="0"/>
        <v>100</v>
      </c>
      <c r="T20">
        <f t="shared" ca="1" si="1"/>
        <v>1</v>
      </c>
      <c r="V20" s="101">
        <f t="shared" ca="1" si="2"/>
        <v>100</v>
      </c>
    </row>
    <row r="21" spans="1:22" ht="15.75" thickBot="1"/>
    <row r="22" spans="1:22" ht="15.75" thickBot="1">
      <c r="C22" s="214" t="s">
        <v>56</v>
      </c>
      <c r="D22" s="215"/>
      <c r="E22" s="215"/>
      <c r="F22" s="216"/>
    </row>
    <row r="23" spans="1:22" ht="15.75" thickBot="1">
      <c r="C23" s="139" t="s">
        <v>57</v>
      </c>
      <c r="D23" s="217" t="s">
        <v>58</v>
      </c>
      <c r="E23" s="218"/>
      <c r="F23" s="140" t="s">
        <v>59</v>
      </c>
    </row>
    <row r="24" spans="1:22" ht="15.75" thickBot="1">
      <c r="C24" s="141" cm="1">
        <f t="array" aca="1" ref="C24" ca="1">MAX(IF(ISERROR(V3:V20),0,V3:V20))</f>
        <v>100</v>
      </c>
      <c r="D24" s="219" t="str">
        <f ca="1">_xlfn.XLOOKUP(C24,V3:V20,C3:C20)</f>
        <v>CONSORCIO OBRAS LA SABANA</v>
      </c>
      <c r="E24" s="220"/>
      <c r="F24" s="142">
        <f ca="1">+_xlfn.XLOOKUP(D24,C3:C20,A3:A20)</f>
        <v>18</v>
      </c>
    </row>
    <row r="26" spans="1:22" ht="15.75">
      <c r="C26" s="221"/>
      <c r="D26" s="221"/>
      <c r="E26" s="221"/>
      <c r="F26" s="221"/>
      <c r="G26" s="221"/>
    </row>
    <row r="27" spans="1:22">
      <c r="C27" s="143" t="s">
        <v>60</v>
      </c>
      <c r="D27" s="212" t="s">
        <v>61</v>
      </c>
      <c r="E27" s="213"/>
      <c r="F27" s="143" t="s">
        <v>59</v>
      </c>
      <c r="G27" s="143" t="s">
        <v>62</v>
      </c>
    </row>
    <row r="28" spans="1:22">
      <c r="C28" s="95">
        <v>1</v>
      </c>
      <c r="D28" s="210" t="str">
        <f ca="1">_xlfn.XLOOKUP(C28,$T$3:$T$20,$C$3:$C$20)</f>
        <v>CONSORCIO OBRAS LA SABANA</v>
      </c>
      <c r="E28" s="211"/>
      <c r="F28" s="95">
        <f ca="1">+_xlfn.XLOOKUP(C28,$T$3:$T$20,$A$3:$A$20)</f>
        <v>18</v>
      </c>
      <c r="G28" s="144">
        <f t="shared" ref="G28:G45" ca="1" si="3">+_xlfn.XLOOKUP(C28,$T$3:$T$20,$V$3:$V$20)</f>
        <v>100</v>
      </c>
    </row>
    <row r="29" spans="1:22">
      <c r="C29" s="95">
        <v>2</v>
      </c>
      <c r="D29" s="210" t="str">
        <f t="shared" ref="D29:D45" ca="1" si="4">_xlfn.XLOOKUP(C29,$T$3:$T$20,$C$3:$C$20)</f>
        <v>CONSORCIO ECO OBRAS COINCO</v>
      </c>
      <c r="E29" s="211"/>
      <c r="F29" s="95">
        <f t="shared" ref="F29:F45" ca="1" si="5">+_xlfn.XLOOKUP(C29,$T$3:$T$20,$A$3:$A$20)</f>
        <v>17</v>
      </c>
      <c r="G29" s="144">
        <f t="shared" ca="1" si="3"/>
        <v>99.39768878167807</v>
      </c>
    </row>
    <row r="30" spans="1:22">
      <c r="C30" s="95">
        <v>3</v>
      </c>
      <c r="D30" s="210" t="str">
        <f t="shared" ca="1" si="4"/>
        <v>CONSORCIO INFRAESTRUCTURA DBC</v>
      </c>
      <c r="E30" s="211"/>
      <c r="F30" s="95">
        <f t="shared" ca="1" si="5"/>
        <v>16</v>
      </c>
      <c r="G30" s="144">
        <f t="shared" ca="1" si="3"/>
        <v>98.971682881994752</v>
      </c>
    </row>
    <row r="31" spans="1:22">
      <c r="C31" s="95">
        <v>4</v>
      </c>
      <c r="D31" s="210" t="str">
        <f t="shared" ca="1" si="4"/>
        <v>CONSORCIO ALFA</v>
      </c>
      <c r="E31" s="211"/>
      <c r="F31" s="95">
        <f t="shared" ca="1" si="5"/>
        <v>13</v>
      </c>
      <c r="G31" s="144">
        <f t="shared" ca="1" si="3"/>
        <v>98.931159190233984</v>
      </c>
    </row>
    <row r="32" spans="1:22">
      <c r="C32" s="95">
        <v>5</v>
      </c>
      <c r="D32" s="210" t="str">
        <f t="shared" ca="1" si="4"/>
        <v>CONSORCIO DISEÑO PISTA</v>
      </c>
      <c r="E32" s="211"/>
      <c r="F32" s="95">
        <f t="shared" ca="1" si="5"/>
        <v>4</v>
      </c>
      <c r="G32" s="144">
        <f t="shared" ca="1" si="3"/>
        <v>98.910614638067884</v>
      </c>
    </row>
    <row r="33" spans="3:7">
      <c r="C33" s="95">
        <v>6</v>
      </c>
      <c r="D33" s="210" t="str">
        <f t="shared" ca="1" si="4"/>
        <v>CONSORCIO SC AMAZON</v>
      </c>
      <c r="E33" s="211"/>
      <c r="F33" s="95">
        <f t="shared" ca="1" si="5"/>
        <v>11</v>
      </c>
      <c r="G33" s="144">
        <f t="shared" ca="1" si="3"/>
        <v>98.899494861340614</v>
      </c>
    </row>
    <row r="34" spans="3:7">
      <c r="C34" s="95">
        <v>7</v>
      </c>
      <c r="D34" s="210" t="str">
        <f t="shared" ca="1" si="4"/>
        <v>CONSORCIO MANTENIMIENTOS LETICIA 1240.</v>
      </c>
      <c r="E34" s="211"/>
      <c r="F34" s="95">
        <f t="shared" ca="1" si="5"/>
        <v>2</v>
      </c>
      <c r="G34" s="144">
        <f t="shared" ca="1" si="3"/>
        <v>98.546104246047634</v>
      </c>
    </row>
    <row r="35" spans="3:7">
      <c r="C35" s="95">
        <v>8</v>
      </c>
      <c r="D35" s="210" t="str">
        <f t="shared" ca="1" si="4"/>
        <v>CONSORCIO TIERRA LETICIA 1240</v>
      </c>
      <c r="E35" s="211"/>
      <c r="F35" s="95">
        <f t="shared" ca="1" si="5"/>
        <v>10</v>
      </c>
      <c r="G35" s="144">
        <f t="shared" ca="1" si="3"/>
        <v>98.518694180854396</v>
      </c>
    </row>
    <row r="36" spans="3:7">
      <c r="C36" s="95">
        <v>9</v>
      </c>
      <c r="D36" s="210" t="str">
        <f t="shared" ca="1" si="4"/>
        <v>CONSORCIO KART</v>
      </c>
      <c r="E36" s="211"/>
      <c r="F36" s="95">
        <f t="shared" ca="1" si="5"/>
        <v>3</v>
      </c>
      <c r="G36" s="144">
        <f t="shared" ca="1" si="3"/>
        <v>98.518296975483196</v>
      </c>
    </row>
    <row r="37" spans="3:7">
      <c r="C37" s="95">
        <v>10</v>
      </c>
      <c r="D37" s="210" t="str">
        <f t="shared" ca="1" si="4"/>
        <v>GRU S.A.S</v>
      </c>
      <c r="E37" s="211"/>
      <c r="F37" s="95">
        <f t="shared" ca="1" si="5"/>
        <v>14</v>
      </c>
      <c r="G37" s="144">
        <f t="shared" ca="1" si="3"/>
        <v>98.450368816648307</v>
      </c>
    </row>
    <row r="38" spans="3:7">
      <c r="C38" s="95">
        <v>11</v>
      </c>
      <c r="D38" s="210" t="str">
        <f t="shared" ca="1" si="4"/>
        <v>H.A.H CONSTRUCCIONES S.A.S</v>
      </c>
      <c r="E38" s="211"/>
      <c r="F38" s="95">
        <f t="shared" ca="1" si="5"/>
        <v>12</v>
      </c>
      <c r="G38" s="144">
        <f t="shared" ca="1" si="3"/>
        <v>98.409914037334659</v>
      </c>
    </row>
    <row r="39" spans="3:7">
      <c r="C39" s="95">
        <v>12</v>
      </c>
      <c r="D39" s="210" t="str">
        <f t="shared" ca="1" si="4"/>
        <v>CONSORCIO PLOMERANS</v>
      </c>
      <c r="E39" s="211"/>
      <c r="F39" s="95">
        <f t="shared" ca="1" si="5"/>
        <v>9</v>
      </c>
      <c r="G39" s="144">
        <f t="shared" ca="1" si="3"/>
        <v>98.09157233643748</v>
      </c>
    </row>
    <row r="40" spans="3:7">
      <c r="C40" s="95">
        <v>13</v>
      </c>
      <c r="D40" s="210" t="str">
        <f t="shared" ca="1" si="4"/>
        <v>Consorcio AERO MANTENIMIENTO</v>
      </c>
      <c r="E40" s="211"/>
      <c r="F40" s="95">
        <f t="shared" ca="1" si="5"/>
        <v>5</v>
      </c>
      <c r="G40" s="144">
        <f t="shared" ca="1" si="3"/>
        <v>97.706043486222285</v>
      </c>
    </row>
    <row r="41" spans="3:7">
      <c r="C41" s="95">
        <v>14</v>
      </c>
      <c r="D41" s="210" t="str">
        <f t="shared" ca="1" si="4"/>
        <v>CONSORCIO INFRAESTRUCTURA MEJORADA 2025</v>
      </c>
      <c r="E41" s="211"/>
      <c r="F41" s="95">
        <f t="shared" ca="1" si="5"/>
        <v>6</v>
      </c>
      <c r="G41" s="144">
        <f t="shared" ca="1" si="3"/>
        <v>97.41556018076696</v>
      </c>
    </row>
    <row r="42" spans="3:7">
      <c r="C42" s="95">
        <v>15</v>
      </c>
      <c r="D42" s="210" t="str">
        <f t="shared" ca="1" si="4"/>
        <v>UT LETICIA 40.</v>
      </c>
      <c r="E42" s="211"/>
      <c r="F42" s="95">
        <f t="shared" ca="1" si="5"/>
        <v>1</v>
      </c>
      <c r="G42" s="144">
        <f t="shared" ca="1" si="3"/>
        <v>40.5</v>
      </c>
    </row>
    <row r="43" spans="3:7">
      <c r="C43" s="95">
        <v>16</v>
      </c>
      <c r="D43" s="210" t="e">
        <f t="shared" ca="1" si="4"/>
        <v>#N/A</v>
      </c>
      <c r="E43" s="211"/>
      <c r="F43" s="95" t="e">
        <f t="shared" ca="1" si="5"/>
        <v>#N/A</v>
      </c>
      <c r="G43" s="144" t="e">
        <f t="shared" ca="1" si="3"/>
        <v>#N/A</v>
      </c>
    </row>
    <row r="44" spans="3:7">
      <c r="C44" s="95">
        <v>17</v>
      </c>
      <c r="D44" s="210" t="str">
        <f t="shared" ca="1" si="4"/>
        <v>CONSORCIO AEROCERIAS</v>
      </c>
      <c r="E44" s="211"/>
      <c r="F44" s="95">
        <f t="shared" ca="1" si="5"/>
        <v>7</v>
      </c>
      <c r="G44" s="144">
        <f t="shared" ca="1" si="3"/>
        <v>0</v>
      </c>
    </row>
    <row r="45" spans="3:7">
      <c r="C45" s="95">
        <v>18</v>
      </c>
      <c r="D45" s="210" t="e">
        <f t="shared" ca="1" si="4"/>
        <v>#N/A</v>
      </c>
      <c r="E45" s="211"/>
      <c r="F45" s="95" t="e">
        <f t="shared" ca="1" si="5"/>
        <v>#N/A</v>
      </c>
      <c r="G45" s="144" t="e">
        <f t="shared" ca="1" si="3"/>
        <v>#N/A</v>
      </c>
    </row>
  </sheetData>
  <autoFilter ref="A2:S19" xr:uid="{523A64C5-6BB1-49D9-81CE-9797ACDCA3B3}">
    <sortState xmlns:xlrd2="http://schemas.microsoft.com/office/spreadsheetml/2017/richdata2" ref="A3:S19">
      <sortCondition ref="A2:A19"/>
    </sortState>
  </autoFilter>
  <mergeCells count="23">
    <mergeCell ref="D35:E35"/>
    <mergeCell ref="D29:E29"/>
    <mergeCell ref="C22:F22"/>
    <mergeCell ref="D23:E23"/>
    <mergeCell ref="D24:E24"/>
    <mergeCell ref="C26:G26"/>
    <mergeCell ref="D28:E28"/>
    <mergeCell ref="D45:E45"/>
    <mergeCell ref="D42:E42"/>
    <mergeCell ref="D43:E43"/>
    <mergeCell ref="D44:E44"/>
    <mergeCell ref="D27:E27"/>
    <mergeCell ref="D36:E36"/>
    <mergeCell ref="D37:E37"/>
    <mergeCell ref="D38:E38"/>
    <mergeCell ref="D39:E39"/>
    <mergeCell ref="D40:E40"/>
    <mergeCell ref="D41:E41"/>
    <mergeCell ref="D30:E30"/>
    <mergeCell ref="D31:E31"/>
    <mergeCell ref="D32:E32"/>
    <mergeCell ref="D33:E33"/>
    <mergeCell ref="D34:E34"/>
  </mergeCells>
  <conditionalFormatting sqref="D3:P20 R3:S20">
    <cfRule type="containsText" dxfId="512" priority="2" operator="containsText" text="NO CUMPLE">
      <formula>NOT(ISERROR(SEARCH("NO CUMPLE",D3)))</formula>
    </cfRule>
  </conditionalFormatting>
  <conditionalFormatting sqref="M3:P20">
    <cfRule type="cellIs" dxfId="511" priority="1" operator="equal">
      <formula>0</formula>
    </cfRule>
  </conditionalFormatting>
  <conditionalFormatting sqref="V3:V20">
    <cfRule type="containsText" dxfId="510" priority="10" operator="containsText" text="NO CUMPLE">
      <formula>NOT(ISERROR(SEARCH("NO CUMPLE",V3)))</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2321F-7350-4A44-A616-4BB83C773AF8}">
  <dimension ref="A1:W94"/>
  <sheetViews>
    <sheetView view="pageBreakPreview" topLeftCell="A18" zoomScale="25" zoomScaleNormal="63" zoomScaleSheetLayoutView="25" workbookViewId="0">
      <selection activeCell="R30" sqref="R30"/>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1</v>
      </c>
      <c r="B4" s="233" t="str">
        <f>_xlfn.XLOOKUP(A4,RESUMEN!$A$3:$A$19,RESUMEN!$C$3:$C$19)</f>
        <v>UT LETICIA 40.</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244" t="s">
        <v>71</v>
      </c>
      <c r="J5" s="244"/>
      <c r="K5" s="244"/>
      <c r="L5" s="244"/>
      <c r="M5" s="244"/>
      <c r="N5" s="245"/>
      <c r="O5" s="11">
        <v>0.4</v>
      </c>
      <c r="P5" s="2" t="str">
        <f>+I7</f>
        <v>INTERBEST S.A.S.     NIT. 901.458.192-0</v>
      </c>
      <c r="R5" s="2">
        <v>0</v>
      </c>
    </row>
    <row r="6" spans="1:23" ht="20.25" customHeight="1">
      <c r="A6" s="232"/>
      <c r="B6" s="236"/>
      <c r="C6" s="237"/>
      <c r="D6" s="237"/>
      <c r="E6" s="238"/>
      <c r="F6" s="236"/>
      <c r="G6" s="237"/>
      <c r="H6" s="238"/>
      <c r="I6" s="244" t="s">
        <v>72</v>
      </c>
      <c r="J6" s="244"/>
      <c r="K6" s="244"/>
      <c r="L6" s="244"/>
      <c r="M6" s="244"/>
      <c r="N6" s="245"/>
      <c r="O6" s="11">
        <v>0.5</v>
      </c>
      <c r="P6" s="2" t="str">
        <f t="shared" ref="P6:P9" si="0">+I6</f>
        <v>INVERSIONES 3 PALOS S.A.S.     NIT. 901.301.657-9</v>
      </c>
    </row>
    <row r="7" spans="1:23" ht="35.450000000000003" customHeight="1">
      <c r="A7" s="232"/>
      <c r="B7" s="236"/>
      <c r="C7" s="237"/>
      <c r="D7" s="237"/>
      <c r="E7" s="238"/>
      <c r="F7" s="239"/>
      <c r="G7" s="240"/>
      <c r="H7" s="241"/>
      <c r="I7" s="245" t="s">
        <v>73</v>
      </c>
      <c r="J7" s="246"/>
      <c r="K7" s="246"/>
      <c r="L7" s="246"/>
      <c r="M7" s="246"/>
      <c r="N7" s="246"/>
      <c r="O7" s="11">
        <v>0.1</v>
      </c>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272">
        <f>+M11*H9</f>
        <v>2868.9610735384613</v>
      </c>
      <c r="B17" s="147" t="s">
        <v>100</v>
      </c>
      <c r="C17" s="64">
        <v>84</v>
      </c>
      <c r="D17" s="148" t="s">
        <v>101</v>
      </c>
      <c r="E17" s="148" t="s">
        <v>102</v>
      </c>
      <c r="F17" s="148" t="s">
        <v>64</v>
      </c>
      <c r="G17" s="64" t="s">
        <v>64</v>
      </c>
      <c r="H17" s="64" t="s">
        <v>64</v>
      </c>
      <c r="I17" s="148" t="s">
        <v>103</v>
      </c>
      <c r="J17" s="146" t="s">
        <v>104</v>
      </c>
      <c r="K17" s="145">
        <v>3910088227</v>
      </c>
      <c r="L17" s="66">
        <v>3910.08</v>
      </c>
      <c r="M17" s="65">
        <v>0.95</v>
      </c>
      <c r="N17" s="88">
        <f>L17*M17</f>
        <v>3714.5759999999996</v>
      </c>
      <c r="O17" s="89" t="str">
        <f>+IF(AND(H17="SI",G17="SI"),"CUMPLE","NO CUMPLE")</f>
        <v>CUMPLE</v>
      </c>
      <c r="P17" s="4"/>
      <c r="Q17" s="4"/>
      <c r="R17" s="135">
        <f>+N17/A17</f>
        <v>1.2947460438766396</v>
      </c>
      <c r="S17" s="4"/>
      <c r="T17" s="69"/>
      <c r="V17" s="39">
        <v>2021</v>
      </c>
      <c r="W17" s="40">
        <v>908526</v>
      </c>
    </row>
    <row r="18" spans="1:23" ht="133.9" customHeight="1">
      <c r="A18" s="272"/>
      <c r="B18" s="147" t="s">
        <v>105</v>
      </c>
      <c r="C18" s="64">
        <v>7</v>
      </c>
      <c r="D18" s="148" t="s">
        <v>101</v>
      </c>
      <c r="E18" s="148" t="s">
        <v>106</v>
      </c>
      <c r="F18" s="148" t="s">
        <v>64</v>
      </c>
      <c r="G18" s="64" t="s">
        <v>64</v>
      </c>
      <c r="H18" s="64" t="s">
        <v>64</v>
      </c>
      <c r="I18" s="148" t="s">
        <v>107</v>
      </c>
      <c r="J18" s="146" t="s">
        <v>108</v>
      </c>
      <c r="K18" s="145">
        <v>343025600</v>
      </c>
      <c r="L18" s="66">
        <v>690.32</v>
      </c>
      <c r="M18" s="65">
        <v>1</v>
      </c>
      <c r="N18" s="88">
        <f>L18*M18</f>
        <v>690.32</v>
      </c>
      <c r="O18" s="89" t="str">
        <f>+IF(AND(H18="SI",G18="SI"),"CUMPLE","NO CUMPLE")</f>
        <v>CUMPLE</v>
      </c>
      <c r="P18" s="4"/>
      <c r="Q18" s="4"/>
      <c r="R18" s="135">
        <f>+N18/A17</f>
        <v>0.24061671884191413</v>
      </c>
      <c r="S18" s="4"/>
      <c r="T18" s="69"/>
      <c r="V18" s="96"/>
      <c r="W18" s="97"/>
    </row>
    <row r="19" spans="1:23" ht="157.69999999999999" customHeight="1">
      <c r="A19" s="272"/>
      <c r="B19" s="147" t="s">
        <v>109</v>
      </c>
      <c r="C19" s="64">
        <v>53</v>
      </c>
      <c r="D19" s="148" t="s">
        <v>101</v>
      </c>
      <c r="E19" s="148" t="s">
        <v>110</v>
      </c>
      <c r="F19" s="148" t="s">
        <v>64</v>
      </c>
      <c r="G19" s="64" t="s">
        <v>64</v>
      </c>
      <c r="H19" s="64" t="s">
        <v>64</v>
      </c>
      <c r="I19" s="148" t="s">
        <v>107</v>
      </c>
      <c r="J19" s="146" t="s">
        <v>111</v>
      </c>
      <c r="K19" s="145">
        <v>1040819466</v>
      </c>
      <c r="L19" s="66">
        <v>2399.86</v>
      </c>
      <c r="M19" s="65">
        <v>0.98</v>
      </c>
      <c r="N19" s="88">
        <f>L19*M19</f>
        <v>2351.8627999999999</v>
      </c>
      <c r="O19" s="89" t="str">
        <f t="shared" ref="O19:O22" si="1">+IF(AND(H19="SI",G19="SI"),"CUMPLE","NO CUMPLE")</f>
        <v>CUMPLE</v>
      </c>
      <c r="P19" s="4"/>
      <c r="Q19" s="4"/>
      <c r="R19" s="37"/>
      <c r="S19" s="4"/>
      <c r="T19" s="69"/>
      <c r="V19" s="38">
        <v>2020</v>
      </c>
      <c r="W19" s="41">
        <v>877803</v>
      </c>
    </row>
    <row r="20" spans="1:23" ht="42.95" customHeight="1" thickBot="1">
      <c r="A20" s="272"/>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37"/>
      <c r="S20" s="67"/>
      <c r="T20" s="69"/>
      <c r="V20" s="38">
        <v>2019</v>
      </c>
      <c r="W20" s="41">
        <v>828116</v>
      </c>
    </row>
    <row r="21" spans="1:23" ht="42.95" customHeight="1" thickBot="1">
      <c r="A21" s="272"/>
      <c r="B21" s="147" t="s">
        <v>113</v>
      </c>
      <c r="C21" s="64"/>
      <c r="D21" s="64"/>
      <c r="E21" s="64"/>
      <c r="F21" s="64"/>
      <c r="G21" s="64"/>
      <c r="H21" s="64"/>
      <c r="I21" s="64"/>
      <c r="J21" s="146"/>
      <c r="K21" s="64"/>
      <c r="L21" s="64"/>
      <c r="M21" s="65"/>
      <c r="N21" s="88">
        <f t="shared" si="2"/>
        <v>0</v>
      </c>
      <c r="O21" s="89" t="str">
        <f t="shared" si="1"/>
        <v>NO CUMPLE</v>
      </c>
      <c r="P21" s="4"/>
      <c r="Q21" s="4"/>
      <c r="R21" s="37"/>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2"/>
        <v>0</v>
      </c>
      <c r="O22" s="89" t="str">
        <f t="shared" si="1"/>
        <v>NO CUMPLE</v>
      </c>
      <c r="P22" s="4"/>
      <c r="Q22" s="4"/>
      <c r="R22" s="37"/>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6756.7587999999996</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T25" s="2">
        <f>1949500000+6451200000</f>
        <v>8400700000</v>
      </c>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17432.856813465529</v>
      </c>
      <c r="T26" s="26">
        <f>+T25/W25</f>
        <v>19369.840903850589</v>
      </c>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c r="A28" s="276">
        <f>A17*50%</f>
        <v>1434.4805367692306</v>
      </c>
      <c r="B28" s="147" t="s">
        <v>100</v>
      </c>
      <c r="C28" s="64">
        <v>7</v>
      </c>
      <c r="D28" s="148" t="s">
        <v>101</v>
      </c>
      <c r="E28" s="148" t="s">
        <v>106</v>
      </c>
      <c r="F28" s="148" t="s">
        <v>64</v>
      </c>
      <c r="G28" s="64" t="s">
        <v>64</v>
      </c>
      <c r="H28" s="64" t="s">
        <v>64</v>
      </c>
      <c r="I28" s="148" t="s">
        <v>107</v>
      </c>
      <c r="J28" s="146" t="s">
        <v>108</v>
      </c>
      <c r="K28" s="145">
        <v>343025600</v>
      </c>
      <c r="L28" s="66">
        <v>690.32</v>
      </c>
      <c r="M28" s="65">
        <v>1</v>
      </c>
      <c r="N28" s="88">
        <f>L28*M28</f>
        <v>690.32</v>
      </c>
      <c r="O28" s="89" t="str">
        <f>+IF(AND(H28="SI",G28="SI"),"CUMPLE","NO CUMPLE")</f>
        <v>CUMPLE</v>
      </c>
      <c r="P28" s="4"/>
      <c r="Q28" s="4"/>
      <c r="R28" s="36"/>
      <c r="S28" s="36"/>
      <c r="T28" s="27"/>
    </row>
    <row r="29" spans="1:23" ht="143.44999999999999" customHeight="1">
      <c r="A29" s="277"/>
      <c r="B29" s="147" t="s">
        <v>105</v>
      </c>
      <c r="C29" s="64">
        <v>53</v>
      </c>
      <c r="D29" s="148" t="s">
        <v>101</v>
      </c>
      <c r="E29" s="148" t="s">
        <v>110</v>
      </c>
      <c r="F29" s="148" t="s">
        <v>64</v>
      </c>
      <c r="G29" s="64" t="s">
        <v>64</v>
      </c>
      <c r="H29" s="64" t="s">
        <v>64</v>
      </c>
      <c r="I29" s="148" t="s">
        <v>107</v>
      </c>
      <c r="J29" s="146" t="s">
        <v>111</v>
      </c>
      <c r="K29" s="145">
        <v>1040819466</v>
      </c>
      <c r="L29" s="66">
        <v>2399.86</v>
      </c>
      <c r="M29" s="65">
        <v>0.98</v>
      </c>
      <c r="N29" s="88">
        <f>L29*M29</f>
        <v>2351.8627999999999</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2351.8627999999999</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11" t="s">
        <v>348</v>
      </c>
      <c r="B61" s="312"/>
      <c r="C61" s="312"/>
      <c r="D61" s="312"/>
      <c r="E61" s="312"/>
      <c r="F61" s="312"/>
      <c r="G61" s="312"/>
      <c r="H61" s="312"/>
      <c r="I61" s="312"/>
      <c r="J61" s="312"/>
      <c r="K61" s="312"/>
      <c r="L61" s="312"/>
      <c r="M61" s="312"/>
      <c r="N61" s="312"/>
      <c r="O61" s="313"/>
      <c r="P61" s="9"/>
      <c r="Q61" s="8"/>
      <c r="V61" s="38">
        <v>1993</v>
      </c>
      <c r="W61" s="41">
        <v>81510</v>
      </c>
    </row>
    <row r="62" spans="1:23" ht="30.95" customHeight="1" thickBo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thickBot="1">
      <c r="A63" s="317"/>
      <c r="B63" s="318"/>
      <c r="C63" s="318"/>
      <c r="D63" s="318"/>
      <c r="E63" s="318"/>
      <c r="F63" s="318"/>
      <c r="G63" s="318"/>
      <c r="H63" s="318"/>
      <c r="I63" s="318"/>
      <c r="J63" s="318"/>
      <c r="K63" s="318"/>
      <c r="L63" s="318"/>
      <c r="M63" s="318"/>
      <c r="N63" s="318"/>
      <c r="O63" s="319"/>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509" priority="32" operator="equal">
      <formula>"NO CUMPLE"</formula>
    </cfRule>
    <cfRule type="cellIs" dxfId="508" priority="33" operator="equal">
      <formula>"CUMPLE"</formula>
    </cfRule>
    <cfRule type="cellIs" dxfId="507" priority="34" operator="equal">
      <formula>100</formula>
    </cfRule>
  </conditionalFormatting>
  <conditionalFormatting sqref="I60:L60">
    <cfRule type="cellIs" dxfId="506" priority="47" operator="equal">
      <formula>"NO CUMPLE"</formula>
    </cfRule>
    <cfRule type="cellIs" dxfId="505" priority="49" operator="equal">
      <formula>"CUMPLE"</formula>
    </cfRule>
  </conditionalFormatting>
  <conditionalFormatting sqref="I60:O60">
    <cfRule type="cellIs" dxfId="504" priority="3" operator="equal">
      <formula>100</formula>
    </cfRule>
  </conditionalFormatting>
  <conditionalFormatting sqref="M60:O60">
    <cfRule type="cellIs" dxfId="503" priority="2" operator="lessThan">
      <formula>100</formula>
    </cfRule>
  </conditionalFormatting>
  <conditionalFormatting sqref="O17:O22">
    <cfRule type="containsText" dxfId="502" priority="1" operator="containsText" text="NO CUMPLE">
      <formula>NOT(ISERROR(SEARCH("NO CUMPLE",O17)))</formula>
    </cfRule>
  </conditionalFormatting>
  <conditionalFormatting sqref="O23">
    <cfRule type="cellIs" dxfId="501" priority="44" operator="equal">
      <formula>"NO CUMPLE"</formula>
    </cfRule>
    <cfRule type="cellIs" dxfId="500" priority="45" operator="equal">
      <formula>"CUMPLE"</formula>
    </cfRule>
    <cfRule type="cellIs" dxfId="499" priority="46" operator="equal">
      <formula>100</formula>
    </cfRule>
  </conditionalFormatting>
  <conditionalFormatting sqref="O36:O38">
    <cfRule type="cellIs" dxfId="498" priority="41" operator="equal">
      <formula>"NO CUMPLE"</formula>
    </cfRule>
    <cfRule type="cellIs" dxfId="497" priority="42" operator="equal">
      <formula>"CUMPLE"</formula>
    </cfRule>
    <cfRule type="cellIs" dxfId="496" priority="43" operator="equal">
      <formula>100</formula>
    </cfRule>
  </conditionalFormatting>
  <conditionalFormatting sqref="O46">
    <cfRule type="cellIs" dxfId="495" priority="9" operator="equal">
      <formula>"NO CUMPLE"</formula>
    </cfRule>
    <cfRule type="cellIs" dxfId="494" priority="10" operator="equal">
      <formula>"CUMPLE"</formula>
    </cfRule>
    <cfRule type="cellIs" dxfId="493" priority="11" operator="equal">
      <formula>100</formula>
    </cfRule>
  </conditionalFormatting>
  <conditionalFormatting sqref="O31:P34">
    <cfRule type="cellIs" dxfId="492" priority="4" operator="equal">
      <formula>"NO CUMPLE"</formula>
    </cfRule>
    <cfRule type="cellIs" dxfId="491" priority="5" operator="equal">
      <formula>"CUMPLE"</formula>
    </cfRule>
    <cfRule type="cellIs" dxfId="490" priority="6" operator="equal">
      <formula>100</formula>
    </cfRule>
  </conditionalFormatting>
  <conditionalFormatting sqref="P24">
    <cfRule type="cellIs" dxfId="489" priority="38" operator="equal">
      <formula>"NO CUMPLE"</formula>
    </cfRule>
    <cfRule type="cellIs" dxfId="488" priority="39" operator="equal">
      <formula>"CUMPLE"</formula>
    </cfRule>
    <cfRule type="cellIs" dxfId="487" priority="40" operator="equal">
      <formula>100</formula>
    </cfRule>
  </conditionalFormatting>
  <conditionalFormatting sqref="P36:P46">
    <cfRule type="cellIs" dxfId="486" priority="14" operator="equal">
      <formula>"NO CUMPLE"</formula>
    </cfRule>
    <cfRule type="cellIs" dxfId="485" priority="15" operator="equal">
      <formula>"CUMPLE"</formula>
    </cfRule>
    <cfRule type="cellIs" dxfId="484" priority="16" operator="equal">
      <formula>100</formula>
    </cfRule>
  </conditionalFormatting>
  <conditionalFormatting sqref="R60:T60">
    <cfRule type="cellIs" dxfId="483" priority="12" operator="lessThan">
      <formula>100</formula>
    </cfRule>
    <cfRule type="cellIs" dxfId="482" priority="13" operator="equal">
      <formula>100</formula>
    </cfRule>
  </conditionalFormatting>
  <dataValidations disablePrompts="1" count="7">
    <dataValidation type="list" allowBlank="1" showInputMessage="1" showErrorMessage="1" sqref="M37:O37" xr:uid="{4C5A34DC-A19D-47F1-8E03-1FA794CD8C9B}">
      <formula1>$U$1:$U$2</formula1>
    </dataValidation>
    <dataValidation type="list" allowBlank="1" showInputMessage="1" showErrorMessage="1" sqref="G22:H22" xr:uid="{8C0A9F48-7E5A-4BA4-A3CD-8E3449CBA182}">
      <formula1>$Q$2:$Q$3</formula1>
    </dataValidation>
    <dataValidation type="list" allowBlank="1" showInputMessage="1" showErrorMessage="1" sqref="O36:O38" xr:uid="{BBC05640-0118-4E86-AEEC-FED1A2F1E8C3}">
      <formula1>$R$4:$R$5</formula1>
    </dataValidation>
    <dataValidation type="list" allowBlank="1" showInputMessage="1" showErrorMessage="1" error="SELECCIONE EL PRESUPUESTO A EVALUAR, EN LA LISTA DESPEGABLE._x000a_" sqref="I11:I12 J12:K12" xr:uid="{286E2743-28A5-4F8E-A59E-FE4231E8498A}">
      <formula1>$A$75:$A$82</formula1>
    </dataValidation>
    <dataValidation type="list" allowBlank="1" showInputMessage="1" showErrorMessage="1" sqref="A3" xr:uid="{8690733D-7291-4472-91F7-B5550D3C6C76}">
      <formula1>$C$75:$C$82</formula1>
    </dataValidation>
    <dataValidation type="list" allowBlank="1" showInputMessage="1" showErrorMessage="1" sqref="V1:V2" xr:uid="{DDFD1BA8-D5BA-4DBB-BCE8-0B90C44DE5EC}">
      <formula1>$V$1:$V$2</formula1>
    </dataValidation>
    <dataValidation type="list" allowBlank="1" showInputMessage="1" showErrorMessage="1" sqref="J60:L60 I59:I60 O46" xr:uid="{D72F85DA-14A4-44AD-8A27-993532CC6D3E}">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A9B5B-53A0-460B-8DE0-01D66DCA32BF}">
  <sheetPr>
    <tabColor rgb="FFFF0000"/>
  </sheetPr>
  <dimension ref="A1:W94"/>
  <sheetViews>
    <sheetView view="pageBreakPreview" topLeftCell="A58" zoomScale="55" zoomScaleNormal="63" zoomScaleSheetLayoutView="55" workbookViewId="0">
      <selection activeCell="A64" sqref="A64"/>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49.140625"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2</v>
      </c>
      <c r="B4" s="333" t="str">
        <f>_xlfn.XLOOKUP(A4,RESUMEN!$A$3:$A$19,RESUMEN!$C$3:$C$19)</f>
        <v>CONSORCIO MANTENIMIENTOS LETICIA 1240.</v>
      </c>
      <c r="C4" s="334"/>
      <c r="D4" s="334"/>
      <c r="E4" s="335"/>
      <c r="F4" s="233" t="s">
        <v>69</v>
      </c>
      <c r="G4" s="234"/>
      <c r="H4" s="235"/>
      <c r="I4" s="242" t="s">
        <v>70</v>
      </c>
      <c r="J4" s="243"/>
      <c r="K4" s="243"/>
      <c r="L4" s="243"/>
      <c r="M4" s="243"/>
      <c r="N4" s="243"/>
      <c r="O4" s="11"/>
      <c r="P4" s="2" t="str">
        <f>+I4</f>
        <v>APORTANTE DE LA EXPERIENCIA - GENERAL</v>
      </c>
      <c r="R4" s="2">
        <v>10</v>
      </c>
    </row>
    <row r="5" spans="1:23" ht="20.25" customHeight="1">
      <c r="A5" s="232"/>
      <c r="B5" s="336"/>
      <c r="C5" s="337"/>
      <c r="D5" s="337"/>
      <c r="E5" s="338"/>
      <c r="F5" s="236"/>
      <c r="G5" s="237"/>
      <c r="H5" s="238"/>
      <c r="I5" s="342" t="s">
        <v>141</v>
      </c>
      <c r="J5" s="342"/>
      <c r="K5" s="342"/>
      <c r="L5" s="342"/>
      <c r="M5" s="342"/>
      <c r="N5" s="343"/>
      <c r="O5" s="11">
        <v>0.5</v>
      </c>
      <c r="P5" s="2">
        <f>+I7</f>
        <v>0</v>
      </c>
      <c r="R5" s="2">
        <v>0</v>
      </c>
    </row>
    <row r="6" spans="1:23" ht="20.25" customHeight="1">
      <c r="A6" s="232"/>
      <c r="B6" s="336"/>
      <c r="C6" s="337"/>
      <c r="D6" s="337"/>
      <c r="E6" s="338"/>
      <c r="F6" s="236"/>
      <c r="G6" s="237"/>
      <c r="H6" s="238"/>
      <c r="I6" s="244" t="s">
        <v>142</v>
      </c>
      <c r="J6" s="244"/>
      <c r="K6" s="244"/>
      <c r="L6" s="244"/>
      <c r="M6" s="244"/>
      <c r="N6" s="245"/>
      <c r="O6" s="11">
        <v>0.5</v>
      </c>
      <c r="P6" s="2" t="str">
        <f t="shared" ref="P6:P9" si="0">+I6</f>
        <v>CONCREARK - NIT: 901.552.523-7</v>
      </c>
    </row>
    <row r="7" spans="1:23" ht="35.450000000000003" customHeight="1">
      <c r="A7" s="232"/>
      <c r="B7" s="336"/>
      <c r="C7" s="337"/>
      <c r="D7" s="337"/>
      <c r="E7" s="338"/>
      <c r="F7" s="239"/>
      <c r="G7" s="240"/>
      <c r="H7" s="241"/>
      <c r="I7" s="245"/>
      <c r="J7" s="246"/>
      <c r="K7" s="246"/>
      <c r="L7" s="246"/>
      <c r="M7" s="246"/>
      <c r="N7" s="246"/>
      <c r="O7" s="11"/>
      <c r="P7" s="2" t="e">
        <f>+#REF!</f>
        <v>#REF!</v>
      </c>
    </row>
    <row r="8" spans="1:23" ht="20.25" customHeight="1">
      <c r="A8" s="232"/>
      <c r="B8" s="336"/>
      <c r="C8" s="337"/>
      <c r="D8" s="337"/>
      <c r="E8" s="338"/>
      <c r="F8" s="250" t="s">
        <v>74</v>
      </c>
      <c r="G8" s="251"/>
      <c r="H8" s="93">
        <v>0.75</v>
      </c>
      <c r="I8" s="244"/>
      <c r="J8" s="244"/>
      <c r="K8" s="244"/>
      <c r="L8" s="244"/>
      <c r="M8" s="244"/>
      <c r="N8" s="245"/>
      <c r="O8" s="11"/>
      <c r="P8" s="2">
        <f t="shared" si="0"/>
        <v>0</v>
      </c>
    </row>
    <row r="9" spans="1:23" ht="20.25" customHeight="1">
      <c r="A9" s="232"/>
      <c r="B9" s="336"/>
      <c r="C9" s="337"/>
      <c r="D9" s="337"/>
      <c r="E9" s="338"/>
      <c r="F9" s="250" t="s">
        <v>75</v>
      </c>
      <c r="G9" s="251"/>
      <c r="H9" s="93">
        <v>1.2</v>
      </c>
      <c r="I9" s="244"/>
      <c r="J9" s="244"/>
      <c r="K9" s="244"/>
      <c r="L9" s="244"/>
      <c r="M9" s="244"/>
      <c r="N9" s="245"/>
      <c r="O9" s="11"/>
      <c r="P9" s="2">
        <f t="shared" si="0"/>
        <v>0</v>
      </c>
    </row>
    <row r="10" spans="1:23" ht="21.2" customHeight="1">
      <c r="A10" s="232"/>
      <c r="B10" s="339"/>
      <c r="C10" s="340"/>
      <c r="D10" s="340"/>
      <c r="E10" s="3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thickTop="1">
      <c r="A17" s="344">
        <f>+M11*H8</f>
        <v>1793.1006709615385</v>
      </c>
      <c r="B17" s="147" t="s">
        <v>100</v>
      </c>
      <c r="C17" s="148" t="s">
        <v>143</v>
      </c>
      <c r="D17" s="148" t="s">
        <v>144</v>
      </c>
      <c r="E17" s="148" t="s">
        <v>145</v>
      </c>
      <c r="F17" s="148" t="s">
        <v>64</v>
      </c>
      <c r="G17" s="64" t="s">
        <v>64</v>
      </c>
      <c r="H17" s="64" t="s">
        <v>64</v>
      </c>
      <c r="I17" s="148" t="s">
        <v>146</v>
      </c>
      <c r="J17" s="146" t="s">
        <v>147</v>
      </c>
      <c r="K17" s="145">
        <f>L17*W35</f>
        <v>9580464660</v>
      </c>
      <c r="L17" s="66">
        <v>17887.349999999999</v>
      </c>
      <c r="M17" s="65">
        <v>0.4</v>
      </c>
      <c r="N17" s="88">
        <f>L17*M17</f>
        <v>7154.94</v>
      </c>
      <c r="O17" s="89" t="str">
        <f>+IF(AND(H17="SI",G17="SI"),"CUMPLE","NO CUMPLE")</f>
        <v>CUMPLE</v>
      </c>
      <c r="P17" s="4"/>
      <c r="Q17" s="4"/>
      <c r="R17" s="135">
        <f>N17/A17</f>
        <v>3.9902611804630075</v>
      </c>
      <c r="S17" s="4"/>
      <c r="T17" s="69"/>
      <c r="V17" s="39">
        <v>2021</v>
      </c>
      <c r="W17" s="40">
        <v>908526</v>
      </c>
    </row>
    <row r="18" spans="1:23" ht="133.9" customHeight="1" thickBot="1">
      <c r="A18" s="344"/>
      <c r="B18" s="345" t="s">
        <v>105</v>
      </c>
      <c r="C18" s="148" t="s">
        <v>148</v>
      </c>
      <c r="D18" s="347" t="s">
        <v>149</v>
      </c>
      <c r="E18" s="327" t="s">
        <v>150</v>
      </c>
      <c r="F18" s="347" t="s">
        <v>64</v>
      </c>
      <c r="G18" s="331" t="s">
        <v>64</v>
      </c>
      <c r="H18" s="331" t="s">
        <v>64</v>
      </c>
      <c r="I18" s="148" t="s">
        <v>151</v>
      </c>
      <c r="J18" s="183" t="s">
        <v>152</v>
      </c>
      <c r="K18" s="179">
        <f>L18*W23</f>
        <v>26050896525.500004</v>
      </c>
      <c r="L18" s="185">
        <v>40429.730000000003</v>
      </c>
      <c r="M18" s="181">
        <v>0.8</v>
      </c>
      <c r="N18" s="325">
        <f>L18*M18</f>
        <v>32343.784000000003</v>
      </c>
      <c r="O18" s="329" t="str">
        <f>+IF(AND(H18="SI",G18="SI"),"CUMPLE","NO CUMPLE")</f>
        <v>CUMPLE</v>
      </c>
      <c r="P18" s="4"/>
      <c r="Q18" s="4"/>
      <c r="R18" s="135">
        <f>+(N18+N19)/A17</f>
        <v>18.037907477138951</v>
      </c>
      <c r="S18" s="4"/>
      <c r="T18" s="69"/>
      <c r="V18" s="96"/>
      <c r="W18" s="97"/>
    </row>
    <row r="19" spans="1:23" ht="157.69999999999999" customHeight="1" thickBot="1">
      <c r="A19" s="344"/>
      <c r="B19" s="346"/>
      <c r="C19" s="148" t="s">
        <v>153</v>
      </c>
      <c r="D19" s="328"/>
      <c r="E19" s="328"/>
      <c r="F19" s="328"/>
      <c r="G19" s="332"/>
      <c r="H19" s="332"/>
      <c r="I19" s="148" t="s">
        <v>154</v>
      </c>
      <c r="J19" s="184"/>
      <c r="K19" s="180"/>
      <c r="L19" s="186"/>
      <c r="M19" s="182"/>
      <c r="N19" s="326"/>
      <c r="O19" s="330"/>
      <c r="P19" s="4"/>
      <c r="Q19" s="4"/>
      <c r="R19" s="37"/>
      <c r="S19" s="4"/>
      <c r="T19" s="69"/>
      <c r="V19" s="38">
        <v>2020</v>
      </c>
      <c r="W19" s="41">
        <v>877803</v>
      </c>
    </row>
    <row r="20" spans="1:23" ht="42.95" customHeight="1" thickBot="1">
      <c r="A20" s="344"/>
      <c r="B20" s="147" t="s">
        <v>112</v>
      </c>
      <c r="C20" s="64"/>
      <c r="D20" s="148"/>
      <c r="E20" s="148"/>
      <c r="F20" s="64"/>
      <c r="G20" s="64"/>
      <c r="H20" s="64"/>
      <c r="I20" s="148"/>
      <c r="J20" s="146"/>
      <c r="K20" s="145"/>
      <c r="L20" s="66"/>
      <c r="M20" s="65"/>
      <c r="N20" s="88"/>
      <c r="O20" s="89"/>
      <c r="P20" s="4"/>
      <c r="Q20" s="4"/>
      <c r="R20" s="135">
        <f>N20/A17</f>
        <v>0</v>
      </c>
      <c r="S20" s="67"/>
      <c r="T20" s="69"/>
      <c r="V20" s="38">
        <v>2019</v>
      </c>
      <c r="W20" s="41">
        <v>828116</v>
      </c>
    </row>
    <row r="21" spans="1:23" ht="42.95" customHeight="1">
      <c r="A21" s="344"/>
      <c r="B21" s="147" t="s">
        <v>113</v>
      </c>
      <c r="C21" s="64"/>
      <c r="D21" s="64"/>
      <c r="E21" s="64"/>
      <c r="F21" s="64"/>
      <c r="G21" s="64"/>
      <c r="H21" s="64"/>
      <c r="I21" s="64"/>
      <c r="J21" s="146"/>
      <c r="K21" s="64"/>
      <c r="L21" s="64"/>
      <c r="M21" s="65"/>
      <c r="N21" s="88"/>
      <c r="O21" s="89"/>
      <c r="P21" s="4"/>
      <c r="Q21" s="4"/>
      <c r="R21" s="37"/>
      <c r="S21" s="67"/>
      <c r="T21" s="27"/>
      <c r="V21" s="38">
        <v>2018</v>
      </c>
      <c r="W21" s="41">
        <v>781242</v>
      </c>
    </row>
    <row r="22" spans="1:23" ht="42.95" customHeight="1">
      <c r="A22" s="344"/>
      <c r="B22" s="147" t="s">
        <v>114</v>
      </c>
      <c r="C22" s="44"/>
      <c r="D22" s="45"/>
      <c r="E22" s="45"/>
      <c r="F22" s="64"/>
      <c r="G22" s="68"/>
      <c r="H22" s="68"/>
      <c r="I22" s="64"/>
      <c r="J22" s="146"/>
      <c r="K22" s="46"/>
      <c r="L22" s="47"/>
      <c r="M22" s="35"/>
      <c r="N22" s="88"/>
      <c r="O22" s="89"/>
      <c r="P22" s="4"/>
      <c r="Q22" s="4"/>
      <c r="R22" s="37"/>
      <c r="S22" s="4"/>
      <c r="T22" s="27"/>
      <c r="V22" s="38">
        <v>2017</v>
      </c>
      <c r="W22" s="41">
        <v>737717</v>
      </c>
    </row>
    <row r="23" spans="1:23" ht="27.95" customHeight="1">
      <c r="A23" s="273"/>
      <c r="B23" s="273"/>
      <c r="C23" s="273"/>
      <c r="D23" s="273"/>
      <c r="E23" s="273"/>
      <c r="F23" s="273"/>
      <c r="G23" s="273"/>
      <c r="H23" s="273"/>
      <c r="I23" s="273"/>
      <c r="J23" s="273"/>
      <c r="K23" s="273"/>
      <c r="L23" s="273"/>
      <c r="M23" s="274"/>
      <c r="N23" s="34">
        <f>SUM(N17:N22)</f>
        <v>39498.724000000002</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V25" s="2">
        <v>2007</v>
      </c>
      <c r="W25" s="2">
        <v>433700</v>
      </c>
    </row>
    <row r="26" spans="1:23" ht="211.9" customHeight="1">
      <c r="A26" s="268" t="s">
        <v>338</v>
      </c>
      <c r="B26" s="269"/>
      <c r="C26" s="269"/>
      <c r="D26" s="269"/>
      <c r="E26" s="269"/>
      <c r="F26" s="269"/>
      <c r="G26" s="269"/>
      <c r="H26" s="269"/>
      <c r="I26" s="269"/>
      <c r="J26" s="269"/>
      <c r="K26" s="269"/>
      <c r="L26" s="269"/>
      <c r="M26" s="269"/>
      <c r="N26" s="269"/>
      <c r="O26" s="270"/>
      <c r="T26" s="26"/>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c r="S27" s="36"/>
      <c r="T27" s="27"/>
      <c r="V27" s="2">
        <v>2022</v>
      </c>
      <c r="W27" s="2">
        <v>1000000</v>
      </c>
    </row>
    <row r="28" spans="1:23" ht="145.5" customHeight="1" thickBot="1">
      <c r="A28" s="276">
        <f>A17*50%</f>
        <v>896.55033548076926</v>
      </c>
      <c r="B28" s="147" t="s">
        <v>100</v>
      </c>
      <c r="C28" s="148" t="s">
        <v>143</v>
      </c>
      <c r="D28" s="148" t="s">
        <v>144</v>
      </c>
      <c r="E28" s="148" t="s">
        <v>145</v>
      </c>
      <c r="F28" s="148" t="s">
        <v>64</v>
      </c>
      <c r="G28" s="64" t="s">
        <v>64</v>
      </c>
      <c r="H28" s="64" t="s">
        <v>64</v>
      </c>
      <c r="I28" s="148" t="s">
        <v>146</v>
      </c>
      <c r="J28" s="146" t="s">
        <v>147</v>
      </c>
      <c r="K28" s="145">
        <f t="shared" ref="K28" si="1">L28*W46</f>
        <v>8888224215</v>
      </c>
      <c r="L28" s="66">
        <v>17887.349999999999</v>
      </c>
      <c r="M28" s="65">
        <v>0.4</v>
      </c>
      <c r="N28" s="178">
        <f>L28*M28</f>
        <v>7154.94</v>
      </c>
      <c r="O28" s="89" t="str">
        <f>+IF(AND(H28="SI",G28="SI"),"CUMPLE","NO CUMPLE")</f>
        <v>CUMPLE</v>
      </c>
      <c r="P28" s="4"/>
      <c r="Q28" s="4"/>
      <c r="R28" s="36"/>
      <c r="S28" s="36"/>
      <c r="T28" s="27"/>
    </row>
    <row r="29" spans="1:23" ht="143.44999999999999" customHeight="1" thickTop="1" thickBot="1">
      <c r="A29" s="277"/>
      <c r="B29" s="147" t="s">
        <v>105</v>
      </c>
      <c r="C29" s="148" t="s">
        <v>346</v>
      </c>
      <c r="D29" s="148" t="s">
        <v>144</v>
      </c>
      <c r="E29" s="148" t="s">
        <v>150</v>
      </c>
      <c r="F29" s="148" t="s">
        <v>64</v>
      </c>
      <c r="G29" s="64" t="s">
        <v>64</v>
      </c>
      <c r="H29" s="64" t="s">
        <v>64</v>
      </c>
      <c r="I29" s="148" t="s">
        <v>347</v>
      </c>
      <c r="J29" s="183" t="s">
        <v>152</v>
      </c>
      <c r="K29" s="179">
        <f>L29*W34</f>
        <v>22911527991</v>
      </c>
      <c r="L29" s="185">
        <v>40429.730000000003</v>
      </c>
      <c r="M29" s="181">
        <v>0.8</v>
      </c>
      <c r="N29" s="178">
        <f>L29*M29</f>
        <v>32343.784000000003</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c r="A31" s="264" t="s">
        <v>119</v>
      </c>
      <c r="B31" s="265"/>
      <c r="C31" s="265"/>
      <c r="D31" s="265"/>
      <c r="E31" s="265"/>
      <c r="F31" s="265"/>
      <c r="G31" s="265"/>
      <c r="H31" s="265"/>
      <c r="I31" s="265"/>
      <c r="J31" s="265"/>
      <c r="K31" s="265"/>
      <c r="L31" s="265"/>
      <c r="M31" s="275"/>
      <c r="N31" s="34">
        <f>SUM(N29)</f>
        <v>32343.784000000003</v>
      </c>
      <c r="O31" s="54" t="str">
        <f>+IF(OR(O29="CUMPLE",O28="CUMPLE")*AND(N31&gt;=A28),"CUMPLE","NO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48" t="s">
        <v>267</v>
      </c>
      <c r="B61" s="349"/>
      <c r="C61" s="349"/>
      <c r="D61" s="349"/>
      <c r="E61" s="349"/>
      <c r="F61" s="349"/>
      <c r="G61" s="349"/>
      <c r="H61" s="349"/>
      <c r="I61" s="349"/>
      <c r="J61" s="349"/>
      <c r="K61" s="349"/>
      <c r="L61" s="349"/>
      <c r="M61" s="349"/>
      <c r="N61" s="349"/>
      <c r="O61" s="350"/>
      <c r="P61" s="9"/>
      <c r="Q61" s="8"/>
      <c r="V61" s="38">
        <v>1993</v>
      </c>
      <c r="W61" s="41">
        <v>81510</v>
      </c>
    </row>
    <row r="62" spans="1:23" ht="30.95" customHeight="1">
      <c r="A62" s="351"/>
      <c r="B62" s="352"/>
      <c r="C62" s="352"/>
      <c r="D62" s="352"/>
      <c r="E62" s="352"/>
      <c r="F62" s="352"/>
      <c r="G62" s="352"/>
      <c r="H62" s="352"/>
      <c r="I62" s="352"/>
      <c r="J62" s="352"/>
      <c r="K62" s="352"/>
      <c r="L62" s="352"/>
      <c r="M62" s="352"/>
      <c r="N62" s="352"/>
      <c r="O62" s="353"/>
      <c r="P62" s="9"/>
      <c r="Q62" s="8"/>
      <c r="V62" s="38">
        <v>1992</v>
      </c>
      <c r="W62" s="41">
        <v>65190</v>
      </c>
    </row>
    <row r="63" spans="1:23" ht="62.45" customHeight="1">
      <c r="A63" s="354"/>
      <c r="B63" s="355"/>
      <c r="C63" s="355"/>
      <c r="D63" s="355"/>
      <c r="E63" s="355"/>
      <c r="F63" s="355"/>
      <c r="G63" s="355"/>
      <c r="H63" s="355"/>
      <c r="I63" s="355"/>
      <c r="J63" s="355"/>
      <c r="K63" s="355"/>
      <c r="L63" s="355"/>
      <c r="M63" s="355"/>
      <c r="N63" s="355"/>
      <c r="O63" s="356"/>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8">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B18:B19"/>
    <mergeCell ref="D18:D19"/>
    <mergeCell ref="F18:F19"/>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 ref="N18:N19"/>
    <mergeCell ref="E18:E19"/>
    <mergeCell ref="O18:O19"/>
    <mergeCell ref="G18:G19"/>
    <mergeCell ref="H18:H19"/>
  </mergeCells>
  <conditionalFormatting sqref="I59">
    <cfRule type="cellIs" dxfId="481" priority="16" operator="equal">
      <formula>"NO CUMPLE"</formula>
    </cfRule>
    <cfRule type="cellIs" dxfId="480" priority="17" operator="equal">
      <formula>"CUMPLE"</formula>
    </cfRule>
    <cfRule type="cellIs" dxfId="479" priority="18" operator="equal">
      <formula>100</formula>
    </cfRule>
  </conditionalFormatting>
  <conditionalFormatting sqref="I60:L60">
    <cfRule type="cellIs" dxfId="478" priority="25" operator="equal">
      <formula>"NO CUMPLE"</formula>
    </cfRule>
    <cfRule type="cellIs" dxfId="477" priority="26" operator="equal">
      <formula>"CUMPLE"</formula>
    </cfRule>
  </conditionalFormatting>
  <conditionalFormatting sqref="I60:O60">
    <cfRule type="cellIs" dxfId="476" priority="3" operator="equal">
      <formula>100</formula>
    </cfRule>
  </conditionalFormatting>
  <conditionalFormatting sqref="M60:O60">
    <cfRule type="cellIs" dxfId="475" priority="2" operator="lessThan">
      <formula>100</formula>
    </cfRule>
  </conditionalFormatting>
  <conditionalFormatting sqref="O17:O18 O20:O22">
    <cfRule type="containsText" dxfId="474" priority="1" operator="containsText" text="NO CUMPLE">
      <formula>NOT(ISERROR(SEARCH("NO CUMPLE",O17)))</formula>
    </cfRule>
  </conditionalFormatting>
  <conditionalFormatting sqref="O23">
    <cfRule type="cellIs" dxfId="473" priority="22" operator="equal">
      <formula>"NO CUMPLE"</formula>
    </cfRule>
    <cfRule type="cellIs" dxfId="472" priority="23" operator="equal">
      <formula>"CUMPLE"</formula>
    </cfRule>
    <cfRule type="cellIs" dxfId="471" priority="24" operator="equal">
      <formula>100</formula>
    </cfRule>
  </conditionalFormatting>
  <conditionalFormatting sqref="O36:O38">
    <cfRule type="cellIs" dxfId="470" priority="19" operator="equal">
      <formula>"NO CUMPLE"</formula>
    </cfRule>
    <cfRule type="cellIs" dxfId="469" priority="20" operator="equal">
      <formula>"CUMPLE"</formula>
    </cfRule>
    <cfRule type="cellIs" dxfId="468" priority="21" operator="equal">
      <formula>100</formula>
    </cfRule>
  </conditionalFormatting>
  <conditionalFormatting sqref="O46">
    <cfRule type="cellIs" dxfId="467" priority="7" operator="equal">
      <formula>"NO CUMPLE"</formula>
    </cfRule>
    <cfRule type="cellIs" dxfId="466" priority="8" operator="equal">
      <formula>"CUMPLE"</formula>
    </cfRule>
    <cfRule type="cellIs" dxfId="465" priority="9" operator="equal">
      <formula>100</formula>
    </cfRule>
  </conditionalFormatting>
  <conditionalFormatting sqref="O31:P34">
    <cfRule type="cellIs" dxfId="464" priority="4" operator="equal">
      <formula>"NO CUMPLE"</formula>
    </cfRule>
    <cfRule type="cellIs" dxfId="463" priority="5" operator="equal">
      <formula>"CUMPLE"</formula>
    </cfRule>
    <cfRule type="cellIs" dxfId="462" priority="6" operator="equal">
      <formula>100</formula>
    </cfRule>
  </conditionalFormatting>
  <conditionalFormatting sqref="P24">
    <cfRule type="cellIs" dxfId="461" priority="74" operator="equal">
      <formula>"NO CUMPLE"</formula>
    </cfRule>
    <cfRule type="cellIs" dxfId="460" priority="75" operator="equal">
      <formula>"CUMPLE"</formula>
    </cfRule>
    <cfRule type="cellIs" dxfId="459" priority="76" operator="equal">
      <formula>100</formula>
    </cfRule>
  </conditionalFormatting>
  <conditionalFormatting sqref="P36:P46">
    <cfRule type="cellIs" dxfId="458" priority="50" operator="equal">
      <formula>"NO CUMPLE"</formula>
    </cfRule>
    <cfRule type="cellIs" dxfId="457" priority="51" operator="equal">
      <formula>"CUMPLE"</formula>
    </cfRule>
    <cfRule type="cellIs" dxfId="456" priority="52" operator="equal">
      <formula>100</formula>
    </cfRule>
  </conditionalFormatting>
  <conditionalFormatting sqref="R60:T60">
    <cfRule type="cellIs" dxfId="455" priority="48" operator="lessThan">
      <formula>100</formula>
    </cfRule>
    <cfRule type="cellIs" dxfId="454" priority="49" operator="equal">
      <formula>100</formula>
    </cfRule>
  </conditionalFormatting>
  <dataValidations disablePrompts="1" count="7">
    <dataValidation type="list" allowBlank="1" showInputMessage="1" showErrorMessage="1" sqref="M37:O37" xr:uid="{06E66E17-7C4D-468E-A739-7E3B944B3180}">
      <formula1>$U$1:$U$2</formula1>
    </dataValidation>
    <dataValidation type="list" allowBlank="1" showInputMessage="1" showErrorMessage="1" sqref="G22:H22" xr:uid="{C87A8EB0-D38D-4155-8194-C8D996E5C985}">
      <formula1>$Q$2:$Q$3</formula1>
    </dataValidation>
    <dataValidation type="list" allowBlank="1" showInputMessage="1" showErrorMessage="1" sqref="O36:O38" xr:uid="{9C661207-C852-4A9D-9E29-B515AB3D255F}">
      <formula1>$R$4:$R$5</formula1>
    </dataValidation>
    <dataValidation type="list" allowBlank="1" showInputMessage="1" showErrorMessage="1" error="SELECCIONE EL PRESUPUESTO A EVALUAR, EN LA LISTA DESPEGABLE._x000a_" sqref="I11:I12 J12:K12" xr:uid="{53B7DD14-0560-43A3-A194-746E5C65C95F}">
      <formula1>$A$75:$A$82</formula1>
    </dataValidation>
    <dataValidation type="list" allowBlank="1" showInputMessage="1" showErrorMessage="1" sqref="A3" xr:uid="{8FCF861C-F6AB-409B-AB48-ECD5DE5F5D20}">
      <formula1>$C$75:$C$82</formula1>
    </dataValidation>
    <dataValidation type="list" allowBlank="1" showInputMessage="1" showErrorMessage="1" sqref="V1:V2" xr:uid="{646C0112-5F63-4C2E-BB28-4A4049C3F00F}">
      <formula1>$V$1:$V$2</formula1>
    </dataValidation>
    <dataValidation type="list" allowBlank="1" showInputMessage="1" showErrorMessage="1" sqref="J60:L60 I59:I60 O46" xr:uid="{BAAC95B5-856B-465E-8070-F62D4D82E76F}">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99261-1282-4571-8F64-4F6F20038751}">
  <sheetPr>
    <tabColor rgb="FFFFFF00"/>
  </sheetPr>
  <dimension ref="A1:W94"/>
  <sheetViews>
    <sheetView view="pageBreakPreview" topLeftCell="A58" zoomScale="70" zoomScaleNormal="63" zoomScaleSheetLayoutView="70" workbookViewId="0">
      <selection activeCell="A30" sqref="A30:M30"/>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3</v>
      </c>
      <c r="B4" s="233" t="str">
        <f>_xlfn.XLOOKUP(A4,RESUMEN!$A$3:$A$19,RESUMEN!$C$3:$C$19)</f>
        <v>CONSORCIO KART</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57" t="s">
        <v>155</v>
      </c>
      <c r="J5" s="357"/>
      <c r="K5" s="357"/>
      <c r="L5" s="357"/>
      <c r="M5" s="357"/>
      <c r="N5" s="358"/>
      <c r="O5" s="11">
        <v>0.9</v>
      </c>
      <c r="P5" s="2">
        <f>+I7</f>
        <v>0</v>
      </c>
      <c r="R5" s="2">
        <v>0</v>
      </c>
    </row>
    <row r="6" spans="1:23" ht="20.25" customHeight="1">
      <c r="A6" s="232"/>
      <c r="B6" s="236"/>
      <c r="C6" s="237"/>
      <c r="D6" s="237"/>
      <c r="E6" s="238"/>
      <c r="F6" s="236"/>
      <c r="G6" s="237"/>
      <c r="H6" s="238"/>
      <c r="I6" s="244" t="s">
        <v>156</v>
      </c>
      <c r="J6" s="244"/>
      <c r="K6" s="244"/>
      <c r="L6" s="244"/>
      <c r="M6" s="244"/>
      <c r="N6" s="245"/>
      <c r="O6" s="11">
        <v>0.1</v>
      </c>
      <c r="P6" s="2" t="str">
        <f t="shared" ref="P6:P9" si="0">+I6</f>
        <v>ARIETE INGENIERIA Y CONSTRUCCION S.A.S 900.593.828-1</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272">
        <f>+M11*H8</f>
        <v>1793.1006709615385</v>
      </c>
      <c r="B17" s="147" t="s">
        <v>100</v>
      </c>
      <c r="C17" s="148" t="s">
        <v>157</v>
      </c>
      <c r="D17" s="148" t="s">
        <v>158</v>
      </c>
      <c r="E17" s="148" t="s">
        <v>342</v>
      </c>
      <c r="F17" s="148" t="s">
        <v>64</v>
      </c>
      <c r="G17" s="64" t="s">
        <v>64</v>
      </c>
      <c r="H17" s="64" t="s">
        <v>64</v>
      </c>
      <c r="I17" s="148" t="s">
        <v>159</v>
      </c>
      <c r="J17" s="146">
        <v>44416</v>
      </c>
      <c r="K17" s="145">
        <v>942684003</v>
      </c>
      <c r="L17" s="66">
        <v>1037.5899999999999</v>
      </c>
      <c r="M17" s="65">
        <v>1</v>
      </c>
      <c r="N17" s="88">
        <f>L17*M17</f>
        <v>1037.5899999999999</v>
      </c>
      <c r="O17" s="89" t="str">
        <f>+IF(AND(H17="SI",G17="SI"),"CUMPLE","NO CUMPLE")</f>
        <v>CUMPLE</v>
      </c>
      <c r="P17" s="4"/>
      <c r="Q17" s="4"/>
      <c r="R17" s="135">
        <f>(N17+N18+N19)/A17</f>
        <v>1.3881429193070609</v>
      </c>
      <c r="S17" s="4"/>
      <c r="T17" s="69"/>
      <c r="V17" s="39">
        <v>2021</v>
      </c>
      <c r="W17" s="40">
        <v>908526</v>
      </c>
    </row>
    <row r="18" spans="1:23" ht="133.9" customHeight="1">
      <c r="A18" s="272"/>
      <c r="B18" s="147" t="s">
        <v>105</v>
      </c>
      <c r="C18" s="64">
        <v>44</v>
      </c>
      <c r="D18" s="148" t="s">
        <v>160</v>
      </c>
      <c r="E18" s="148" t="s">
        <v>161</v>
      </c>
      <c r="F18" s="148" t="s">
        <v>64</v>
      </c>
      <c r="G18" s="64" t="s">
        <v>64</v>
      </c>
      <c r="H18" s="64" t="s">
        <v>64</v>
      </c>
      <c r="I18" s="148" t="s">
        <v>159</v>
      </c>
      <c r="J18" s="146" t="s">
        <v>162</v>
      </c>
      <c r="K18" s="145">
        <v>1202007028.79</v>
      </c>
      <c r="L18" s="66">
        <v>1451.49</v>
      </c>
      <c r="M18" s="65">
        <v>1</v>
      </c>
      <c r="N18" s="88">
        <f>L18*M18</f>
        <v>1451.49</v>
      </c>
      <c r="O18" s="89" t="str">
        <f>+IF(AND(H18="SI",G18="SI"),"CUMPLE","NO CUMPLE")</f>
        <v>CUMPLE</v>
      </c>
      <c r="P18" s="4"/>
      <c r="Q18" s="4"/>
      <c r="R18" s="37"/>
      <c r="S18" s="4"/>
      <c r="T18" s="69"/>
      <c r="V18" s="96"/>
      <c r="W18" s="97"/>
    </row>
    <row r="19" spans="1:23" ht="157.69999999999999" customHeight="1">
      <c r="A19" s="272"/>
      <c r="B19" s="147" t="s">
        <v>109</v>
      </c>
      <c r="C19" s="64"/>
      <c r="D19" s="148"/>
      <c r="E19" s="148"/>
      <c r="F19" s="148"/>
      <c r="G19" s="64"/>
      <c r="H19" s="64"/>
      <c r="I19" s="148"/>
      <c r="J19" s="146"/>
      <c r="K19" s="145"/>
      <c r="L19" s="66"/>
      <c r="M19" s="65"/>
      <c r="N19" s="88">
        <f>L19*M19</f>
        <v>0</v>
      </c>
      <c r="O19" s="89" t="str">
        <f t="shared" ref="O19:O22" si="1">+IF(AND(H19="SI",G19="SI"),"CUMPLE","NO CUMPLE")</f>
        <v>NO CUMPLE</v>
      </c>
      <c r="P19" s="4"/>
      <c r="Q19" s="4"/>
      <c r="R19" s="37"/>
      <c r="S19" s="4"/>
      <c r="T19" s="69"/>
      <c r="V19" s="38">
        <v>2020</v>
      </c>
      <c r="W19" s="41">
        <v>877803</v>
      </c>
    </row>
    <row r="20" spans="1:23" ht="42.95" customHeight="1">
      <c r="A20" s="272"/>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135">
        <f>+N20/A17</f>
        <v>0</v>
      </c>
      <c r="S20" s="67"/>
      <c r="T20" s="69" t="s">
        <v>163</v>
      </c>
      <c r="V20" s="38">
        <v>2019</v>
      </c>
      <c r="W20" s="41">
        <v>828116</v>
      </c>
    </row>
    <row r="21" spans="1:23" ht="42.95" customHeight="1">
      <c r="A21" s="272"/>
      <c r="B21" s="147" t="s">
        <v>113</v>
      </c>
      <c r="C21" s="64"/>
      <c r="D21" s="64"/>
      <c r="E21" s="149"/>
      <c r="F21" s="64"/>
      <c r="G21" s="64"/>
      <c r="H21" s="64"/>
      <c r="I21" s="64"/>
      <c r="J21" s="146"/>
      <c r="K21" s="64"/>
      <c r="L21" s="64"/>
      <c r="M21" s="65"/>
      <c r="N21" s="88">
        <f t="shared" si="2"/>
        <v>0</v>
      </c>
      <c r="O21" s="89" t="str">
        <f t="shared" si="1"/>
        <v>NO CUMPLE</v>
      </c>
      <c r="P21" s="4"/>
      <c r="Q21" s="4"/>
      <c r="R21" s="37"/>
      <c r="S21" s="67"/>
      <c r="T21" s="27"/>
      <c r="V21" s="38">
        <v>2018</v>
      </c>
      <c r="W21" s="41">
        <v>781242</v>
      </c>
    </row>
    <row r="22" spans="1:23" ht="42.95" customHeight="1">
      <c r="A22" s="272"/>
      <c r="B22" s="147" t="s">
        <v>114</v>
      </c>
      <c r="C22" s="44"/>
      <c r="D22" s="45"/>
      <c r="E22" s="45"/>
      <c r="F22" s="64"/>
      <c r="G22" s="68"/>
      <c r="H22" s="68"/>
      <c r="I22" s="64"/>
      <c r="J22" s="146"/>
      <c r="K22" s="46"/>
      <c r="L22" s="47"/>
      <c r="M22" s="35"/>
      <c r="N22" s="88">
        <f t="shared" si="2"/>
        <v>0</v>
      </c>
      <c r="O22" s="89" t="str">
        <f t="shared" si="1"/>
        <v>NO CUMPLE</v>
      </c>
      <c r="P22" s="4"/>
      <c r="Q22" s="4"/>
      <c r="R22" s="37"/>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2489.08</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T25" s="2">
        <f>1949500000+6451200000</f>
        <v>8400700000</v>
      </c>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17432.856813465529</v>
      </c>
      <c r="T26" s="26">
        <f>+T25/W25</f>
        <v>19369.840903850589</v>
      </c>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thickBot="1">
      <c r="A28" s="276">
        <f>A17*50%</f>
        <v>896.55033548076926</v>
      </c>
      <c r="B28" s="147" t="s">
        <v>100</v>
      </c>
      <c r="C28" s="148" t="s">
        <v>157</v>
      </c>
      <c r="D28" s="148" t="s">
        <v>158</v>
      </c>
      <c r="E28" s="148" t="s">
        <v>342</v>
      </c>
      <c r="F28" s="148" t="s">
        <v>64</v>
      </c>
      <c r="G28" s="64" t="s">
        <v>64</v>
      </c>
      <c r="H28" s="64" t="s">
        <v>64</v>
      </c>
      <c r="I28" s="148" t="s">
        <v>159</v>
      </c>
      <c r="J28" s="146">
        <v>44416</v>
      </c>
      <c r="K28" s="145">
        <v>942684003</v>
      </c>
      <c r="L28" s="66">
        <v>1037.5899999999999</v>
      </c>
      <c r="M28" s="65">
        <v>1</v>
      </c>
      <c r="N28" s="88">
        <f>L28*M28</f>
        <v>1037.5899999999999</v>
      </c>
      <c r="O28" s="89" t="str">
        <f>+IF(AND(H28="SI",G28="SI"),"CUMPLE","NO CUMPLE")</f>
        <v>CUMPLE</v>
      </c>
      <c r="P28" s="4"/>
      <c r="Q28" s="4"/>
      <c r="R28" s="36"/>
      <c r="S28" s="36"/>
      <c r="T28" s="27"/>
    </row>
    <row r="29" spans="1:23" ht="143.44999999999999" customHeight="1" thickTop="1" thickBot="1">
      <c r="A29" s="277"/>
      <c r="B29" s="147" t="s">
        <v>105</v>
      </c>
      <c r="C29" s="64">
        <v>44</v>
      </c>
      <c r="D29" s="148" t="s">
        <v>160</v>
      </c>
      <c r="E29" s="148" t="s">
        <v>339</v>
      </c>
      <c r="F29" s="148" t="s">
        <v>64</v>
      </c>
      <c r="G29" s="64" t="s">
        <v>64</v>
      </c>
      <c r="H29" s="64" t="s">
        <v>64</v>
      </c>
      <c r="I29" s="148" t="s">
        <v>159</v>
      </c>
      <c r="J29" s="146" t="s">
        <v>162</v>
      </c>
      <c r="K29" s="145">
        <v>1202007028.79</v>
      </c>
      <c r="L29" s="66">
        <v>1451.49</v>
      </c>
      <c r="M29" s="65">
        <v>1</v>
      </c>
      <c r="N29" s="88">
        <f>L29*M29</f>
        <v>1451.49</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1451.49</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3.75">
      <c r="A60" s="322" t="s">
        <v>139</v>
      </c>
      <c r="B60" s="323"/>
      <c r="C60" s="323"/>
      <c r="D60" s="323"/>
      <c r="E60" s="323"/>
      <c r="F60" s="323"/>
      <c r="G60" s="323"/>
      <c r="H60" s="324"/>
      <c r="I60" s="322" t="s">
        <v>65</v>
      </c>
      <c r="J60" s="323"/>
      <c r="K60" s="323"/>
      <c r="L60" s="324"/>
      <c r="M60" s="308">
        <f>+O56+O54+O52+M50+M44+O58</f>
        <v>40.5</v>
      </c>
      <c r="N60" s="309"/>
      <c r="O60" s="310"/>
      <c r="P60" s="9"/>
      <c r="Q60" s="8"/>
      <c r="R60" s="152"/>
      <c r="S60" s="152"/>
      <c r="T60" s="152"/>
      <c r="V60" s="38">
        <v>1994</v>
      </c>
      <c r="W60" s="41">
        <v>98700</v>
      </c>
    </row>
    <row r="61" spans="1:23" ht="15" customHeight="1">
      <c r="A61" s="311" t="s">
        <v>267</v>
      </c>
      <c r="B61" s="312"/>
      <c r="C61" s="312"/>
      <c r="D61" s="312"/>
      <c r="E61" s="312"/>
      <c r="F61" s="312"/>
      <c r="G61" s="312"/>
      <c r="H61" s="312"/>
      <c r="I61" s="312"/>
      <c r="J61" s="312"/>
      <c r="K61" s="312"/>
      <c r="L61" s="312"/>
      <c r="M61" s="312"/>
      <c r="N61" s="312"/>
      <c r="O61" s="313"/>
      <c r="P61" s="9"/>
      <c r="Q61" s="8"/>
      <c r="V61" s="38">
        <v>1993</v>
      </c>
      <c r="W61" s="41">
        <v>81510</v>
      </c>
    </row>
    <row r="62" spans="1:23" ht="30.95" customHeight="1" thickBo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thickBot="1">
      <c r="A63" s="317"/>
      <c r="B63" s="318"/>
      <c r="C63" s="318"/>
      <c r="D63" s="318"/>
      <c r="E63" s="318"/>
      <c r="F63" s="318"/>
      <c r="G63" s="318"/>
      <c r="H63" s="318"/>
      <c r="I63" s="318"/>
      <c r="J63" s="318"/>
      <c r="K63" s="318"/>
      <c r="L63" s="318"/>
      <c r="M63" s="318"/>
      <c r="N63" s="318"/>
      <c r="O63" s="319"/>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59">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453" priority="19" operator="equal">
      <formula>"NO CUMPLE"</formula>
    </cfRule>
    <cfRule type="cellIs" dxfId="452" priority="20" operator="equal">
      <formula>"CUMPLE"</formula>
    </cfRule>
    <cfRule type="cellIs" dxfId="451" priority="21" operator="equal">
      <formula>100</formula>
    </cfRule>
  </conditionalFormatting>
  <conditionalFormatting sqref="I60:L60">
    <cfRule type="cellIs" dxfId="450" priority="28" operator="equal">
      <formula>"NO CUMPLE"</formula>
    </cfRule>
    <cfRule type="cellIs" dxfId="449" priority="29" operator="equal">
      <formula>"CUMPLE"</formula>
    </cfRule>
  </conditionalFormatting>
  <conditionalFormatting sqref="I60:O60">
    <cfRule type="cellIs" dxfId="448" priority="6" operator="equal">
      <formula>100</formula>
    </cfRule>
  </conditionalFormatting>
  <conditionalFormatting sqref="M60:O60">
    <cfRule type="cellIs" dxfId="447" priority="5" operator="lessThan">
      <formula>100</formula>
    </cfRule>
  </conditionalFormatting>
  <conditionalFormatting sqref="O17:O22">
    <cfRule type="containsText" dxfId="446" priority="4" operator="containsText" text="NO CUMPLE">
      <formula>NOT(ISERROR(SEARCH("NO CUMPLE",O17)))</formula>
    </cfRule>
  </conditionalFormatting>
  <conditionalFormatting sqref="O23">
    <cfRule type="cellIs" dxfId="445" priority="25" operator="equal">
      <formula>"NO CUMPLE"</formula>
    </cfRule>
    <cfRule type="cellIs" dxfId="444" priority="26" operator="equal">
      <formula>"CUMPLE"</formula>
    </cfRule>
    <cfRule type="cellIs" dxfId="443" priority="27" operator="equal">
      <formula>100</formula>
    </cfRule>
  </conditionalFormatting>
  <conditionalFormatting sqref="O36:O38">
    <cfRule type="cellIs" dxfId="442" priority="22" operator="equal">
      <formula>"NO CUMPLE"</formula>
    </cfRule>
    <cfRule type="cellIs" dxfId="441" priority="23" operator="equal">
      <formula>"CUMPLE"</formula>
    </cfRule>
    <cfRule type="cellIs" dxfId="440" priority="24" operator="equal">
      <formula>100</formula>
    </cfRule>
  </conditionalFormatting>
  <conditionalFormatting sqref="O46">
    <cfRule type="cellIs" dxfId="439" priority="10" operator="equal">
      <formula>"NO CUMPLE"</formula>
    </cfRule>
    <cfRule type="cellIs" dxfId="438" priority="11" operator="equal">
      <formula>"CUMPLE"</formula>
    </cfRule>
    <cfRule type="cellIs" dxfId="437" priority="12" operator="equal">
      <formula>100</formula>
    </cfRule>
  </conditionalFormatting>
  <conditionalFormatting sqref="O31:P34">
    <cfRule type="cellIs" dxfId="436" priority="1" operator="equal">
      <formula>"NO CUMPLE"</formula>
    </cfRule>
    <cfRule type="cellIs" dxfId="435" priority="2" operator="equal">
      <formula>"CUMPLE"</formula>
    </cfRule>
    <cfRule type="cellIs" dxfId="434" priority="3" operator="equal">
      <formula>100</formula>
    </cfRule>
  </conditionalFormatting>
  <conditionalFormatting sqref="P24">
    <cfRule type="cellIs" dxfId="433" priority="68" operator="equal">
      <formula>"NO CUMPLE"</formula>
    </cfRule>
    <cfRule type="cellIs" dxfId="432" priority="69" operator="equal">
      <formula>"CUMPLE"</formula>
    </cfRule>
    <cfRule type="cellIs" dxfId="431" priority="70" operator="equal">
      <formula>100</formula>
    </cfRule>
  </conditionalFormatting>
  <conditionalFormatting sqref="P36:P46">
    <cfRule type="cellIs" dxfId="430" priority="44" operator="equal">
      <formula>"NO CUMPLE"</formula>
    </cfRule>
    <cfRule type="cellIs" dxfId="429" priority="45" operator="equal">
      <formula>"CUMPLE"</formula>
    </cfRule>
    <cfRule type="cellIs" dxfId="428" priority="46" operator="equal">
      <formula>100</formula>
    </cfRule>
  </conditionalFormatting>
  <conditionalFormatting sqref="R60:T60">
    <cfRule type="cellIs" dxfId="427" priority="42" operator="lessThan">
      <formula>100</formula>
    </cfRule>
    <cfRule type="cellIs" dxfId="426" priority="43" operator="equal">
      <formula>100</formula>
    </cfRule>
  </conditionalFormatting>
  <dataValidations disablePrompts="1" count="7">
    <dataValidation type="list" allowBlank="1" showInputMessage="1" showErrorMessage="1" sqref="J60:L60 I59:I60 O46" xr:uid="{60096457-92C7-4C06-A74E-A8CE6D70D666}">
      <formula1>$R$2:$R$3</formula1>
    </dataValidation>
    <dataValidation type="list" allowBlank="1" showInputMessage="1" showErrorMessage="1" sqref="V1:V2" xr:uid="{C5619476-7BE5-44D8-8276-9853337BB6EF}">
      <formula1>$V$1:$V$2</formula1>
    </dataValidation>
    <dataValidation type="list" allowBlank="1" showInputMessage="1" showErrorMessage="1" sqref="A3" xr:uid="{D8B9E446-9AF8-4913-B695-88F1FD282084}">
      <formula1>$C$75:$C$82</formula1>
    </dataValidation>
    <dataValidation type="list" allowBlank="1" showInputMessage="1" showErrorMessage="1" error="SELECCIONE EL PRESUPUESTO A EVALUAR, EN LA LISTA DESPEGABLE._x000a_" sqref="I11:I12 J12:K12" xr:uid="{0D75154F-9479-45BE-9101-F8710BBDA40D}">
      <formula1>$A$75:$A$82</formula1>
    </dataValidation>
    <dataValidation type="list" allowBlank="1" showInputMessage="1" showErrorMessage="1" sqref="O36:O38" xr:uid="{910BF202-34AA-469C-A00A-EBB374575319}">
      <formula1>$R$4:$R$5</formula1>
    </dataValidation>
    <dataValidation type="list" allowBlank="1" showInputMessage="1" showErrorMessage="1" sqref="G22:H22" xr:uid="{185C91EC-95F5-4C24-B648-F3CBB35B688C}">
      <formula1>$Q$2:$Q$3</formula1>
    </dataValidation>
    <dataValidation type="list" allowBlank="1" showInputMessage="1" showErrorMessage="1" sqref="M37:O37" xr:uid="{F5462F18-7AF1-4039-B120-BF2941B681B5}">
      <formula1>$U$1:$U$2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F8B5E-68CF-4E3A-895E-314D64493D5F}">
  <dimension ref="A1:W94"/>
  <sheetViews>
    <sheetView view="pageBreakPreview" topLeftCell="A58" zoomScale="55" zoomScaleNormal="63" zoomScaleSheetLayoutView="55" workbookViewId="0">
      <selection activeCell="A28" sqref="A28:A29"/>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7" customHeight="1">
      <c r="A4" s="232">
        <v>4</v>
      </c>
      <c r="B4" s="233" t="str">
        <f>_xlfn.XLOOKUP(A4,RESUMEN!$A$3:$A$19,RESUMEN!$C$3:$C$19)</f>
        <v>CONSORCIO DISEÑO PISTA</v>
      </c>
      <c r="C4" s="234"/>
      <c r="D4" s="234"/>
      <c r="E4" s="235"/>
      <c r="F4" s="233" t="s">
        <v>69</v>
      </c>
      <c r="G4" s="234"/>
      <c r="H4" s="235"/>
      <c r="I4" s="242" t="s">
        <v>70</v>
      </c>
      <c r="J4" s="243"/>
      <c r="K4" s="243"/>
      <c r="L4" s="243"/>
      <c r="M4" s="243"/>
      <c r="N4" s="243"/>
      <c r="O4" s="11"/>
      <c r="P4" s="2" t="str">
        <f>+I4</f>
        <v>APORTANTE DE LA EXPERIENCIA - GENERAL</v>
      </c>
      <c r="R4" s="2">
        <v>10</v>
      </c>
    </row>
    <row r="5" spans="1:23" ht="32.25" customHeight="1">
      <c r="A5" s="232"/>
      <c r="B5" s="236"/>
      <c r="C5" s="237"/>
      <c r="D5" s="237"/>
      <c r="E5" s="238"/>
      <c r="F5" s="236"/>
      <c r="G5" s="237"/>
      <c r="H5" s="238"/>
      <c r="I5" s="244" t="s">
        <v>164</v>
      </c>
      <c r="J5" s="244"/>
      <c r="K5" s="244"/>
      <c r="L5" s="244"/>
      <c r="M5" s="244"/>
      <c r="N5" s="245"/>
      <c r="O5" s="11">
        <v>0.5</v>
      </c>
      <c r="P5" s="2">
        <f>+I7</f>
        <v>0</v>
      </c>
      <c r="R5" s="2">
        <v>0</v>
      </c>
    </row>
    <row r="6" spans="1:23" ht="27" customHeight="1">
      <c r="A6" s="232"/>
      <c r="B6" s="236"/>
      <c r="C6" s="237"/>
      <c r="D6" s="237"/>
      <c r="E6" s="238"/>
      <c r="F6" s="236"/>
      <c r="G6" s="237"/>
      <c r="H6" s="238"/>
      <c r="I6" s="244" t="s">
        <v>165</v>
      </c>
      <c r="J6" s="244"/>
      <c r="K6" s="244"/>
      <c r="L6" s="244"/>
      <c r="M6" s="244"/>
      <c r="N6" s="245"/>
      <c r="O6" s="11">
        <v>0.5</v>
      </c>
      <c r="P6" s="2" t="str">
        <f t="shared" ref="P6:P9" si="0">+I6</f>
        <v>CONSULTORÍA Y CONSTRUCCIÓN ESPECIALIZADA S.A.S.     NIT. 900.597.433-2</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272">
        <f>+M11*H9</f>
        <v>2868.9610735384613</v>
      </c>
      <c r="B17" s="147" t="s">
        <v>100</v>
      </c>
      <c r="C17" s="64">
        <v>2</v>
      </c>
      <c r="D17" s="148" t="s">
        <v>101</v>
      </c>
      <c r="E17" s="148" t="s">
        <v>166</v>
      </c>
      <c r="F17" s="148" t="s">
        <v>64</v>
      </c>
      <c r="G17" s="64" t="s">
        <v>64</v>
      </c>
      <c r="H17" s="64" t="s">
        <v>64</v>
      </c>
      <c r="I17" s="148" t="s">
        <v>167</v>
      </c>
      <c r="J17" s="146" t="s">
        <v>168</v>
      </c>
      <c r="K17" s="145">
        <v>130363376</v>
      </c>
      <c r="L17" s="66">
        <v>148.51</v>
      </c>
      <c r="M17" s="65">
        <v>0.5</v>
      </c>
      <c r="N17" s="88">
        <f>L17*M17</f>
        <v>74.254999999999995</v>
      </c>
      <c r="O17" s="89" t="str">
        <f>+IF(AND(H17="SI",G17="SI"),"CUMPLE","NO CUMPLE")</f>
        <v>CUMPLE</v>
      </c>
      <c r="P17" s="4"/>
      <c r="Q17" s="4"/>
      <c r="R17" s="135">
        <f>+N17/A17</f>
        <v>2.5882191530893398E-2</v>
      </c>
      <c r="S17" s="4"/>
      <c r="T17" s="69"/>
      <c r="V17" s="39">
        <v>2021</v>
      </c>
      <c r="W17" s="40">
        <v>908526</v>
      </c>
    </row>
    <row r="18" spans="1:23" ht="133.9" customHeight="1">
      <c r="A18" s="272"/>
      <c r="B18" s="147" t="s">
        <v>105</v>
      </c>
      <c r="C18" s="64">
        <v>65</v>
      </c>
      <c r="D18" s="148" t="s">
        <v>169</v>
      </c>
      <c r="E18" s="148" t="s">
        <v>170</v>
      </c>
      <c r="F18" s="148" t="s">
        <v>64</v>
      </c>
      <c r="G18" s="64" t="s">
        <v>64</v>
      </c>
      <c r="H18" s="64" t="s">
        <v>64</v>
      </c>
      <c r="I18" s="148" t="s">
        <v>171</v>
      </c>
      <c r="J18" s="146" t="s">
        <v>172</v>
      </c>
      <c r="K18" s="145">
        <v>3422000000</v>
      </c>
      <c r="L18" s="66">
        <v>4638.63</v>
      </c>
      <c r="M18" s="65">
        <v>1</v>
      </c>
      <c r="N18" s="88">
        <f>L18*M18</f>
        <v>4638.63</v>
      </c>
      <c r="O18" s="89" t="str">
        <f>+IF(AND(H18="SI",G18="SI"),"CUMPLE","NO CUMPLE")</f>
        <v>CUMPLE</v>
      </c>
      <c r="P18" s="4"/>
      <c r="Q18" s="4"/>
      <c r="R18" s="135">
        <f>+(N18+N19)/A17</f>
        <v>1.6804916052951691</v>
      </c>
      <c r="S18" s="4"/>
      <c r="T18" s="69"/>
      <c r="V18" s="96"/>
      <c r="W18" s="97"/>
    </row>
    <row r="19" spans="1:23" ht="157.69999999999999" customHeight="1">
      <c r="A19" s="272"/>
      <c r="B19" s="147" t="s">
        <v>109</v>
      </c>
      <c r="C19" s="64">
        <v>22</v>
      </c>
      <c r="D19" s="148" t="s">
        <v>101</v>
      </c>
      <c r="E19" s="148" t="s">
        <v>173</v>
      </c>
      <c r="F19" s="148" t="s">
        <v>64</v>
      </c>
      <c r="G19" s="64" t="s">
        <v>64</v>
      </c>
      <c r="H19" s="64" t="s">
        <v>64</v>
      </c>
      <c r="I19" s="148" t="s">
        <v>167</v>
      </c>
      <c r="J19" s="146" t="s">
        <v>174</v>
      </c>
      <c r="K19" s="145"/>
      <c r="L19" s="66">
        <v>365.27</v>
      </c>
      <c r="M19" s="65">
        <v>0.5</v>
      </c>
      <c r="N19" s="88">
        <f>L19*M19</f>
        <v>182.63499999999999</v>
      </c>
      <c r="O19" s="89" t="str">
        <f t="shared" ref="O19:O22" si="1">+IF(AND(H19="SI",G19="SI"),"CUMPLE","NO CUMPLE")</f>
        <v>CUMPLE</v>
      </c>
      <c r="P19" s="4"/>
      <c r="Q19" s="4"/>
      <c r="R19" s="37"/>
      <c r="S19" s="4"/>
      <c r="T19" s="69"/>
      <c r="V19" s="38">
        <v>2020</v>
      </c>
      <c r="W19" s="41">
        <v>877803</v>
      </c>
    </row>
    <row r="20" spans="1:23" ht="42.95" customHeight="1">
      <c r="A20" s="272"/>
      <c r="B20" s="147" t="s">
        <v>112</v>
      </c>
      <c r="C20" s="64">
        <v>18</v>
      </c>
      <c r="D20" s="148" t="s">
        <v>101</v>
      </c>
      <c r="E20" s="148" t="s">
        <v>175</v>
      </c>
      <c r="F20" s="148" t="s">
        <v>64</v>
      </c>
      <c r="G20" s="64" t="s">
        <v>64</v>
      </c>
      <c r="H20" s="64" t="s">
        <v>64</v>
      </c>
      <c r="I20" s="148" t="s">
        <v>167</v>
      </c>
      <c r="J20" s="146" t="s">
        <v>176</v>
      </c>
      <c r="K20" s="145"/>
      <c r="L20" s="66">
        <v>330.74</v>
      </c>
      <c r="M20" s="65">
        <v>0.5</v>
      </c>
      <c r="N20" s="88">
        <f>L20*M20</f>
        <v>165.37</v>
      </c>
      <c r="O20" s="89" t="str">
        <f t="shared" si="1"/>
        <v>CUMPLE</v>
      </c>
      <c r="P20" s="4"/>
      <c r="Q20" s="4"/>
      <c r="R20" s="37"/>
      <c r="S20" s="67"/>
      <c r="T20" s="69"/>
      <c r="V20" s="38">
        <v>2019</v>
      </c>
      <c r="W20" s="41">
        <v>828116</v>
      </c>
    </row>
    <row r="21" spans="1:23" ht="42.95" customHeight="1">
      <c r="A21" s="272"/>
      <c r="B21" s="147" t="s">
        <v>113</v>
      </c>
      <c r="C21" s="64"/>
      <c r="D21" s="64"/>
      <c r="E21" s="64"/>
      <c r="F21" s="64"/>
      <c r="G21" s="64"/>
      <c r="H21" s="64"/>
      <c r="I21" s="148"/>
      <c r="J21" s="146"/>
      <c r="K21" s="64"/>
      <c r="L21" s="64"/>
      <c r="M21" s="65"/>
      <c r="N21" s="88">
        <f t="shared" ref="N21:N22" si="2">IF(AND(G21="SI",H21="SI"),(L21*M21),0)</f>
        <v>0</v>
      </c>
      <c r="O21" s="89" t="str">
        <f t="shared" si="1"/>
        <v>NO CUMPLE</v>
      </c>
      <c r="P21" s="4"/>
      <c r="Q21" s="4"/>
      <c r="R21" s="37"/>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2"/>
        <v>0</v>
      </c>
      <c r="O22" s="89" t="str">
        <f t="shared" si="1"/>
        <v>NO CUMPLE</v>
      </c>
      <c r="P22" s="4"/>
      <c r="Q22" s="4"/>
      <c r="R22" s="37"/>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5060.8900000000003</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T25" s="2">
        <f>1949500000+6451200000</f>
        <v>8400700000</v>
      </c>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17432.856813465529</v>
      </c>
      <c r="T26" s="26">
        <f>+T25/W25</f>
        <v>19369.840903850589</v>
      </c>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thickBot="1">
      <c r="A28" s="276">
        <f>A17*50%</f>
        <v>1434.4805367692306</v>
      </c>
      <c r="B28" s="147" t="s">
        <v>100</v>
      </c>
      <c r="C28" s="64">
        <v>18</v>
      </c>
      <c r="D28" s="148" t="s">
        <v>101</v>
      </c>
      <c r="E28" s="148" t="s">
        <v>175</v>
      </c>
      <c r="F28" s="148" t="s">
        <v>64</v>
      </c>
      <c r="G28" s="64" t="s">
        <v>64</v>
      </c>
      <c r="H28" s="64" t="s">
        <v>64</v>
      </c>
      <c r="I28" s="148" t="s">
        <v>167</v>
      </c>
      <c r="J28" s="146" t="s">
        <v>176</v>
      </c>
      <c r="K28" s="145"/>
      <c r="L28" s="66">
        <v>330.74</v>
      </c>
      <c r="M28" s="65">
        <v>0.5</v>
      </c>
      <c r="N28" s="88">
        <f>L28*M28</f>
        <v>165.37</v>
      </c>
      <c r="O28" s="89" t="str">
        <f>+IF(AND(H28="SI",G28="SI"),"CUMPLE","NO CUMPLE")</f>
        <v>CUMPLE</v>
      </c>
      <c r="P28" s="4"/>
      <c r="Q28" s="4"/>
      <c r="R28" s="36"/>
      <c r="S28" s="36"/>
      <c r="T28" s="27"/>
    </row>
    <row r="29" spans="1:23" ht="143.44999999999999" customHeight="1" thickTop="1" thickBot="1">
      <c r="A29" s="277"/>
      <c r="B29" s="147" t="s">
        <v>105</v>
      </c>
      <c r="C29" s="64">
        <v>65</v>
      </c>
      <c r="D29" s="148" t="s">
        <v>169</v>
      </c>
      <c r="E29" s="148" t="s">
        <v>170</v>
      </c>
      <c r="F29" s="148" t="s">
        <v>64</v>
      </c>
      <c r="G29" s="64" t="s">
        <v>64</v>
      </c>
      <c r="H29" s="64" t="s">
        <v>64</v>
      </c>
      <c r="I29" s="148" t="s">
        <v>171</v>
      </c>
      <c r="J29" s="146" t="s">
        <v>172</v>
      </c>
      <c r="K29" s="145">
        <v>3422000000</v>
      </c>
      <c r="L29" s="66">
        <v>4638.63</v>
      </c>
      <c r="M29" s="65">
        <v>1</v>
      </c>
      <c r="N29" s="88">
        <f>L29*M29</f>
        <v>4638.63</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4638.63</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11" t="s">
        <v>267</v>
      </c>
      <c r="B61" s="312"/>
      <c r="C61" s="312"/>
      <c r="D61" s="312"/>
      <c r="E61" s="312"/>
      <c r="F61" s="312"/>
      <c r="G61" s="312"/>
      <c r="H61" s="312"/>
      <c r="I61" s="312"/>
      <c r="J61" s="312"/>
      <c r="K61" s="312"/>
      <c r="L61" s="312"/>
      <c r="M61" s="312"/>
      <c r="N61" s="312"/>
      <c r="O61" s="313"/>
      <c r="P61" s="9"/>
      <c r="Q61" s="8"/>
      <c r="V61" s="38">
        <v>1993</v>
      </c>
      <c r="W61" s="41">
        <v>81510</v>
      </c>
    </row>
    <row r="62" spans="1:23" ht="30.95" customHeigh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c r="A63" s="317"/>
      <c r="B63" s="318"/>
      <c r="C63" s="318"/>
      <c r="D63" s="318"/>
      <c r="E63" s="318"/>
      <c r="F63" s="318"/>
      <c r="G63" s="318"/>
      <c r="H63" s="318"/>
      <c r="I63" s="318"/>
      <c r="J63" s="318"/>
      <c r="K63" s="318"/>
      <c r="L63" s="318"/>
      <c r="M63" s="318"/>
      <c r="N63" s="318"/>
      <c r="O63" s="319"/>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425" priority="19" operator="equal">
      <formula>"NO CUMPLE"</formula>
    </cfRule>
    <cfRule type="cellIs" dxfId="424" priority="20" operator="equal">
      <formula>"CUMPLE"</formula>
    </cfRule>
    <cfRule type="cellIs" dxfId="423" priority="21" operator="equal">
      <formula>100</formula>
    </cfRule>
  </conditionalFormatting>
  <conditionalFormatting sqref="I60:L60">
    <cfRule type="cellIs" dxfId="422" priority="28" operator="equal">
      <formula>"NO CUMPLE"</formula>
    </cfRule>
    <cfRule type="cellIs" dxfId="421" priority="29" operator="equal">
      <formula>"CUMPLE"</formula>
    </cfRule>
  </conditionalFormatting>
  <conditionalFormatting sqref="I60:O60">
    <cfRule type="cellIs" dxfId="420" priority="6" operator="equal">
      <formula>100</formula>
    </cfRule>
  </conditionalFormatting>
  <conditionalFormatting sqref="M60:O60">
    <cfRule type="cellIs" dxfId="419" priority="5" operator="lessThan">
      <formula>100</formula>
    </cfRule>
  </conditionalFormatting>
  <conditionalFormatting sqref="O17:O22">
    <cfRule type="containsText" dxfId="418" priority="4" operator="containsText" text="NO CUMPLE">
      <formula>NOT(ISERROR(SEARCH("NO CUMPLE",O17)))</formula>
    </cfRule>
  </conditionalFormatting>
  <conditionalFormatting sqref="O23">
    <cfRule type="cellIs" dxfId="417" priority="25" operator="equal">
      <formula>"NO CUMPLE"</formula>
    </cfRule>
    <cfRule type="cellIs" dxfId="416" priority="26" operator="equal">
      <formula>"CUMPLE"</formula>
    </cfRule>
    <cfRule type="cellIs" dxfId="415" priority="27" operator="equal">
      <formula>100</formula>
    </cfRule>
  </conditionalFormatting>
  <conditionalFormatting sqref="O36:O38">
    <cfRule type="cellIs" dxfId="414" priority="22" operator="equal">
      <formula>"NO CUMPLE"</formula>
    </cfRule>
    <cfRule type="cellIs" dxfId="413" priority="23" operator="equal">
      <formula>"CUMPLE"</formula>
    </cfRule>
    <cfRule type="cellIs" dxfId="412" priority="24" operator="equal">
      <formula>100</formula>
    </cfRule>
  </conditionalFormatting>
  <conditionalFormatting sqref="O46">
    <cfRule type="cellIs" dxfId="411" priority="10" operator="equal">
      <formula>"NO CUMPLE"</formula>
    </cfRule>
    <cfRule type="cellIs" dxfId="410" priority="11" operator="equal">
      <formula>"CUMPLE"</formula>
    </cfRule>
    <cfRule type="cellIs" dxfId="409" priority="12" operator="equal">
      <formula>100</formula>
    </cfRule>
  </conditionalFormatting>
  <conditionalFormatting sqref="O31:P34">
    <cfRule type="cellIs" dxfId="408" priority="1" operator="equal">
      <formula>"NO CUMPLE"</formula>
    </cfRule>
    <cfRule type="cellIs" dxfId="407" priority="2" operator="equal">
      <formula>"CUMPLE"</formula>
    </cfRule>
    <cfRule type="cellIs" dxfId="406" priority="3" operator="equal">
      <formula>100</formula>
    </cfRule>
  </conditionalFormatting>
  <conditionalFormatting sqref="P24">
    <cfRule type="cellIs" dxfId="405" priority="68" operator="equal">
      <formula>"NO CUMPLE"</formula>
    </cfRule>
    <cfRule type="cellIs" dxfId="404" priority="69" operator="equal">
      <formula>"CUMPLE"</formula>
    </cfRule>
    <cfRule type="cellIs" dxfId="403" priority="70" operator="equal">
      <formula>100</formula>
    </cfRule>
  </conditionalFormatting>
  <conditionalFormatting sqref="P36:P46">
    <cfRule type="cellIs" dxfId="402" priority="44" operator="equal">
      <formula>"NO CUMPLE"</formula>
    </cfRule>
    <cfRule type="cellIs" dxfId="401" priority="45" operator="equal">
      <formula>"CUMPLE"</formula>
    </cfRule>
    <cfRule type="cellIs" dxfId="400" priority="46" operator="equal">
      <formula>100</formula>
    </cfRule>
  </conditionalFormatting>
  <conditionalFormatting sqref="R60:T60">
    <cfRule type="cellIs" dxfId="399" priority="42" operator="lessThan">
      <formula>100</formula>
    </cfRule>
    <cfRule type="cellIs" dxfId="398" priority="43" operator="equal">
      <formula>100</formula>
    </cfRule>
  </conditionalFormatting>
  <dataValidations disablePrompts="1" count="7">
    <dataValidation type="list" allowBlank="1" showInputMessage="1" showErrorMessage="1" sqref="M37:O37" xr:uid="{E46F5AF8-7C72-4AD0-B52B-C117435E3CAF}">
      <formula1>$U$1:$U$2</formula1>
    </dataValidation>
    <dataValidation type="list" allowBlank="1" showInputMessage="1" showErrorMessage="1" sqref="G22:H22" xr:uid="{F18120C4-1AA5-4E7E-955A-0A7D461A5893}">
      <formula1>$Q$2:$Q$3</formula1>
    </dataValidation>
    <dataValidation type="list" allowBlank="1" showInputMessage="1" showErrorMessage="1" sqref="O36:O38" xr:uid="{76DE81AE-1EEC-4DD8-87D1-14D17A8BC9F8}">
      <formula1>$R$4:$R$5</formula1>
    </dataValidation>
    <dataValidation type="list" allowBlank="1" showInputMessage="1" showErrorMessage="1" error="SELECCIONE EL PRESUPUESTO A EVALUAR, EN LA LISTA DESPEGABLE._x000a_" sqref="I11:I12 J12:K12" xr:uid="{83038293-4D84-4331-A4DF-03CCBA1E19AB}">
      <formula1>$A$75:$A$82</formula1>
    </dataValidation>
    <dataValidation type="list" allowBlank="1" showInputMessage="1" showErrorMessage="1" sqref="A3" xr:uid="{31618088-0B45-4EAD-98AF-8E0A0A26333B}">
      <formula1>$C$75:$C$82</formula1>
    </dataValidation>
    <dataValidation type="list" allowBlank="1" showInputMessage="1" showErrorMessage="1" sqref="V1:V2" xr:uid="{31E96767-92A5-4386-84E6-D3C72A57413E}">
      <formula1>$V$1:$V$2</formula1>
    </dataValidation>
    <dataValidation type="list" allowBlank="1" showInputMessage="1" showErrorMessage="1" sqref="J60:L60 I59:I60 O46" xr:uid="{88D159DF-7BB3-4258-82B7-A58C3626B445}">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9B413-E04B-4936-B3B9-BDB71E884E30}">
  <sheetPr>
    <tabColor rgb="FFFF0000"/>
  </sheetPr>
  <dimension ref="A1:AC95"/>
  <sheetViews>
    <sheetView view="pageBreakPreview" topLeftCell="A59" zoomScale="70" zoomScaleNormal="63" zoomScaleSheetLayoutView="70" workbookViewId="0">
      <selection activeCell="A62" sqref="A62:O64"/>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50.7109375"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5</v>
      </c>
      <c r="B4" s="233" t="str">
        <f>_xlfn.XLOOKUP(A4,RESUMEN!$A$3:$A$19,RESUMEN!$C$3:$C$19)</f>
        <v>Consorcio AERO MANTENIMIENTO</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57" t="s">
        <v>177</v>
      </c>
      <c r="J5" s="357"/>
      <c r="K5" s="357"/>
      <c r="L5" s="357"/>
      <c r="M5" s="357"/>
      <c r="N5" s="358"/>
      <c r="O5" s="11">
        <v>0.5</v>
      </c>
      <c r="P5" s="2">
        <f>+I7</f>
        <v>0</v>
      </c>
      <c r="R5" s="2">
        <v>0</v>
      </c>
    </row>
    <row r="6" spans="1:23" ht="20.25" customHeight="1">
      <c r="A6" s="232"/>
      <c r="B6" s="236"/>
      <c r="C6" s="237"/>
      <c r="D6" s="237"/>
      <c r="E6" s="238"/>
      <c r="F6" s="236"/>
      <c r="G6" s="237"/>
      <c r="H6" s="238"/>
      <c r="I6" s="244" t="s">
        <v>178</v>
      </c>
      <c r="J6" s="244"/>
      <c r="K6" s="244"/>
      <c r="L6" s="244"/>
      <c r="M6" s="244"/>
      <c r="N6" s="245"/>
      <c r="O6" s="11">
        <v>0.5</v>
      </c>
      <c r="P6" s="2" t="str">
        <f t="shared" ref="P6:P9" si="0">+I6</f>
        <v>SIRIUS INGENIERIA SAS NIT:901259306-1</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9" ht="133.9" customHeight="1">
      <c r="A17" s="359">
        <f>+M11*H10</f>
        <v>3586.2013419230771</v>
      </c>
      <c r="B17" s="147" t="s">
        <v>100</v>
      </c>
      <c r="C17" s="148" t="s">
        <v>179</v>
      </c>
      <c r="D17" s="148" t="s">
        <v>180</v>
      </c>
      <c r="E17" s="170" t="s">
        <v>181</v>
      </c>
      <c r="F17" s="148" t="s">
        <v>182</v>
      </c>
      <c r="G17" s="64" t="s">
        <v>182</v>
      </c>
      <c r="H17" s="64" t="s">
        <v>64</v>
      </c>
      <c r="I17" s="148" t="s">
        <v>183</v>
      </c>
      <c r="J17" s="146">
        <v>43131</v>
      </c>
      <c r="K17" s="145">
        <f>L17*W21</f>
        <v>2047752468.3</v>
      </c>
      <c r="L17" s="66">
        <v>2621.15</v>
      </c>
      <c r="M17" s="65">
        <v>1</v>
      </c>
      <c r="N17" s="88">
        <f>L17*M17</f>
        <v>2621.15</v>
      </c>
      <c r="O17" s="89" t="str">
        <f>+IF(AND(H17="SI",G17="SI"),"CUMPLE","NO CUMPLE")</f>
        <v>CUMPLE</v>
      </c>
      <c r="P17" s="4"/>
      <c r="Q17" s="4"/>
      <c r="R17" s="135">
        <f>+(N17+N19+N21)/A17</f>
        <v>0.95746436761933795</v>
      </c>
      <c r="S17" s="4"/>
      <c r="T17" s="69"/>
      <c r="V17" s="39">
        <v>2021</v>
      </c>
      <c r="W17" s="40">
        <v>908526</v>
      </c>
    </row>
    <row r="18" spans="1:29" ht="133.9" customHeight="1">
      <c r="A18" s="359"/>
      <c r="B18" s="147" t="s">
        <v>105</v>
      </c>
      <c r="C18" s="148" t="s">
        <v>184</v>
      </c>
      <c r="D18" s="148" t="s">
        <v>185</v>
      </c>
      <c r="E18" s="171" t="s">
        <v>186</v>
      </c>
      <c r="F18" s="148" t="s">
        <v>182</v>
      </c>
      <c r="G18" s="64" t="s">
        <v>182</v>
      </c>
      <c r="H18" s="64" t="s">
        <v>64</v>
      </c>
      <c r="I18" s="148" t="s">
        <v>187</v>
      </c>
      <c r="J18" s="146">
        <v>44916</v>
      </c>
      <c r="K18" s="145">
        <f>L18*W16</f>
        <v>871670000</v>
      </c>
      <c r="L18" s="66">
        <v>871.67</v>
      </c>
      <c r="M18" s="65">
        <v>1</v>
      </c>
      <c r="N18" s="88">
        <f>L18*M18</f>
        <v>871.67</v>
      </c>
      <c r="O18" s="89" t="str">
        <f>+IF(AND(H18="SI",G18="SI"),"CUMPLE","NO CUMPLE")</f>
        <v>CUMPLE</v>
      </c>
      <c r="P18" s="4"/>
      <c r="Q18" s="4"/>
      <c r="R18" s="135">
        <f>+N18/A17</f>
        <v>0.24306220339892368</v>
      </c>
      <c r="S18" s="4"/>
      <c r="T18" s="69">
        <v>120701530</v>
      </c>
      <c r="V18" s="96"/>
      <c r="W18" s="97"/>
    </row>
    <row r="19" spans="1:29" ht="157.69999999999999" customHeight="1">
      <c r="A19" s="359"/>
      <c r="B19" s="147" t="s">
        <v>109</v>
      </c>
      <c r="C19" s="148" t="s">
        <v>188</v>
      </c>
      <c r="D19" s="148" t="s">
        <v>189</v>
      </c>
      <c r="E19" s="169" t="s">
        <v>190</v>
      </c>
      <c r="F19" s="148" t="s">
        <v>182</v>
      </c>
      <c r="G19" s="64" t="s">
        <v>182</v>
      </c>
      <c r="H19" s="64" t="s">
        <v>64</v>
      </c>
      <c r="I19" s="148" t="s">
        <v>187</v>
      </c>
      <c r="J19" s="146">
        <v>44905</v>
      </c>
      <c r="K19" s="145">
        <f>L19*W16</f>
        <v>765240000</v>
      </c>
      <c r="L19" s="66">
        <v>765.24</v>
      </c>
      <c r="M19" s="65">
        <v>1</v>
      </c>
      <c r="N19" s="88">
        <f>L19*M19</f>
        <v>765.24</v>
      </c>
      <c r="O19" s="89" t="str">
        <f t="shared" ref="O19:O23" si="1">+IF(AND(H19="SI",G19="SI"),"CUMPLE","NO CUMPLE")</f>
        <v>CUMPLE</v>
      </c>
      <c r="P19" s="4"/>
      <c r="Q19" s="4"/>
      <c r="R19" s="37"/>
      <c r="S19" s="4">
        <f>+K19/L19</f>
        <v>1000000</v>
      </c>
      <c r="T19" s="69">
        <f>+T18/S19</f>
        <v>120.70153000000001</v>
      </c>
      <c r="V19" s="38">
        <v>2020</v>
      </c>
      <c r="W19" s="41">
        <v>877803</v>
      </c>
    </row>
    <row r="20" spans="1:29" ht="72.75" customHeight="1">
      <c r="A20" s="359"/>
      <c r="B20" s="147" t="s">
        <v>112</v>
      </c>
      <c r="C20" s="148" t="s">
        <v>191</v>
      </c>
      <c r="D20" s="148" t="s">
        <v>192</v>
      </c>
      <c r="E20" s="172" t="s">
        <v>193</v>
      </c>
      <c r="F20" s="151" t="s">
        <v>182</v>
      </c>
      <c r="G20" s="64" t="s">
        <v>182</v>
      </c>
      <c r="H20" s="64" t="s">
        <v>64</v>
      </c>
      <c r="I20" s="148" t="s">
        <v>183</v>
      </c>
      <c r="J20" s="146">
        <v>44902</v>
      </c>
      <c r="K20" s="145">
        <f>W16</f>
        <v>1000000</v>
      </c>
      <c r="L20" s="66">
        <v>812.58</v>
      </c>
      <c r="M20" s="65">
        <v>1</v>
      </c>
      <c r="N20" s="88">
        <f t="shared" ref="N20:N23" si="2">IF(AND(G20="SI",H20="SI"),(L20*M20),0)</f>
        <v>812.58</v>
      </c>
      <c r="O20" s="89" t="str">
        <f t="shared" si="1"/>
        <v>CUMPLE</v>
      </c>
      <c r="P20" s="4"/>
      <c r="Q20" s="4"/>
      <c r="R20" s="135">
        <f>+N20/A17</f>
        <v>0.22658515864707679</v>
      </c>
      <c r="S20" s="67"/>
      <c r="T20" s="69">
        <f>870000000+85105216+1552307270+617918154+295489219</f>
        <v>3420819859</v>
      </c>
      <c r="V20" s="38">
        <v>2019</v>
      </c>
      <c r="W20" s="41">
        <v>828116</v>
      </c>
    </row>
    <row r="21" spans="1:29" ht="74.25" customHeight="1">
      <c r="A21" s="359"/>
      <c r="B21" s="147" t="s">
        <v>113</v>
      </c>
      <c r="C21" s="148" t="s">
        <v>194</v>
      </c>
      <c r="D21" s="64" t="s">
        <v>101</v>
      </c>
      <c r="E21" s="174" t="s">
        <v>195</v>
      </c>
      <c r="F21" s="151" t="s">
        <v>182</v>
      </c>
      <c r="G21" s="64" t="s">
        <v>182</v>
      </c>
      <c r="H21" s="64" t="s">
        <v>64</v>
      </c>
      <c r="I21" s="151" t="s">
        <v>183</v>
      </c>
      <c r="J21" s="146">
        <v>42930</v>
      </c>
      <c r="K21" s="155">
        <f>L21*W22</f>
        <v>34871882.590000004</v>
      </c>
      <c r="L21" s="64">
        <v>47.27</v>
      </c>
      <c r="M21" s="65">
        <v>1</v>
      </c>
      <c r="N21" s="88">
        <f t="shared" si="2"/>
        <v>47.27</v>
      </c>
      <c r="O21" s="89" t="str">
        <f t="shared" si="1"/>
        <v>CUMPLE</v>
      </c>
      <c r="P21" s="4"/>
      <c r="Q21" s="4"/>
      <c r="R21" s="37"/>
      <c r="S21" s="67">
        <f>+K21/L21</f>
        <v>737717</v>
      </c>
      <c r="T21" s="136">
        <f>+T20/S21</f>
        <v>4637.035420086564</v>
      </c>
      <c r="V21" s="38">
        <v>2018</v>
      </c>
      <c r="W21" s="41">
        <v>781242</v>
      </c>
    </row>
    <row r="22" spans="1:29" ht="74.25" customHeight="1">
      <c r="A22" s="359"/>
      <c r="B22" s="153" t="s">
        <v>114</v>
      </c>
      <c r="C22" s="167" t="s">
        <v>196</v>
      </c>
      <c r="D22" s="165" t="s">
        <v>101</v>
      </c>
      <c r="E22" s="174" t="s">
        <v>197</v>
      </c>
      <c r="F22" s="151" t="s">
        <v>182</v>
      </c>
      <c r="G22" s="149" t="s">
        <v>182</v>
      </c>
      <c r="H22" s="158" t="s">
        <v>64</v>
      </c>
      <c r="I22" s="151" t="s">
        <v>198</v>
      </c>
      <c r="J22" s="154">
        <v>45314</v>
      </c>
      <c r="K22" s="155">
        <f>L22*W13</f>
        <v>626795000</v>
      </c>
      <c r="L22" s="156">
        <v>482.15</v>
      </c>
      <c r="M22" s="159">
        <v>1</v>
      </c>
      <c r="N22" s="157">
        <f>IF(AND(G22="SI",H22="SI"),(L22*M22),0)</f>
        <v>482.15</v>
      </c>
      <c r="O22" s="160" t="str">
        <f>+IF(AND(H22="SI",G22="SI"),"CUMPLE","NO CUMPLE")</f>
        <v>CUMPLE</v>
      </c>
      <c r="P22" s="161"/>
      <c r="Q22" s="161"/>
      <c r="R22" s="162" t="e">
        <f>+N22/A16</f>
        <v>#VALUE!</v>
      </c>
      <c r="S22" s="161"/>
      <c r="T22" s="26"/>
      <c r="U22" s="152"/>
      <c r="V22" s="163">
        <v>2017</v>
      </c>
      <c r="W22" s="164">
        <v>737717</v>
      </c>
      <c r="X22" s="152"/>
      <c r="Y22" s="152"/>
      <c r="Z22" s="152"/>
      <c r="AA22" s="152"/>
      <c r="AB22" s="152"/>
      <c r="AC22" s="152"/>
    </row>
    <row r="23" spans="1:29" ht="42.95" customHeight="1">
      <c r="A23" s="359"/>
      <c r="B23" s="147" t="s">
        <v>199</v>
      </c>
      <c r="C23" s="150" t="s">
        <v>200</v>
      </c>
      <c r="D23" s="166" t="s">
        <v>201</v>
      </c>
      <c r="E23" s="173" t="s">
        <v>202</v>
      </c>
      <c r="F23" s="151" t="s">
        <v>182</v>
      </c>
      <c r="G23" s="149" t="s">
        <v>182</v>
      </c>
      <c r="H23" s="68" t="s">
        <v>64</v>
      </c>
      <c r="I23" s="151" t="s">
        <v>183</v>
      </c>
      <c r="J23" s="146">
        <v>44195</v>
      </c>
      <c r="K23" s="155">
        <f>W23*W19</f>
        <v>647570195751</v>
      </c>
      <c r="L23" s="156">
        <v>642.66</v>
      </c>
      <c r="M23" s="35">
        <v>0.9</v>
      </c>
      <c r="N23" s="88">
        <f t="shared" si="2"/>
        <v>578.39400000000001</v>
      </c>
      <c r="O23" s="89" t="str">
        <f t="shared" si="1"/>
        <v>CUMPLE</v>
      </c>
      <c r="P23" s="4"/>
      <c r="Q23" s="4"/>
      <c r="R23" s="135">
        <f>+N23/A17</f>
        <v>0.16128319211710518</v>
      </c>
      <c r="S23" s="4"/>
      <c r="T23" s="27"/>
      <c r="V23" s="38">
        <v>2017</v>
      </c>
      <c r="W23" s="41">
        <v>737717</v>
      </c>
    </row>
    <row r="24" spans="1:29" ht="27.95" customHeight="1">
      <c r="A24" s="273"/>
      <c r="B24" s="273"/>
      <c r="C24" s="273"/>
      <c r="D24" s="273"/>
      <c r="E24" s="273"/>
      <c r="F24" s="273"/>
      <c r="G24" s="273"/>
      <c r="H24" s="273"/>
      <c r="I24" s="273"/>
      <c r="J24" s="273"/>
      <c r="K24" s="273"/>
      <c r="L24" s="273"/>
      <c r="M24" s="274"/>
      <c r="N24" s="34">
        <f>SUM(N17:N23)</f>
        <v>6178.4540000000006</v>
      </c>
      <c r="O24" s="54" t="str">
        <f>+IF(OR(O18="CUMPLE",O23="CUMPLE",O21="CUMPLE",O20="CUMPLE",O19="CUMPLE",O17="CUMPLE")*AND(N24&gt;=A17),"CUMPLE","NO CUMPLE")</f>
        <v>CUMPLE</v>
      </c>
      <c r="P24" s="4"/>
      <c r="Q24" s="4"/>
      <c r="R24" s="4"/>
      <c r="S24" s="4"/>
      <c r="T24" s="27"/>
      <c r="V24" s="38">
        <v>2015</v>
      </c>
      <c r="W24" s="41">
        <v>644350</v>
      </c>
    </row>
    <row r="25" spans="1:29" ht="36" customHeight="1">
      <c r="A25" s="264" t="s">
        <v>115</v>
      </c>
      <c r="B25" s="265"/>
      <c r="C25" s="265"/>
      <c r="D25" s="265"/>
      <c r="E25" s="265"/>
      <c r="F25" s="265"/>
      <c r="G25" s="265"/>
      <c r="H25" s="265"/>
      <c r="I25" s="265"/>
      <c r="J25" s="265"/>
      <c r="K25" s="265"/>
      <c r="L25" s="265"/>
      <c r="M25" s="275"/>
      <c r="P25" s="10"/>
      <c r="Q25" s="4"/>
      <c r="S25" s="4"/>
      <c r="T25" s="28"/>
      <c r="V25" s="38">
        <v>2014</v>
      </c>
      <c r="W25" s="41">
        <v>616000</v>
      </c>
    </row>
    <row r="26" spans="1:29" ht="29.45" customHeight="1">
      <c r="A26" s="247" t="s">
        <v>116</v>
      </c>
      <c r="B26" s="248"/>
      <c r="C26" s="248"/>
      <c r="D26" s="248"/>
      <c r="E26" s="248"/>
      <c r="F26" s="248"/>
      <c r="G26" s="248"/>
      <c r="H26" s="248"/>
      <c r="I26" s="248"/>
      <c r="J26" s="248"/>
      <c r="K26" s="248"/>
      <c r="L26" s="248"/>
      <c r="M26" s="248"/>
      <c r="N26" s="248"/>
      <c r="O26" s="249"/>
      <c r="V26" s="2">
        <v>2007</v>
      </c>
      <c r="W26" s="2">
        <v>433700</v>
      </c>
    </row>
    <row r="27" spans="1:29" ht="211.9" customHeight="1">
      <c r="A27" s="268" t="s">
        <v>338</v>
      </c>
      <c r="B27" s="269"/>
      <c r="C27" s="269"/>
      <c r="D27" s="269"/>
      <c r="E27" s="269"/>
      <c r="F27" s="269"/>
      <c r="G27" s="269"/>
      <c r="H27" s="269"/>
      <c r="I27" s="269"/>
      <c r="J27" s="269"/>
      <c r="K27" s="269"/>
      <c r="L27" s="269"/>
      <c r="M27" s="269"/>
      <c r="N27" s="269"/>
      <c r="O27" s="270"/>
      <c r="T27" s="26"/>
      <c r="V27" s="2">
        <v>2023</v>
      </c>
      <c r="W27" s="2">
        <v>1160000</v>
      </c>
    </row>
    <row r="28" spans="1:29" ht="91.15" customHeight="1">
      <c r="A28" s="84" t="s">
        <v>117</v>
      </c>
      <c r="B28" s="85" t="s">
        <v>86</v>
      </c>
      <c r="C28" s="72" t="s">
        <v>87</v>
      </c>
      <c r="D28" s="72" t="s">
        <v>88</v>
      </c>
      <c r="E28" s="72"/>
      <c r="F28" s="72" t="s">
        <v>90</v>
      </c>
      <c r="G28" s="86" t="s">
        <v>91</v>
      </c>
      <c r="H28" s="33" t="s">
        <v>92</v>
      </c>
      <c r="I28" s="33" t="s">
        <v>93</v>
      </c>
      <c r="J28" s="33" t="s">
        <v>94</v>
      </c>
      <c r="K28" s="33" t="s">
        <v>118</v>
      </c>
      <c r="L28" s="72" t="s">
        <v>96</v>
      </c>
      <c r="M28" s="72" t="s">
        <v>97</v>
      </c>
      <c r="N28" s="72" t="s">
        <v>98</v>
      </c>
      <c r="O28" s="90" t="s">
        <v>99</v>
      </c>
      <c r="P28" s="4"/>
      <c r="Q28" s="4"/>
      <c r="R28" s="36"/>
      <c r="S28" s="36"/>
      <c r="T28" s="27"/>
      <c r="V28" s="2">
        <v>2022</v>
      </c>
      <c r="W28" s="2">
        <v>1000000</v>
      </c>
    </row>
    <row r="29" spans="1:29" ht="145.5" customHeight="1" thickBot="1">
      <c r="A29" s="276">
        <f>A17*50%</f>
        <v>1793.1006709615385</v>
      </c>
      <c r="B29" s="147" t="s">
        <v>100</v>
      </c>
      <c r="C29" s="151" t="s">
        <v>194</v>
      </c>
      <c r="D29" s="149" t="s">
        <v>101</v>
      </c>
      <c r="E29" s="174" t="s">
        <v>195</v>
      </c>
      <c r="F29" s="148" t="s">
        <v>182</v>
      </c>
      <c r="G29" s="64" t="s">
        <v>182</v>
      </c>
      <c r="H29" s="64" t="s">
        <v>64</v>
      </c>
      <c r="I29" s="148" t="s">
        <v>183</v>
      </c>
      <c r="J29" s="146">
        <v>42930</v>
      </c>
      <c r="K29" s="145">
        <f>L29*W23</f>
        <v>34871882.590000004</v>
      </c>
      <c r="L29" s="149">
        <v>47.27</v>
      </c>
      <c r="M29" s="65">
        <v>1</v>
      </c>
      <c r="N29" s="88">
        <f>L29*M29</f>
        <v>47.27</v>
      </c>
      <c r="O29" s="89" t="str">
        <f>+IF(AND(H29="SI",G29="SI"),"CUMPLE","NO CUMPLE")</f>
        <v>CUMPLE</v>
      </c>
      <c r="P29" s="4"/>
      <c r="Q29" s="4"/>
      <c r="R29" s="36"/>
      <c r="S29" s="36"/>
      <c r="T29" s="27"/>
    </row>
    <row r="30" spans="1:29" ht="143.44999999999999" customHeight="1" thickTop="1" thickBot="1">
      <c r="A30" s="277"/>
      <c r="B30" s="147" t="s">
        <v>105</v>
      </c>
      <c r="C30" s="148" t="s">
        <v>179</v>
      </c>
      <c r="D30" s="148" t="s">
        <v>180</v>
      </c>
      <c r="E30" s="170" t="s">
        <v>181</v>
      </c>
      <c r="F30" s="148" t="s">
        <v>182</v>
      </c>
      <c r="G30" s="64" t="s">
        <v>182</v>
      </c>
      <c r="H30" s="64" t="s">
        <v>64</v>
      </c>
      <c r="I30" s="148" t="s">
        <v>183</v>
      </c>
      <c r="J30" s="146">
        <v>43131</v>
      </c>
      <c r="K30" s="145">
        <f>L30*W34</f>
        <v>1614628400</v>
      </c>
      <c r="L30" s="66">
        <v>2621.15</v>
      </c>
      <c r="M30" s="65">
        <v>1</v>
      </c>
      <c r="N30" s="88">
        <f>L30*M30</f>
        <v>2621.15</v>
      </c>
      <c r="O30" s="89" t="str">
        <f>+IF(AND(H30="SI",G30="SI"),"CUMPLE","NO CUMPLE")</f>
        <v>CUMPLE</v>
      </c>
      <c r="P30" s="4"/>
      <c r="Q30" s="4"/>
      <c r="R30" s="37" t="str">
        <f>+IF(OR(O30="CUMPLE")*AND(N30&gt;=$R$16),"CUMPLE","NO CUMPLE")</f>
        <v>CUMPLE</v>
      </c>
      <c r="S30" s="4"/>
      <c r="T30" s="27"/>
      <c r="V30" s="39">
        <v>2021</v>
      </c>
      <c r="W30" s="40">
        <v>908526</v>
      </c>
    </row>
    <row r="31" spans="1:29" ht="27.95" customHeight="1" thickBot="1">
      <c r="A31" s="273"/>
      <c r="B31" s="273"/>
      <c r="C31" s="273"/>
      <c r="D31" s="273"/>
      <c r="E31" s="273"/>
      <c r="F31" s="273"/>
      <c r="G31" s="273"/>
      <c r="H31" s="273"/>
      <c r="I31" s="273"/>
      <c r="J31" s="273"/>
      <c r="K31" s="273"/>
      <c r="L31" s="273"/>
      <c r="M31" s="274"/>
      <c r="N31" s="278"/>
      <c r="O31" s="279"/>
      <c r="P31" s="4"/>
      <c r="Q31" s="4"/>
      <c r="R31" s="4"/>
      <c r="S31" s="4"/>
      <c r="T31" s="27"/>
      <c r="V31" s="38">
        <v>2015</v>
      </c>
      <c r="W31" s="41">
        <v>644350</v>
      </c>
    </row>
    <row r="32" spans="1:29" ht="36" customHeight="1" thickBot="1">
      <c r="A32" s="264" t="s">
        <v>119</v>
      </c>
      <c r="B32" s="265"/>
      <c r="C32" s="265"/>
      <c r="D32" s="265"/>
      <c r="E32" s="265"/>
      <c r="F32" s="265"/>
      <c r="G32" s="265"/>
      <c r="H32" s="265"/>
      <c r="I32" s="265"/>
      <c r="J32" s="265"/>
      <c r="K32" s="265"/>
      <c r="L32" s="265"/>
      <c r="M32" s="275"/>
      <c r="N32" s="34">
        <f>SUM(N30)</f>
        <v>2621.15</v>
      </c>
      <c r="O32" s="54" t="str">
        <f>+IF(AND(O30="CUMPLE",O29="CUMPLE")*AND(N32&gt;=A29),"CUMPLE","NO CUMPLE")</f>
        <v>CUMPLE</v>
      </c>
      <c r="P32" s="10"/>
      <c r="Q32" s="4"/>
      <c r="S32" s="4"/>
      <c r="T32" s="28"/>
      <c r="V32" s="38">
        <v>2014</v>
      </c>
      <c r="W32" s="41">
        <v>616000</v>
      </c>
    </row>
    <row r="33" spans="1:23" ht="36" customHeight="1" thickBot="1">
      <c r="A33" s="55"/>
      <c r="B33" s="56"/>
      <c r="C33" s="56"/>
      <c r="D33" s="56"/>
      <c r="E33" s="56"/>
      <c r="F33" s="56"/>
      <c r="G33" s="56"/>
      <c r="H33" s="56"/>
      <c r="I33" s="56"/>
      <c r="J33" s="56"/>
      <c r="K33" s="56"/>
      <c r="L33" s="56"/>
      <c r="M33" s="56"/>
      <c r="N33" s="34"/>
      <c r="O33" s="54"/>
      <c r="P33" s="10"/>
      <c r="Q33" s="4"/>
      <c r="S33" s="4"/>
      <c r="T33" s="28"/>
      <c r="V33" s="38"/>
      <c r="W33" s="41"/>
    </row>
    <row r="34" spans="1:23" ht="51" customHeight="1" thickBot="1">
      <c r="A34" s="264"/>
      <c r="B34" s="265"/>
      <c r="C34" s="265"/>
      <c r="D34" s="265"/>
      <c r="E34" s="265"/>
      <c r="F34" s="265"/>
      <c r="G34" s="265"/>
      <c r="H34" s="265"/>
      <c r="I34" s="265"/>
      <c r="J34" s="265"/>
      <c r="K34" s="265"/>
      <c r="L34" s="267" t="s">
        <v>120</v>
      </c>
      <c r="M34" s="267"/>
      <c r="N34" s="34">
        <v>0</v>
      </c>
      <c r="O34" s="54" t="str">
        <f>O32</f>
        <v>CUMPLE</v>
      </c>
      <c r="P34" s="10"/>
      <c r="Q34" s="4"/>
      <c r="S34" s="4"/>
      <c r="T34" s="28"/>
      <c r="V34" s="38">
        <v>2014</v>
      </c>
      <c r="W34" s="41">
        <v>616000</v>
      </c>
    </row>
    <row r="35" spans="1:23" ht="27" thickBot="1">
      <c r="A35" s="57"/>
      <c r="B35" s="52"/>
      <c r="C35" s="52"/>
      <c r="D35" s="52"/>
      <c r="E35" s="52"/>
      <c r="F35" s="52"/>
      <c r="G35" s="52"/>
      <c r="H35" s="52"/>
      <c r="I35" s="52"/>
      <c r="J35" s="52"/>
      <c r="K35" s="52"/>
      <c r="L35" s="52"/>
      <c r="M35" s="52"/>
      <c r="N35" s="53"/>
      <c r="O35" s="54"/>
      <c r="P35" s="10"/>
      <c r="Q35" s="4"/>
      <c r="R35" s="4"/>
      <c r="S35" s="4"/>
      <c r="T35" s="4"/>
      <c r="V35" s="38">
        <v>2012</v>
      </c>
      <c r="W35" s="41">
        <v>566700</v>
      </c>
    </row>
    <row r="36" spans="1:23" ht="26.45" customHeight="1" thickBot="1">
      <c r="A36" s="264"/>
      <c r="B36" s="265"/>
      <c r="C36" s="265"/>
      <c r="D36" s="265"/>
      <c r="E36" s="265"/>
      <c r="F36" s="265"/>
      <c r="G36" s="265"/>
      <c r="H36" s="265"/>
      <c r="I36" s="265"/>
      <c r="J36" s="265"/>
      <c r="K36" s="265"/>
      <c r="L36" s="265"/>
      <c r="M36" s="265"/>
      <c r="N36" s="265"/>
      <c r="O36" s="266"/>
      <c r="P36" s="4"/>
      <c r="Q36" s="4"/>
      <c r="R36" s="4"/>
      <c r="S36" s="4"/>
      <c r="T36" s="4"/>
      <c r="V36" s="38">
        <v>2011</v>
      </c>
      <c r="W36" s="41">
        <v>535600</v>
      </c>
    </row>
    <row r="37" spans="1:23" ht="195" customHeight="1" thickBot="1">
      <c r="A37" s="285"/>
      <c r="B37" s="286"/>
      <c r="C37" s="286"/>
      <c r="D37" s="286"/>
      <c r="E37" s="286"/>
      <c r="F37" s="286"/>
      <c r="G37" s="286"/>
      <c r="H37" s="286"/>
      <c r="I37" s="286"/>
      <c r="J37" s="286"/>
      <c r="K37" s="286"/>
      <c r="L37" s="286"/>
      <c r="M37" s="286"/>
      <c r="N37" s="287"/>
      <c r="O37" s="91"/>
      <c r="P37" s="10"/>
      <c r="Q37" s="4"/>
      <c r="R37" s="4"/>
      <c r="S37" s="4"/>
      <c r="T37" s="4"/>
      <c r="V37" s="38">
        <v>2010</v>
      </c>
      <c r="W37" s="41">
        <v>515000</v>
      </c>
    </row>
    <row r="38" spans="1:23" ht="30.75" thickBot="1">
      <c r="A38" s="58"/>
      <c r="B38" s="50"/>
      <c r="C38" s="50"/>
      <c r="D38" s="50"/>
      <c r="E38" s="50"/>
      <c r="F38" s="50"/>
      <c r="G38" s="50"/>
      <c r="H38" s="50"/>
      <c r="I38" s="50"/>
      <c r="J38" s="50"/>
      <c r="K38" s="50"/>
      <c r="L38" s="50"/>
      <c r="M38" s="48"/>
      <c r="N38" s="48"/>
      <c r="O38" s="49"/>
      <c r="P38" s="7"/>
      <c r="Q38" s="8"/>
      <c r="V38" s="38">
        <v>2002</v>
      </c>
      <c r="W38" s="41">
        <v>309000</v>
      </c>
    </row>
    <row r="39" spans="1:23" ht="30.95" customHeight="1" thickBot="1">
      <c r="A39" s="288" t="s">
        <v>121</v>
      </c>
      <c r="B39" s="289"/>
      <c r="C39" s="289"/>
      <c r="D39" s="289"/>
      <c r="E39" s="289"/>
      <c r="F39" s="289"/>
      <c r="G39" s="289"/>
      <c r="H39" s="289"/>
      <c r="I39" s="289"/>
      <c r="J39" s="289"/>
      <c r="K39" s="289"/>
      <c r="L39" s="289"/>
      <c r="M39" s="289"/>
      <c r="N39" s="289"/>
      <c r="O39" s="290"/>
      <c r="P39" s="7"/>
      <c r="Q39" s="8"/>
      <c r="V39" s="38">
        <v>2001</v>
      </c>
      <c r="W39" s="41">
        <v>286000</v>
      </c>
    </row>
    <row r="40" spans="1:23" ht="33.950000000000003" customHeight="1" thickBot="1">
      <c r="A40" s="291" t="s">
        <v>122</v>
      </c>
      <c r="B40" s="292"/>
      <c r="C40" s="293" t="s">
        <v>123</v>
      </c>
      <c r="D40" s="294"/>
      <c r="E40" s="294"/>
      <c r="F40" s="294"/>
      <c r="G40" s="294"/>
      <c r="H40" s="294"/>
      <c r="I40" s="294"/>
      <c r="J40" s="294"/>
      <c r="K40" s="294"/>
      <c r="L40" s="295"/>
      <c r="M40" s="280" t="s">
        <v>120</v>
      </c>
      <c r="N40" s="281"/>
      <c r="O40" s="282"/>
      <c r="P40" s="9"/>
      <c r="Q40" s="8"/>
      <c r="V40" s="38">
        <v>2000</v>
      </c>
      <c r="W40" s="41">
        <v>260100</v>
      </c>
    </row>
    <row r="41" spans="1:23" ht="33.950000000000003" customHeight="1" thickBot="1">
      <c r="A41" s="291"/>
      <c r="B41" s="292"/>
      <c r="C41" s="296"/>
      <c r="D41" s="297"/>
      <c r="E41" s="297"/>
      <c r="F41" s="297"/>
      <c r="G41" s="297"/>
      <c r="H41" s="297"/>
      <c r="I41" s="297"/>
      <c r="J41" s="297"/>
      <c r="K41" s="297"/>
      <c r="L41" s="297"/>
      <c r="M41" s="103" t="s">
        <v>65</v>
      </c>
      <c r="N41" s="104"/>
      <c r="O41" s="105"/>
      <c r="P41" s="9"/>
      <c r="Q41" s="8"/>
      <c r="V41" s="38">
        <v>1999</v>
      </c>
      <c r="W41" s="41">
        <v>236438</v>
      </c>
    </row>
    <row r="42" spans="1:23" ht="31.7" customHeight="1" thickBot="1">
      <c r="A42" s="291"/>
      <c r="B42" s="292"/>
      <c r="C42" s="296"/>
      <c r="D42" s="297"/>
      <c r="E42" s="297"/>
      <c r="F42" s="297"/>
      <c r="G42" s="297"/>
      <c r="H42" s="297"/>
      <c r="I42" s="297"/>
      <c r="J42" s="297"/>
      <c r="K42" s="297"/>
      <c r="L42" s="297"/>
      <c r="M42" s="124"/>
      <c r="N42" s="121"/>
      <c r="O42" s="125"/>
      <c r="P42" s="9"/>
      <c r="Q42" s="8"/>
      <c r="V42" s="38">
        <v>1998</v>
      </c>
      <c r="W42" s="41">
        <v>203825</v>
      </c>
    </row>
    <row r="43" spans="1:23" ht="80.45" customHeight="1" thickBot="1">
      <c r="A43" s="291"/>
      <c r="B43" s="292"/>
      <c r="C43" s="298"/>
      <c r="D43" s="299"/>
      <c r="E43" s="299"/>
      <c r="F43" s="299"/>
      <c r="G43" s="299"/>
      <c r="H43" s="299"/>
      <c r="I43" s="299"/>
      <c r="J43" s="299"/>
      <c r="K43" s="299"/>
      <c r="L43" s="299"/>
      <c r="M43" s="126"/>
      <c r="N43" s="122"/>
      <c r="O43" s="127"/>
      <c r="P43" s="9"/>
      <c r="Q43" s="8"/>
      <c r="V43" s="38">
        <v>1997</v>
      </c>
      <c r="W43" s="41">
        <v>172005</v>
      </c>
    </row>
    <row r="44" spans="1:23" ht="98.45" customHeight="1" thickBot="1">
      <c r="A44" s="300" t="s">
        <v>124</v>
      </c>
      <c r="B44" s="295"/>
      <c r="C44" s="293" t="s">
        <v>125</v>
      </c>
      <c r="D44" s="294"/>
      <c r="E44" s="294"/>
      <c r="F44" s="294"/>
      <c r="G44" s="294"/>
      <c r="H44" s="294"/>
      <c r="I44" s="294"/>
      <c r="J44" s="294"/>
      <c r="K44" s="294"/>
      <c r="L44" s="294"/>
      <c r="M44" s="126"/>
      <c r="N44" s="122"/>
      <c r="O44" s="127"/>
      <c r="P44" s="9"/>
      <c r="Q44" s="8"/>
      <c r="V44" s="38">
        <v>1996</v>
      </c>
      <c r="W44" s="41">
        <v>142125</v>
      </c>
    </row>
    <row r="45" spans="1:23" ht="108.75" customHeight="1">
      <c r="A45" s="301"/>
      <c r="B45" s="302"/>
      <c r="C45" s="298"/>
      <c r="D45" s="299"/>
      <c r="E45" s="299"/>
      <c r="F45" s="299"/>
      <c r="G45" s="299"/>
      <c r="H45" s="299"/>
      <c r="I45" s="299"/>
      <c r="J45" s="299"/>
      <c r="K45" s="299"/>
      <c r="L45" s="299"/>
      <c r="M45" s="128">
        <v>20</v>
      </c>
      <c r="N45" s="123"/>
      <c r="O45" s="129"/>
      <c r="P45" s="9"/>
      <c r="Q45" s="8"/>
      <c r="V45" s="38">
        <v>1996</v>
      </c>
      <c r="W45" s="41">
        <v>142125</v>
      </c>
    </row>
    <row r="46" spans="1:23" ht="193.35" customHeight="1" thickBot="1">
      <c r="A46" s="307"/>
      <c r="B46" s="306"/>
      <c r="C46" s="307" t="s">
        <v>126</v>
      </c>
      <c r="D46" s="284"/>
      <c r="E46" s="284"/>
      <c r="F46" s="284"/>
      <c r="G46" s="284"/>
      <c r="H46" s="284"/>
      <c r="I46" s="284"/>
      <c r="J46" s="284"/>
      <c r="K46" s="284"/>
      <c r="L46" s="284"/>
      <c r="M46" s="130"/>
      <c r="N46" s="131"/>
      <c r="O46" s="132"/>
      <c r="P46" s="9"/>
      <c r="Q46" s="8"/>
      <c r="V46" s="38">
        <v>1996</v>
      </c>
      <c r="W46" s="41">
        <v>142125</v>
      </c>
    </row>
    <row r="47" spans="1:23" ht="18" customHeight="1" thickBot="1">
      <c r="A47" s="61"/>
      <c r="B47" s="62"/>
      <c r="C47" s="59"/>
      <c r="D47" s="59"/>
      <c r="E47" s="59"/>
      <c r="F47" s="59"/>
      <c r="G47" s="59"/>
      <c r="H47" s="59"/>
      <c r="I47" s="59"/>
      <c r="J47" s="59"/>
      <c r="K47" s="59"/>
      <c r="L47" s="59"/>
      <c r="M47" s="59"/>
      <c r="N47" s="60"/>
      <c r="O47" s="54"/>
      <c r="P47" s="10"/>
      <c r="Q47" s="4"/>
      <c r="R47" s="4"/>
      <c r="S47" s="4"/>
      <c r="T47" s="4"/>
      <c r="V47" s="38">
        <v>2009</v>
      </c>
      <c r="W47" s="41">
        <v>496900</v>
      </c>
    </row>
    <row r="48" spans="1:23" ht="28.5" customHeight="1" thickBot="1">
      <c r="A48" s="108" t="s">
        <v>127</v>
      </c>
      <c r="B48" s="109"/>
      <c r="C48" s="109"/>
      <c r="D48" s="109"/>
      <c r="E48" s="109"/>
      <c r="F48" s="109"/>
      <c r="G48" s="109"/>
      <c r="H48" s="109"/>
      <c r="I48" s="109"/>
      <c r="J48" s="109"/>
      <c r="K48" s="109"/>
      <c r="L48" s="109"/>
      <c r="M48" s="109"/>
      <c r="N48" s="109"/>
      <c r="O48" s="110"/>
      <c r="V48" s="38">
        <v>2005</v>
      </c>
      <c r="W48" s="41">
        <v>381500</v>
      </c>
    </row>
    <row r="49" spans="1:23" ht="90" customHeight="1" thickBot="1">
      <c r="A49" s="283" t="s">
        <v>128</v>
      </c>
      <c r="B49" s="284"/>
      <c r="C49" s="284"/>
      <c r="D49" s="284"/>
      <c r="E49" s="284"/>
      <c r="F49" s="284"/>
      <c r="G49" s="284"/>
      <c r="H49" s="284"/>
      <c r="I49" s="284"/>
      <c r="J49" s="284"/>
      <c r="K49" s="284"/>
      <c r="L49" s="284"/>
      <c r="M49" s="280" t="s">
        <v>120</v>
      </c>
      <c r="N49" s="281"/>
      <c r="O49" s="282"/>
      <c r="P49" s="7"/>
      <c r="Q49" s="8"/>
      <c r="V49" s="38">
        <v>2004</v>
      </c>
      <c r="W49" s="41">
        <v>358000</v>
      </c>
    </row>
    <row r="50" spans="1:23" ht="99.75" customHeight="1" thickBot="1">
      <c r="A50" s="283" t="s">
        <v>129</v>
      </c>
      <c r="B50" s="284"/>
      <c r="C50" s="284"/>
      <c r="D50" s="284"/>
      <c r="E50" s="284"/>
      <c r="F50" s="284"/>
      <c r="G50" s="284"/>
      <c r="H50" s="284"/>
      <c r="I50" s="284"/>
      <c r="J50" s="284"/>
      <c r="K50" s="284"/>
      <c r="L50" s="284"/>
      <c r="M50" s="103" t="s">
        <v>65</v>
      </c>
      <c r="N50" s="104"/>
      <c r="O50" s="105"/>
      <c r="P50" s="7"/>
      <c r="Q50" s="8"/>
      <c r="V50" s="38">
        <v>2003</v>
      </c>
      <c r="W50" s="41">
        <v>332000</v>
      </c>
    </row>
    <row r="51" spans="1:23" ht="99.75" customHeight="1" thickBot="1">
      <c r="A51" s="283" t="s">
        <v>130</v>
      </c>
      <c r="B51" s="284"/>
      <c r="C51" s="284"/>
      <c r="D51" s="284"/>
      <c r="E51" s="284"/>
      <c r="F51" s="284"/>
      <c r="G51" s="284"/>
      <c r="H51" s="284"/>
      <c r="I51" s="284"/>
      <c r="J51" s="284"/>
      <c r="K51" s="284"/>
      <c r="L51" s="306"/>
      <c r="M51" s="120">
        <v>1</v>
      </c>
      <c r="N51" s="118"/>
      <c r="O51" s="119"/>
      <c r="P51" s="7"/>
      <c r="Q51" s="8"/>
      <c r="V51" s="38">
        <v>2003</v>
      </c>
      <c r="W51" s="41">
        <v>332000</v>
      </c>
    </row>
    <row r="52" spans="1:23" ht="31.35" customHeight="1" thickBot="1">
      <c r="A52" s="111" t="s">
        <v>131</v>
      </c>
      <c r="B52" s="112"/>
      <c r="C52" s="112"/>
      <c r="D52" s="112"/>
      <c r="E52" s="112"/>
      <c r="F52" s="112"/>
      <c r="G52" s="112"/>
      <c r="H52" s="112"/>
      <c r="I52" s="112"/>
      <c r="J52" s="112"/>
      <c r="K52" s="112"/>
      <c r="L52" s="112"/>
      <c r="M52" s="112"/>
      <c r="N52" s="112"/>
      <c r="O52" s="113"/>
      <c r="P52" s="7"/>
      <c r="Q52" s="8"/>
      <c r="V52" s="38"/>
      <c r="W52" s="41"/>
    </row>
    <row r="53" spans="1:23" ht="99.75" customHeight="1">
      <c r="A53" s="303" t="s">
        <v>132</v>
      </c>
      <c r="B53" s="304"/>
      <c r="C53" s="304"/>
      <c r="D53" s="304"/>
      <c r="E53" s="304"/>
      <c r="F53" s="304"/>
      <c r="G53" s="304"/>
      <c r="H53" s="304"/>
      <c r="I53" s="304"/>
      <c r="J53" s="304"/>
      <c r="K53" s="304"/>
      <c r="L53" s="305"/>
      <c r="M53" s="106" t="s">
        <v>65</v>
      </c>
      <c r="N53" s="107"/>
      <c r="O53" s="70">
        <v>19</v>
      </c>
      <c r="P53" s="7"/>
      <c r="Q53" s="8"/>
      <c r="V53" s="38"/>
      <c r="W53" s="41"/>
    </row>
    <row r="54" spans="1:23" ht="31.35" customHeight="1" thickBot="1">
      <c r="A54" s="114" t="s">
        <v>133</v>
      </c>
      <c r="B54" s="115"/>
      <c r="C54" s="115"/>
      <c r="D54" s="115"/>
      <c r="E54" s="115"/>
      <c r="F54" s="115"/>
      <c r="G54" s="115"/>
      <c r="H54" s="115"/>
      <c r="I54" s="115"/>
      <c r="J54" s="115"/>
      <c r="K54" s="115"/>
      <c r="L54" s="115"/>
      <c r="M54" s="116"/>
      <c r="N54" s="116"/>
      <c r="O54" s="117"/>
      <c r="P54" s="7"/>
      <c r="Q54" s="8"/>
      <c r="V54" s="38"/>
      <c r="W54" s="41"/>
    </row>
    <row r="55" spans="1:23" ht="162.19999999999999" customHeight="1">
      <c r="A55" s="283" t="s">
        <v>134</v>
      </c>
      <c r="B55" s="284"/>
      <c r="C55" s="284"/>
      <c r="D55" s="284"/>
      <c r="E55" s="284"/>
      <c r="F55" s="284"/>
      <c r="G55" s="284"/>
      <c r="H55" s="284"/>
      <c r="I55" s="284"/>
      <c r="J55" s="284"/>
      <c r="K55" s="284"/>
      <c r="L55" s="284"/>
      <c r="M55" s="106" t="s">
        <v>65</v>
      </c>
      <c r="N55" s="107"/>
      <c r="O55" s="70">
        <v>0.25</v>
      </c>
      <c r="P55" s="7"/>
      <c r="Q55" s="8"/>
      <c r="V55" s="38"/>
      <c r="W55" s="41"/>
    </row>
    <row r="56" spans="1:23" ht="29.25" customHeight="1" thickBot="1">
      <c r="A56" s="111" t="s">
        <v>135</v>
      </c>
      <c r="B56" s="112"/>
      <c r="C56" s="112"/>
      <c r="D56" s="112"/>
      <c r="E56" s="112"/>
      <c r="F56" s="112"/>
      <c r="G56" s="112"/>
      <c r="H56" s="112"/>
      <c r="I56" s="112"/>
      <c r="J56" s="112"/>
      <c r="K56" s="112"/>
      <c r="L56" s="112"/>
      <c r="M56" s="116"/>
      <c r="N56" s="116"/>
      <c r="O56" s="117"/>
      <c r="P56" s="7"/>
      <c r="Q56" s="8"/>
      <c r="V56" s="38"/>
      <c r="W56" s="41"/>
    </row>
    <row r="57" spans="1:23" ht="131.85" customHeight="1">
      <c r="A57" s="303" t="s">
        <v>136</v>
      </c>
      <c r="B57" s="304"/>
      <c r="C57" s="304"/>
      <c r="D57" s="304"/>
      <c r="E57" s="304"/>
      <c r="F57" s="304"/>
      <c r="G57" s="304"/>
      <c r="H57" s="304"/>
      <c r="I57" s="304"/>
      <c r="J57" s="304"/>
      <c r="K57" s="304"/>
      <c r="L57" s="305"/>
      <c r="M57" s="106" t="s">
        <v>65</v>
      </c>
      <c r="N57" s="107"/>
      <c r="O57" s="70">
        <v>0.25</v>
      </c>
      <c r="P57" s="7"/>
      <c r="Q57" s="8"/>
      <c r="V57" s="38"/>
      <c r="W57" s="41"/>
    </row>
    <row r="58" spans="1:23" ht="29.25" customHeight="1" thickBot="1">
      <c r="A58" s="114" t="s">
        <v>137</v>
      </c>
      <c r="B58" s="115"/>
      <c r="C58" s="115"/>
      <c r="D58" s="115"/>
      <c r="E58" s="115"/>
      <c r="F58" s="115"/>
      <c r="G58" s="115"/>
      <c r="H58" s="115"/>
      <c r="I58" s="115"/>
      <c r="J58" s="115"/>
      <c r="K58" s="115"/>
      <c r="L58" s="115"/>
      <c r="M58" s="115"/>
      <c r="N58" s="115"/>
      <c r="O58" s="117"/>
      <c r="P58" s="7"/>
      <c r="Q58" s="8"/>
      <c r="V58" s="38"/>
      <c r="W58" s="41"/>
    </row>
    <row r="59" spans="1:23" ht="162.4" customHeight="1">
      <c r="A59" s="300" t="s">
        <v>138</v>
      </c>
      <c r="B59" s="294"/>
      <c r="C59" s="294"/>
      <c r="D59" s="294"/>
      <c r="E59" s="294"/>
      <c r="F59" s="294"/>
      <c r="G59" s="294"/>
      <c r="H59" s="294"/>
      <c r="I59" s="294"/>
      <c r="J59" s="294"/>
      <c r="K59" s="294"/>
      <c r="L59" s="294"/>
      <c r="M59" s="294"/>
      <c r="N59" s="294"/>
      <c r="O59" s="102">
        <v>0</v>
      </c>
      <c r="P59" s="7"/>
      <c r="Q59" s="8"/>
      <c r="V59" s="38"/>
      <c r="W59" s="41"/>
    </row>
    <row r="60" spans="1:23" ht="30.2" customHeight="1" thickBot="1">
      <c r="A60" s="320" t="s">
        <v>99</v>
      </c>
      <c r="B60" s="321"/>
      <c r="C60" s="321"/>
      <c r="D60" s="321"/>
      <c r="E60" s="321"/>
      <c r="F60" s="321"/>
      <c r="G60" s="321"/>
      <c r="H60" s="321"/>
      <c r="I60" s="322" t="s">
        <v>65</v>
      </c>
      <c r="J60" s="323"/>
      <c r="K60" s="323"/>
      <c r="L60" s="323"/>
      <c r="M60" s="323"/>
      <c r="N60" s="323"/>
      <c r="O60" s="324"/>
      <c r="P60" s="9"/>
      <c r="Q60" s="8"/>
      <c r="V60" s="38">
        <v>1995</v>
      </c>
      <c r="W60" s="41">
        <v>118934</v>
      </c>
    </row>
    <row r="61" spans="1:23" ht="34.5" thickBot="1">
      <c r="A61" s="322" t="s">
        <v>139</v>
      </c>
      <c r="B61" s="323"/>
      <c r="C61" s="323"/>
      <c r="D61" s="323"/>
      <c r="E61" s="323"/>
      <c r="F61" s="323"/>
      <c r="G61" s="323"/>
      <c r="H61" s="324"/>
      <c r="I61" s="322" t="s">
        <v>65</v>
      </c>
      <c r="J61" s="323"/>
      <c r="K61" s="323"/>
      <c r="L61" s="324"/>
      <c r="M61" s="308">
        <f>+O57+O55+O53+M51+M45+O59</f>
        <v>40.5</v>
      </c>
      <c r="N61" s="309"/>
      <c r="O61" s="310"/>
      <c r="P61" s="9"/>
      <c r="Q61" s="8"/>
      <c r="R61" s="308"/>
      <c r="S61" s="309"/>
      <c r="T61" s="310"/>
      <c r="V61" s="38">
        <v>1994</v>
      </c>
      <c r="W61" s="41">
        <v>98700</v>
      </c>
    </row>
    <row r="62" spans="1:23" ht="15" customHeight="1">
      <c r="A62" s="360" t="s">
        <v>267</v>
      </c>
      <c r="B62" s="361"/>
      <c r="C62" s="361"/>
      <c r="D62" s="361"/>
      <c r="E62" s="361"/>
      <c r="F62" s="361"/>
      <c r="G62" s="361"/>
      <c r="H62" s="361"/>
      <c r="I62" s="361"/>
      <c r="J62" s="361"/>
      <c r="K62" s="361"/>
      <c r="L62" s="361"/>
      <c r="M62" s="361"/>
      <c r="N62" s="361"/>
      <c r="O62" s="362"/>
      <c r="P62" s="9"/>
      <c r="Q62" s="8"/>
      <c r="V62" s="38">
        <v>1993</v>
      </c>
      <c r="W62" s="41">
        <v>81510</v>
      </c>
    </row>
    <row r="63" spans="1:23" ht="30.95" customHeight="1">
      <c r="A63" s="363"/>
      <c r="B63" s="364"/>
      <c r="C63" s="364"/>
      <c r="D63" s="364"/>
      <c r="E63" s="364"/>
      <c r="F63" s="364"/>
      <c r="G63" s="364"/>
      <c r="H63" s="364"/>
      <c r="I63" s="364"/>
      <c r="J63" s="364"/>
      <c r="K63" s="364"/>
      <c r="L63" s="364"/>
      <c r="M63" s="364"/>
      <c r="N63" s="364"/>
      <c r="O63" s="365"/>
      <c r="P63" s="9"/>
      <c r="Q63" s="8"/>
      <c r="V63" s="38">
        <v>1992</v>
      </c>
      <c r="W63" s="41">
        <v>65190</v>
      </c>
    </row>
    <row r="64" spans="1:23" ht="62.45" customHeight="1">
      <c r="A64" s="366"/>
      <c r="B64" s="367"/>
      <c r="C64" s="367"/>
      <c r="D64" s="367"/>
      <c r="E64" s="367"/>
      <c r="F64" s="367"/>
      <c r="G64" s="367"/>
      <c r="H64" s="367"/>
      <c r="I64" s="367"/>
      <c r="J64" s="367"/>
      <c r="K64" s="367"/>
      <c r="L64" s="367"/>
      <c r="M64" s="367"/>
      <c r="N64" s="367"/>
      <c r="O64" s="368"/>
      <c r="P64" s="9"/>
      <c r="Q64" s="8"/>
      <c r="V64" s="38">
        <v>1991</v>
      </c>
      <c r="W64" s="41">
        <v>51720</v>
      </c>
    </row>
    <row r="65" spans="1:23" ht="18.75" thickBot="1">
      <c r="A65" s="8"/>
      <c r="B65" s="8"/>
      <c r="C65" s="8"/>
      <c r="D65" s="8"/>
      <c r="E65" s="8"/>
      <c r="F65" s="8"/>
      <c r="G65" s="8"/>
      <c r="H65" s="8"/>
      <c r="I65" s="8"/>
      <c r="J65" s="8"/>
      <c r="K65" s="8"/>
      <c r="L65" s="8"/>
      <c r="M65" s="8"/>
      <c r="N65" s="8"/>
      <c r="O65" s="8"/>
      <c r="P65" s="9"/>
      <c r="Q65" s="8"/>
      <c r="V65" s="42">
        <v>1990</v>
      </c>
      <c r="W65" s="43">
        <v>41025</v>
      </c>
    </row>
    <row r="66" spans="1:23">
      <c r="A66" s="8"/>
      <c r="B66" s="8"/>
      <c r="C66" s="8"/>
      <c r="D66" s="8"/>
      <c r="E66" s="8"/>
      <c r="F66" s="8"/>
      <c r="G66" s="8"/>
      <c r="H66" s="8"/>
      <c r="I66" s="8"/>
      <c r="J66" s="8"/>
      <c r="K66" s="8"/>
      <c r="L66" s="8"/>
      <c r="M66" s="8"/>
      <c r="N66" s="8"/>
      <c r="O66" s="8"/>
      <c r="P66" s="9"/>
      <c r="Q66" s="8"/>
    </row>
    <row r="67" spans="1:23">
      <c r="A67" s="8"/>
      <c r="B67" s="8"/>
      <c r="C67" s="8"/>
      <c r="D67" s="8"/>
      <c r="E67" s="8"/>
      <c r="F67" s="8"/>
      <c r="G67" s="8"/>
      <c r="H67" s="8"/>
      <c r="I67" s="8"/>
      <c r="J67" s="8"/>
      <c r="K67" s="8"/>
      <c r="L67" s="8"/>
      <c r="M67" s="8"/>
      <c r="N67" s="8"/>
      <c r="O67" s="8"/>
      <c r="P67" s="9"/>
      <c r="Q67" s="8"/>
    </row>
    <row r="68" spans="1:23">
      <c r="A68" s="25"/>
      <c r="B68" s="8"/>
      <c r="C68" s="8"/>
      <c r="D68" s="8"/>
      <c r="E68" s="8"/>
      <c r="F68" s="8"/>
      <c r="G68" s="8"/>
      <c r="H68" s="8"/>
      <c r="I68" s="8"/>
      <c r="J68" s="8"/>
      <c r="K68" s="8"/>
      <c r="L68" s="8"/>
      <c r="M68" s="8"/>
      <c r="N68" s="8"/>
      <c r="O68" s="8"/>
      <c r="P68" s="9"/>
      <c r="Q68" s="8"/>
    </row>
    <row r="69" spans="1:23">
      <c r="A69" s="25"/>
      <c r="B69" s="8"/>
      <c r="C69" s="8"/>
      <c r="D69" s="8"/>
      <c r="E69" s="8"/>
      <c r="F69" s="8"/>
      <c r="G69" s="8"/>
      <c r="H69" s="8"/>
      <c r="I69" s="8"/>
      <c r="J69" s="8"/>
      <c r="K69" s="8"/>
      <c r="L69" s="8"/>
      <c r="M69" s="8"/>
      <c r="N69" s="8"/>
      <c r="O69" s="8"/>
      <c r="P69" s="9"/>
      <c r="Q69" s="8"/>
    </row>
    <row r="70" spans="1:23">
      <c r="A70" s="25"/>
      <c r="B70" s="8"/>
      <c r="C70" s="8"/>
      <c r="D70" s="8"/>
      <c r="E70" s="8"/>
      <c r="F70" s="8"/>
      <c r="G70" s="8"/>
      <c r="H70" s="8"/>
      <c r="I70" s="8"/>
      <c r="J70" s="8"/>
      <c r="K70" s="8"/>
      <c r="L70" s="8"/>
      <c r="M70" s="8"/>
      <c r="N70" s="8"/>
      <c r="O70" s="8"/>
      <c r="P70" s="9"/>
      <c r="Q70" s="8"/>
    </row>
    <row r="71" spans="1:23">
      <c r="A71" s="25"/>
      <c r="B71" s="8"/>
      <c r="C71" s="8"/>
      <c r="D71" s="8"/>
      <c r="E71" s="8"/>
      <c r="F71" s="8"/>
      <c r="G71" s="8"/>
      <c r="H71" s="8"/>
      <c r="I71" s="8"/>
      <c r="J71" s="8"/>
      <c r="K71" s="8"/>
      <c r="L71" s="8"/>
      <c r="M71" s="8"/>
      <c r="N71" s="8"/>
      <c r="O71" s="8"/>
      <c r="P71" s="9"/>
      <c r="Q71" s="8"/>
    </row>
    <row r="72" spans="1:23">
      <c r="A72" s="8"/>
      <c r="B72" s="8"/>
      <c r="C72" s="8"/>
      <c r="D72" s="8"/>
      <c r="E72" s="8"/>
      <c r="F72" s="8"/>
      <c r="G72" s="8"/>
      <c r="H72" s="8"/>
      <c r="I72" s="8"/>
      <c r="J72" s="8"/>
      <c r="K72" s="8"/>
      <c r="L72" s="8"/>
      <c r="M72" s="8"/>
      <c r="N72" s="8"/>
      <c r="O72" s="8"/>
      <c r="P72" s="9"/>
      <c r="Q72" s="8"/>
    </row>
    <row r="73" spans="1:23">
      <c r="A73" s="8"/>
      <c r="B73" s="8"/>
      <c r="C73" s="8"/>
      <c r="D73" s="8"/>
      <c r="E73" s="8"/>
      <c r="F73" s="8"/>
      <c r="G73" s="8"/>
      <c r="H73" s="8"/>
      <c r="I73" s="8"/>
      <c r="J73" s="8"/>
      <c r="K73" s="8"/>
      <c r="L73" s="8"/>
      <c r="M73" s="8"/>
      <c r="N73" s="8"/>
      <c r="O73" s="8"/>
      <c r="P73" s="9"/>
      <c r="Q73" s="8"/>
    </row>
    <row r="74" spans="1:23">
      <c r="A74" s="8"/>
      <c r="B74" s="8"/>
      <c r="C74" s="8"/>
      <c r="D74" s="8"/>
      <c r="E74" s="8"/>
      <c r="F74" s="8"/>
      <c r="G74" s="8"/>
      <c r="H74" s="8"/>
      <c r="I74" s="8"/>
      <c r="J74" s="8"/>
      <c r="K74" s="8"/>
      <c r="L74" s="8"/>
      <c r="M74" s="8"/>
      <c r="N74" s="8"/>
      <c r="O74" s="8"/>
      <c r="P74" s="9"/>
      <c r="Q74" s="8"/>
    </row>
    <row r="75" spans="1:23">
      <c r="A75" s="8"/>
      <c r="B75" s="8"/>
      <c r="C75" s="8"/>
      <c r="D75" s="8"/>
      <c r="E75" s="8"/>
      <c r="F75" s="8"/>
      <c r="G75" s="8"/>
      <c r="H75" s="8"/>
      <c r="I75" s="8"/>
      <c r="J75" s="8"/>
      <c r="K75" s="8"/>
      <c r="L75" s="8"/>
      <c r="M75" s="8"/>
      <c r="N75" s="8"/>
      <c r="O75" s="8"/>
      <c r="P75" s="9"/>
      <c r="Q75" s="8"/>
    </row>
    <row r="76" spans="1:23" ht="199.5">
      <c r="A76" s="30">
        <v>3108041163</v>
      </c>
      <c r="B76" s="31" t="s">
        <v>140</v>
      </c>
      <c r="C76" s="51" t="s">
        <v>66</v>
      </c>
      <c r="P76" s="9"/>
      <c r="Q76" s="8"/>
    </row>
    <row r="77" spans="1:23">
      <c r="A77" s="32"/>
      <c r="B77" s="31"/>
      <c r="C77" s="31"/>
      <c r="P77" s="9"/>
      <c r="Q77" s="8"/>
    </row>
    <row r="78" spans="1:23">
      <c r="A78" s="32"/>
      <c r="B78" s="31"/>
      <c r="C78" s="31"/>
      <c r="P78" s="9"/>
      <c r="Q78" s="8"/>
    </row>
    <row r="79" spans="1:23">
      <c r="A79" s="14"/>
      <c r="C79" s="13"/>
      <c r="P79" s="9"/>
      <c r="Q79" s="8"/>
    </row>
    <row r="80" spans="1:23">
      <c r="A80" s="14"/>
      <c r="C80" s="13"/>
      <c r="P80" s="9"/>
      <c r="Q80" s="8"/>
    </row>
    <row r="81" spans="1:17">
      <c r="A81" s="14"/>
      <c r="C81" s="13"/>
      <c r="O81" s="3"/>
      <c r="P81" s="8"/>
      <c r="Q81" s="8"/>
    </row>
    <row r="82" spans="1:17">
      <c r="A82" s="14"/>
      <c r="C82" s="13"/>
    </row>
    <row r="83" spans="1:17">
      <c r="A83" s="14"/>
      <c r="C83" s="13"/>
    </row>
    <row r="90" spans="1:17">
      <c r="C90" s="29"/>
    </row>
    <row r="91" spans="1:17">
      <c r="C91" s="29"/>
    </row>
    <row r="93" spans="1:17">
      <c r="C93" s="29"/>
    </row>
    <row r="95" spans="1:17">
      <c r="C95"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1:T61"/>
    <mergeCell ref="A62:O64"/>
    <mergeCell ref="A59:N59"/>
    <mergeCell ref="A60:H60"/>
    <mergeCell ref="I60:O60"/>
    <mergeCell ref="A61:H61"/>
    <mergeCell ref="I61:L61"/>
    <mergeCell ref="M61:O61"/>
    <mergeCell ref="A55:L55"/>
    <mergeCell ref="A57:L57"/>
    <mergeCell ref="A51:L51"/>
    <mergeCell ref="A53:L53"/>
    <mergeCell ref="A46:B46"/>
    <mergeCell ref="C46:L46"/>
    <mergeCell ref="A49:L49"/>
    <mergeCell ref="M49:O49"/>
    <mergeCell ref="A50:L50"/>
    <mergeCell ref="A36:O36"/>
    <mergeCell ref="A37:N37"/>
    <mergeCell ref="A39:O39"/>
    <mergeCell ref="A40:B43"/>
    <mergeCell ref="C40:L43"/>
    <mergeCell ref="M40:O40"/>
    <mergeCell ref="A44:B45"/>
    <mergeCell ref="C44:L45"/>
    <mergeCell ref="A34:K34"/>
    <mergeCell ref="L34:M34"/>
    <mergeCell ref="A15:O15"/>
    <mergeCell ref="U15:U16"/>
    <mergeCell ref="A17:A23"/>
    <mergeCell ref="A24:M24"/>
    <mergeCell ref="A25:M25"/>
    <mergeCell ref="A26:O26"/>
    <mergeCell ref="A27:O27"/>
    <mergeCell ref="A29:A30"/>
    <mergeCell ref="A31:M31"/>
    <mergeCell ref="N31:O31"/>
    <mergeCell ref="A32:M32"/>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60">
    <cfRule type="cellIs" dxfId="397" priority="19" operator="equal">
      <formula>"NO CUMPLE"</formula>
    </cfRule>
    <cfRule type="cellIs" dxfId="396" priority="20" operator="equal">
      <formula>"CUMPLE"</formula>
    </cfRule>
    <cfRule type="cellIs" dxfId="395" priority="21" operator="equal">
      <formula>100</formula>
    </cfRule>
  </conditionalFormatting>
  <conditionalFormatting sqref="I61:L61">
    <cfRule type="cellIs" dxfId="394" priority="28" operator="equal">
      <formula>"NO CUMPLE"</formula>
    </cfRule>
    <cfRule type="cellIs" dxfId="393" priority="29" operator="equal">
      <formula>"CUMPLE"</formula>
    </cfRule>
  </conditionalFormatting>
  <conditionalFormatting sqref="I61:O61">
    <cfRule type="cellIs" dxfId="392" priority="6" operator="equal">
      <formula>100</formula>
    </cfRule>
  </conditionalFormatting>
  <conditionalFormatting sqref="M61:O61">
    <cfRule type="cellIs" dxfId="391" priority="5" operator="lessThan">
      <formula>100</formula>
    </cfRule>
  </conditionalFormatting>
  <conditionalFormatting sqref="O17:O23">
    <cfRule type="containsText" dxfId="390" priority="4" operator="containsText" text="NO CUMPLE">
      <formula>NOT(ISERROR(SEARCH("NO CUMPLE",O17)))</formula>
    </cfRule>
  </conditionalFormatting>
  <conditionalFormatting sqref="O24">
    <cfRule type="cellIs" dxfId="389" priority="25" operator="equal">
      <formula>"NO CUMPLE"</formula>
    </cfRule>
    <cfRule type="cellIs" dxfId="388" priority="26" operator="equal">
      <formula>"CUMPLE"</formula>
    </cfRule>
    <cfRule type="cellIs" dxfId="387" priority="27" operator="equal">
      <formula>100</formula>
    </cfRule>
  </conditionalFormatting>
  <conditionalFormatting sqref="O37:O39">
    <cfRule type="cellIs" dxfId="386" priority="22" operator="equal">
      <formula>"NO CUMPLE"</formula>
    </cfRule>
    <cfRule type="cellIs" dxfId="385" priority="23" operator="equal">
      <formula>"CUMPLE"</formula>
    </cfRule>
    <cfRule type="cellIs" dxfId="384" priority="24" operator="equal">
      <formula>100</formula>
    </cfRule>
  </conditionalFormatting>
  <conditionalFormatting sqref="O47">
    <cfRule type="cellIs" dxfId="383" priority="10" operator="equal">
      <formula>"NO CUMPLE"</formula>
    </cfRule>
    <cfRule type="cellIs" dxfId="382" priority="11" operator="equal">
      <formula>"CUMPLE"</formula>
    </cfRule>
    <cfRule type="cellIs" dxfId="381" priority="12" operator="equal">
      <formula>100</formula>
    </cfRule>
  </conditionalFormatting>
  <conditionalFormatting sqref="O32:P35">
    <cfRule type="cellIs" dxfId="380" priority="1" operator="equal">
      <formula>"NO CUMPLE"</formula>
    </cfRule>
    <cfRule type="cellIs" dxfId="379" priority="2" operator="equal">
      <formula>"CUMPLE"</formula>
    </cfRule>
    <cfRule type="cellIs" dxfId="378" priority="3" operator="equal">
      <formula>100</formula>
    </cfRule>
  </conditionalFormatting>
  <conditionalFormatting sqref="P25">
    <cfRule type="cellIs" dxfId="377" priority="95" operator="equal">
      <formula>"NO CUMPLE"</formula>
    </cfRule>
    <cfRule type="cellIs" dxfId="376" priority="96" operator="equal">
      <formula>"CUMPLE"</formula>
    </cfRule>
    <cfRule type="cellIs" dxfId="375" priority="97" operator="equal">
      <formula>100</formula>
    </cfRule>
  </conditionalFormatting>
  <conditionalFormatting sqref="P37:P47">
    <cfRule type="cellIs" dxfId="374" priority="71" operator="equal">
      <formula>"NO CUMPLE"</formula>
    </cfRule>
    <cfRule type="cellIs" dxfId="373" priority="72" operator="equal">
      <formula>"CUMPLE"</formula>
    </cfRule>
    <cfRule type="cellIs" dxfId="372" priority="73" operator="equal">
      <formula>100</formula>
    </cfRule>
  </conditionalFormatting>
  <conditionalFormatting sqref="R61:T61">
    <cfRule type="cellIs" dxfId="371" priority="69" operator="lessThan">
      <formula>100</formula>
    </cfRule>
    <cfRule type="cellIs" dxfId="370" priority="70" operator="equal">
      <formula>100</formula>
    </cfRule>
  </conditionalFormatting>
  <dataValidations count="7">
    <dataValidation type="list" allowBlank="1" showInputMessage="1" showErrorMessage="1" sqref="M38:O38" xr:uid="{16A19B55-46CE-4CA5-9501-FE7B2A4F1005}">
      <formula1>$U$1:$U$2</formula1>
    </dataValidation>
    <dataValidation type="list" allowBlank="1" showInputMessage="1" showErrorMessage="1" sqref="H22:H23" xr:uid="{BF3B4E7E-CE55-421E-8305-240718E33DBA}">
      <formula1>$Q$2:$Q$3</formula1>
    </dataValidation>
    <dataValidation type="list" allowBlank="1" showInputMessage="1" showErrorMessage="1" sqref="O37:O39" xr:uid="{CA9AF5B5-DCD7-44A3-B0E3-D3B8C57FA2BF}">
      <formula1>$R$4:$R$5</formula1>
    </dataValidation>
    <dataValidation type="list" allowBlank="1" showInputMessage="1" showErrorMessage="1" error="SELECCIONE EL PRESUPUESTO A EVALUAR, EN LA LISTA DESPEGABLE._x000a_" sqref="I11:I12 J12:K12" xr:uid="{C02D317C-EB7A-455B-8EB6-E03A6D9D0773}">
      <formula1>$A$76:$A$83</formula1>
    </dataValidation>
    <dataValidation type="list" allowBlank="1" showInputMessage="1" showErrorMessage="1" sqref="A3" xr:uid="{20C43339-A32C-469D-B9D6-36294E6692E5}">
      <formula1>$C$76:$C$83</formula1>
    </dataValidation>
    <dataValidation type="list" allowBlank="1" showInputMessage="1" showErrorMessage="1" sqref="V1:V2" xr:uid="{9E7CD1C8-60C9-4F9D-8E0F-75C778FA4F78}">
      <formula1>$V$1:$V$2</formula1>
    </dataValidation>
    <dataValidation type="list" allowBlank="1" showInputMessage="1" showErrorMessage="1" sqref="J61:L61 I60:I61 O47" xr:uid="{EE86A73A-7B2E-413C-A78C-80BA1579D2EA}">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6" max="14" man="1"/>
    <brk id="75" max="11"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E9173-2A5E-445F-A5C0-974A9EE606CF}">
  <sheetPr>
    <tabColor rgb="FFFFFF00"/>
  </sheetPr>
  <dimension ref="A1:W96"/>
  <sheetViews>
    <sheetView view="pageBreakPreview" topLeftCell="A52" zoomScale="25" zoomScaleNormal="63" zoomScaleSheetLayoutView="25" workbookViewId="0">
      <selection activeCell="A28" sqref="A28:A29"/>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48.85546875"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6</v>
      </c>
      <c r="B4" s="233" t="str">
        <f>_xlfn.XLOOKUP(A4,RESUMEN!$A$3:$A$19,RESUMEN!$C$3:$C$19)</f>
        <v>CONSORCIO INFRAESTRUCTURA MEJORADA 2025</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57" t="s">
        <v>203</v>
      </c>
      <c r="J5" s="357"/>
      <c r="K5" s="357"/>
      <c r="L5" s="357"/>
      <c r="M5" s="357"/>
      <c r="N5" s="358"/>
      <c r="O5" s="11">
        <v>0.9</v>
      </c>
      <c r="P5" s="2">
        <f>+I7</f>
        <v>0</v>
      </c>
      <c r="R5" s="2">
        <v>0</v>
      </c>
    </row>
    <row r="6" spans="1:23" ht="20.25" customHeight="1">
      <c r="A6" s="232"/>
      <c r="B6" s="236"/>
      <c r="C6" s="237"/>
      <c r="D6" s="237"/>
      <c r="E6" s="238"/>
      <c r="F6" s="236"/>
      <c r="G6" s="237"/>
      <c r="H6" s="238"/>
      <c r="I6" s="244" t="s">
        <v>204</v>
      </c>
      <c r="J6" s="244"/>
      <c r="K6" s="244"/>
      <c r="L6" s="244"/>
      <c r="M6" s="244"/>
      <c r="N6" s="245"/>
      <c r="O6" s="11">
        <v>0.1</v>
      </c>
      <c r="P6" s="2" t="str">
        <f t="shared" ref="P6:P9" si="0">+I6</f>
        <v>CACR INGENIERIA Y CONSTRUCCIONES S.A.S. / NIT: 900.574.256-6</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272">
        <f>+M11*H8</f>
        <v>1793.1006709615385</v>
      </c>
      <c r="B17" s="147" t="s">
        <v>100</v>
      </c>
      <c r="C17" s="64">
        <v>6</v>
      </c>
      <c r="D17" s="148" t="s">
        <v>205</v>
      </c>
      <c r="E17" s="148" t="s">
        <v>206</v>
      </c>
      <c r="F17" s="148" t="s">
        <v>64</v>
      </c>
      <c r="G17" s="64" t="s">
        <v>64</v>
      </c>
      <c r="H17" s="64" t="s">
        <v>64</v>
      </c>
      <c r="I17" s="148" t="s">
        <v>207</v>
      </c>
      <c r="J17" s="146" t="s">
        <v>208</v>
      </c>
      <c r="K17" s="145">
        <v>1462501790.0699999</v>
      </c>
      <c r="L17" s="66">
        <v>2121.2399999999998</v>
      </c>
      <c r="M17" s="65">
        <v>0.99</v>
      </c>
      <c r="N17" s="88">
        <f>L17*M17</f>
        <v>2100.0275999999999</v>
      </c>
      <c r="O17" s="89" t="str">
        <f>+IF(AND(H17="SI",G17="SI"),"CUMPLE","NO CUMPLE")</f>
        <v>CUMPLE</v>
      </c>
      <c r="P17" s="4"/>
      <c r="Q17" s="4"/>
      <c r="R17" s="135">
        <f>+((N17*M17)+N20)/A17</f>
        <v>1.1594593419482326</v>
      </c>
      <c r="S17" s="4"/>
      <c r="T17" s="69"/>
      <c r="V17" s="39">
        <v>2021</v>
      </c>
      <c r="W17" s="40">
        <v>908526</v>
      </c>
    </row>
    <row r="18" spans="1:23" ht="133.9" customHeight="1">
      <c r="A18" s="272"/>
      <c r="B18" s="147" t="s">
        <v>105</v>
      </c>
      <c r="C18" s="64">
        <v>71</v>
      </c>
      <c r="D18" s="148" t="s">
        <v>209</v>
      </c>
      <c r="E18" s="148" t="s">
        <v>210</v>
      </c>
      <c r="F18" s="148" t="s">
        <v>64</v>
      </c>
      <c r="G18" s="64" t="s">
        <v>64</v>
      </c>
      <c r="H18" s="64" t="s">
        <v>64</v>
      </c>
      <c r="I18" s="148" t="s">
        <v>211</v>
      </c>
      <c r="J18" s="146">
        <v>44877</v>
      </c>
      <c r="K18" s="145">
        <v>466069854.07999998</v>
      </c>
      <c r="L18" s="66">
        <v>466.06</v>
      </c>
      <c r="M18" s="65">
        <v>1</v>
      </c>
      <c r="N18" s="88">
        <f>L18*M18</f>
        <v>466.06</v>
      </c>
      <c r="O18" s="89" t="str">
        <f>+IF(AND(H18="SI",G18="SI"),"CUMPLE","NO CUMPLE")</f>
        <v>CUMPLE</v>
      </c>
      <c r="P18" s="4"/>
      <c r="Q18" s="4"/>
      <c r="R18" s="135">
        <f>+(N17*M18)/A17</f>
        <v>1.1711710524729624</v>
      </c>
      <c r="S18" s="4"/>
      <c r="T18" s="69"/>
      <c r="V18" s="96"/>
      <c r="W18" s="97"/>
    </row>
    <row r="19" spans="1:23" ht="133.9" customHeight="1">
      <c r="A19" s="272"/>
      <c r="B19" s="147" t="s">
        <v>109</v>
      </c>
      <c r="C19" s="64"/>
      <c r="D19" s="148"/>
      <c r="E19" s="148"/>
      <c r="F19" s="148"/>
      <c r="G19" s="64"/>
      <c r="H19" s="64"/>
      <c r="I19" s="148"/>
      <c r="J19" s="146"/>
      <c r="K19" s="145"/>
      <c r="L19" s="66"/>
      <c r="M19" s="65"/>
      <c r="N19" s="88">
        <f>L19*M19</f>
        <v>0</v>
      </c>
      <c r="O19" s="89" t="str">
        <f t="shared" ref="O19:O22" si="1">+IF(AND(H19="SI",G19="SI"),"CUMPLE","NO CUMPLE")</f>
        <v>NO CUMPLE</v>
      </c>
      <c r="P19" s="4"/>
      <c r="Q19" s="4"/>
      <c r="R19" s="135">
        <f>((N17*M19)+N21)/A17</f>
        <v>0</v>
      </c>
      <c r="S19" s="4"/>
      <c r="T19" s="69"/>
      <c r="V19" s="96"/>
      <c r="W19" s="97"/>
    </row>
    <row r="20" spans="1:23" ht="133.9" customHeight="1" thickBot="1">
      <c r="A20" s="272"/>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37"/>
      <c r="S20" s="4"/>
      <c r="T20" s="69"/>
      <c r="V20" s="96"/>
      <c r="W20" s="97"/>
    </row>
    <row r="21" spans="1:23" ht="157.69999999999999" customHeight="1" thickBot="1">
      <c r="A21" s="272"/>
      <c r="B21" s="147" t="s">
        <v>113</v>
      </c>
      <c r="C21" s="64"/>
      <c r="D21" s="64"/>
      <c r="E21" s="64"/>
      <c r="F21" s="64"/>
      <c r="G21" s="64"/>
      <c r="H21" s="64"/>
      <c r="I21" s="64"/>
      <c r="J21" s="146"/>
      <c r="K21" s="64"/>
      <c r="L21" s="64"/>
      <c r="M21" s="65"/>
      <c r="N21" s="88">
        <f t="shared" si="2"/>
        <v>0</v>
      </c>
      <c r="O21" s="89" t="str">
        <f t="shared" si="1"/>
        <v>NO CUMPLE</v>
      </c>
      <c r="P21" s="4"/>
      <c r="Q21" s="4"/>
      <c r="R21" s="37"/>
      <c r="S21" s="4"/>
      <c r="T21" s="69"/>
      <c r="V21" s="38">
        <v>2020</v>
      </c>
      <c r="W21" s="41">
        <v>877803</v>
      </c>
    </row>
    <row r="22" spans="1:23" ht="106.5" customHeight="1" thickBot="1">
      <c r="A22" s="272"/>
      <c r="B22" s="147" t="s">
        <v>114</v>
      </c>
      <c r="C22" s="44"/>
      <c r="D22" s="45"/>
      <c r="E22" s="45"/>
      <c r="F22" s="64"/>
      <c r="G22" s="68"/>
      <c r="H22" s="68"/>
      <c r="I22" s="64"/>
      <c r="J22" s="146"/>
      <c r="K22" s="46"/>
      <c r="L22" s="47"/>
      <c r="M22" s="35"/>
      <c r="N22" s="88">
        <f t="shared" si="2"/>
        <v>0</v>
      </c>
      <c r="O22" s="89" t="str">
        <f t="shared" si="1"/>
        <v>NO CUMPLE</v>
      </c>
      <c r="P22" s="4"/>
      <c r="Q22" s="4"/>
      <c r="R22" s="135">
        <f>+N22/A17</f>
        <v>0</v>
      </c>
      <c r="S22" s="67"/>
      <c r="T22" s="69"/>
      <c r="V22" s="38">
        <v>2019</v>
      </c>
      <c r="W22" s="41">
        <v>828116</v>
      </c>
    </row>
    <row r="23" spans="1:23" ht="42.95" customHeight="1" thickBot="1">
      <c r="A23" s="273"/>
      <c r="B23" s="273"/>
      <c r="C23" s="273"/>
      <c r="D23" s="273"/>
      <c r="E23" s="273"/>
      <c r="F23" s="273"/>
      <c r="G23" s="273"/>
      <c r="H23" s="273"/>
      <c r="I23" s="273"/>
      <c r="J23" s="273"/>
      <c r="K23" s="273"/>
      <c r="L23" s="273"/>
      <c r="M23" s="274"/>
      <c r="N23" s="34">
        <f>SUM(N17:N22)</f>
        <v>2566.0875999999998</v>
      </c>
      <c r="O23" s="54" t="str">
        <f>+IF(OR(O18="CUMPLE",O22="CUMPLE",O21="CUMPLE",O20="CUMPLE",O19="CUMPLE",O17="CUMPLE")*AND(N23&gt;=A17),"CUMPLE","NO CUMPLE")</f>
        <v>CUMPLE</v>
      </c>
      <c r="P23" s="4"/>
      <c r="Q23" s="4"/>
      <c r="R23" s="37"/>
      <c r="S23" s="67"/>
      <c r="T23" s="27"/>
      <c r="V23" s="38">
        <v>2018</v>
      </c>
      <c r="W23" s="41">
        <v>781242</v>
      </c>
    </row>
    <row r="24" spans="1:23" ht="42.95" customHeight="1" thickBot="1">
      <c r="A24" s="264" t="s">
        <v>115</v>
      </c>
      <c r="B24" s="265"/>
      <c r="C24" s="265"/>
      <c r="D24" s="265"/>
      <c r="E24" s="265"/>
      <c r="F24" s="265"/>
      <c r="G24" s="265"/>
      <c r="H24" s="265"/>
      <c r="I24" s="265"/>
      <c r="J24" s="265"/>
      <c r="K24" s="265"/>
      <c r="L24" s="265"/>
      <c r="M24" s="275"/>
      <c r="P24" s="4"/>
      <c r="Q24" s="4"/>
      <c r="R24" s="37"/>
      <c r="S24" s="4"/>
      <c r="T24" s="27"/>
      <c r="V24" s="38">
        <v>2017</v>
      </c>
      <c r="W24" s="41">
        <v>737717</v>
      </c>
    </row>
    <row r="25" spans="1:23" ht="27.95" customHeight="1" thickBot="1">
      <c r="A25" s="247" t="s">
        <v>116</v>
      </c>
      <c r="B25" s="248"/>
      <c r="C25" s="248"/>
      <c r="D25" s="248"/>
      <c r="E25" s="248"/>
      <c r="F25" s="248"/>
      <c r="G25" s="248"/>
      <c r="H25" s="248"/>
      <c r="I25" s="248"/>
      <c r="J25" s="248"/>
      <c r="K25" s="248"/>
      <c r="L25" s="248"/>
      <c r="M25" s="248"/>
      <c r="N25" s="248"/>
      <c r="O25" s="249"/>
      <c r="P25" s="4"/>
      <c r="Q25" s="4"/>
      <c r="R25" s="4"/>
      <c r="S25" s="4"/>
      <c r="T25" s="27"/>
      <c r="V25" s="38">
        <v>2015</v>
      </c>
      <c r="W25" s="41">
        <v>644350</v>
      </c>
    </row>
    <row r="26" spans="1:23" ht="36" customHeight="1">
      <c r="A26" s="268" t="s">
        <v>338</v>
      </c>
      <c r="B26" s="269"/>
      <c r="C26" s="269"/>
      <c r="D26" s="269"/>
      <c r="E26" s="269"/>
      <c r="F26" s="269"/>
      <c r="G26" s="269"/>
      <c r="H26" s="269"/>
      <c r="I26" s="269"/>
      <c r="J26" s="269"/>
      <c r="K26" s="269"/>
      <c r="L26" s="269"/>
      <c r="M26" s="269"/>
      <c r="N26" s="269"/>
      <c r="O26" s="270"/>
      <c r="P26" s="10"/>
      <c r="Q26" s="4"/>
      <c r="S26" s="4"/>
      <c r="T26" s="28"/>
      <c r="V26" s="38">
        <v>2014</v>
      </c>
      <c r="W26" s="41">
        <v>616000</v>
      </c>
    </row>
    <row r="27" spans="1:23" ht="29.4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V27" s="2">
        <v>2007</v>
      </c>
      <c r="W27" s="2">
        <v>433700</v>
      </c>
    </row>
    <row r="28" spans="1:23" ht="211.9" customHeight="1">
      <c r="A28" s="276">
        <f>A17*50%</f>
        <v>896.55033548076926</v>
      </c>
      <c r="B28" s="147" t="s">
        <v>100</v>
      </c>
      <c r="C28" s="64">
        <v>71</v>
      </c>
      <c r="D28" s="148" t="s">
        <v>209</v>
      </c>
      <c r="E28" s="148" t="s">
        <v>343</v>
      </c>
      <c r="F28" s="148" t="s">
        <v>64</v>
      </c>
      <c r="G28" s="64" t="s">
        <v>64</v>
      </c>
      <c r="H28" s="64" t="s">
        <v>64</v>
      </c>
      <c r="I28" s="148" t="s">
        <v>211</v>
      </c>
      <c r="J28" s="146">
        <v>44877</v>
      </c>
      <c r="K28" s="145">
        <v>466069854.07999998</v>
      </c>
      <c r="L28" s="66">
        <v>466.06</v>
      </c>
      <c r="M28" s="65">
        <v>1</v>
      </c>
      <c r="N28" s="88">
        <f>L28*M28</f>
        <v>466.06</v>
      </c>
      <c r="O28" s="89" t="str">
        <f>+IF(AND(H28="SI",G28="SI"),"CUMPLE","NO CUMPLE")</f>
        <v>CUMPLE</v>
      </c>
      <c r="T28" s="26"/>
      <c r="V28" s="2">
        <v>2023</v>
      </c>
      <c r="W28" s="2">
        <v>1160000</v>
      </c>
    </row>
    <row r="29" spans="1:23" ht="91.15" customHeight="1">
      <c r="A29" s="277"/>
      <c r="B29" s="147" t="s">
        <v>105</v>
      </c>
      <c r="C29" s="64">
        <v>6</v>
      </c>
      <c r="D29" s="148" t="s">
        <v>205</v>
      </c>
      <c r="E29" s="148" t="s">
        <v>206</v>
      </c>
      <c r="F29" s="148" t="s">
        <v>64</v>
      </c>
      <c r="G29" s="64" t="s">
        <v>64</v>
      </c>
      <c r="H29" s="64" t="s">
        <v>64</v>
      </c>
      <c r="I29" s="148" t="s">
        <v>207</v>
      </c>
      <c r="J29" s="146" t="s">
        <v>208</v>
      </c>
      <c r="K29" s="145">
        <v>1462501790.0699999</v>
      </c>
      <c r="L29" s="66">
        <v>2121.2399999999998</v>
      </c>
      <c r="M29" s="65">
        <v>0.99</v>
      </c>
      <c r="N29" s="88">
        <f>L29*M29</f>
        <v>2100.0275999999999</v>
      </c>
      <c r="O29" s="89" t="str">
        <f>+IF(AND(H29="SI",G29="SI"),"CUMPLE","NO CUMPLE")</f>
        <v>CUMPLE</v>
      </c>
      <c r="P29" s="4"/>
      <c r="Q29" s="4"/>
      <c r="R29" s="36"/>
      <c r="S29" s="36"/>
      <c r="T29" s="27"/>
      <c r="V29" s="2">
        <v>2022</v>
      </c>
      <c r="W29" s="2">
        <v>1000000</v>
      </c>
    </row>
    <row r="30" spans="1:23" ht="145.5" customHeight="1" thickBot="1">
      <c r="A30" s="273"/>
      <c r="B30" s="273"/>
      <c r="C30" s="273"/>
      <c r="D30" s="273"/>
      <c r="E30" s="273"/>
      <c r="F30" s="273"/>
      <c r="G30" s="273"/>
      <c r="H30" s="273"/>
      <c r="I30" s="273"/>
      <c r="J30" s="273"/>
      <c r="K30" s="273"/>
      <c r="L30" s="273"/>
      <c r="M30" s="274"/>
      <c r="N30" s="278"/>
      <c r="O30" s="279"/>
      <c r="P30" s="4"/>
      <c r="Q30" s="4"/>
      <c r="R30" s="36"/>
      <c r="S30" s="36"/>
      <c r="T30" s="27"/>
    </row>
    <row r="31" spans="1:23" ht="143.44999999999999" customHeight="1" thickTop="1" thickBot="1">
      <c r="A31" s="264" t="s">
        <v>119</v>
      </c>
      <c r="B31" s="265"/>
      <c r="C31" s="265"/>
      <c r="D31" s="265"/>
      <c r="E31" s="265"/>
      <c r="F31" s="265"/>
      <c r="G31" s="265"/>
      <c r="H31" s="265"/>
      <c r="I31" s="265"/>
      <c r="J31" s="265"/>
      <c r="K31" s="265"/>
      <c r="L31" s="265"/>
      <c r="M31" s="275"/>
      <c r="N31" s="34">
        <f>SUM(N29)</f>
        <v>2100.0275999999999</v>
      </c>
      <c r="O31" s="54" t="str">
        <f>+IF(AND(O29="CUMPLE",O28="CUMPLE")*AND(N31&gt;=A28),"CUMPLE","NO CUMPLE")</f>
        <v>CUMPLE</v>
      </c>
      <c r="P31" s="4"/>
      <c r="Q31" s="4"/>
      <c r="R31" s="37" t="str">
        <f>+IF(OR(O31="CUMPLE")*AND(N31&gt;=$R$16),"CUMPLE","NO CUMPLE")</f>
        <v>CUMPLE</v>
      </c>
      <c r="S31" s="4"/>
      <c r="T31" s="27"/>
      <c r="V31" s="39">
        <v>2021</v>
      </c>
      <c r="W31" s="40">
        <v>908526</v>
      </c>
    </row>
    <row r="32" spans="1:23" ht="27.95" customHeight="1" thickBot="1">
      <c r="A32" s="55"/>
      <c r="B32" s="56"/>
      <c r="C32" s="56"/>
      <c r="D32" s="56"/>
      <c r="E32" s="56"/>
      <c r="F32" s="56"/>
      <c r="G32" s="56"/>
      <c r="H32" s="56"/>
      <c r="I32" s="56"/>
      <c r="J32" s="56"/>
      <c r="K32" s="56"/>
      <c r="L32" s="56"/>
      <c r="M32" s="56"/>
      <c r="N32" s="34"/>
      <c r="O32" s="54"/>
      <c r="P32" s="4"/>
      <c r="Q32" s="4"/>
      <c r="R32" s="4"/>
      <c r="S32" s="4"/>
      <c r="T32" s="27"/>
      <c r="V32" s="38">
        <v>2015</v>
      </c>
      <c r="W32" s="41">
        <v>644350</v>
      </c>
    </row>
    <row r="33" spans="1:23" ht="36"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36" customHeight="1" thickBot="1">
      <c r="A34" s="57"/>
      <c r="B34" s="52"/>
      <c r="C34" s="52"/>
      <c r="D34" s="52"/>
      <c r="E34" s="52"/>
      <c r="F34" s="52"/>
      <c r="G34" s="52"/>
      <c r="H34" s="52"/>
      <c r="I34" s="52"/>
      <c r="J34" s="52"/>
      <c r="K34" s="52"/>
      <c r="L34" s="52"/>
      <c r="M34" s="52"/>
      <c r="N34" s="53"/>
      <c r="O34" s="54"/>
      <c r="P34" s="10"/>
      <c r="Q34" s="4"/>
      <c r="S34" s="4"/>
      <c r="T34" s="28"/>
      <c r="V34" s="38"/>
      <c r="W34" s="41"/>
    </row>
    <row r="35" spans="1:23" ht="51" customHeight="1" thickBot="1">
      <c r="A35" s="264"/>
      <c r="B35" s="265"/>
      <c r="C35" s="265"/>
      <c r="D35" s="265"/>
      <c r="E35" s="265"/>
      <c r="F35" s="265"/>
      <c r="G35" s="265"/>
      <c r="H35" s="265"/>
      <c r="I35" s="265"/>
      <c r="J35" s="265"/>
      <c r="K35" s="265"/>
      <c r="L35" s="265"/>
      <c r="M35" s="265"/>
      <c r="N35" s="265"/>
      <c r="O35" s="266"/>
      <c r="P35" s="10"/>
      <c r="Q35" s="4"/>
      <c r="S35" s="4"/>
      <c r="T35" s="28"/>
      <c r="V35" s="38">
        <v>2014</v>
      </c>
      <c r="W35" s="41">
        <v>616000</v>
      </c>
    </row>
    <row r="36" spans="1:23" ht="28.5" thickBot="1">
      <c r="A36" s="285"/>
      <c r="B36" s="286"/>
      <c r="C36" s="286"/>
      <c r="D36" s="286"/>
      <c r="E36" s="286"/>
      <c r="F36" s="286"/>
      <c r="G36" s="286"/>
      <c r="H36" s="286"/>
      <c r="I36" s="286"/>
      <c r="J36" s="286"/>
      <c r="K36" s="286"/>
      <c r="L36" s="286"/>
      <c r="M36" s="286"/>
      <c r="N36" s="287"/>
      <c r="O36" s="91"/>
      <c r="P36" s="10"/>
      <c r="Q36" s="4"/>
      <c r="R36" s="4"/>
      <c r="S36" s="4"/>
      <c r="T36" s="4"/>
      <c r="V36" s="38">
        <v>2012</v>
      </c>
      <c r="W36" s="41">
        <v>566700</v>
      </c>
    </row>
    <row r="37" spans="1:23" ht="26.45" customHeight="1" thickBot="1">
      <c r="A37" s="58"/>
      <c r="B37" s="50"/>
      <c r="C37" s="50"/>
      <c r="D37" s="50"/>
      <c r="E37" s="50"/>
      <c r="F37" s="50"/>
      <c r="G37" s="50"/>
      <c r="H37" s="50"/>
      <c r="I37" s="50"/>
      <c r="J37" s="50"/>
      <c r="K37" s="50"/>
      <c r="L37" s="50"/>
      <c r="M37" s="48"/>
      <c r="N37" s="48"/>
      <c r="O37" s="49"/>
      <c r="P37" s="4"/>
      <c r="Q37" s="4"/>
      <c r="R37" s="4"/>
      <c r="S37" s="4"/>
      <c r="T37" s="4"/>
      <c r="V37" s="38">
        <v>2011</v>
      </c>
      <c r="W37" s="41">
        <v>535600</v>
      </c>
    </row>
    <row r="38" spans="1:23" ht="195" customHeight="1" thickBot="1">
      <c r="A38" s="288" t="s">
        <v>121</v>
      </c>
      <c r="B38" s="289"/>
      <c r="C38" s="289"/>
      <c r="D38" s="289"/>
      <c r="E38" s="289"/>
      <c r="F38" s="289"/>
      <c r="G38" s="289"/>
      <c r="H38" s="289"/>
      <c r="I38" s="289"/>
      <c r="J38" s="289"/>
      <c r="K38" s="289"/>
      <c r="L38" s="289"/>
      <c r="M38" s="289"/>
      <c r="N38" s="289"/>
      <c r="O38" s="290"/>
      <c r="P38" s="10"/>
      <c r="Q38" s="4"/>
      <c r="R38" s="4"/>
      <c r="S38" s="4"/>
      <c r="T38" s="4"/>
      <c r="V38" s="38">
        <v>2010</v>
      </c>
      <c r="W38" s="41">
        <v>515000</v>
      </c>
    </row>
    <row r="39" spans="1:23" ht="18.75" customHeight="1" thickBot="1">
      <c r="A39" s="291" t="s">
        <v>122</v>
      </c>
      <c r="B39" s="292"/>
      <c r="C39" s="293" t="s">
        <v>123</v>
      </c>
      <c r="D39" s="294"/>
      <c r="E39" s="294"/>
      <c r="F39" s="294"/>
      <c r="G39" s="294"/>
      <c r="H39" s="294"/>
      <c r="I39" s="294"/>
      <c r="J39" s="294"/>
      <c r="K39" s="294"/>
      <c r="L39" s="295"/>
      <c r="M39" s="280" t="s">
        <v>120</v>
      </c>
      <c r="N39" s="281"/>
      <c r="O39" s="282"/>
      <c r="P39" s="7"/>
      <c r="Q39" s="8"/>
      <c r="V39" s="38">
        <v>2002</v>
      </c>
      <c r="W39" s="41">
        <v>309000</v>
      </c>
    </row>
    <row r="40" spans="1:23" ht="30.95" customHeight="1" thickBot="1">
      <c r="A40" s="291"/>
      <c r="B40" s="292"/>
      <c r="C40" s="296"/>
      <c r="D40" s="297"/>
      <c r="E40" s="297"/>
      <c r="F40" s="297"/>
      <c r="G40" s="297"/>
      <c r="H40" s="297"/>
      <c r="I40" s="297"/>
      <c r="J40" s="297"/>
      <c r="K40" s="297"/>
      <c r="L40" s="297"/>
      <c r="M40" s="103" t="s">
        <v>65</v>
      </c>
      <c r="N40" s="104"/>
      <c r="O40" s="105"/>
      <c r="P40" s="7"/>
      <c r="Q40" s="8"/>
      <c r="V40" s="38">
        <v>2001</v>
      </c>
      <c r="W40" s="41">
        <v>286000</v>
      </c>
    </row>
    <row r="41" spans="1:23" ht="33.950000000000003" customHeight="1" thickBot="1">
      <c r="A41" s="291"/>
      <c r="B41" s="292"/>
      <c r="C41" s="296"/>
      <c r="D41" s="297"/>
      <c r="E41" s="297"/>
      <c r="F41" s="297"/>
      <c r="G41" s="297"/>
      <c r="H41" s="297"/>
      <c r="I41" s="297"/>
      <c r="J41" s="297"/>
      <c r="K41" s="297"/>
      <c r="L41" s="297"/>
      <c r="M41" s="124"/>
      <c r="N41" s="121"/>
      <c r="O41" s="125"/>
      <c r="P41" s="9"/>
      <c r="Q41" s="8"/>
      <c r="V41" s="38">
        <v>2000</v>
      </c>
      <c r="W41" s="41">
        <v>260100</v>
      </c>
    </row>
    <row r="42" spans="1:23" ht="33.950000000000003" customHeight="1" thickBot="1">
      <c r="A42" s="291"/>
      <c r="B42" s="292"/>
      <c r="C42" s="298"/>
      <c r="D42" s="299"/>
      <c r="E42" s="299"/>
      <c r="F42" s="299"/>
      <c r="G42" s="299"/>
      <c r="H42" s="299"/>
      <c r="I42" s="299"/>
      <c r="J42" s="299"/>
      <c r="K42" s="299"/>
      <c r="L42" s="299"/>
      <c r="M42" s="126"/>
      <c r="N42" s="122"/>
      <c r="O42" s="127"/>
      <c r="P42" s="9"/>
      <c r="Q42" s="8"/>
      <c r="V42" s="38">
        <v>1999</v>
      </c>
      <c r="W42" s="41">
        <v>236438</v>
      </c>
    </row>
    <row r="43" spans="1:23" ht="31.7" customHeight="1" thickBot="1">
      <c r="A43" s="300" t="s">
        <v>124</v>
      </c>
      <c r="B43" s="295"/>
      <c r="C43" s="293" t="s">
        <v>125</v>
      </c>
      <c r="D43" s="294"/>
      <c r="E43" s="294"/>
      <c r="F43" s="294"/>
      <c r="G43" s="294"/>
      <c r="H43" s="294"/>
      <c r="I43" s="294"/>
      <c r="J43" s="294"/>
      <c r="K43" s="294"/>
      <c r="L43" s="294"/>
      <c r="M43" s="126"/>
      <c r="N43" s="122"/>
      <c r="O43" s="127"/>
      <c r="P43" s="9"/>
      <c r="Q43" s="8"/>
      <c r="V43" s="38">
        <v>1998</v>
      </c>
      <c r="W43" s="41">
        <v>203825</v>
      </c>
    </row>
    <row r="44" spans="1:23" ht="80.45" customHeight="1">
      <c r="A44" s="301"/>
      <c r="B44" s="302"/>
      <c r="C44" s="298"/>
      <c r="D44" s="299"/>
      <c r="E44" s="299"/>
      <c r="F44" s="299"/>
      <c r="G44" s="299"/>
      <c r="H44" s="299"/>
      <c r="I44" s="299"/>
      <c r="J44" s="299"/>
      <c r="K44" s="299"/>
      <c r="L44" s="299"/>
      <c r="M44" s="128">
        <v>20</v>
      </c>
      <c r="N44" s="123"/>
      <c r="O44" s="129"/>
      <c r="P44" s="9"/>
      <c r="Q44" s="8"/>
      <c r="V44" s="38">
        <v>1997</v>
      </c>
      <c r="W44" s="41">
        <v>172005</v>
      </c>
    </row>
    <row r="45" spans="1:23" ht="98.4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08.75" customHeight="1" thickBot="1">
      <c r="A46" s="61"/>
      <c r="B46" s="62"/>
      <c r="C46" s="59"/>
      <c r="D46" s="59"/>
      <c r="E46" s="59"/>
      <c r="F46" s="59"/>
      <c r="G46" s="59"/>
      <c r="H46" s="59"/>
      <c r="I46" s="59"/>
      <c r="J46" s="59"/>
      <c r="K46" s="59"/>
      <c r="L46" s="59"/>
      <c r="M46" s="59"/>
      <c r="N46" s="60"/>
      <c r="O46" s="54"/>
      <c r="P46" s="9"/>
      <c r="Q46" s="8"/>
      <c r="V46" s="38">
        <v>1996</v>
      </c>
      <c r="W46" s="41">
        <v>142125</v>
      </c>
    </row>
    <row r="47" spans="1:23" ht="193.35" customHeight="1" thickBot="1">
      <c r="A47" s="108" t="s">
        <v>127</v>
      </c>
      <c r="B47" s="109"/>
      <c r="C47" s="109"/>
      <c r="D47" s="109"/>
      <c r="E47" s="109"/>
      <c r="F47" s="109"/>
      <c r="G47" s="109"/>
      <c r="H47" s="109"/>
      <c r="I47" s="109"/>
      <c r="J47" s="109"/>
      <c r="K47" s="109"/>
      <c r="L47" s="109"/>
      <c r="M47" s="109"/>
      <c r="N47" s="109"/>
      <c r="O47" s="110"/>
      <c r="P47" s="9"/>
      <c r="Q47" s="8"/>
      <c r="V47" s="38">
        <v>1996</v>
      </c>
      <c r="W47" s="41">
        <v>142125</v>
      </c>
    </row>
    <row r="48" spans="1:23" ht="18" customHeight="1" thickBot="1">
      <c r="A48" s="283" t="s">
        <v>128</v>
      </c>
      <c r="B48" s="284"/>
      <c r="C48" s="284"/>
      <c r="D48" s="284"/>
      <c r="E48" s="284"/>
      <c r="F48" s="284"/>
      <c r="G48" s="284"/>
      <c r="H48" s="284"/>
      <c r="I48" s="284"/>
      <c r="J48" s="284"/>
      <c r="K48" s="284"/>
      <c r="L48" s="284"/>
      <c r="M48" s="280" t="s">
        <v>120</v>
      </c>
      <c r="N48" s="281"/>
      <c r="O48" s="282"/>
      <c r="P48" s="10"/>
      <c r="Q48" s="4"/>
      <c r="R48" s="4"/>
      <c r="S48" s="4"/>
      <c r="T48" s="4"/>
      <c r="V48" s="38">
        <v>2009</v>
      </c>
      <c r="W48" s="41">
        <v>496900</v>
      </c>
    </row>
    <row r="49" spans="1:23" ht="28.5" customHeight="1" thickBot="1">
      <c r="A49" s="283" t="s">
        <v>129</v>
      </c>
      <c r="B49" s="284"/>
      <c r="C49" s="284"/>
      <c r="D49" s="284"/>
      <c r="E49" s="284"/>
      <c r="F49" s="284"/>
      <c r="G49" s="284"/>
      <c r="H49" s="284"/>
      <c r="I49" s="284"/>
      <c r="J49" s="284"/>
      <c r="K49" s="284"/>
      <c r="L49" s="284"/>
      <c r="M49" s="103" t="s">
        <v>65</v>
      </c>
      <c r="N49" s="104"/>
      <c r="O49" s="105"/>
      <c r="V49" s="38">
        <v>2005</v>
      </c>
      <c r="W49" s="41">
        <v>381500</v>
      </c>
    </row>
    <row r="50" spans="1:23" ht="90" customHeight="1" thickBot="1">
      <c r="A50" s="283" t="s">
        <v>130</v>
      </c>
      <c r="B50" s="284"/>
      <c r="C50" s="284"/>
      <c r="D50" s="284"/>
      <c r="E50" s="284"/>
      <c r="F50" s="284"/>
      <c r="G50" s="284"/>
      <c r="H50" s="284"/>
      <c r="I50" s="284"/>
      <c r="J50" s="284"/>
      <c r="K50" s="284"/>
      <c r="L50" s="306"/>
      <c r="M50" s="120">
        <v>1</v>
      </c>
      <c r="N50" s="118"/>
      <c r="O50" s="119"/>
      <c r="P50" s="7"/>
      <c r="Q50" s="8"/>
      <c r="V50" s="38">
        <v>2004</v>
      </c>
      <c r="W50" s="41">
        <v>358000</v>
      </c>
    </row>
    <row r="51" spans="1:23" ht="99.75" customHeight="1" thickBot="1">
      <c r="A51" s="111" t="s">
        <v>131</v>
      </c>
      <c r="B51" s="112"/>
      <c r="C51" s="112"/>
      <c r="D51" s="112"/>
      <c r="E51" s="112"/>
      <c r="F51" s="112"/>
      <c r="G51" s="112"/>
      <c r="H51" s="112"/>
      <c r="I51" s="112"/>
      <c r="J51" s="112"/>
      <c r="K51" s="112"/>
      <c r="L51" s="112"/>
      <c r="M51" s="112"/>
      <c r="N51" s="112"/>
      <c r="O51" s="113"/>
      <c r="P51" s="7"/>
      <c r="Q51" s="8"/>
      <c r="V51" s="38">
        <v>2003</v>
      </c>
      <c r="W51" s="41">
        <v>332000</v>
      </c>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v>2003</v>
      </c>
      <c r="W52" s="41">
        <v>332000</v>
      </c>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99.75"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31.3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62.19999999999999"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31.85" customHeight="1">
      <c r="A58" s="300" t="s">
        <v>138</v>
      </c>
      <c r="B58" s="294"/>
      <c r="C58" s="294"/>
      <c r="D58" s="294"/>
      <c r="E58" s="294"/>
      <c r="F58" s="294"/>
      <c r="G58" s="294"/>
      <c r="H58" s="294"/>
      <c r="I58" s="294"/>
      <c r="J58" s="294"/>
      <c r="K58" s="294"/>
      <c r="L58" s="294"/>
      <c r="M58" s="294"/>
      <c r="N58" s="294"/>
      <c r="O58" s="102">
        <v>0</v>
      </c>
      <c r="P58" s="7"/>
      <c r="Q58" s="8"/>
      <c r="V58" s="38"/>
      <c r="W58" s="41"/>
    </row>
    <row r="59" spans="1:23" ht="29.25" customHeight="1" thickBot="1">
      <c r="A59" s="320" t="s">
        <v>99</v>
      </c>
      <c r="B59" s="321"/>
      <c r="C59" s="321"/>
      <c r="D59" s="321"/>
      <c r="E59" s="321"/>
      <c r="F59" s="321"/>
      <c r="G59" s="321"/>
      <c r="H59" s="321"/>
      <c r="I59" s="322" t="s">
        <v>65</v>
      </c>
      <c r="J59" s="323"/>
      <c r="K59" s="323"/>
      <c r="L59" s="323"/>
      <c r="M59" s="323"/>
      <c r="N59" s="323"/>
      <c r="O59" s="324"/>
      <c r="P59" s="7"/>
      <c r="Q59" s="8"/>
      <c r="V59" s="38"/>
      <c r="W59" s="41"/>
    </row>
    <row r="60" spans="1:23" ht="162.4" customHeight="1">
      <c r="A60" s="322" t="s">
        <v>139</v>
      </c>
      <c r="B60" s="323"/>
      <c r="C60" s="323"/>
      <c r="D60" s="323"/>
      <c r="E60" s="323"/>
      <c r="F60" s="323"/>
      <c r="G60" s="323"/>
      <c r="H60" s="324"/>
      <c r="I60" s="322" t="s">
        <v>65</v>
      </c>
      <c r="J60" s="323"/>
      <c r="K60" s="323"/>
      <c r="L60" s="324"/>
      <c r="M60" s="308">
        <f>+O56+O54+O52+M50+M44+O58</f>
        <v>40.5</v>
      </c>
      <c r="N60" s="309"/>
      <c r="O60" s="310"/>
      <c r="P60" s="7"/>
      <c r="Q60" s="8"/>
      <c r="V60" s="38"/>
      <c r="W60" s="41"/>
    </row>
    <row r="61" spans="1:23" ht="30.2" customHeight="1">
      <c r="A61" s="311" t="s">
        <v>267</v>
      </c>
      <c r="B61" s="312"/>
      <c r="C61" s="312"/>
      <c r="D61" s="312"/>
      <c r="E61" s="312"/>
      <c r="F61" s="312"/>
      <c r="G61" s="312"/>
      <c r="H61" s="312"/>
      <c r="I61" s="312"/>
      <c r="J61" s="312"/>
      <c r="K61" s="312"/>
      <c r="L61" s="312"/>
      <c r="M61" s="312"/>
      <c r="N61" s="312"/>
      <c r="O61" s="313"/>
      <c r="P61" s="9"/>
      <c r="Q61" s="8"/>
      <c r="V61" s="38">
        <v>1995</v>
      </c>
      <c r="W61" s="41">
        <v>118934</v>
      </c>
    </row>
    <row r="62" spans="1:23" ht="33.75" customHeight="1">
      <c r="A62" s="314"/>
      <c r="B62" s="315"/>
      <c r="C62" s="315"/>
      <c r="D62" s="315"/>
      <c r="E62" s="315"/>
      <c r="F62" s="315"/>
      <c r="G62" s="315"/>
      <c r="H62" s="315"/>
      <c r="I62" s="315"/>
      <c r="J62" s="315"/>
      <c r="K62" s="315"/>
      <c r="L62" s="315"/>
      <c r="M62" s="315"/>
      <c r="N62" s="315"/>
      <c r="O62" s="316"/>
      <c r="P62" s="9"/>
      <c r="Q62" s="8"/>
      <c r="R62" s="308"/>
      <c r="S62" s="309"/>
      <c r="T62" s="310"/>
      <c r="V62" s="38">
        <v>1994</v>
      </c>
      <c r="W62" s="41">
        <v>98700</v>
      </c>
    </row>
    <row r="63" spans="1:23" ht="15" customHeight="1">
      <c r="A63" s="317"/>
      <c r="B63" s="318"/>
      <c r="C63" s="318"/>
      <c r="D63" s="318"/>
      <c r="E63" s="318"/>
      <c r="F63" s="318"/>
      <c r="G63" s="318"/>
      <c r="H63" s="318"/>
      <c r="I63" s="318"/>
      <c r="J63" s="318"/>
      <c r="K63" s="318"/>
      <c r="L63" s="318"/>
      <c r="M63" s="318"/>
      <c r="N63" s="318"/>
      <c r="O63" s="319"/>
      <c r="P63" s="9"/>
      <c r="Q63" s="8"/>
      <c r="V63" s="38">
        <v>1993</v>
      </c>
      <c r="W63" s="41">
        <v>81510</v>
      </c>
    </row>
    <row r="64" spans="1:23" ht="30.95" customHeight="1">
      <c r="A64" s="8"/>
      <c r="B64" s="8"/>
      <c r="C64" s="8"/>
      <c r="D64" s="8"/>
      <c r="E64" s="8"/>
      <c r="F64" s="8"/>
      <c r="G64" s="8"/>
      <c r="H64" s="8"/>
      <c r="I64" s="8"/>
      <c r="J64" s="8"/>
      <c r="K64" s="8"/>
      <c r="L64" s="8"/>
      <c r="M64" s="8"/>
      <c r="N64" s="8"/>
      <c r="O64" s="8"/>
      <c r="P64" s="9"/>
      <c r="Q64" s="8"/>
      <c r="V64" s="38">
        <v>1992</v>
      </c>
      <c r="W64" s="41">
        <v>65190</v>
      </c>
    </row>
    <row r="65" spans="1:23" ht="62.45" customHeight="1" thickBot="1">
      <c r="A65" s="8"/>
      <c r="B65" s="8"/>
      <c r="C65" s="8"/>
      <c r="D65" s="8"/>
      <c r="E65" s="8"/>
      <c r="F65" s="8"/>
      <c r="G65" s="8"/>
      <c r="H65" s="8"/>
      <c r="I65" s="8"/>
      <c r="J65" s="8"/>
      <c r="K65" s="8"/>
      <c r="L65" s="8"/>
      <c r="M65" s="8"/>
      <c r="N65" s="8"/>
      <c r="O65" s="8"/>
      <c r="P65" s="9"/>
      <c r="Q65" s="8"/>
      <c r="V65" s="38">
        <v>1991</v>
      </c>
      <c r="W65" s="41">
        <v>51720</v>
      </c>
    </row>
    <row r="66" spans="1:23" ht="18.75" thickBot="1">
      <c r="A66" s="8"/>
      <c r="B66" s="8"/>
      <c r="C66" s="8"/>
      <c r="D66" s="8"/>
      <c r="E66" s="8"/>
      <c r="F66" s="8"/>
      <c r="G66" s="8"/>
      <c r="H66" s="8"/>
      <c r="I66" s="8"/>
      <c r="J66" s="8"/>
      <c r="K66" s="8"/>
      <c r="L66" s="8"/>
      <c r="M66" s="8"/>
      <c r="N66" s="8"/>
      <c r="O66" s="8"/>
      <c r="P66" s="9"/>
      <c r="Q66" s="8"/>
      <c r="V66" s="42">
        <v>1990</v>
      </c>
      <c r="W66" s="43">
        <v>41025</v>
      </c>
    </row>
    <row r="67" spans="1:23">
      <c r="A67" s="25"/>
      <c r="B67" s="8"/>
      <c r="C67" s="8"/>
      <c r="D67" s="8"/>
      <c r="E67" s="8"/>
      <c r="F67" s="8"/>
      <c r="G67" s="8"/>
      <c r="H67" s="8"/>
      <c r="I67" s="8"/>
      <c r="J67" s="8"/>
      <c r="K67" s="8"/>
      <c r="L67" s="8"/>
      <c r="M67" s="8"/>
      <c r="N67" s="8"/>
      <c r="O67" s="8"/>
      <c r="P67" s="9"/>
      <c r="Q67" s="8"/>
    </row>
    <row r="68" spans="1:23">
      <c r="A68" s="25"/>
      <c r="B68" s="8"/>
      <c r="C68" s="8"/>
      <c r="D68" s="8"/>
      <c r="E68" s="8"/>
      <c r="F68" s="8"/>
      <c r="G68" s="8"/>
      <c r="H68" s="8"/>
      <c r="I68" s="8"/>
      <c r="J68" s="8"/>
      <c r="K68" s="8"/>
      <c r="L68" s="8"/>
      <c r="M68" s="8"/>
      <c r="N68" s="8"/>
      <c r="O68" s="8"/>
      <c r="P68" s="9"/>
      <c r="Q68" s="8"/>
    </row>
    <row r="69" spans="1:23">
      <c r="A69" s="25"/>
      <c r="B69" s="8"/>
      <c r="C69" s="8"/>
      <c r="D69" s="8"/>
      <c r="E69" s="8"/>
      <c r="F69" s="8"/>
      <c r="G69" s="8"/>
      <c r="H69" s="8"/>
      <c r="I69" s="8"/>
      <c r="J69" s="8"/>
      <c r="K69" s="8"/>
      <c r="L69" s="8"/>
      <c r="M69" s="8"/>
      <c r="N69" s="8"/>
      <c r="O69" s="8"/>
      <c r="P69" s="9"/>
      <c r="Q69" s="8"/>
    </row>
    <row r="70" spans="1:23">
      <c r="A70" s="25"/>
      <c r="B70" s="8"/>
      <c r="C70" s="8"/>
      <c r="D70" s="8"/>
      <c r="E70" s="8"/>
      <c r="F70" s="8"/>
      <c r="G70" s="8"/>
      <c r="H70" s="8"/>
      <c r="I70" s="8"/>
      <c r="J70" s="8"/>
      <c r="K70" s="8"/>
      <c r="L70" s="8"/>
      <c r="M70" s="8"/>
      <c r="N70" s="8"/>
      <c r="O70" s="8"/>
      <c r="P70" s="9"/>
      <c r="Q70" s="8"/>
    </row>
    <row r="71" spans="1:23">
      <c r="A71" s="8"/>
      <c r="B71" s="8"/>
      <c r="C71" s="8"/>
      <c r="D71" s="8"/>
      <c r="E71" s="8"/>
      <c r="F71" s="8"/>
      <c r="G71" s="8"/>
      <c r="H71" s="8"/>
      <c r="I71" s="8"/>
      <c r="J71" s="8"/>
      <c r="K71" s="8"/>
      <c r="L71" s="8"/>
      <c r="M71" s="8"/>
      <c r="N71" s="8"/>
      <c r="O71" s="8"/>
      <c r="P71" s="9"/>
      <c r="Q71" s="8"/>
    </row>
    <row r="72" spans="1:23">
      <c r="A72" s="8"/>
      <c r="B72" s="8"/>
      <c r="C72" s="8"/>
      <c r="D72" s="8"/>
      <c r="E72" s="8"/>
      <c r="F72" s="8"/>
      <c r="G72" s="8"/>
      <c r="H72" s="8"/>
      <c r="I72" s="8"/>
      <c r="J72" s="8"/>
      <c r="K72" s="8"/>
      <c r="L72" s="8"/>
      <c r="M72" s="8"/>
      <c r="N72" s="8"/>
      <c r="O72" s="8"/>
      <c r="P72" s="9"/>
      <c r="Q72" s="8"/>
    </row>
    <row r="73" spans="1:23">
      <c r="A73" s="8"/>
      <c r="B73" s="8"/>
      <c r="C73" s="8"/>
      <c r="D73" s="8"/>
      <c r="E73" s="8"/>
      <c r="F73" s="8"/>
      <c r="G73" s="8"/>
      <c r="H73" s="8"/>
      <c r="I73" s="8"/>
      <c r="J73" s="8"/>
      <c r="K73" s="8"/>
      <c r="L73" s="8"/>
      <c r="M73" s="8"/>
      <c r="N73" s="8"/>
      <c r="O73" s="8"/>
      <c r="P73" s="9"/>
      <c r="Q73" s="8"/>
    </row>
    <row r="74" spans="1:23">
      <c r="A74" s="8"/>
      <c r="B74" s="8"/>
      <c r="C74" s="8"/>
      <c r="D74" s="8"/>
      <c r="E74" s="8"/>
      <c r="F74" s="8"/>
      <c r="G74" s="8"/>
      <c r="H74" s="8"/>
      <c r="I74" s="8"/>
      <c r="J74" s="8"/>
      <c r="K74" s="8"/>
      <c r="L74" s="8"/>
      <c r="M74" s="8"/>
      <c r="N74" s="8"/>
      <c r="O74" s="8"/>
      <c r="P74" s="9"/>
      <c r="Q74" s="8"/>
    </row>
    <row r="75" spans="1:23" ht="199.5">
      <c r="A75" s="30">
        <v>3108041163</v>
      </c>
      <c r="B75" s="31" t="s">
        <v>140</v>
      </c>
      <c r="C75" s="51" t="s">
        <v>66</v>
      </c>
      <c r="P75" s="9"/>
      <c r="Q75" s="8"/>
    </row>
    <row r="76" spans="1:23">
      <c r="A76" s="8"/>
      <c r="B76" s="8"/>
      <c r="C76" s="8"/>
      <c r="D76" s="8"/>
      <c r="E76" s="8"/>
      <c r="F76" s="8"/>
      <c r="G76" s="8"/>
      <c r="H76" s="8"/>
      <c r="I76" s="8"/>
      <c r="J76" s="8"/>
      <c r="K76" s="8"/>
      <c r="L76" s="8"/>
      <c r="M76" s="8"/>
      <c r="N76" s="8"/>
      <c r="O76" s="8"/>
      <c r="P76" s="9"/>
      <c r="Q76" s="8"/>
    </row>
    <row r="77" spans="1:23">
      <c r="A77" s="30"/>
      <c r="B77" s="31"/>
      <c r="C77" s="51"/>
      <c r="P77" s="9"/>
      <c r="Q77" s="8"/>
    </row>
    <row r="78" spans="1:23">
      <c r="A78" s="32"/>
      <c r="B78" s="31"/>
      <c r="C78" s="31"/>
      <c r="P78" s="9"/>
      <c r="Q78" s="8"/>
    </row>
    <row r="79" spans="1:23">
      <c r="A79" s="32"/>
      <c r="B79" s="31"/>
      <c r="C79" s="31"/>
      <c r="P79" s="9"/>
      <c r="Q79" s="8"/>
    </row>
    <row r="80" spans="1:23">
      <c r="A80" s="14"/>
      <c r="C80" s="13"/>
      <c r="P80" s="9"/>
      <c r="Q80" s="8"/>
    </row>
    <row r="81" spans="1:17">
      <c r="A81" s="14"/>
      <c r="C81" s="13"/>
      <c r="P81" s="9"/>
      <c r="Q81" s="8"/>
    </row>
    <row r="82" spans="1:17">
      <c r="A82" s="14"/>
      <c r="C82" s="13"/>
      <c r="O82" s="3"/>
      <c r="P82" s="8"/>
      <c r="Q82" s="8"/>
    </row>
    <row r="83" spans="1:17">
      <c r="A83" s="14"/>
      <c r="C83" s="13"/>
    </row>
    <row r="84" spans="1:17">
      <c r="A84" s="14"/>
      <c r="C84" s="13"/>
    </row>
    <row r="91" spans="1:17">
      <c r="C91" s="29"/>
    </row>
    <row r="92" spans="1:17">
      <c r="C92" s="29"/>
    </row>
    <row r="94" spans="1:17">
      <c r="C94" s="29"/>
    </row>
    <row r="96" spans="1:17">
      <c r="C96"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A60:H60"/>
    <mergeCell ref="I60:L60"/>
    <mergeCell ref="M60:O60"/>
    <mergeCell ref="A61:O63"/>
    <mergeCell ref="R62:T62"/>
    <mergeCell ref="A15:O15"/>
    <mergeCell ref="U15:U16"/>
    <mergeCell ref="A43:B44"/>
    <mergeCell ref="C43:L44"/>
    <mergeCell ref="A45:B45"/>
    <mergeCell ref="C45:L45"/>
    <mergeCell ref="A17:A22"/>
    <mergeCell ref="A23:M23"/>
    <mergeCell ref="A24:M24"/>
    <mergeCell ref="A25:O25"/>
    <mergeCell ref="A26:O26"/>
    <mergeCell ref="A28:A29"/>
    <mergeCell ref="A30:M30"/>
    <mergeCell ref="N30:O30"/>
    <mergeCell ref="A31:M31"/>
    <mergeCell ref="A33:K33"/>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 ref="L33:M33"/>
    <mergeCell ref="A35:O35"/>
    <mergeCell ref="A36:N36"/>
    <mergeCell ref="A38:O38"/>
    <mergeCell ref="A39:B42"/>
    <mergeCell ref="C39:L42"/>
    <mergeCell ref="M39:O39"/>
    <mergeCell ref="A48:L48"/>
    <mergeCell ref="M48:O48"/>
    <mergeCell ref="A49:L49"/>
    <mergeCell ref="A58:N58"/>
    <mergeCell ref="A59:H59"/>
    <mergeCell ref="I59:O59"/>
    <mergeCell ref="A56:L56"/>
    <mergeCell ref="A52:L52"/>
    <mergeCell ref="A54:L54"/>
    <mergeCell ref="A50:L50"/>
  </mergeCells>
  <conditionalFormatting sqref="I59">
    <cfRule type="cellIs" dxfId="369" priority="19" operator="equal">
      <formula>"NO CUMPLE"</formula>
    </cfRule>
    <cfRule type="cellIs" dxfId="368" priority="20" operator="equal">
      <formula>"CUMPLE"</formula>
    </cfRule>
    <cfRule type="cellIs" dxfId="367" priority="21" operator="equal">
      <formula>100</formula>
    </cfRule>
  </conditionalFormatting>
  <conditionalFormatting sqref="I60:L60">
    <cfRule type="cellIs" dxfId="366" priority="28" operator="equal">
      <formula>"NO CUMPLE"</formula>
    </cfRule>
    <cfRule type="cellIs" dxfId="365" priority="29" operator="equal">
      <formula>"CUMPLE"</formula>
    </cfRule>
  </conditionalFormatting>
  <conditionalFormatting sqref="I60:O60">
    <cfRule type="cellIs" dxfId="364" priority="6" operator="equal">
      <formula>100</formula>
    </cfRule>
  </conditionalFormatting>
  <conditionalFormatting sqref="M60:O60">
    <cfRule type="cellIs" dxfId="363" priority="5" operator="lessThan">
      <formula>100</formula>
    </cfRule>
  </conditionalFormatting>
  <conditionalFormatting sqref="O17:O22">
    <cfRule type="containsText" dxfId="362" priority="4" operator="containsText" text="NO CUMPLE">
      <formula>NOT(ISERROR(SEARCH("NO CUMPLE",O17)))</formula>
    </cfRule>
  </conditionalFormatting>
  <conditionalFormatting sqref="O23">
    <cfRule type="cellIs" dxfId="361" priority="25" operator="equal">
      <formula>"NO CUMPLE"</formula>
    </cfRule>
    <cfRule type="cellIs" dxfId="360" priority="26" operator="equal">
      <formula>"CUMPLE"</formula>
    </cfRule>
    <cfRule type="cellIs" dxfId="359" priority="27" operator="equal">
      <formula>100</formula>
    </cfRule>
  </conditionalFormatting>
  <conditionalFormatting sqref="O31:O34">
    <cfRule type="cellIs" dxfId="358" priority="1" operator="equal">
      <formula>"NO CUMPLE"</formula>
    </cfRule>
    <cfRule type="cellIs" dxfId="357" priority="2" operator="equal">
      <formula>"CUMPLE"</formula>
    </cfRule>
    <cfRule type="cellIs" dxfId="356" priority="3" operator="equal">
      <formula>100</formula>
    </cfRule>
  </conditionalFormatting>
  <conditionalFormatting sqref="O36:O38">
    <cfRule type="cellIs" dxfId="355" priority="22" operator="equal">
      <formula>"NO CUMPLE"</formula>
    </cfRule>
    <cfRule type="cellIs" dxfId="354" priority="23" operator="equal">
      <formula>"CUMPLE"</formula>
    </cfRule>
    <cfRule type="cellIs" dxfId="353" priority="24" operator="equal">
      <formula>100</formula>
    </cfRule>
  </conditionalFormatting>
  <conditionalFormatting sqref="O46">
    <cfRule type="cellIs" dxfId="352" priority="10" operator="equal">
      <formula>"NO CUMPLE"</formula>
    </cfRule>
    <cfRule type="cellIs" dxfId="351" priority="11" operator="equal">
      <formula>"CUMPLE"</formula>
    </cfRule>
    <cfRule type="cellIs" dxfId="350" priority="12" operator="equal">
      <formula>100</formula>
    </cfRule>
  </conditionalFormatting>
  <conditionalFormatting sqref="P26">
    <cfRule type="cellIs" dxfId="349" priority="93" operator="equal">
      <formula>"NO CUMPLE"</formula>
    </cfRule>
    <cfRule type="cellIs" dxfId="348" priority="94" operator="equal">
      <formula>"CUMPLE"</formula>
    </cfRule>
    <cfRule type="cellIs" dxfId="347" priority="95" operator="equal">
      <formula>100</formula>
    </cfRule>
  </conditionalFormatting>
  <conditionalFormatting sqref="P33:P36">
    <cfRule type="cellIs" dxfId="346" priority="75" operator="equal">
      <formula>"NO CUMPLE"</formula>
    </cfRule>
    <cfRule type="cellIs" dxfId="345" priority="76" operator="equal">
      <formula>"CUMPLE"</formula>
    </cfRule>
    <cfRule type="cellIs" dxfId="344" priority="77" operator="equal">
      <formula>100</formula>
    </cfRule>
  </conditionalFormatting>
  <conditionalFormatting sqref="P38:P48">
    <cfRule type="cellIs" dxfId="343" priority="69" operator="equal">
      <formula>"NO CUMPLE"</formula>
    </cfRule>
    <cfRule type="cellIs" dxfId="342" priority="70" operator="equal">
      <formula>"CUMPLE"</formula>
    </cfRule>
    <cfRule type="cellIs" dxfId="341" priority="71" operator="equal">
      <formula>100</formula>
    </cfRule>
  </conditionalFormatting>
  <conditionalFormatting sqref="R62:T62">
    <cfRule type="cellIs" dxfId="340" priority="67" operator="lessThan">
      <formula>100</formula>
    </cfRule>
    <cfRule type="cellIs" dxfId="339" priority="68" operator="equal">
      <formula>100</formula>
    </cfRule>
  </conditionalFormatting>
  <dataValidations count="7">
    <dataValidation type="list" allowBlank="1" showInputMessage="1" showErrorMessage="1" sqref="J60:L60 I59:I60 O46" xr:uid="{D37E736F-1333-44FC-A3BB-6A9D7AE5194F}">
      <formula1>$R$2:$R$3</formula1>
    </dataValidation>
    <dataValidation type="list" allowBlank="1" showInputMessage="1" showErrorMessage="1" sqref="V1:V2" xr:uid="{06A1264D-8720-4554-85FB-BB73710B4687}">
      <formula1>$V$1:$V$2</formula1>
    </dataValidation>
    <dataValidation type="list" allowBlank="1" showInputMessage="1" showErrorMessage="1" sqref="O36:O38" xr:uid="{B1B92CD4-8E0F-44CA-B7DE-85652FDBAE0F}">
      <formula1>$R$4:$R$5</formula1>
    </dataValidation>
    <dataValidation type="list" allowBlank="1" showInputMessage="1" showErrorMessage="1" sqref="G22:H22" xr:uid="{2F339CBF-1373-4961-A0EF-DC1F906E3453}">
      <formula1>$Q$2:$Q$3</formula1>
    </dataValidation>
    <dataValidation type="list" allowBlank="1" showInputMessage="1" showErrorMessage="1" sqref="M37:O37" xr:uid="{2AA4B5C1-7ADB-410C-8B3E-AF72E1309EAE}">
      <formula1>$U$1:$U$2</formula1>
    </dataValidation>
    <dataValidation type="list" allowBlank="1" showInputMessage="1" showErrorMessage="1" error="SELECCIONE EL PRESUPUESTO A EVALUAR, EN LA LISTA DESPEGABLE._x000a_" sqref="I11:I12 J12:K12" xr:uid="{DD2ED9D9-3C74-4D34-8221-1C354AF7D264}">
      <formula1>$A$75:$A$82</formula1>
    </dataValidation>
    <dataValidation type="list" allowBlank="1" showInputMessage="1" showErrorMessage="1" sqref="A3" xr:uid="{9C689104-478E-4EF8-B1A0-217AF098553D}">
      <formula1>$C$75:$C$82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7" max="14" man="1"/>
    <brk id="76" max="11"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37263-9BA0-4394-B93F-FE9E09AED4BB}">
  <sheetPr codeName="Hoja5"/>
  <dimension ref="A1:W94"/>
  <sheetViews>
    <sheetView view="pageBreakPreview" topLeftCell="A49" zoomScale="25" zoomScaleNormal="63" zoomScaleSheetLayoutView="25" workbookViewId="0">
      <selection activeCell="A61" sqref="A61:O63"/>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25.7109375"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7</v>
      </c>
      <c r="B4" s="233" t="str">
        <f>_xlfn.XLOOKUP(A4,RESUMEN!$A$3:$A$19,RESUMEN!$C$3:$C$19)</f>
        <v>CONSORCIO AEROCERIAS</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244" t="s">
        <v>212</v>
      </c>
      <c r="J5" s="244"/>
      <c r="K5" s="244"/>
      <c r="L5" s="244"/>
      <c r="M5" s="244"/>
      <c r="N5" s="245"/>
      <c r="O5" s="11">
        <v>0.5</v>
      </c>
      <c r="P5" s="2">
        <f>+I7</f>
        <v>0</v>
      </c>
      <c r="R5" s="2">
        <v>0</v>
      </c>
    </row>
    <row r="6" spans="1:23" ht="20.25" customHeight="1">
      <c r="A6" s="232"/>
      <c r="B6" s="236"/>
      <c r="C6" s="237"/>
      <c r="D6" s="237"/>
      <c r="E6" s="238"/>
      <c r="F6" s="236"/>
      <c r="G6" s="237"/>
      <c r="H6" s="238"/>
      <c r="I6" s="244" t="s">
        <v>213</v>
      </c>
      <c r="J6" s="244"/>
      <c r="K6" s="244"/>
      <c r="L6" s="244"/>
      <c r="M6" s="244"/>
      <c r="N6" s="245"/>
      <c r="O6" s="11">
        <v>0.5</v>
      </c>
      <c r="P6" s="2" t="str">
        <f t="shared" ref="P6:P9" si="0">+I6</f>
        <v>IP INVERSIONES Y PROYECTOS S.A.S.      NIT. 901.267.297-5</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f>M11*0.3</f>
        <v>717.24026838461532</v>
      </c>
      <c r="S16" s="36" t="s">
        <v>214</v>
      </c>
      <c r="T16" s="27"/>
      <c r="U16" s="271"/>
      <c r="V16" s="2">
        <v>2022</v>
      </c>
      <c r="W16" s="2">
        <v>1000000</v>
      </c>
    </row>
    <row r="17" spans="1:23" ht="133.9" customHeight="1">
      <c r="A17" s="272">
        <f>+M11*H9</f>
        <v>2868.9610735384613</v>
      </c>
      <c r="B17" s="147" t="s">
        <v>100</v>
      </c>
      <c r="C17" s="64">
        <v>3</v>
      </c>
      <c r="D17" s="148" t="s">
        <v>101</v>
      </c>
      <c r="E17" s="148" t="s">
        <v>215</v>
      </c>
      <c r="F17" s="148" t="s">
        <v>64</v>
      </c>
      <c r="G17" s="64" t="s">
        <v>64</v>
      </c>
      <c r="H17" s="64" t="s">
        <v>64</v>
      </c>
      <c r="I17" s="148" t="s">
        <v>216</v>
      </c>
      <c r="J17" s="146" t="s">
        <v>217</v>
      </c>
      <c r="K17" s="145"/>
      <c r="L17" s="66">
        <v>242.27</v>
      </c>
      <c r="M17" s="65">
        <v>0.5</v>
      </c>
      <c r="N17" s="88">
        <f>L17*M17</f>
        <v>121.13500000000001</v>
      </c>
      <c r="O17" s="89" t="str">
        <f>+IF(AND(H17="SI",G17="SI"),"CUMPLE","NO CUMPLE")</f>
        <v>CUMPLE</v>
      </c>
      <c r="P17" s="4"/>
      <c r="Q17" s="4"/>
      <c r="R17" s="135">
        <f>+N17/A17</f>
        <v>4.2222601455723818E-2</v>
      </c>
      <c r="S17" s="4"/>
      <c r="T17" s="69"/>
      <c r="V17" s="39">
        <v>2021</v>
      </c>
      <c r="W17" s="40">
        <v>908526</v>
      </c>
    </row>
    <row r="18" spans="1:23" ht="234.75" customHeight="1">
      <c r="A18" s="272"/>
      <c r="B18" s="147" t="s">
        <v>105</v>
      </c>
      <c r="C18" s="64">
        <v>16</v>
      </c>
      <c r="D18" s="148" t="s">
        <v>218</v>
      </c>
      <c r="E18" s="148" t="s">
        <v>219</v>
      </c>
      <c r="F18" s="148" t="s">
        <v>64</v>
      </c>
      <c r="G18" s="64" t="s">
        <v>64</v>
      </c>
      <c r="H18" s="64" t="s">
        <v>64</v>
      </c>
      <c r="I18" s="148" t="s">
        <v>220</v>
      </c>
      <c r="J18" s="146">
        <v>41280</v>
      </c>
      <c r="K18" s="145"/>
      <c r="L18" s="66">
        <v>5284.77</v>
      </c>
      <c r="M18" s="65">
        <v>0.6</v>
      </c>
      <c r="N18" s="88">
        <f>L18*M18</f>
        <v>3170.8620000000001</v>
      </c>
      <c r="O18" s="89" t="str">
        <f>+IF(AND(H18="SI",G18="SI"),"CUMPLE","NO CUMPLE")</f>
        <v>CUMPLE</v>
      </c>
      <c r="P18" s="4"/>
      <c r="Q18" s="4"/>
      <c r="R18" s="135">
        <f>+N18/A17</f>
        <v>1.1052300532224324</v>
      </c>
      <c r="S18" s="4"/>
      <c r="T18" s="69"/>
      <c r="V18" s="96"/>
      <c r="W18" s="97"/>
    </row>
    <row r="19" spans="1:23" ht="157.69999999999999" customHeight="1">
      <c r="A19" s="272"/>
      <c r="B19" s="147" t="s">
        <v>109</v>
      </c>
      <c r="C19" s="64">
        <v>5</v>
      </c>
      <c r="D19" s="148" t="s">
        <v>221</v>
      </c>
      <c r="E19" s="148" t="s">
        <v>222</v>
      </c>
      <c r="F19" s="148" t="s">
        <v>64</v>
      </c>
      <c r="G19" s="64" t="s">
        <v>64</v>
      </c>
      <c r="H19" s="64" t="s">
        <v>64</v>
      </c>
      <c r="I19" s="148" t="s">
        <v>216</v>
      </c>
      <c r="J19" s="146" t="s">
        <v>223</v>
      </c>
      <c r="K19" s="145"/>
      <c r="L19" s="66">
        <v>1166.8900000000001</v>
      </c>
      <c r="M19" s="65">
        <v>0.5</v>
      </c>
      <c r="N19" s="88">
        <f>L19*M19</f>
        <v>583.44500000000005</v>
      </c>
      <c r="O19" s="89" t="str">
        <f t="shared" ref="O19:O22" si="1">+IF(AND(H19="SI",G19="SI"),"CUMPLE","NO CUMPLE")</f>
        <v>CUMPLE</v>
      </c>
      <c r="P19" s="4"/>
      <c r="Q19" s="4"/>
      <c r="R19" s="37"/>
      <c r="S19" s="4"/>
      <c r="T19" s="69"/>
      <c r="V19" s="38">
        <v>2020</v>
      </c>
      <c r="W19" s="41">
        <v>877803</v>
      </c>
    </row>
    <row r="20" spans="1:23" ht="62.25" customHeight="1">
      <c r="A20" s="272"/>
      <c r="B20" s="147" t="s">
        <v>112</v>
      </c>
      <c r="C20" s="64">
        <v>48</v>
      </c>
      <c r="D20" s="148" t="s">
        <v>224</v>
      </c>
      <c r="E20" s="148" t="s">
        <v>225</v>
      </c>
      <c r="F20" s="148" t="s">
        <v>64</v>
      </c>
      <c r="G20" s="64" t="s">
        <v>64</v>
      </c>
      <c r="H20" s="64" t="s">
        <v>64</v>
      </c>
      <c r="I20" s="148" t="s">
        <v>220</v>
      </c>
      <c r="J20" s="146">
        <v>42106</v>
      </c>
      <c r="K20" s="145"/>
      <c r="L20" s="66">
        <v>3611.19</v>
      </c>
      <c r="M20" s="65">
        <v>0.6</v>
      </c>
      <c r="N20" s="88">
        <f>L20*M20</f>
        <v>2166.7139999999999</v>
      </c>
      <c r="O20" s="89" t="str">
        <f t="shared" si="1"/>
        <v>CUMPLE</v>
      </c>
      <c r="P20" s="4"/>
      <c r="Q20" s="4"/>
      <c r="R20" s="37"/>
      <c r="S20" s="67"/>
      <c r="T20" s="69"/>
      <c r="V20" s="38">
        <v>2019</v>
      </c>
      <c r="W20" s="41">
        <v>828116</v>
      </c>
    </row>
    <row r="21" spans="1:23" ht="42.95" customHeight="1" thickBot="1">
      <c r="A21" s="272"/>
      <c r="B21" s="147" t="s">
        <v>113</v>
      </c>
      <c r="C21" s="64"/>
      <c r="D21" s="64"/>
      <c r="E21" s="64"/>
      <c r="F21" s="64"/>
      <c r="G21" s="64"/>
      <c r="H21" s="64"/>
      <c r="I21" s="64"/>
      <c r="J21" s="146"/>
      <c r="K21" s="64"/>
      <c r="L21" s="64"/>
      <c r="M21" s="65"/>
      <c r="N21" s="88">
        <f t="shared" ref="N21:N22" si="2">IF(AND(G21="SI",H21="SI"),(L21*M21),0)</f>
        <v>0</v>
      </c>
      <c r="O21" s="89" t="str">
        <f t="shared" si="1"/>
        <v>NO CUMPLE</v>
      </c>
      <c r="P21" s="4"/>
      <c r="Q21" s="4"/>
      <c r="R21" s="37"/>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2"/>
        <v>0</v>
      </c>
      <c r="O22" s="89" t="str">
        <f t="shared" si="1"/>
        <v>NO CUMPLE</v>
      </c>
      <c r="P22" s="4"/>
      <c r="Q22" s="4"/>
      <c r="R22" s="37"/>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6042.1560000000009</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V25" s="2">
        <v>2007</v>
      </c>
      <c r="W25" s="2">
        <v>433700</v>
      </c>
    </row>
    <row r="26" spans="1:23" ht="211.9" customHeight="1">
      <c r="A26" s="268" t="s">
        <v>338</v>
      </c>
      <c r="B26" s="269"/>
      <c r="C26" s="269"/>
      <c r="D26" s="269"/>
      <c r="E26" s="269"/>
      <c r="F26" s="269"/>
      <c r="G26" s="269"/>
      <c r="H26" s="269"/>
      <c r="I26" s="269"/>
      <c r="J26" s="269"/>
      <c r="K26" s="269"/>
      <c r="L26" s="269"/>
      <c r="M26" s="269"/>
      <c r="N26" s="269"/>
      <c r="O26" s="270"/>
      <c r="T26" s="26"/>
      <c r="V26" s="2">
        <v>2023</v>
      </c>
      <c r="W26" s="2">
        <v>1160000</v>
      </c>
    </row>
    <row r="27" spans="1:23" ht="91.15" customHeight="1">
      <c r="A27" s="84" t="s">
        <v>117</v>
      </c>
      <c r="B27" s="85" t="s">
        <v>86</v>
      </c>
      <c r="C27" s="72" t="s">
        <v>87</v>
      </c>
      <c r="D27" s="72" t="s">
        <v>88</v>
      </c>
      <c r="E27" s="71" t="s">
        <v>89</v>
      </c>
      <c r="F27" s="72" t="s">
        <v>90</v>
      </c>
      <c r="G27" s="86" t="s">
        <v>91</v>
      </c>
      <c r="H27" s="33" t="s">
        <v>92</v>
      </c>
      <c r="I27" s="33" t="s">
        <v>93</v>
      </c>
      <c r="J27" s="33" t="s">
        <v>94</v>
      </c>
      <c r="K27" s="33" t="s">
        <v>118</v>
      </c>
      <c r="L27" s="72" t="s">
        <v>96</v>
      </c>
      <c r="M27" s="72" t="s">
        <v>97</v>
      </c>
      <c r="N27" s="72" t="s">
        <v>98</v>
      </c>
      <c r="O27" s="90" t="s">
        <v>99</v>
      </c>
      <c r="P27" s="4"/>
      <c r="Q27" s="4"/>
      <c r="R27" s="36"/>
      <c r="S27" s="36"/>
      <c r="T27" s="27"/>
      <c r="V27" s="2">
        <v>2022</v>
      </c>
      <c r="W27" s="2">
        <v>1000000</v>
      </c>
    </row>
    <row r="28" spans="1:23" ht="145.5" customHeight="1" thickBot="1">
      <c r="A28" s="276">
        <f>A17*50%</f>
        <v>1434.4805367692306</v>
      </c>
      <c r="B28" s="147" t="s">
        <v>100</v>
      </c>
      <c r="C28" s="64">
        <v>3</v>
      </c>
      <c r="D28" s="148" t="s">
        <v>101</v>
      </c>
      <c r="E28" s="148" t="s">
        <v>215</v>
      </c>
      <c r="F28" s="148" t="s">
        <v>64</v>
      </c>
      <c r="G28" s="64" t="s">
        <v>64</v>
      </c>
      <c r="H28" s="64" t="s">
        <v>64</v>
      </c>
      <c r="I28" s="148" t="s">
        <v>216</v>
      </c>
      <c r="J28" s="146" t="s">
        <v>217</v>
      </c>
      <c r="K28" s="145"/>
      <c r="L28" s="66">
        <v>242.27</v>
      </c>
      <c r="M28" s="65">
        <v>0.5</v>
      </c>
      <c r="N28" s="88">
        <f>L28*M28</f>
        <v>121.13500000000001</v>
      </c>
      <c r="O28" s="89" t="str">
        <f>+IF(AND(H28="SI",G28="SI"),"CUMPLE","NO CUMPLE")</f>
        <v>CUMPLE</v>
      </c>
      <c r="P28" s="4"/>
      <c r="Q28" s="4"/>
      <c r="R28" s="36"/>
      <c r="S28" s="36"/>
      <c r="T28" s="27"/>
    </row>
    <row r="29" spans="1:23" ht="143.44999999999999" customHeight="1" thickTop="1" thickBot="1">
      <c r="A29" s="277"/>
      <c r="B29" s="147" t="s">
        <v>105</v>
      </c>
      <c r="C29" s="64">
        <v>16</v>
      </c>
      <c r="D29" s="148" t="s">
        <v>218</v>
      </c>
      <c r="E29" s="148" t="s">
        <v>219</v>
      </c>
      <c r="F29" s="148" t="s">
        <v>64</v>
      </c>
      <c r="G29" s="64" t="s">
        <v>64</v>
      </c>
      <c r="H29" s="64" t="s">
        <v>64</v>
      </c>
      <c r="I29" s="148" t="s">
        <v>220</v>
      </c>
      <c r="J29" s="146">
        <v>41280</v>
      </c>
      <c r="K29" s="145"/>
      <c r="L29" s="66">
        <v>5284.77</v>
      </c>
      <c r="M29" s="65">
        <v>0.6</v>
      </c>
      <c r="N29" s="88">
        <f>L29*M29</f>
        <v>3170.8620000000001</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3170.8620000000001</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c r="A49" s="283" t="s">
        <v>129</v>
      </c>
      <c r="B49" s="284"/>
      <c r="C49" s="284"/>
      <c r="D49" s="284"/>
      <c r="E49" s="284"/>
      <c r="F49" s="284"/>
      <c r="G49" s="284"/>
      <c r="H49" s="284"/>
      <c r="I49" s="284"/>
      <c r="J49" s="284"/>
      <c r="K49" s="284"/>
      <c r="L49" s="284"/>
      <c r="M49" s="103" t="s">
        <v>68</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0</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S54" s="370">
        <v>1</v>
      </c>
      <c r="T54" s="371"/>
      <c r="U54" s="372"/>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39.5</v>
      </c>
      <c r="N60" s="309"/>
      <c r="O60" s="310"/>
      <c r="P60" s="9"/>
      <c r="Q60" s="8"/>
      <c r="R60" s="308"/>
      <c r="S60" s="309"/>
      <c r="T60" s="310"/>
      <c r="V60" s="38">
        <v>1994</v>
      </c>
      <c r="W60" s="41">
        <v>98700</v>
      </c>
    </row>
    <row r="61" spans="1:23" ht="15" customHeight="1">
      <c r="A61" s="369" t="s">
        <v>340</v>
      </c>
      <c r="B61" s="312"/>
      <c r="C61" s="312"/>
      <c r="D61" s="312"/>
      <c r="E61" s="312"/>
      <c r="F61" s="312"/>
      <c r="G61" s="312"/>
      <c r="H61" s="312"/>
      <c r="I61" s="312"/>
      <c r="J61" s="312"/>
      <c r="K61" s="312"/>
      <c r="L61" s="312"/>
      <c r="M61" s="312"/>
      <c r="N61" s="312"/>
      <c r="O61" s="313"/>
      <c r="P61" s="9"/>
      <c r="Q61" s="8"/>
      <c r="V61" s="38">
        <v>1993</v>
      </c>
      <c r="W61" s="41">
        <v>81510</v>
      </c>
    </row>
    <row r="62" spans="1:23" ht="30.95" customHeight="1" thickBo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thickBot="1">
      <c r="A63" s="317"/>
      <c r="B63" s="318"/>
      <c r="C63" s="318"/>
      <c r="D63" s="318"/>
      <c r="E63" s="318"/>
      <c r="F63" s="318"/>
      <c r="G63" s="318"/>
      <c r="H63" s="318"/>
      <c r="I63" s="318"/>
      <c r="J63" s="318"/>
      <c r="K63" s="318"/>
      <c r="L63" s="318"/>
      <c r="M63" s="318"/>
      <c r="N63" s="318"/>
      <c r="O63" s="319"/>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1">
    <mergeCell ref="S54:U54"/>
    <mergeCell ref="R60:T60"/>
    <mergeCell ref="F8:G8"/>
    <mergeCell ref="F9:G9"/>
    <mergeCell ref="F10:G10"/>
    <mergeCell ref="A31:M31"/>
    <mergeCell ref="A13:O13"/>
    <mergeCell ref="A14:O14"/>
    <mergeCell ref="A15:O15"/>
    <mergeCell ref="U15:U16"/>
    <mergeCell ref="A17:A22"/>
    <mergeCell ref="A23:M23"/>
    <mergeCell ref="A24:M24"/>
    <mergeCell ref="A25:O25"/>
    <mergeCell ref="A26:O26"/>
    <mergeCell ref="A45:B45"/>
    <mergeCell ref="A61:O63"/>
    <mergeCell ref="A49:L49"/>
    <mergeCell ref="A50:L50"/>
    <mergeCell ref="A59:H59"/>
    <mergeCell ref="I59:O59"/>
    <mergeCell ref="A60:H60"/>
    <mergeCell ref="I60:L60"/>
    <mergeCell ref="M60:O60"/>
    <mergeCell ref="A58:N58"/>
    <mergeCell ref="A52:L52"/>
    <mergeCell ref="A54:L54"/>
    <mergeCell ref="A56:L56"/>
    <mergeCell ref="C45:L45"/>
    <mergeCell ref="A33:K33"/>
    <mergeCell ref="L33:M33"/>
    <mergeCell ref="A35:O35"/>
    <mergeCell ref="A36:N36"/>
    <mergeCell ref="A38:O38"/>
    <mergeCell ref="A39:B42"/>
    <mergeCell ref="C39:L42"/>
    <mergeCell ref="M39:O39"/>
    <mergeCell ref="A43:B44"/>
    <mergeCell ref="C43:L44"/>
    <mergeCell ref="P10:U10"/>
    <mergeCell ref="C11:H11"/>
    <mergeCell ref="J11:L11"/>
    <mergeCell ref="M11:O11"/>
    <mergeCell ref="B4:E10"/>
    <mergeCell ref="F4:H7"/>
    <mergeCell ref="A48:L48"/>
    <mergeCell ref="M48:O48"/>
    <mergeCell ref="A1:O1"/>
    <mergeCell ref="A2:O2"/>
    <mergeCell ref="A3:O3"/>
    <mergeCell ref="A4:A10"/>
    <mergeCell ref="I4:N4"/>
    <mergeCell ref="I5:N5"/>
    <mergeCell ref="I6:N6"/>
    <mergeCell ref="I7:N7"/>
    <mergeCell ref="I8:N8"/>
    <mergeCell ref="I9:N9"/>
    <mergeCell ref="I10:N10"/>
    <mergeCell ref="A30:M30"/>
    <mergeCell ref="N30:O30"/>
    <mergeCell ref="A28:A29"/>
  </mergeCells>
  <conditionalFormatting sqref="I59">
    <cfRule type="cellIs" dxfId="338" priority="19" operator="equal">
      <formula>"NO CUMPLE"</formula>
    </cfRule>
    <cfRule type="cellIs" dxfId="337" priority="20" operator="equal">
      <formula>"CUMPLE"</formula>
    </cfRule>
    <cfRule type="cellIs" dxfId="336" priority="21" operator="equal">
      <formula>100</formula>
    </cfRule>
  </conditionalFormatting>
  <conditionalFormatting sqref="I60:L60">
    <cfRule type="cellIs" dxfId="335" priority="28" operator="equal">
      <formula>"NO CUMPLE"</formula>
    </cfRule>
    <cfRule type="cellIs" dxfId="334" priority="29" operator="equal">
      <formula>"CUMPLE"</formula>
    </cfRule>
  </conditionalFormatting>
  <conditionalFormatting sqref="I60:O60">
    <cfRule type="cellIs" dxfId="333" priority="6" operator="equal">
      <formula>100</formula>
    </cfRule>
  </conditionalFormatting>
  <conditionalFormatting sqref="M60:O60">
    <cfRule type="cellIs" dxfId="332" priority="5" operator="lessThan">
      <formula>100</formula>
    </cfRule>
  </conditionalFormatting>
  <conditionalFormatting sqref="O17:O22">
    <cfRule type="containsText" dxfId="331" priority="4" operator="containsText" text="NO CUMPLE">
      <formula>NOT(ISERROR(SEARCH("NO CUMPLE",O17)))</formula>
    </cfRule>
  </conditionalFormatting>
  <conditionalFormatting sqref="O23">
    <cfRule type="cellIs" dxfId="330" priority="25" operator="equal">
      <formula>"NO CUMPLE"</formula>
    </cfRule>
    <cfRule type="cellIs" dxfId="329" priority="26" operator="equal">
      <formula>"CUMPLE"</formula>
    </cfRule>
    <cfRule type="cellIs" dxfId="328" priority="27" operator="equal">
      <formula>100</formula>
    </cfRule>
  </conditionalFormatting>
  <conditionalFormatting sqref="O36:O38">
    <cfRule type="cellIs" dxfId="327" priority="22" operator="equal">
      <formula>"NO CUMPLE"</formula>
    </cfRule>
    <cfRule type="cellIs" dxfId="326" priority="23" operator="equal">
      <formula>"CUMPLE"</formula>
    </cfRule>
    <cfRule type="cellIs" dxfId="325" priority="24" operator="equal">
      <formula>100</formula>
    </cfRule>
  </conditionalFormatting>
  <conditionalFormatting sqref="O46">
    <cfRule type="cellIs" dxfId="324" priority="10" operator="equal">
      <formula>"NO CUMPLE"</formula>
    </cfRule>
    <cfRule type="cellIs" dxfId="323" priority="11" operator="equal">
      <formula>"CUMPLE"</formula>
    </cfRule>
    <cfRule type="cellIs" dxfId="322" priority="12" operator="equal">
      <formula>100</formula>
    </cfRule>
  </conditionalFormatting>
  <conditionalFormatting sqref="O31:P34">
    <cfRule type="cellIs" dxfId="321" priority="1" operator="equal">
      <formula>"NO CUMPLE"</formula>
    </cfRule>
    <cfRule type="cellIs" dxfId="320" priority="2" operator="equal">
      <formula>"CUMPLE"</formula>
    </cfRule>
    <cfRule type="cellIs" dxfId="319" priority="3" operator="equal">
      <formula>100</formula>
    </cfRule>
  </conditionalFormatting>
  <conditionalFormatting sqref="P24">
    <cfRule type="cellIs" dxfId="318" priority="60" operator="equal">
      <formula>"NO CUMPLE"</formula>
    </cfRule>
    <cfRule type="cellIs" dxfId="317" priority="61" operator="equal">
      <formula>"CUMPLE"</formula>
    </cfRule>
    <cfRule type="cellIs" dxfId="316" priority="62" operator="equal">
      <formula>100</formula>
    </cfRule>
  </conditionalFormatting>
  <conditionalFormatting sqref="P36:P46">
    <cfRule type="cellIs" dxfId="315" priority="36" operator="equal">
      <formula>"NO CUMPLE"</formula>
    </cfRule>
    <cfRule type="cellIs" dxfId="314" priority="37" operator="equal">
      <formula>"CUMPLE"</formula>
    </cfRule>
    <cfRule type="cellIs" dxfId="313" priority="38" operator="equal">
      <formula>100</formula>
    </cfRule>
  </conditionalFormatting>
  <conditionalFormatting sqref="R60:T60">
    <cfRule type="cellIs" dxfId="312" priority="34" operator="lessThan">
      <formula>100</formula>
    </cfRule>
    <cfRule type="cellIs" dxfId="311" priority="35" operator="equal">
      <formula>100</formula>
    </cfRule>
  </conditionalFormatting>
  <dataValidations count="7">
    <dataValidation type="list" allowBlank="1" showInputMessage="1" showErrorMessage="1" sqref="S54 M37:O37" xr:uid="{F55EF042-7D9E-4358-865D-6D9463C4265B}">
      <formula1>$U$1:$U$2</formula1>
    </dataValidation>
    <dataValidation type="list" allowBlank="1" showInputMessage="1" showErrorMessage="1" sqref="G22:H22" xr:uid="{B60A1DF4-D2CE-4492-9B72-288ADE4F4A42}">
      <formula1>$Q$2:$Q$3</formula1>
    </dataValidation>
    <dataValidation type="list" allowBlank="1" showInputMessage="1" showErrorMessage="1" sqref="O36:O38" xr:uid="{860DFC68-B1ED-4E6C-B1B4-1DDCCE9F9839}">
      <formula1>$R$4:$R$5</formula1>
    </dataValidation>
    <dataValidation type="list" allowBlank="1" showInputMessage="1" showErrorMessage="1" error="SELECCIONE EL PRESUPUESTO A EVALUAR, EN LA LISTA DESPEGABLE._x000a_" sqref="I11:I12 J12:K12" xr:uid="{BEF2E9BB-5C00-4454-8B5C-22242A1DB447}">
      <formula1>$A$75:$A$82</formula1>
    </dataValidation>
    <dataValidation type="list" allowBlank="1" showInputMessage="1" showErrorMessage="1" sqref="A3" xr:uid="{9AB37109-EF43-43A6-9B23-3A632C6DCCD0}">
      <formula1>$C$75:$C$82</formula1>
    </dataValidation>
    <dataValidation type="list" allowBlank="1" showInputMessage="1" showErrorMessage="1" sqref="V1:V2" xr:uid="{4FA0A062-4061-4AA7-A73F-75D0D7395368}">
      <formula1>$V$1:$V$2</formula1>
    </dataValidation>
    <dataValidation type="list" allowBlank="1" showInputMessage="1" showErrorMessage="1" sqref="J60:L60 I59:I60 O46" xr:uid="{AE62E9E4-4EBE-4CFA-8C30-7D4129B059D9}">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ignoredErrors>
    <ignoredError sqref="B4" evalError="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5C16C-9D03-4D20-BC7C-12A514903966}">
  <sheetPr>
    <tabColor rgb="FFFF0000"/>
  </sheetPr>
  <dimension ref="A1:W94"/>
  <sheetViews>
    <sheetView view="pageBreakPreview" topLeftCell="A52" zoomScale="25" zoomScaleNormal="63" zoomScaleSheetLayoutView="25" workbookViewId="0">
      <selection activeCell="A64" sqref="A64"/>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31.140625" style="2" customWidth="1"/>
    <col min="6" max="6" width="19.5703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8</v>
      </c>
      <c r="B4" s="233" t="str">
        <f>_xlfn.XLOOKUP(A4,RESUMEN!$A$3:$A$19,RESUMEN!$C$3:$C$19)</f>
        <v>CONSORCIO OBRAS RJ</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57" t="s">
        <v>226</v>
      </c>
      <c r="J5" s="357"/>
      <c r="K5" s="357"/>
      <c r="L5" s="357"/>
      <c r="M5" s="357"/>
      <c r="N5" s="358"/>
      <c r="O5" s="11" t="s">
        <v>227</v>
      </c>
      <c r="P5" s="2" t="str">
        <f>+I7</f>
        <v>XXXXXXXXXXXXX</v>
      </c>
      <c r="R5" s="2">
        <v>0</v>
      </c>
    </row>
    <row r="6" spans="1:23" ht="20.25" customHeight="1">
      <c r="A6" s="232"/>
      <c r="B6" s="236"/>
      <c r="C6" s="237"/>
      <c r="D6" s="237"/>
      <c r="E6" s="238"/>
      <c r="F6" s="236"/>
      <c r="G6" s="237"/>
      <c r="H6" s="238"/>
      <c r="I6" s="244" t="s">
        <v>228</v>
      </c>
      <c r="J6" s="244"/>
      <c r="K6" s="244"/>
      <c r="L6" s="244"/>
      <c r="M6" s="244"/>
      <c r="N6" s="245"/>
      <c r="O6" s="11" t="s">
        <v>227</v>
      </c>
      <c r="P6" s="2" t="str">
        <f t="shared" ref="P6:P9" si="0">+I6</f>
        <v>XXXXXXXXXXXXX</v>
      </c>
    </row>
    <row r="7" spans="1:23" ht="35.450000000000003" customHeight="1">
      <c r="A7" s="232"/>
      <c r="B7" s="236"/>
      <c r="C7" s="237"/>
      <c r="D7" s="237"/>
      <c r="E7" s="238"/>
      <c r="F7" s="239"/>
      <c r="G7" s="240"/>
      <c r="H7" s="241"/>
      <c r="I7" s="245" t="s">
        <v>228</v>
      </c>
      <c r="J7" s="246"/>
      <c r="K7" s="246"/>
      <c r="L7" s="246"/>
      <c r="M7" s="246"/>
      <c r="N7" s="246"/>
      <c r="O7" s="11" t="s">
        <v>227</v>
      </c>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0</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f>M11*0.3</f>
        <v>717.24026838461532</v>
      </c>
      <c r="S16" s="36" t="s">
        <v>214</v>
      </c>
      <c r="T16" s="27"/>
      <c r="U16" s="271"/>
      <c r="V16" s="2">
        <v>2022</v>
      </c>
      <c r="W16" s="2">
        <v>1000000</v>
      </c>
    </row>
    <row r="17" spans="1:23" ht="133.9" customHeight="1">
      <c r="A17" s="373">
        <f>+M11*H9</f>
        <v>2868.9610735384613</v>
      </c>
      <c r="B17" s="147" t="s">
        <v>100</v>
      </c>
      <c r="C17" s="148" t="s">
        <v>229</v>
      </c>
      <c r="D17" s="148" t="s">
        <v>230</v>
      </c>
      <c r="E17" s="148" t="s">
        <v>231</v>
      </c>
      <c r="F17" s="148" t="s">
        <v>64</v>
      </c>
      <c r="G17" s="151" t="s">
        <v>64</v>
      </c>
      <c r="H17" s="64" t="s">
        <v>64</v>
      </c>
      <c r="I17" s="148" t="s">
        <v>232</v>
      </c>
      <c r="J17" s="146">
        <v>42737</v>
      </c>
      <c r="K17" s="145">
        <f>L17*W22</f>
        <v>656029596.59000003</v>
      </c>
      <c r="L17" s="66">
        <v>889.27</v>
      </c>
      <c r="M17" s="65">
        <v>1</v>
      </c>
      <c r="N17" s="88">
        <f>L17*M17</f>
        <v>889.27</v>
      </c>
      <c r="O17" s="89" t="str">
        <f>+IF(AND(H17="SI",G17="SI"),"CUMPLE","NO CUMPLE")</f>
        <v>CUMPLE</v>
      </c>
      <c r="P17" s="4"/>
      <c r="Q17" s="4"/>
      <c r="R17" s="37" t="str">
        <f>+IF(OR(O17="CUMPLE")*AND(N17&gt;=$R$16),"CUMPLE","NO CUMPLE")</f>
        <v>CUMPLE</v>
      </c>
      <c r="S17" s="4">
        <f>+K17/W16</f>
        <v>656.02959658999998</v>
      </c>
      <c r="T17" s="69"/>
      <c r="V17" s="39">
        <v>2021</v>
      </c>
      <c r="W17" s="40">
        <v>908526</v>
      </c>
    </row>
    <row r="18" spans="1:23" ht="133.9" customHeight="1">
      <c r="A18" s="373"/>
      <c r="B18" s="147" t="s">
        <v>105</v>
      </c>
      <c r="C18" s="148" t="s">
        <v>233</v>
      </c>
      <c r="D18" s="148" t="s">
        <v>234</v>
      </c>
      <c r="E18" s="148" t="s">
        <v>235</v>
      </c>
      <c r="F18" s="148" t="s">
        <v>64</v>
      </c>
      <c r="G18" s="151" t="s">
        <v>64</v>
      </c>
      <c r="H18" s="64" t="s">
        <v>64</v>
      </c>
      <c r="I18" s="148" t="s">
        <v>232</v>
      </c>
      <c r="J18" s="146">
        <v>44561</v>
      </c>
      <c r="K18" s="145">
        <f>L18*W17</f>
        <v>1941102140.04</v>
      </c>
      <c r="L18" s="66">
        <v>2136.54</v>
      </c>
      <c r="M18" s="65">
        <v>1</v>
      </c>
      <c r="N18" s="88">
        <f>L18*M18</f>
        <v>2136.54</v>
      </c>
      <c r="O18" s="89" t="str">
        <f>+IF(AND(H18="SI",G18="SI"),"CUMPLE","NO CUMPLE")</f>
        <v>CUMPLE</v>
      </c>
      <c r="P18" s="4"/>
      <c r="Q18" s="4"/>
      <c r="R18" s="37"/>
      <c r="S18" s="4"/>
      <c r="T18" s="69"/>
      <c r="V18" s="96"/>
      <c r="W18" s="97"/>
    </row>
    <row r="19" spans="1:23" ht="157.69999999999999" customHeight="1">
      <c r="A19" s="373"/>
      <c r="B19" s="147" t="s">
        <v>109</v>
      </c>
      <c r="C19" s="148" t="s">
        <v>236</v>
      </c>
      <c r="D19" s="148" t="s">
        <v>237</v>
      </c>
      <c r="E19" s="175" t="s">
        <v>238</v>
      </c>
      <c r="F19" s="148" t="s">
        <v>64</v>
      </c>
      <c r="G19" s="151" t="s">
        <v>64</v>
      </c>
      <c r="H19" s="64" t="s">
        <v>64</v>
      </c>
      <c r="I19" s="148" t="s">
        <v>232</v>
      </c>
      <c r="J19" s="146">
        <v>43045</v>
      </c>
      <c r="K19" s="145">
        <f>$L$19*$W$22</f>
        <v>382122651.66000003</v>
      </c>
      <c r="L19" s="66">
        <v>517.98</v>
      </c>
      <c r="M19" s="65">
        <v>1</v>
      </c>
      <c r="N19" s="88">
        <f>L19*M19</f>
        <v>517.98</v>
      </c>
      <c r="O19" s="89" t="str">
        <f t="shared" ref="O19:O20" si="1">+IF(AND(H19="SI",G19="SI"),"CUMPLE","NO CUMPLE")</f>
        <v>CUMPLE</v>
      </c>
      <c r="P19" s="4"/>
      <c r="Q19" s="4"/>
      <c r="R19" s="37" t="str">
        <f>+IF(OR(O19="CUMPLE")*AND(N19&gt;=$R$16),"CUMPLE","NO CUMPLE")</f>
        <v>NO CUMPLE</v>
      </c>
      <c r="S19" s="4">
        <f>+K19/W34</f>
        <v>674.29442678665964</v>
      </c>
      <c r="T19" s="69" t="s">
        <v>163</v>
      </c>
      <c r="V19" s="38">
        <v>2020</v>
      </c>
      <c r="W19" s="41">
        <v>877803</v>
      </c>
    </row>
    <row r="20" spans="1:23" ht="68.25" customHeight="1">
      <c r="A20" s="373"/>
      <c r="B20" s="147" t="s">
        <v>112</v>
      </c>
      <c r="C20" s="148" t="s">
        <v>239</v>
      </c>
      <c r="D20" s="148" t="s">
        <v>240</v>
      </c>
      <c r="E20" s="148" t="s">
        <v>241</v>
      </c>
      <c r="F20" s="151" t="s">
        <v>64</v>
      </c>
      <c r="G20" s="151" t="s">
        <v>64</v>
      </c>
      <c r="H20" s="64" t="s">
        <v>64</v>
      </c>
      <c r="I20" s="148" t="s">
        <v>242</v>
      </c>
      <c r="J20" s="146">
        <v>44908</v>
      </c>
      <c r="K20" s="145">
        <f>L20*W16</f>
        <v>754880000</v>
      </c>
      <c r="L20" s="66">
        <v>754.88</v>
      </c>
      <c r="M20" s="65">
        <v>1</v>
      </c>
      <c r="N20" s="88">
        <f>L20*M20</f>
        <v>754.88</v>
      </c>
      <c r="O20" s="89" t="str">
        <f t="shared" si="1"/>
        <v>CUMPLE</v>
      </c>
      <c r="P20" s="4"/>
      <c r="Q20" s="4"/>
      <c r="R20" s="37" t="str">
        <f t="shared" ref="R20:R22" si="2">+IF(OR(O20="CUMPLE")*AND(N20&gt;=$R$16),"CUMPLE","NO CUMPLE")</f>
        <v>CUMPLE</v>
      </c>
      <c r="S20" s="67"/>
      <c r="T20" s="69" t="s">
        <v>163</v>
      </c>
      <c r="V20" s="38">
        <v>2019</v>
      </c>
      <c r="W20" s="41">
        <v>828116</v>
      </c>
    </row>
    <row r="21" spans="1:23" ht="42.95" customHeight="1">
      <c r="A21" s="373"/>
      <c r="B21" s="147" t="s">
        <v>113</v>
      </c>
      <c r="C21" s="64"/>
      <c r="D21" s="64"/>
      <c r="E21" s="64"/>
      <c r="F21" s="64"/>
      <c r="G21" s="64"/>
      <c r="H21" s="64"/>
      <c r="I21" s="64"/>
      <c r="J21" s="146"/>
      <c r="K21" s="64"/>
      <c r="L21" s="64"/>
      <c r="M21" s="65"/>
      <c r="N21" s="88"/>
      <c r="O21" s="89"/>
      <c r="P21" s="4"/>
      <c r="Q21" s="4"/>
      <c r="R21" s="37" t="str">
        <f t="shared" si="2"/>
        <v>NO CUMPLE</v>
      </c>
      <c r="S21" s="67"/>
      <c r="T21" s="27"/>
      <c r="V21" s="38">
        <v>2018</v>
      </c>
      <c r="W21" s="41">
        <v>781242</v>
      </c>
    </row>
    <row r="22" spans="1:23" ht="42.95" customHeight="1">
      <c r="A22" s="373"/>
      <c r="B22" s="147" t="s">
        <v>114</v>
      </c>
      <c r="C22" s="44"/>
      <c r="D22" s="45"/>
      <c r="E22" s="45"/>
      <c r="F22" s="64"/>
      <c r="G22" s="68"/>
      <c r="H22" s="68"/>
      <c r="I22" s="64"/>
      <c r="J22" s="146"/>
      <c r="K22" s="46"/>
      <c r="L22" s="47"/>
      <c r="M22" s="35"/>
      <c r="N22" s="88"/>
      <c r="O22" s="89"/>
      <c r="P22" s="4"/>
      <c r="Q22" s="4"/>
      <c r="R22" s="37" t="str">
        <f t="shared" si="2"/>
        <v>NO CUMPLE</v>
      </c>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4298.67</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T25" s="2">
        <f>1949500000+6451200000</f>
        <v>8400700000</v>
      </c>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17432.856813465529</v>
      </c>
      <c r="T26" s="26">
        <f>+T25/W25</f>
        <v>19369.840903850589</v>
      </c>
      <c r="V26" s="2">
        <v>2023</v>
      </c>
      <c r="W26" s="2">
        <v>1160000</v>
      </c>
    </row>
    <row r="27" spans="1:23" ht="91.15" customHeight="1">
      <c r="A27" s="84" t="s">
        <v>117</v>
      </c>
      <c r="B27" s="85" t="s">
        <v>86</v>
      </c>
      <c r="C27" s="72" t="s">
        <v>87</v>
      </c>
      <c r="D27" s="72" t="s">
        <v>88</v>
      </c>
      <c r="E27" s="72"/>
      <c r="F27" s="72" t="s">
        <v>90</v>
      </c>
      <c r="G27" s="86" t="s">
        <v>243</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thickBot="1">
      <c r="A28" s="276">
        <f>A17*50%</f>
        <v>1434.4805367692306</v>
      </c>
      <c r="B28" s="147" t="s">
        <v>109</v>
      </c>
      <c r="C28" s="151" t="s">
        <v>236</v>
      </c>
      <c r="D28" s="148" t="s">
        <v>237</v>
      </c>
      <c r="E28" s="176" t="s">
        <v>238</v>
      </c>
      <c r="F28" s="148" t="s">
        <v>64</v>
      </c>
      <c r="G28" s="151" t="s">
        <v>64</v>
      </c>
      <c r="H28" s="64" t="s">
        <v>64</v>
      </c>
      <c r="I28" s="148" t="s">
        <v>232</v>
      </c>
      <c r="J28" s="146">
        <v>43045</v>
      </c>
      <c r="K28" s="145">
        <f>$L$19*$W$22</f>
        <v>382122651.66000003</v>
      </c>
      <c r="L28" s="66">
        <v>517.98</v>
      </c>
      <c r="M28" s="65">
        <v>1</v>
      </c>
      <c r="N28" s="88">
        <f>L28*M28</f>
        <v>517.98</v>
      </c>
      <c r="O28" s="89" t="str">
        <f>+IF(AND(H28="SI",G28="SI"),"CUMPLE","NO CUMPLE")</f>
        <v>CUMPLE</v>
      </c>
      <c r="P28" s="4"/>
      <c r="Q28" s="4"/>
      <c r="R28" s="36"/>
      <c r="S28" s="36"/>
      <c r="T28" s="27"/>
    </row>
    <row r="29" spans="1:23" ht="143.44999999999999" customHeight="1" thickTop="1" thickBot="1">
      <c r="A29" s="277"/>
      <c r="B29" s="147" t="s">
        <v>105</v>
      </c>
      <c r="C29" s="148" t="s">
        <v>233</v>
      </c>
      <c r="D29" s="148" t="s">
        <v>234</v>
      </c>
      <c r="E29" s="148" t="s">
        <v>235</v>
      </c>
      <c r="F29" s="148" t="s">
        <v>64</v>
      </c>
      <c r="G29" s="151" t="s">
        <v>64</v>
      </c>
      <c r="H29" s="64" t="s">
        <v>64</v>
      </c>
      <c r="I29" s="148" t="s">
        <v>232</v>
      </c>
      <c r="J29" s="146">
        <v>44561</v>
      </c>
      <c r="K29" s="145">
        <f>L29*W28</f>
        <v>0</v>
      </c>
      <c r="L29" s="66">
        <v>2136.54</v>
      </c>
      <c r="M29" s="65">
        <v>1</v>
      </c>
      <c r="N29" s="88">
        <f>L29*M29</f>
        <v>2136.54</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2136.54</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48" t="s">
        <v>267</v>
      </c>
      <c r="B61" s="349"/>
      <c r="C61" s="349"/>
      <c r="D61" s="349"/>
      <c r="E61" s="349"/>
      <c r="F61" s="349"/>
      <c r="G61" s="349"/>
      <c r="H61" s="349"/>
      <c r="I61" s="349"/>
      <c r="J61" s="349"/>
      <c r="K61" s="349"/>
      <c r="L61" s="349"/>
      <c r="M61" s="349"/>
      <c r="N61" s="349"/>
      <c r="O61" s="350"/>
      <c r="P61" s="9"/>
      <c r="Q61" s="8"/>
      <c r="V61" s="38">
        <v>1993</v>
      </c>
      <c r="W61" s="41">
        <v>81510</v>
      </c>
    </row>
    <row r="62" spans="1:23" ht="30.95" customHeight="1">
      <c r="A62" s="351"/>
      <c r="B62" s="352"/>
      <c r="C62" s="352"/>
      <c r="D62" s="352"/>
      <c r="E62" s="352"/>
      <c r="F62" s="352"/>
      <c r="G62" s="352"/>
      <c r="H62" s="352"/>
      <c r="I62" s="352"/>
      <c r="J62" s="352"/>
      <c r="K62" s="352"/>
      <c r="L62" s="352"/>
      <c r="M62" s="352"/>
      <c r="N62" s="352"/>
      <c r="O62" s="353"/>
      <c r="P62" s="9"/>
      <c r="Q62" s="8"/>
      <c r="V62" s="38">
        <v>1992</v>
      </c>
      <c r="W62" s="41">
        <v>65190</v>
      </c>
    </row>
    <row r="63" spans="1:23" ht="62.45" customHeight="1">
      <c r="A63" s="354"/>
      <c r="B63" s="355"/>
      <c r="C63" s="355"/>
      <c r="D63" s="355"/>
      <c r="E63" s="355"/>
      <c r="F63" s="355"/>
      <c r="G63" s="355"/>
      <c r="H63" s="355"/>
      <c r="I63" s="355"/>
      <c r="J63" s="355"/>
      <c r="K63" s="355"/>
      <c r="L63" s="355"/>
      <c r="M63" s="355"/>
      <c r="N63" s="355"/>
      <c r="O63" s="356"/>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310" priority="19" operator="equal">
      <formula>"NO CUMPLE"</formula>
    </cfRule>
    <cfRule type="cellIs" dxfId="309" priority="20" operator="equal">
      <formula>"CUMPLE"</formula>
    </cfRule>
    <cfRule type="cellIs" dxfId="308" priority="21" operator="equal">
      <formula>100</formula>
    </cfRule>
  </conditionalFormatting>
  <conditionalFormatting sqref="I60:L60">
    <cfRule type="cellIs" dxfId="307" priority="28" operator="equal">
      <formula>"NO CUMPLE"</formula>
    </cfRule>
    <cfRule type="cellIs" dxfId="306" priority="29" operator="equal">
      <formula>"CUMPLE"</formula>
    </cfRule>
  </conditionalFormatting>
  <conditionalFormatting sqref="I60:O60">
    <cfRule type="cellIs" dxfId="305" priority="6" operator="equal">
      <formula>100</formula>
    </cfRule>
  </conditionalFormatting>
  <conditionalFormatting sqref="M60:O60">
    <cfRule type="cellIs" dxfId="304" priority="5" operator="lessThan">
      <formula>100</formula>
    </cfRule>
  </conditionalFormatting>
  <conditionalFormatting sqref="O17:O22">
    <cfRule type="containsText" dxfId="303" priority="4" operator="containsText" text="NO CUMPLE">
      <formula>NOT(ISERROR(SEARCH("NO CUMPLE",O17)))</formula>
    </cfRule>
  </conditionalFormatting>
  <conditionalFormatting sqref="O23">
    <cfRule type="cellIs" dxfId="302" priority="25" operator="equal">
      <formula>"NO CUMPLE"</formula>
    </cfRule>
    <cfRule type="cellIs" dxfId="301" priority="26" operator="equal">
      <formula>"CUMPLE"</formula>
    </cfRule>
    <cfRule type="cellIs" dxfId="300" priority="27" operator="equal">
      <formula>100</formula>
    </cfRule>
  </conditionalFormatting>
  <conditionalFormatting sqref="O36:O38">
    <cfRule type="cellIs" dxfId="299" priority="22" operator="equal">
      <formula>"NO CUMPLE"</formula>
    </cfRule>
    <cfRule type="cellIs" dxfId="298" priority="23" operator="equal">
      <formula>"CUMPLE"</formula>
    </cfRule>
    <cfRule type="cellIs" dxfId="297" priority="24" operator="equal">
      <formula>100</formula>
    </cfRule>
  </conditionalFormatting>
  <conditionalFormatting sqref="O46">
    <cfRule type="cellIs" dxfId="296" priority="10" operator="equal">
      <formula>"NO CUMPLE"</formula>
    </cfRule>
    <cfRule type="cellIs" dxfId="295" priority="11" operator="equal">
      <formula>"CUMPLE"</formula>
    </cfRule>
    <cfRule type="cellIs" dxfId="294" priority="12" operator="equal">
      <formula>100</formula>
    </cfRule>
  </conditionalFormatting>
  <conditionalFormatting sqref="O31:P34">
    <cfRule type="cellIs" dxfId="293" priority="1" operator="equal">
      <formula>"NO CUMPLE"</formula>
    </cfRule>
    <cfRule type="cellIs" dxfId="292" priority="2" operator="equal">
      <formula>"CUMPLE"</formula>
    </cfRule>
    <cfRule type="cellIs" dxfId="291" priority="3" operator="equal">
      <formula>100</formula>
    </cfRule>
  </conditionalFormatting>
  <conditionalFormatting sqref="P24">
    <cfRule type="cellIs" dxfId="290" priority="68" operator="equal">
      <formula>"NO CUMPLE"</formula>
    </cfRule>
    <cfRule type="cellIs" dxfId="289" priority="69" operator="equal">
      <formula>"CUMPLE"</formula>
    </cfRule>
    <cfRule type="cellIs" dxfId="288" priority="70" operator="equal">
      <formula>100</formula>
    </cfRule>
  </conditionalFormatting>
  <conditionalFormatting sqref="P36:P46">
    <cfRule type="cellIs" dxfId="287" priority="44" operator="equal">
      <formula>"NO CUMPLE"</formula>
    </cfRule>
    <cfRule type="cellIs" dxfId="286" priority="45" operator="equal">
      <formula>"CUMPLE"</formula>
    </cfRule>
    <cfRule type="cellIs" dxfId="285" priority="46" operator="equal">
      <formula>100</formula>
    </cfRule>
  </conditionalFormatting>
  <conditionalFormatting sqref="R60:T60">
    <cfRule type="cellIs" dxfId="284" priority="42" operator="lessThan">
      <formula>100</formula>
    </cfRule>
    <cfRule type="cellIs" dxfId="283" priority="43" operator="equal">
      <formula>100</formula>
    </cfRule>
  </conditionalFormatting>
  <dataValidations count="7">
    <dataValidation type="list" allowBlank="1" showInputMessage="1" showErrorMessage="1" sqref="J60:L60 I59:I60 O46" xr:uid="{63533325-C1F8-4FDA-9B89-02E0D0893AB2}">
      <formula1>$R$2:$R$3</formula1>
    </dataValidation>
    <dataValidation type="list" allowBlank="1" showInputMessage="1" showErrorMessage="1" sqref="V1:V2" xr:uid="{965D3828-5413-447C-8BBC-7800385B368D}">
      <formula1>$V$1:$V$2</formula1>
    </dataValidation>
    <dataValidation type="list" allowBlank="1" showInputMessage="1" showErrorMessage="1" sqref="A3" xr:uid="{91FDAB51-C2F1-4D7E-8ECD-9B2A60865AFD}">
      <formula1>$C$75:$C$82</formula1>
    </dataValidation>
    <dataValidation type="list" allowBlank="1" showInputMessage="1" showErrorMessage="1" error="SELECCIONE EL PRESUPUESTO A EVALUAR, EN LA LISTA DESPEGABLE._x000a_" sqref="I11:I12 J12:K12" xr:uid="{75975541-4837-4E0E-B7D9-D523A911DA4F}">
      <formula1>$A$75:$A$82</formula1>
    </dataValidation>
    <dataValidation type="list" allowBlank="1" showInputMessage="1" showErrorMessage="1" sqref="O36:O38" xr:uid="{43A83F35-776C-4CDA-9BB0-B0E58F12501C}">
      <formula1>$R$4:$R$5</formula1>
    </dataValidation>
    <dataValidation type="list" allowBlank="1" showInputMessage="1" showErrorMessage="1" sqref="G22:H22" xr:uid="{18769F8A-B855-4865-A70C-C4C497661730}">
      <formula1>$Q$2:$Q$3</formula1>
    </dataValidation>
    <dataValidation type="list" allowBlank="1" showInputMessage="1" showErrorMessage="1" sqref="M37:O37" xr:uid="{0AE399C3-DBD6-42FC-8CD2-C927049B1FDC}">
      <formula1>$U$1:$U$2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83491-B48F-49AF-8F72-0BC040AED62E}">
  <sheetPr>
    <tabColor rgb="FFFFFF00"/>
  </sheetPr>
  <dimension ref="A1:W94"/>
  <sheetViews>
    <sheetView view="pageBreakPreview" topLeftCell="A56" zoomScale="40" zoomScaleNormal="63" zoomScaleSheetLayoutView="40" workbookViewId="0">
      <selection activeCell="I60" sqref="I60:L60"/>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9</v>
      </c>
      <c r="B4" s="233" t="str">
        <f>_xlfn.XLOOKUP(A4,RESUMEN!$A$3:$A$19,RESUMEN!$C$3:$C$19)</f>
        <v>CONSORCIO PLOMERANS</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74" t="s">
        <v>244</v>
      </c>
      <c r="J5" s="357"/>
      <c r="K5" s="357"/>
      <c r="L5" s="357"/>
      <c r="M5" s="357"/>
      <c r="N5" s="358"/>
      <c r="O5" s="11">
        <v>0.89</v>
      </c>
      <c r="P5" s="2" t="str">
        <f>+I7</f>
        <v>CARLOS ANDRES CANDANOZA REY CC 79983947</v>
      </c>
      <c r="R5" s="2">
        <v>0</v>
      </c>
    </row>
    <row r="6" spans="1:23" ht="20.25" customHeight="1">
      <c r="A6" s="232"/>
      <c r="B6" s="236"/>
      <c r="C6" s="237"/>
      <c r="D6" s="237"/>
      <c r="E6" s="238"/>
      <c r="F6" s="236"/>
      <c r="G6" s="237"/>
      <c r="H6" s="238"/>
      <c r="I6" s="244" t="s">
        <v>245</v>
      </c>
      <c r="J6" s="244"/>
      <c r="K6" s="244"/>
      <c r="L6" s="244"/>
      <c r="M6" s="244"/>
      <c r="N6" s="245"/>
      <c r="O6" s="11">
        <v>0.1</v>
      </c>
      <c r="P6" s="2" t="str">
        <f t="shared" ref="P6:P9" si="0">+I6</f>
        <v>PLOMERIA &amp; MAS S.A.S NIT 901212904-1</v>
      </c>
    </row>
    <row r="7" spans="1:23" ht="35.450000000000003" customHeight="1">
      <c r="A7" s="232"/>
      <c r="B7" s="236"/>
      <c r="C7" s="237"/>
      <c r="D7" s="237"/>
      <c r="E7" s="238"/>
      <c r="F7" s="239"/>
      <c r="G7" s="240"/>
      <c r="H7" s="241"/>
      <c r="I7" s="245" t="s">
        <v>246</v>
      </c>
      <c r="J7" s="246"/>
      <c r="K7" s="246"/>
      <c r="L7" s="246"/>
      <c r="M7" s="246"/>
      <c r="N7" s="246"/>
      <c r="O7" s="11">
        <v>0.01</v>
      </c>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c r="S9" s="2">
        <f>+M11*0.05</f>
        <v>119.54004473076924</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f>+M11*0.5</f>
        <v>1195.4004473076923</v>
      </c>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272">
        <f>+M11*H8</f>
        <v>1793.1006709615385</v>
      </c>
      <c r="B17" s="147" t="s">
        <v>100</v>
      </c>
      <c r="C17" s="64">
        <v>24</v>
      </c>
      <c r="D17" s="148" t="s">
        <v>247</v>
      </c>
      <c r="E17" s="148" t="s">
        <v>248</v>
      </c>
      <c r="F17" s="148" t="s">
        <v>64</v>
      </c>
      <c r="G17" s="64" t="s">
        <v>64</v>
      </c>
      <c r="H17" s="151" t="s">
        <v>64</v>
      </c>
      <c r="I17" s="151" t="s">
        <v>249</v>
      </c>
      <c r="J17" s="151" t="s">
        <v>250</v>
      </c>
      <c r="K17" s="168">
        <v>1210697856</v>
      </c>
      <c r="L17" s="151">
        <v>1970.28</v>
      </c>
      <c r="M17" s="65">
        <v>0.89</v>
      </c>
      <c r="N17" s="88">
        <f>L17*M17</f>
        <v>1753.5491999999999</v>
      </c>
      <c r="O17" s="89" t="str">
        <f>+IF(AND(H17="SI",G17="SI"),"CUMPLE","NO CUMPLE")</f>
        <v>CUMPLE</v>
      </c>
      <c r="P17" s="4"/>
      <c r="Q17" s="4"/>
      <c r="R17" s="135">
        <f>+N17/A17</f>
        <v>0.97794241472213084</v>
      </c>
      <c r="S17" s="4"/>
      <c r="T17" s="69"/>
      <c r="V17" s="39">
        <v>2021</v>
      </c>
      <c r="W17" s="40">
        <v>908526</v>
      </c>
    </row>
    <row r="18" spans="1:23" ht="133.9" customHeight="1">
      <c r="A18" s="272"/>
      <c r="B18" s="147" t="s">
        <v>105</v>
      </c>
      <c r="C18" s="64">
        <v>53</v>
      </c>
      <c r="D18" s="148" t="s">
        <v>101</v>
      </c>
      <c r="E18" s="148" t="s">
        <v>251</v>
      </c>
      <c r="F18" s="148" t="s">
        <v>64</v>
      </c>
      <c r="G18" s="64" t="s">
        <v>64</v>
      </c>
      <c r="H18" s="151" t="s">
        <v>64</v>
      </c>
      <c r="I18" s="151" t="s">
        <v>252</v>
      </c>
      <c r="J18" s="151" t="s">
        <v>253</v>
      </c>
      <c r="K18" s="168">
        <v>1394181026</v>
      </c>
      <c r="L18" s="151">
        <v>1889.86</v>
      </c>
      <c r="M18" s="65">
        <v>0.5</v>
      </c>
      <c r="N18" s="88">
        <f>L18*M18</f>
        <v>944.93</v>
      </c>
      <c r="O18" s="89" t="str">
        <f>+IF(AND(H18="SI",G18="SI"),"CUMPLE","NO CUMPLE")</f>
        <v>CUMPLE</v>
      </c>
      <c r="P18" s="4"/>
      <c r="Q18" s="4"/>
      <c r="R18" s="135">
        <f>+N18/A17</f>
        <v>0.52698100854163832</v>
      </c>
      <c r="S18" s="4"/>
      <c r="T18" s="69"/>
      <c r="V18" s="96"/>
      <c r="W18" s="97"/>
    </row>
    <row r="19" spans="1:23" ht="157.69999999999999" customHeight="1">
      <c r="A19" s="272"/>
      <c r="B19" s="147" t="s">
        <v>109</v>
      </c>
      <c r="C19" s="64"/>
      <c r="D19" s="148"/>
      <c r="E19" s="148"/>
      <c r="F19" s="148"/>
      <c r="G19" s="64"/>
      <c r="H19" s="64"/>
      <c r="I19" s="148"/>
      <c r="J19" s="146"/>
      <c r="K19" s="145"/>
      <c r="L19" s="66"/>
      <c r="M19" s="65"/>
      <c r="N19" s="88">
        <f>L19*M19</f>
        <v>0</v>
      </c>
      <c r="O19" s="89" t="str">
        <f t="shared" ref="O19:O22" si="1">+IF(AND(H19="SI",G19="SI"),"CUMPLE","NO CUMPLE")</f>
        <v>NO CUMPLE</v>
      </c>
      <c r="P19" s="4"/>
      <c r="Q19" s="4"/>
      <c r="R19" s="37" t="str">
        <f>+IF(OR(O19="CUMPLE")*AND(N19&gt;=$R$16),"CUMPLE","NO CUMPLE")</f>
        <v>NO CUMPLE</v>
      </c>
      <c r="S19" s="4">
        <f>+K19/W34</f>
        <v>0</v>
      </c>
      <c r="T19" s="69" t="s">
        <v>163</v>
      </c>
      <c r="V19" s="38">
        <v>2020</v>
      </c>
      <c r="W19" s="41">
        <v>877803</v>
      </c>
    </row>
    <row r="20" spans="1:23" ht="42.95" customHeight="1" thickBot="1">
      <c r="A20" s="272"/>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37" t="str">
        <f t="shared" ref="R20:R22" si="3">+IF(OR(O20="CUMPLE")*AND(N20&gt;=$R$16),"CUMPLE","NO CUMPLE")</f>
        <v>NO CUMPLE</v>
      </c>
      <c r="S20" s="67"/>
      <c r="T20" s="69" t="s">
        <v>163</v>
      </c>
      <c r="V20" s="38">
        <v>2019</v>
      </c>
      <c r="W20" s="41">
        <v>828116</v>
      </c>
    </row>
    <row r="21" spans="1:23" ht="42.95" customHeight="1" thickBot="1">
      <c r="A21" s="272"/>
      <c r="B21" s="147" t="s">
        <v>113</v>
      </c>
      <c r="C21" s="64"/>
      <c r="D21" s="64"/>
      <c r="E21" s="64"/>
      <c r="F21" s="64"/>
      <c r="G21" s="64"/>
      <c r="H21" s="64"/>
      <c r="I21" s="64"/>
      <c r="J21" s="146"/>
      <c r="K21" s="64"/>
      <c r="L21" s="64"/>
      <c r="M21" s="65"/>
      <c r="N21" s="88">
        <f t="shared" si="2"/>
        <v>0</v>
      </c>
      <c r="O21" s="89" t="str">
        <f t="shared" si="1"/>
        <v>NO CUMPLE</v>
      </c>
      <c r="P21" s="4"/>
      <c r="Q21" s="4"/>
      <c r="R21" s="37" t="str">
        <f t="shared" si="3"/>
        <v>NO CUMPLE</v>
      </c>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2"/>
        <v>0</v>
      </c>
      <c r="O22" s="89" t="str">
        <f t="shared" si="1"/>
        <v>NO CUMPLE</v>
      </c>
      <c r="P22" s="4"/>
      <c r="Q22" s="4"/>
      <c r="R22" s="37" t="str">
        <f t="shared" si="3"/>
        <v>NO CUMPLE</v>
      </c>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2698.4791999999998</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T25" s="2">
        <f>1949500000+6451200000</f>
        <v>8400700000</v>
      </c>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17432.856813465529</v>
      </c>
      <c r="T26" s="26">
        <f>+T25/W25</f>
        <v>19369.840903850589</v>
      </c>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thickBot="1">
      <c r="A28" s="276">
        <f>A17*50%</f>
        <v>896.55033548076926</v>
      </c>
      <c r="B28" s="147" t="s">
        <v>100</v>
      </c>
      <c r="C28" s="64">
        <v>53</v>
      </c>
      <c r="D28" s="148" t="s">
        <v>101</v>
      </c>
      <c r="E28" s="148" t="s">
        <v>251</v>
      </c>
      <c r="F28" s="148" t="s">
        <v>64</v>
      </c>
      <c r="G28" s="64" t="s">
        <v>64</v>
      </c>
      <c r="H28" s="148" t="s">
        <v>64</v>
      </c>
      <c r="I28" s="151" t="s">
        <v>252</v>
      </c>
      <c r="J28" s="151" t="s">
        <v>253</v>
      </c>
      <c r="K28" s="168">
        <v>1394181026</v>
      </c>
      <c r="L28" s="151">
        <v>1889.86</v>
      </c>
      <c r="M28" s="65">
        <v>0.5</v>
      </c>
      <c r="N28" s="88">
        <f>L28*M28</f>
        <v>944.93</v>
      </c>
      <c r="O28" s="89" t="str">
        <f>+IF(AND(H28="SI",G28="SI"),"CUMPLE","NO CUMPLE")</f>
        <v>CUMPLE</v>
      </c>
      <c r="P28" s="4"/>
      <c r="Q28" s="4"/>
      <c r="R28" s="36"/>
      <c r="S28" s="36"/>
      <c r="T28" s="27"/>
    </row>
    <row r="29" spans="1:23" ht="143.44999999999999" customHeight="1" thickTop="1" thickBot="1">
      <c r="A29" s="277"/>
      <c r="B29" s="147" t="s">
        <v>105</v>
      </c>
      <c r="C29" s="64">
        <v>24</v>
      </c>
      <c r="D29" s="148" t="s">
        <v>247</v>
      </c>
      <c r="E29" s="148" t="s">
        <v>248</v>
      </c>
      <c r="F29" s="148" t="s">
        <v>64</v>
      </c>
      <c r="G29" s="64" t="s">
        <v>64</v>
      </c>
      <c r="H29" s="151" t="s">
        <v>64</v>
      </c>
      <c r="I29" s="151" t="s">
        <v>249</v>
      </c>
      <c r="J29" s="151" t="s">
        <v>250</v>
      </c>
      <c r="K29" s="168">
        <v>1210697856</v>
      </c>
      <c r="L29" s="151">
        <v>1970.28</v>
      </c>
      <c r="M29" s="65">
        <v>0.89</v>
      </c>
      <c r="N29" s="88">
        <f>L29*M29</f>
        <v>1753.5491999999999</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1753.5491999999999</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69" t="s">
        <v>344</v>
      </c>
      <c r="B61" s="312"/>
      <c r="C61" s="312"/>
      <c r="D61" s="312"/>
      <c r="E61" s="312"/>
      <c r="F61" s="312"/>
      <c r="G61" s="312"/>
      <c r="H61" s="312"/>
      <c r="I61" s="312"/>
      <c r="J61" s="312"/>
      <c r="K61" s="312"/>
      <c r="L61" s="312"/>
      <c r="M61" s="312"/>
      <c r="N61" s="312"/>
      <c r="O61" s="313"/>
      <c r="P61" s="9"/>
      <c r="Q61" s="8"/>
      <c r="V61" s="38">
        <v>1993</v>
      </c>
      <c r="W61" s="41">
        <v>81510</v>
      </c>
    </row>
    <row r="62" spans="1:23" ht="30.95" customHeight="1" thickBo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thickBot="1">
      <c r="A63" s="317"/>
      <c r="B63" s="318"/>
      <c r="C63" s="318"/>
      <c r="D63" s="318"/>
      <c r="E63" s="318"/>
      <c r="F63" s="318"/>
      <c r="G63" s="318"/>
      <c r="H63" s="318"/>
      <c r="I63" s="318"/>
      <c r="J63" s="318"/>
      <c r="K63" s="318"/>
      <c r="L63" s="318"/>
      <c r="M63" s="318"/>
      <c r="N63" s="318"/>
      <c r="O63" s="319"/>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282" priority="19" operator="equal">
      <formula>"NO CUMPLE"</formula>
    </cfRule>
    <cfRule type="cellIs" dxfId="281" priority="20" operator="equal">
      <formula>"CUMPLE"</formula>
    </cfRule>
    <cfRule type="cellIs" dxfId="280" priority="21" operator="equal">
      <formula>100</formula>
    </cfRule>
  </conditionalFormatting>
  <conditionalFormatting sqref="I60:L60">
    <cfRule type="cellIs" dxfId="279" priority="28" operator="equal">
      <formula>"NO CUMPLE"</formula>
    </cfRule>
    <cfRule type="cellIs" dxfId="278" priority="29" operator="equal">
      <formula>"CUMPLE"</formula>
    </cfRule>
  </conditionalFormatting>
  <conditionalFormatting sqref="I60:O60">
    <cfRule type="cellIs" dxfId="277" priority="6" operator="equal">
      <formula>100</formula>
    </cfRule>
  </conditionalFormatting>
  <conditionalFormatting sqref="M60:O60">
    <cfRule type="cellIs" dxfId="276" priority="5" operator="lessThan">
      <formula>100</formula>
    </cfRule>
  </conditionalFormatting>
  <conditionalFormatting sqref="O17:O22">
    <cfRule type="containsText" dxfId="275" priority="4" operator="containsText" text="NO CUMPLE">
      <formula>NOT(ISERROR(SEARCH("NO CUMPLE",O17)))</formula>
    </cfRule>
  </conditionalFormatting>
  <conditionalFormatting sqref="O23">
    <cfRule type="cellIs" dxfId="274" priority="25" operator="equal">
      <formula>"NO CUMPLE"</formula>
    </cfRule>
    <cfRule type="cellIs" dxfId="273" priority="26" operator="equal">
      <formula>"CUMPLE"</formula>
    </cfRule>
    <cfRule type="cellIs" dxfId="272" priority="27" operator="equal">
      <formula>100</formula>
    </cfRule>
  </conditionalFormatting>
  <conditionalFormatting sqref="O36:O38">
    <cfRule type="cellIs" dxfId="271" priority="22" operator="equal">
      <formula>"NO CUMPLE"</formula>
    </cfRule>
    <cfRule type="cellIs" dxfId="270" priority="23" operator="equal">
      <formula>"CUMPLE"</formula>
    </cfRule>
    <cfRule type="cellIs" dxfId="269" priority="24" operator="equal">
      <formula>100</formula>
    </cfRule>
  </conditionalFormatting>
  <conditionalFormatting sqref="O46">
    <cfRule type="cellIs" dxfId="268" priority="10" operator="equal">
      <formula>"NO CUMPLE"</formula>
    </cfRule>
    <cfRule type="cellIs" dxfId="267" priority="11" operator="equal">
      <formula>"CUMPLE"</formula>
    </cfRule>
    <cfRule type="cellIs" dxfId="266" priority="12" operator="equal">
      <formula>100</formula>
    </cfRule>
  </conditionalFormatting>
  <conditionalFormatting sqref="O31:P34">
    <cfRule type="cellIs" dxfId="265" priority="1" operator="equal">
      <formula>"NO CUMPLE"</formula>
    </cfRule>
    <cfRule type="cellIs" dxfId="264" priority="2" operator="equal">
      <formula>"CUMPLE"</formula>
    </cfRule>
    <cfRule type="cellIs" dxfId="263" priority="3" operator="equal">
      <formula>100</formula>
    </cfRule>
  </conditionalFormatting>
  <conditionalFormatting sqref="P24">
    <cfRule type="cellIs" dxfId="262" priority="77" operator="equal">
      <formula>"NO CUMPLE"</formula>
    </cfRule>
    <cfRule type="cellIs" dxfId="261" priority="78" operator="equal">
      <formula>"CUMPLE"</formula>
    </cfRule>
    <cfRule type="cellIs" dxfId="260" priority="79" operator="equal">
      <formula>100</formula>
    </cfRule>
  </conditionalFormatting>
  <conditionalFormatting sqref="P36:P46">
    <cfRule type="cellIs" dxfId="259" priority="53" operator="equal">
      <formula>"NO CUMPLE"</formula>
    </cfRule>
    <cfRule type="cellIs" dxfId="258" priority="54" operator="equal">
      <formula>"CUMPLE"</formula>
    </cfRule>
    <cfRule type="cellIs" dxfId="257" priority="55" operator="equal">
      <formula>100</formula>
    </cfRule>
  </conditionalFormatting>
  <conditionalFormatting sqref="R60:T60">
    <cfRule type="cellIs" dxfId="256" priority="51" operator="lessThan">
      <formula>100</formula>
    </cfRule>
    <cfRule type="cellIs" dxfId="255" priority="52" operator="equal">
      <formula>100</formula>
    </cfRule>
  </conditionalFormatting>
  <dataValidations count="7">
    <dataValidation type="list" allowBlank="1" showInputMessage="1" showErrorMessage="1" sqref="M37:O37" xr:uid="{3DE46D20-6EDB-4DA1-997A-59D263D85E4C}">
      <formula1>$U$1:$U$2</formula1>
    </dataValidation>
    <dataValidation type="list" allowBlank="1" showInputMessage="1" showErrorMessage="1" sqref="G22:H22" xr:uid="{7A919A8A-B6EB-471B-A69F-CDEF03CC0CBD}">
      <formula1>$Q$2:$Q$3</formula1>
    </dataValidation>
    <dataValidation type="list" allowBlank="1" showInputMessage="1" showErrorMessage="1" sqref="O36:O38" xr:uid="{CC456680-CE7C-4ED3-9E17-97BD8F8EBFEB}">
      <formula1>$R$4:$R$5</formula1>
    </dataValidation>
    <dataValidation type="list" allowBlank="1" showInputMessage="1" showErrorMessage="1" error="SELECCIONE EL PRESUPUESTO A EVALUAR, EN LA LISTA DESPEGABLE._x000a_" sqref="I11:I12 J12:K12" xr:uid="{5B057DCF-02F8-4018-A827-8875FFE352F8}">
      <formula1>$A$75:$A$82</formula1>
    </dataValidation>
    <dataValidation type="list" allowBlank="1" showInputMessage="1" showErrorMessage="1" sqref="A3" xr:uid="{24E1BF4D-004B-464A-A723-B92FC68EB7C9}">
      <formula1>$C$75:$C$82</formula1>
    </dataValidation>
    <dataValidation type="list" allowBlank="1" showInputMessage="1" showErrorMessage="1" sqref="V1:V2" xr:uid="{234D0815-C52B-4035-900D-BF79E5B2B344}">
      <formula1>$V$1:$V$2</formula1>
    </dataValidation>
    <dataValidation type="list" allowBlank="1" showInputMessage="1" showErrorMessage="1" sqref="J60:L60 I59:I60 O46" xr:uid="{92BDB9F3-7F6D-48C7-A6E5-0EC73EE22D9B}">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2259D-E8B7-4B5E-A4DD-2D4077E7EA00}">
  <dimension ref="A1:W95"/>
  <sheetViews>
    <sheetView view="pageBreakPreview" topLeftCell="A57" zoomScale="55" zoomScaleNormal="63" zoomScaleSheetLayoutView="55" workbookViewId="0">
      <selection activeCell="A30" sqref="A30:M30"/>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254</v>
      </c>
      <c r="B3" s="229"/>
      <c r="C3" s="229"/>
      <c r="D3" s="229"/>
      <c r="E3" s="229"/>
      <c r="F3" s="229"/>
      <c r="G3" s="229"/>
      <c r="H3" s="229"/>
      <c r="I3" s="230"/>
      <c r="J3" s="230"/>
      <c r="K3" s="230"/>
      <c r="L3" s="230"/>
      <c r="M3" s="230"/>
      <c r="N3" s="230"/>
      <c r="O3" s="231"/>
      <c r="Q3" s="2" t="s">
        <v>67</v>
      </c>
      <c r="R3" s="2" t="s">
        <v>68</v>
      </c>
      <c r="V3" s="2">
        <v>0</v>
      </c>
    </row>
    <row r="4" spans="1:23" ht="20.25" customHeight="1">
      <c r="A4" s="232">
        <v>10</v>
      </c>
      <c r="B4" s="233" t="str">
        <f>_xlfn.XLOOKUP(A4,RESUMEN!$A$3:$A$19,RESUMEN!$C$3:$C$19)</f>
        <v>CONSORCIO TIERRA LETICIA 1240</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244" t="s">
        <v>255</v>
      </c>
      <c r="J5" s="244"/>
      <c r="K5" s="244"/>
      <c r="L5" s="244"/>
      <c r="M5" s="244"/>
      <c r="N5" s="245"/>
      <c r="O5" s="11">
        <v>0.5</v>
      </c>
      <c r="P5" s="2">
        <f>+I7</f>
        <v>0</v>
      </c>
      <c r="R5" s="2">
        <v>0</v>
      </c>
    </row>
    <row r="6" spans="1:23" ht="20.25" customHeight="1">
      <c r="A6" s="232"/>
      <c r="B6" s="236"/>
      <c r="C6" s="237"/>
      <c r="D6" s="237"/>
      <c r="E6" s="238"/>
      <c r="F6" s="236"/>
      <c r="G6" s="237"/>
      <c r="H6" s="238"/>
      <c r="I6" s="244" t="s">
        <v>256</v>
      </c>
      <c r="J6" s="244"/>
      <c r="K6" s="244"/>
      <c r="L6" s="244"/>
      <c r="M6" s="244"/>
      <c r="N6" s="245"/>
      <c r="O6" s="11">
        <v>0.5</v>
      </c>
      <c r="P6" s="2" t="str">
        <f t="shared" ref="P6:P9" si="0">+I6</f>
        <v>GRUPO FAO S.A.S.     NIT. 901.484.861-1</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272">
        <f>+M11*H9</f>
        <v>2868.9610735384613</v>
      </c>
      <c r="B17" s="147" t="s">
        <v>100</v>
      </c>
      <c r="C17" s="64">
        <v>3</v>
      </c>
      <c r="D17" s="148" t="s">
        <v>144</v>
      </c>
      <c r="E17" s="148" t="s">
        <v>257</v>
      </c>
      <c r="F17" s="148" t="s">
        <v>64</v>
      </c>
      <c r="G17" s="64" t="s">
        <v>64</v>
      </c>
      <c r="H17" s="64" t="s">
        <v>64</v>
      </c>
      <c r="I17" s="148" t="s">
        <v>258</v>
      </c>
      <c r="J17" s="146" t="s">
        <v>259</v>
      </c>
      <c r="K17" s="145"/>
      <c r="L17" s="66">
        <v>1094.9100000000001</v>
      </c>
      <c r="M17" s="65">
        <v>1</v>
      </c>
      <c r="N17" s="88">
        <f>L17*M17</f>
        <v>1094.9100000000001</v>
      </c>
      <c r="O17" s="89" t="str">
        <f>+IF(AND(H17="SI",G17="SI"),"CUMPLE","NO CUMPLE")</f>
        <v>CUMPLE</v>
      </c>
      <c r="P17" s="4"/>
      <c r="Q17" s="4"/>
      <c r="R17" s="135">
        <f>+(N17+N20)/A17</f>
        <v>0.66517458797246964</v>
      </c>
      <c r="S17" s="4"/>
      <c r="T17" s="69"/>
      <c r="V17" s="39">
        <v>2021</v>
      </c>
      <c r="W17" s="40">
        <v>908526</v>
      </c>
    </row>
    <row r="18" spans="1:23" ht="133.9" customHeight="1">
      <c r="A18" s="272"/>
      <c r="B18" s="147" t="s">
        <v>105</v>
      </c>
      <c r="C18" s="64">
        <v>22</v>
      </c>
      <c r="D18" s="148" t="s">
        <v>144</v>
      </c>
      <c r="E18" s="148" t="s">
        <v>260</v>
      </c>
      <c r="F18" s="148" t="s">
        <v>64</v>
      </c>
      <c r="G18" s="64" t="s">
        <v>64</v>
      </c>
      <c r="H18" s="64" t="s">
        <v>64</v>
      </c>
      <c r="I18" s="148" t="s">
        <v>258</v>
      </c>
      <c r="J18" s="146" t="s">
        <v>261</v>
      </c>
      <c r="K18" s="145"/>
      <c r="L18" s="66">
        <v>4483.63</v>
      </c>
      <c r="M18" s="65">
        <v>0.34</v>
      </c>
      <c r="N18" s="88">
        <f t="shared" ref="N18:N20" si="1">L18*M18</f>
        <v>1524.4342000000001</v>
      </c>
      <c r="O18" s="89" t="str">
        <f>+IF(AND(H18="SI",G18="SI"),"CUMPLE","NO CUMPLE")</f>
        <v>CUMPLE</v>
      </c>
      <c r="P18" s="4"/>
      <c r="Q18" s="4"/>
      <c r="R18" s="135">
        <f>+(N18+N21)/A17</f>
        <v>0.53135408983427723</v>
      </c>
      <c r="S18" s="4"/>
      <c r="T18" s="69"/>
      <c r="V18" s="96"/>
      <c r="W18" s="97"/>
    </row>
    <row r="19" spans="1:23" ht="157.69999999999999" customHeight="1">
      <c r="A19" s="272"/>
      <c r="B19" s="147" t="s">
        <v>109</v>
      </c>
      <c r="C19" s="64">
        <v>59</v>
      </c>
      <c r="D19" s="148" t="s">
        <v>144</v>
      </c>
      <c r="E19" s="148" t="s">
        <v>262</v>
      </c>
      <c r="F19" s="148" t="s">
        <v>64</v>
      </c>
      <c r="G19" s="64" t="s">
        <v>64</v>
      </c>
      <c r="H19" s="64" t="s">
        <v>64</v>
      </c>
      <c r="I19" s="148" t="s">
        <v>258</v>
      </c>
      <c r="J19" s="146" t="s">
        <v>263</v>
      </c>
      <c r="K19" s="145"/>
      <c r="L19" s="66">
        <v>44570.11</v>
      </c>
      <c r="M19" s="65">
        <v>0.6</v>
      </c>
      <c r="N19" s="88">
        <f t="shared" si="1"/>
        <v>26742.065999999999</v>
      </c>
      <c r="O19" s="89" t="str">
        <f t="shared" ref="O19:O22" si="2">+IF(AND(H19="SI",G19="SI"),"CUMPLE","NO CUMPLE")</f>
        <v>CUMPLE</v>
      </c>
      <c r="P19" s="4"/>
      <c r="Q19" s="4"/>
      <c r="R19" s="135">
        <f>+N19/A17</f>
        <v>9.3211672499332341</v>
      </c>
      <c r="S19" s="4"/>
      <c r="T19" s="69"/>
      <c r="V19" s="38">
        <v>2020</v>
      </c>
      <c r="W19" s="41">
        <v>877803</v>
      </c>
    </row>
    <row r="20" spans="1:23" ht="114.75" customHeight="1">
      <c r="A20" s="272"/>
      <c r="B20" s="147" t="s">
        <v>112</v>
      </c>
      <c r="C20" s="64">
        <v>38</v>
      </c>
      <c r="D20" s="148" t="s">
        <v>144</v>
      </c>
      <c r="E20" s="148" t="s">
        <v>264</v>
      </c>
      <c r="F20" s="148" t="s">
        <v>64</v>
      </c>
      <c r="G20" s="64" t="s">
        <v>64</v>
      </c>
      <c r="H20" s="64" t="s">
        <v>64</v>
      </c>
      <c r="I20" s="148" t="s">
        <v>265</v>
      </c>
      <c r="J20" s="146" t="s">
        <v>266</v>
      </c>
      <c r="K20" s="145"/>
      <c r="L20" s="66">
        <v>1626.9</v>
      </c>
      <c r="M20" s="65">
        <v>0.5</v>
      </c>
      <c r="N20" s="88">
        <f t="shared" si="1"/>
        <v>813.45</v>
      </c>
      <c r="O20" s="89" t="str">
        <f t="shared" si="2"/>
        <v>CUMPLE</v>
      </c>
      <c r="P20" s="4"/>
      <c r="Q20" s="4"/>
      <c r="R20" s="37"/>
      <c r="S20" s="67"/>
      <c r="T20" s="69"/>
      <c r="V20" s="38">
        <v>2019</v>
      </c>
      <c r="W20" s="41">
        <v>828116</v>
      </c>
    </row>
    <row r="21" spans="1:23" ht="42.95" customHeight="1" thickBot="1">
      <c r="A21" s="272"/>
      <c r="B21" s="147" t="s">
        <v>113</v>
      </c>
      <c r="C21" s="64"/>
      <c r="D21" s="64"/>
      <c r="E21" s="64"/>
      <c r="F21" s="64"/>
      <c r="G21" s="64"/>
      <c r="H21" s="64"/>
      <c r="I21" s="64"/>
      <c r="J21" s="146"/>
      <c r="K21" s="64"/>
      <c r="L21" s="64"/>
      <c r="M21" s="65"/>
      <c r="N21" s="88">
        <f t="shared" ref="N21:N22" si="3">IF(AND(G21="SI",H21="SI"),(L21*M21),0)</f>
        <v>0</v>
      </c>
      <c r="O21" s="89" t="str">
        <f t="shared" si="2"/>
        <v>NO CUMPLE</v>
      </c>
      <c r="P21" s="4"/>
      <c r="Q21" s="4"/>
      <c r="R21" s="37"/>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3"/>
        <v>0</v>
      </c>
      <c r="O22" s="89" t="str">
        <f t="shared" si="2"/>
        <v>NO CUMPLE</v>
      </c>
      <c r="P22" s="4"/>
      <c r="Q22" s="4"/>
      <c r="R22" s="135">
        <f>+N22/A17</f>
        <v>0</v>
      </c>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30174.860199999999</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V25" s="2">
        <v>2007</v>
      </c>
      <c r="W25" s="2">
        <v>433700</v>
      </c>
    </row>
    <row r="26" spans="1:23" ht="211.9" customHeight="1">
      <c r="A26" s="268" t="s">
        <v>338</v>
      </c>
      <c r="B26" s="269"/>
      <c r="C26" s="269"/>
      <c r="D26" s="269"/>
      <c r="E26" s="269"/>
      <c r="F26" s="269"/>
      <c r="G26" s="269"/>
      <c r="H26" s="269"/>
      <c r="I26" s="269"/>
      <c r="J26" s="269"/>
      <c r="K26" s="269"/>
      <c r="L26" s="269"/>
      <c r="M26" s="269"/>
      <c r="N26" s="269"/>
      <c r="O26" s="270"/>
      <c r="T26" s="26"/>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c r="S27" s="36"/>
      <c r="T27" s="27"/>
      <c r="V27" s="2">
        <v>2022</v>
      </c>
      <c r="W27" s="2">
        <v>1000000</v>
      </c>
    </row>
    <row r="28" spans="1:23" ht="145.5" customHeight="1">
      <c r="A28" s="276">
        <f>A17*50%</f>
        <v>1434.4805367692306</v>
      </c>
      <c r="B28" s="147" t="s">
        <v>100</v>
      </c>
      <c r="C28" s="64">
        <v>59</v>
      </c>
      <c r="D28" s="148" t="s">
        <v>144</v>
      </c>
      <c r="E28" s="148" t="s">
        <v>262</v>
      </c>
      <c r="F28" s="148" t="s">
        <v>64</v>
      </c>
      <c r="G28" s="64" t="s">
        <v>64</v>
      </c>
      <c r="H28" s="64" t="s">
        <v>64</v>
      </c>
      <c r="I28" s="148" t="s">
        <v>258</v>
      </c>
      <c r="J28" s="146" t="s">
        <v>263</v>
      </c>
      <c r="K28" s="145"/>
      <c r="L28" s="66">
        <v>44570.11</v>
      </c>
      <c r="M28" s="65">
        <v>0.6</v>
      </c>
      <c r="N28" s="88">
        <f>L28*M28</f>
        <v>26742.065999999999</v>
      </c>
      <c r="O28" s="89" t="str">
        <f>+IF(AND(H28="SI",G28="SI"),"CUMPLE","NO CUMPLE")</f>
        <v>CUMPLE</v>
      </c>
      <c r="P28" s="4"/>
      <c r="Q28" s="4"/>
      <c r="R28" s="36"/>
      <c r="S28" s="36"/>
      <c r="T28" s="27"/>
    </row>
    <row r="29" spans="1:23" ht="145.5" customHeight="1" thickBot="1">
      <c r="A29" s="277"/>
      <c r="B29" s="147" t="s">
        <v>105</v>
      </c>
      <c r="C29" s="64">
        <v>22</v>
      </c>
      <c r="D29" s="148" t="s">
        <v>144</v>
      </c>
      <c r="E29" s="148" t="s">
        <v>260</v>
      </c>
      <c r="F29" s="148" t="s">
        <v>64</v>
      </c>
      <c r="G29" s="64" t="s">
        <v>64</v>
      </c>
      <c r="H29" s="64" t="s">
        <v>64</v>
      </c>
      <c r="I29" s="148" t="s">
        <v>258</v>
      </c>
      <c r="J29" s="146" t="s">
        <v>261</v>
      </c>
      <c r="K29" s="145"/>
      <c r="L29" s="66">
        <v>4483.63</v>
      </c>
      <c r="M29" s="65">
        <v>0.34</v>
      </c>
      <c r="N29" s="88">
        <f>L29*M29</f>
        <v>1524.4342000000001</v>
      </c>
      <c r="O29" s="89" t="str">
        <f>+IF(AND(H29="SI",G29="SI"),"CUMPLE","NO CUMPLE")</f>
        <v>CUMPLE</v>
      </c>
      <c r="P29" s="4"/>
      <c r="Q29" s="4"/>
      <c r="R29" s="36"/>
      <c r="S29" s="36"/>
      <c r="T29" s="27"/>
    </row>
    <row r="30" spans="1:23" ht="143.44999999999999" customHeight="1" thickTop="1" thickBot="1">
      <c r="A30" s="273"/>
      <c r="B30" s="273"/>
      <c r="C30" s="273"/>
      <c r="D30" s="273"/>
      <c r="E30" s="273"/>
      <c r="F30" s="273"/>
      <c r="G30" s="273"/>
      <c r="H30" s="273"/>
      <c r="I30" s="273"/>
      <c r="J30" s="273"/>
      <c r="K30" s="273"/>
      <c r="L30" s="273"/>
      <c r="M30" s="274"/>
      <c r="N30" s="278"/>
      <c r="O30" s="279"/>
      <c r="P30" s="4"/>
      <c r="Q30" s="4"/>
      <c r="R30" s="37" t="str">
        <f>+IF(OR(O30="CUMPLE")*AND(N30&gt;=$R$16),"CUMPLE","NO CUMPLE")</f>
        <v>NO CUMPLE</v>
      </c>
      <c r="S30" s="4"/>
      <c r="T30" s="27"/>
      <c r="V30" s="39">
        <v>2021</v>
      </c>
      <c r="W30" s="40">
        <v>908526</v>
      </c>
    </row>
    <row r="31" spans="1:23" ht="27.95" customHeight="1" thickBot="1">
      <c r="A31" s="264" t="s">
        <v>119</v>
      </c>
      <c r="B31" s="265"/>
      <c r="C31" s="265"/>
      <c r="D31" s="265"/>
      <c r="E31" s="265"/>
      <c r="F31" s="265"/>
      <c r="G31" s="265"/>
      <c r="H31" s="265"/>
      <c r="I31" s="265"/>
      <c r="J31" s="265"/>
      <c r="K31" s="265"/>
      <c r="L31" s="265"/>
      <c r="M31" s="275"/>
      <c r="N31" s="34">
        <f>SUM(N29)</f>
        <v>1524.4342000000001</v>
      </c>
      <c r="O31" s="54" t="str">
        <f>+IF(AND(O29="CUMPLE",O28="CUMPLE")*AND(N31&gt;=A28),"CUMPLE","NO CUMPLE")</f>
        <v>CUMPLE</v>
      </c>
      <c r="P31" s="4"/>
      <c r="Q31" s="4"/>
      <c r="R31" s="4"/>
      <c r="S31" s="4"/>
      <c r="T31" s="27"/>
      <c r="V31" s="38">
        <v>2015</v>
      </c>
      <c r="W31" s="41">
        <v>644350</v>
      </c>
    </row>
    <row r="32" spans="1:23" ht="36" customHeight="1" thickBot="1">
      <c r="A32" s="55"/>
      <c r="B32" s="56"/>
      <c r="C32" s="56"/>
      <c r="D32" s="56"/>
      <c r="E32" s="56"/>
      <c r="F32" s="56"/>
      <c r="G32" s="56"/>
      <c r="H32" s="56"/>
      <c r="I32" s="56"/>
      <c r="J32" s="56"/>
      <c r="K32" s="56"/>
      <c r="L32" s="56"/>
      <c r="M32" s="56"/>
      <c r="N32" s="34"/>
      <c r="O32" s="54"/>
      <c r="P32" s="10"/>
      <c r="Q32" s="4"/>
      <c r="S32" s="4"/>
      <c r="T32" s="28"/>
      <c r="V32" s="38">
        <v>2014</v>
      </c>
      <c r="W32" s="41">
        <v>616000</v>
      </c>
    </row>
    <row r="33" spans="1:23" ht="36"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c r="W33" s="41"/>
    </row>
    <row r="34" spans="1:23" ht="51" customHeight="1" thickBot="1">
      <c r="A34" s="57"/>
      <c r="B34" s="52"/>
      <c r="C34" s="52"/>
      <c r="D34" s="52"/>
      <c r="E34" s="52"/>
      <c r="F34" s="52"/>
      <c r="G34" s="52"/>
      <c r="H34" s="52"/>
      <c r="I34" s="52"/>
      <c r="J34" s="52"/>
      <c r="K34" s="52"/>
      <c r="L34" s="52"/>
      <c r="M34" s="52"/>
      <c r="N34" s="53"/>
      <c r="O34" s="54"/>
      <c r="P34" s="10"/>
      <c r="Q34" s="4"/>
      <c r="S34" s="4"/>
      <c r="T34" s="28"/>
      <c r="V34" s="38">
        <v>2014</v>
      </c>
      <c r="W34" s="41">
        <v>616000</v>
      </c>
    </row>
    <row r="35" spans="1:23" ht="24" thickBot="1">
      <c r="A35" s="264"/>
      <c r="B35" s="265"/>
      <c r="C35" s="265"/>
      <c r="D35" s="265"/>
      <c r="E35" s="265"/>
      <c r="F35" s="265"/>
      <c r="G35" s="265"/>
      <c r="H35" s="265"/>
      <c r="I35" s="265"/>
      <c r="J35" s="265"/>
      <c r="K35" s="265"/>
      <c r="L35" s="265"/>
      <c r="M35" s="265"/>
      <c r="N35" s="265"/>
      <c r="O35" s="266"/>
      <c r="P35" s="10"/>
      <c r="Q35" s="4"/>
      <c r="R35" s="4"/>
      <c r="S35" s="4"/>
      <c r="T35" s="4"/>
      <c r="V35" s="38">
        <v>2012</v>
      </c>
      <c r="W35" s="41">
        <v>566700</v>
      </c>
    </row>
    <row r="36" spans="1:23" ht="26.45" customHeight="1" thickBot="1">
      <c r="A36" s="285"/>
      <c r="B36" s="286"/>
      <c r="C36" s="286"/>
      <c r="D36" s="286"/>
      <c r="E36" s="286"/>
      <c r="F36" s="286"/>
      <c r="G36" s="286"/>
      <c r="H36" s="286"/>
      <c r="I36" s="286"/>
      <c r="J36" s="286"/>
      <c r="K36" s="286"/>
      <c r="L36" s="286"/>
      <c r="M36" s="286"/>
      <c r="N36" s="287"/>
      <c r="O36" s="91"/>
      <c r="P36" s="4"/>
      <c r="Q36" s="4"/>
      <c r="R36" s="4"/>
      <c r="S36" s="4"/>
      <c r="T36" s="4"/>
      <c r="V36" s="38">
        <v>2011</v>
      </c>
      <c r="W36" s="41">
        <v>535600</v>
      </c>
    </row>
    <row r="37" spans="1:23" ht="195" customHeight="1" thickBot="1">
      <c r="A37" s="58"/>
      <c r="B37" s="50"/>
      <c r="C37" s="50"/>
      <c r="D37" s="50"/>
      <c r="E37" s="50"/>
      <c r="F37" s="50"/>
      <c r="G37" s="50"/>
      <c r="H37" s="50"/>
      <c r="I37" s="50"/>
      <c r="J37" s="50"/>
      <c r="K37" s="50"/>
      <c r="L37" s="50"/>
      <c r="M37" s="48"/>
      <c r="N37" s="48"/>
      <c r="O37" s="49"/>
      <c r="P37" s="10"/>
      <c r="Q37" s="4"/>
      <c r="R37" s="4"/>
      <c r="S37" s="4"/>
      <c r="T37" s="4"/>
      <c r="V37" s="38">
        <v>2010</v>
      </c>
      <c r="W37" s="41">
        <v>515000</v>
      </c>
    </row>
    <row r="38" spans="1:23" ht="24" thickBot="1">
      <c r="A38" s="288" t="s">
        <v>121</v>
      </c>
      <c r="B38" s="289"/>
      <c r="C38" s="289"/>
      <c r="D38" s="289"/>
      <c r="E38" s="289"/>
      <c r="F38" s="289"/>
      <c r="G38" s="289"/>
      <c r="H38" s="289"/>
      <c r="I38" s="289"/>
      <c r="J38" s="289"/>
      <c r="K38" s="289"/>
      <c r="L38" s="289"/>
      <c r="M38" s="289"/>
      <c r="N38" s="289"/>
      <c r="O38" s="290"/>
      <c r="P38" s="7"/>
      <c r="Q38" s="8"/>
      <c r="V38" s="38">
        <v>2002</v>
      </c>
      <c r="W38" s="41">
        <v>309000</v>
      </c>
    </row>
    <row r="39" spans="1:23" ht="30.95" customHeight="1" thickBot="1">
      <c r="A39" s="291" t="s">
        <v>122</v>
      </c>
      <c r="B39" s="292"/>
      <c r="C39" s="293" t="s">
        <v>123</v>
      </c>
      <c r="D39" s="294"/>
      <c r="E39" s="294"/>
      <c r="F39" s="294"/>
      <c r="G39" s="294"/>
      <c r="H39" s="294"/>
      <c r="I39" s="294"/>
      <c r="J39" s="294"/>
      <c r="K39" s="294"/>
      <c r="L39" s="295"/>
      <c r="M39" s="280" t="s">
        <v>120</v>
      </c>
      <c r="N39" s="281"/>
      <c r="O39" s="282"/>
      <c r="P39" s="7"/>
      <c r="Q39" s="8"/>
      <c r="V39" s="38">
        <v>2001</v>
      </c>
      <c r="W39" s="41">
        <v>286000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2000</v>
      </c>
      <c r="W40" s="41">
        <v>260100</v>
      </c>
    </row>
    <row r="41" spans="1:23" ht="33.950000000000003" customHeight="1" thickBot="1">
      <c r="A41" s="291"/>
      <c r="B41" s="292"/>
      <c r="C41" s="296"/>
      <c r="D41" s="297"/>
      <c r="E41" s="297"/>
      <c r="F41" s="297"/>
      <c r="G41" s="297"/>
      <c r="H41" s="297"/>
      <c r="I41" s="297"/>
      <c r="J41" s="297"/>
      <c r="K41" s="297"/>
      <c r="L41" s="297"/>
      <c r="M41" s="124"/>
      <c r="N41" s="121"/>
      <c r="O41" s="125"/>
      <c r="P41" s="9"/>
      <c r="Q41" s="8"/>
      <c r="V41" s="38">
        <v>1999</v>
      </c>
      <c r="W41" s="41">
        <v>236438</v>
      </c>
    </row>
    <row r="42" spans="1:23" ht="66" customHeight="1" thickBot="1">
      <c r="A42" s="291"/>
      <c r="B42" s="292"/>
      <c r="C42" s="298"/>
      <c r="D42" s="299"/>
      <c r="E42" s="299"/>
      <c r="F42" s="299"/>
      <c r="G42" s="299"/>
      <c r="H42" s="299"/>
      <c r="I42" s="299"/>
      <c r="J42" s="299"/>
      <c r="K42" s="299"/>
      <c r="L42" s="299"/>
      <c r="M42" s="126"/>
      <c r="N42" s="122"/>
      <c r="O42" s="127"/>
      <c r="P42" s="9"/>
      <c r="Q42" s="8"/>
      <c r="V42" s="38">
        <v>1998</v>
      </c>
      <c r="W42" s="41">
        <v>203825</v>
      </c>
    </row>
    <row r="43" spans="1:23" ht="80.45" customHeight="1" thickBot="1">
      <c r="A43" s="300" t="s">
        <v>124</v>
      </c>
      <c r="B43" s="295"/>
      <c r="C43" s="293" t="s">
        <v>125</v>
      </c>
      <c r="D43" s="294"/>
      <c r="E43" s="294"/>
      <c r="F43" s="294"/>
      <c r="G43" s="294"/>
      <c r="H43" s="294"/>
      <c r="I43" s="294"/>
      <c r="J43" s="294"/>
      <c r="K43" s="294"/>
      <c r="L43" s="294"/>
      <c r="M43" s="126"/>
      <c r="N43" s="122"/>
      <c r="O43" s="127"/>
      <c r="P43" s="9"/>
      <c r="Q43" s="8"/>
      <c r="V43" s="38">
        <v>1997</v>
      </c>
      <c r="W43" s="41">
        <v>172005</v>
      </c>
    </row>
    <row r="44" spans="1:23" ht="98.4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4.2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27.75" customHeight="1" thickBot="1">
      <c r="A46" s="61"/>
      <c r="B46" s="62"/>
      <c r="C46" s="59"/>
      <c r="D46" s="59"/>
      <c r="E46" s="59"/>
      <c r="F46" s="59"/>
      <c r="G46" s="59"/>
      <c r="H46" s="59"/>
      <c r="I46" s="59"/>
      <c r="J46" s="59"/>
      <c r="K46" s="59"/>
      <c r="L46" s="59"/>
      <c r="M46" s="59"/>
      <c r="N46" s="60"/>
      <c r="O46" s="54"/>
      <c r="P46" s="9"/>
      <c r="Q46" s="8"/>
      <c r="V46" s="38">
        <v>1996</v>
      </c>
      <c r="W46" s="41">
        <v>142125</v>
      </c>
    </row>
    <row r="47" spans="1:23" ht="34.5" customHeight="1" thickBot="1">
      <c r="A47" s="108" t="s">
        <v>127</v>
      </c>
      <c r="B47" s="109"/>
      <c r="C47" s="109"/>
      <c r="D47" s="109"/>
      <c r="E47" s="109"/>
      <c r="F47" s="109"/>
      <c r="G47" s="109"/>
      <c r="H47" s="109"/>
      <c r="I47" s="109"/>
      <c r="J47" s="109"/>
      <c r="K47" s="109"/>
      <c r="L47" s="109"/>
      <c r="M47" s="109"/>
      <c r="N47" s="109"/>
      <c r="O47" s="110"/>
      <c r="P47" s="10"/>
      <c r="Q47" s="4"/>
      <c r="R47" s="4"/>
      <c r="S47" s="4"/>
      <c r="T47" s="4"/>
      <c r="V47" s="38">
        <v>2009</v>
      </c>
      <c r="W47" s="41">
        <v>496900</v>
      </c>
    </row>
    <row r="48" spans="1:23" ht="82.5" customHeight="1" thickBot="1">
      <c r="A48" s="283" t="s">
        <v>128</v>
      </c>
      <c r="B48" s="284"/>
      <c r="C48" s="284"/>
      <c r="D48" s="284"/>
      <c r="E48" s="284"/>
      <c r="F48" s="284"/>
      <c r="G48" s="284"/>
      <c r="H48" s="284"/>
      <c r="I48" s="284"/>
      <c r="J48" s="284"/>
      <c r="K48" s="284"/>
      <c r="L48" s="284"/>
      <c r="M48" s="280" t="s">
        <v>120</v>
      </c>
      <c r="N48" s="281"/>
      <c r="O48" s="282"/>
      <c r="V48" s="38">
        <v>2005</v>
      </c>
      <c r="W48" s="41">
        <v>381500</v>
      </c>
    </row>
    <row r="49" spans="1:23" ht="90" customHeight="1" thickBot="1">
      <c r="A49" s="283" t="s">
        <v>129</v>
      </c>
      <c r="B49" s="284"/>
      <c r="C49" s="284"/>
      <c r="D49" s="284"/>
      <c r="E49" s="284"/>
      <c r="F49" s="284"/>
      <c r="G49" s="284"/>
      <c r="H49" s="284"/>
      <c r="I49" s="284"/>
      <c r="J49" s="284"/>
      <c r="K49" s="284"/>
      <c r="L49" s="284"/>
      <c r="M49" s="103" t="s">
        <v>65</v>
      </c>
      <c r="N49" s="104"/>
      <c r="O49" s="105"/>
      <c r="P49" s="7"/>
      <c r="Q49" s="8"/>
      <c r="V49" s="38">
        <v>2004</v>
      </c>
      <c r="W49" s="41">
        <v>358000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72.75" customHeight="1" thickBot="1">
      <c r="A51" s="111" t="s">
        <v>131</v>
      </c>
      <c r="B51" s="112"/>
      <c r="C51" s="112"/>
      <c r="D51" s="112"/>
      <c r="E51" s="112"/>
      <c r="F51" s="112"/>
      <c r="G51" s="112"/>
      <c r="H51" s="112"/>
      <c r="I51" s="112"/>
      <c r="J51" s="112"/>
      <c r="K51" s="112"/>
      <c r="L51" s="112"/>
      <c r="M51" s="112"/>
      <c r="N51" s="112"/>
      <c r="O51" s="113"/>
      <c r="P51" s="7"/>
      <c r="Q51" s="8"/>
      <c r="V51" s="38">
        <v>2003</v>
      </c>
      <c r="W51" s="41">
        <v>332000</v>
      </c>
    </row>
    <row r="52" spans="1:23" ht="144.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78.7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8.75"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69"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86.7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131.8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85.25" customHeight="1">
      <c r="A58" s="300" t="s">
        <v>138</v>
      </c>
      <c r="B58" s="294"/>
      <c r="C58" s="294"/>
      <c r="D58" s="294"/>
      <c r="E58" s="294"/>
      <c r="F58" s="294"/>
      <c r="G58" s="294"/>
      <c r="H58" s="294"/>
      <c r="I58" s="294"/>
      <c r="J58" s="294"/>
      <c r="K58" s="294"/>
      <c r="L58" s="294"/>
      <c r="M58" s="294"/>
      <c r="N58" s="294"/>
      <c r="O58" s="102">
        <v>0</v>
      </c>
      <c r="P58" s="7"/>
      <c r="Q58" s="8"/>
      <c r="V58" s="38"/>
      <c r="W58" s="41"/>
    </row>
    <row r="59" spans="1:23" ht="36" customHeight="1" thickBot="1">
      <c r="A59" s="320" t="s">
        <v>99</v>
      </c>
      <c r="B59" s="321"/>
      <c r="C59" s="321"/>
      <c r="D59" s="321"/>
      <c r="E59" s="321"/>
      <c r="F59" s="321"/>
      <c r="G59" s="321"/>
      <c r="H59" s="321"/>
      <c r="I59" s="322" t="s">
        <v>65</v>
      </c>
      <c r="J59" s="323"/>
      <c r="K59" s="323"/>
      <c r="L59" s="323"/>
      <c r="M59" s="323"/>
      <c r="N59" s="323"/>
      <c r="O59" s="324"/>
      <c r="P59" s="7"/>
      <c r="Q59" s="8"/>
      <c r="V59" s="38"/>
      <c r="W59" s="41"/>
    </row>
    <row r="60" spans="1:23" ht="30.2" customHeight="1" thickBot="1">
      <c r="A60" s="322" t="s">
        <v>139</v>
      </c>
      <c r="B60" s="323"/>
      <c r="C60" s="323"/>
      <c r="D60" s="323"/>
      <c r="E60" s="323"/>
      <c r="F60" s="323"/>
      <c r="G60" s="323"/>
      <c r="H60" s="324"/>
      <c r="I60" s="322" t="s">
        <v>65</v>
      </c>
      <c r="J60" s="323"/>
      <c r="K60" s="323"/>
      <c r="L60" s="324"/>
      <c r="M60" s="308">
        <f>+O56+O54+O52+M50+M44+O58</f>
        <v>40.5</v>
      </c>
      <c r="N60" s="309"/>
      <c r="O60" s="310"/>
      <c r="P60" s="9"/>
      <c r="Q60" s="8"/>
      <c r="V60" s="38">
        <v>1995</v>
      </c>
      <c r="W60" s="41">
        <v>118934</v>
      </c>
    </row>
    <row r="61" spans="1:23" ht="33.75">
      <c r="A61" s="311" t="s">
        <v>267</v>
      </c>
      <c r="B61" s="312"/>
      <c r="C61" s="312"/>
      <c r="D61" s="312"/>
      <c r="E61" s="312"/>
      <c r="F61" s="312"/>
      <c r="G61" s="312"/>
      <c r="H61" s="312"/>
      <c r="I61" s="312"/>
      <c r="J61" s="312"/>
      <c r="K61" s="312"/>
      <c r="L61" s="312"/>
      <c r="M61" s="312"/>
      <c r="N61" s="312"/>
      <c r="O61" s="313"/>
      <c r="P61" s="9"/>
      <c r="Q61" s="8"/>
      <c r="R61" s="308"/>
      <c r="S61" s="309"/>
      <c r="T61" s="310"/>
      <c r="V61" s="38">
        <v>1994</v>
      </c>
      <c r="W61" s="41">
        <v>98700</v>
      </c>
    </row>
    <row r="62" spans="1:23" ht="15" customHeight="1" thickBot="1">
      <c r="A62" s="314"/>
      <c r="B62" s="315"/>
      <c r="C62" s="315"/>
      <c r="D62" s="315"/>
      <c r="E62" s="315"/>
      <c r="F62" s="315"/>
      <c r="G62" s="315"/>
      <c r="H62" s="315"/>
      <c r="I62" s="315"/>
      <c r="J62" s="315"/>
      <c r="K62" s="315"/>
      <c r="L62" s="315"/>
      <c r="M62" s="315"/>
      <c r="N62" s="315"/>
      <c r="O62" s="316"/>
      <c r="P62" s="9"/>
      <c r="Q62" s="8"/>
      <c r="V62" s="38">
        <v>1993</v>
      </c>
      <c r="W62" s="41">
        <v>81510</v>
      </c>
    </row>
    <row r="63" spans="1:23" ht="30.95" customHeight="1" thickBot="1">
      <c r="A63" s="317"/>
      <c r="B63" s="318"/>
      <c r="C63" s="318"/>
      <c r="D63" s="318"/>
      <c r="E63" s="318"/>
      <c r="F63" s="318"/>
      <c r="G63" s="318"/>
      <c r="H63" s="318"/>
      <c r="I63" s="318"/>
      <c r="J63" s="318"/>
      <c r="K63" s="318"/>
      <c r="L63" s="318"/>
      <c r="M63" s="318"/>
      <c r="N63" s="318"/>
      <c r="O63" s="319"/>
      <c r="P63" s="9"/>
      <c r="Q63" s="8"/>
      <c r="V63" s="38">
        <v>1992</v>
      </c>
      <c r="W63" s="41">
        <v>65190</v>
      </c>
    </row>
    <row r="64" spans="1:23" ht="62.45" customHeight="1" thickBot="1">
      <c r="A64" s="8"/>
      <c r="B64" s="8"/>
      <c r="C64" s="8"/>
      <c r="D64" s="8"/>
      <c r="E64" s="8"/>
      <c r="F64" s="8"/>
      <c r="G64" s="8"/>
      <c r="H64" s="8"/>
      <c r="I64" s="8"/>
      <c r="J64" s="8"/>
      <c r="K64" s="8"/>
      <c r="L64" s="8"/>
      <c r="M64" s="8"/>
      <c r="N64" s="8"/>
      <c r="O64" s="8"/>
      <c r="P64" s="9"/>
      <c r="Q64" s="8"/>
      <c r="V64" s="38">
        <v>1991</v>
      </c>
      <c r="W64" s="41">
        <v>51720</v>
      </c>
    </row>
    <row r="65" spans="1:23" ht="18.75" thickBot="1">
      <c r="A65" s="8"/>
      <c r="B65" s="8"/>
      <c r="C65" s="8"/>
      <c r="D65" s="8"/>
      <c r="E65" s="8"/>
      <c r="F65" s="8"/>
      <c r="G65" s="8"/>
      <c r="H65" s="8"/>
      <c r="I65" s="8"/>
      <c r="J65" s="8"/>
      <c r="K65" s="8"/>
      <c r="L65" s="8"/>
      <c r="M65" s="8"/>
      <c r="N65" s="8"/>
      <c r="O65" s="8"/>
      <c r="P65" s="9"/>
      <c r="Q65" s="8"/>
      <c r="V65" s="42">
        <v>1990</v>
      </c>
      <c r="W65" s="43">
        <v>41025</v>
      </c>
    </row>
    <row r="66" spans="1:23">
      <c r="A66" s="8"/>
      <c r="B66" s="8"/>
      <c r="C66" s="8"/>
      <c r="D66" s="8"/>
      <c r="E66" s="8"/>
      <c r="F66" s="8"/>
      <c r="G66" s="8"/>
      <c r="H66" s="8"/>
      <c r="I66" s="8"/>
      <c r="J66" s="8"/>
      <c r="K66" s="8"/>
      <c r="L66" s="8"/>
      <c r="M66" s="8"/>
      <c r="N66" s="8"/>
      <c r="O66" s="8"/>
      <c r="P66" s="9"/>
      <c r="Q66" s="8"/>
    </row>
    <row r="67" spans="1:23">
      <c r="A67" s="25"/>
      <c r="B67" s="8"/>
      <c r="C67" s="8"/>
      <c r="D67" s="8"/>
      <c r="E67" s="8"/>
      <c r="F67" s="8"/>
      <c r="G67" s="8"/>
      <c r="H67" s="8"/>
      <c r="I67" s="8"/>
      <c r="J67" s="8"/>
      <c r="K67" s="8"/>
      <c r="L67" s="8"/>
      <c r="M67" s="8"/>
      <c r="N67" s="8"/>
      <c r="O67" s="8"/>
      <c r="P67" s="9"/>
      <c r="Q67" s="8"/>
    </row>
    <row r="68" spans="1:23">
      <c r="A68" s="25"/>
      <c r="B68" s="8"/>
      <c r="C68" s="8"/>
      <c r="D68" s="8"/>
      <c r="E68" s="8"/>
      <c r="F68" s="8"/>
      <c r="G68" s="8"/>
      <c r="H68" s="8"/>
      <c r="I68" s="8"/>
      <c r="J68" s="8"/>
      <c r="K68" s="8"/>
      <c r="L68" s="8"/>
      <c r="M68" s="8"/>
      <c r="N68" s="8"/>
      <c r="O68" s="8"/>
      <c r="P68" s="9"/>
      <c r="Q68" s="8"/>
    </row>
    <row r="69" spans="1:23">
      <c r="A69" s="25"/>
      <c r="B69" s="8"/>
      <c r="C69" s="8"/>
      <c r="D69" s="8"/>
      <c r="E69" s="8"/>
      <c r="F69" s="8"/>
      <c r="G69" s="8"/>
      <c r="H69" s="8"/>
      <c r="I69" s="8"/>
      <c r="J69" s="8"/>
      <c r="K69" s="8"/>
      <c r="L69" s="8"/>
      <c r="M69" s="8"/>
      <c r="N69" s="8"/>
      <c r="O69" s="8"/>
      <c r="P69" s="9"/>
      <c r="Q69" s="8"/>
    </row>
    <row r="70" spans="1:23">
      <c r="A70" s="25"/>
      <c r="B70" s="8"/>
      <c r="C70" s="8"/>
      <c r="D70" s="8"/>
      <c r="E70" s="8"/>
      <c r="F70" s="8"/>
      <c r="G70" s="8"/>
      <c r="H70" s="8"/>
      <c r="I70" s="8"/>
      <c r="J70" s="8"/>
      <c r="K70" s="8"/>
      <c r="L70" s="8"/>
      <c r="M70" s="8"/>
      <c r="N70" s="8"/>
      <c r="O70" s="8"/>
      <c r="P70" s="9"/>
      <c r="Q70" s="8"/>
    </row>
    <row r="71" spans="1:23">
      <c r="A71" s="8"/>
      <c r="B71" s="8"/>
      <c r="C71" s="8"/>
      <c r="D71" s="8"/>
      <c r="E71" s="8"/>
      <c r="F71" s="8"/>
      <c r="G71" s="8"/>
      <c r="H71" s="8"/>
      <c r="I71" s="8"/>
      <c r="J71" s="8"/>
      <c r="K71" s="8"/>
      <c r="L71" s="8"/>
      <c r="M71" s="8"/>
      <c r="N71" s="8"/>
      <c r="O71" s="8"/>
      <c r="P71" s="9"/>
      <c r="Q71" s="8"/>
    </row>
    <row r="72" spans="1:23">
      <c r="A72" s="8"/>
      <c r="B72" s="8"/>
      <c r="C72" s="8"/>
      <c r="D72" s="8"/>
      <c r="E72" s="8"/>
      <c r="F72" s="8"/>
      <c r="G72" s="8"/>
      <c r="H72" s="8"/>
      <c r="I72" s="8"/>
      <c r="J72" s="8"/>
      <c r="K72" s="8"/>
      <c r="L72" s="8"/>
      <c r="M72" s="8"/>
      <c r="N72" s="8"/>
      <c r="O72" s="8"/>
      <c r="P72" s="9"/>
      <c r="Q72" s="8"/>
    </row>
    <row r="73" spans="1:23">
      <c r="A73" s="8"/>
      <c r="B73" s="8"/>
      <c r="C73" s="8"/>
      <c r="D73" s="8"/>
      <c r="E73" s="8"/>
      <c r="F73" s="8"/>
      <c r="G73" s="8"/>
      <c r="H73" s="8"/>
      <c r="I73" s="8"/>
      <c r="J73" s="8"/>
      <c r="K73" s="8"/>
      <c r="L73" s="8"/>
      <c r="M73" s="8"/>
      <c r="N73" s="8"/>
      <c r="O73" s="8"/>
      <c r="P73" s="9"/>
      <c r="Q73" s="8"/>
    </row>
    <row r="74" spans="1:23">
      <c r="A74" s="8"/>
      <c r="B74" s="8"/>
      <c r="C74" s="8"/>
      <c r="D74" s="8"/>
      <c r="E74" s="8"/>
      <c r="F74" s="8"/>
      <c r="G74" s="8"/>
      <c r="H74" s="8"/>
      <c r="I74" s="8"/>
      <c r="J74" s="8"/>
      <c r="K74" s="8"/>
      <c r="L74" s="8"/>
      <c r="M74" s="8"/>
      <c r="N74" s="8"/>
      <c r="O74" s="8"/>
      <c r="P74" s="9"/>
      <c r="Q74" s="8"/>
    </row>
    <row r="75" spans="1:23" ht="199.5">
      <c r="A75" s="30">
        <v>3108041163</v>
      </c>
      <c r="B75" s="31" t="s">
        <v>140</v>
      </c>
      <c r="C75" s="51" t="s">
        <v>66</v>
      </c>
      <c r="P75" s="9"/>
      <c r="Q75" s="8"/>
    </row>
    <row r="76" spans="1:23" ht="285">
      <c r="A76" s="30">
        <v>51657686057</v>
      </c>
      <c r="B76" s="31" t="s">
        <v>140</v>
      </c>
      <c r="C76" s="51" t="s">
        <v>254</v>
      </c>
      <c r="P76" s="9"/>
      <c r="Q76" s="8"/>
    </row>
    <row r="77" spans="1:23">
      <c r="A77" s="32"/>
      <c r="B77" s="31"/>
      <c r="C77" s="31"/>
      <c r="P77" s="9"/>
      <c r="Q77" s="8"/>
    </row>
    <row r="78" spans="1:23">
      <c r="A78" s="32"/>
      <c r="B78" s="31"/>
      <c r="C78" s="31"/>
      <c r="P78" s="9"/>
      <c r="Q78" s="8"/>
    </row>
    <row r="79" spans="1:23">
      <c r="A79" s="14"/>
      <c r="C79" s="13"/>
      <c r="P79" s="9"/>
      <c r="Q79" s="8"/>
    </row>
    <row r="80" spans="1:23">
      <c r="A80" s="14"/>
      <c r="C80" s="13"/>
      <c r="P80" s="9"/>
      <c r="Q80" s="8"/>
    </row>
    <row r="81" spans="1:17">
      <c r="A81" s="14"/>
      <c r="C81" s="13"/>
      <c r="O81" s="3"/>
      <c r="P81" s="8"/>
      <c r="Q81" s="8"/>
    </row>
    <row r="82" spans="1:17">
      <c r="A82" s="14"/>
      <c r="C82" s="13"/>
    </row>
    <row r="83" spans="1:17">
      <c r="A83" s="14"/>
      <c r="C83" s="13"/>
    </row>
    <row r="90" spans="1:17">
      <c r="C90" s="29"/>
    </row>
    <row r="91" spans="1:17">
      <c r="C91" s="29"/>
    </row>
    <row r="93" spans="1:17">
      <c r="C93" s="29"/>
    </row>
    <row r="95" spans="1:17">
      <c r="C95"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1:T61"/>
    <mergeCell ref="A60:H60"/>
    <mergeCell ref="A61:O63"/>
    <mergeCell ref="A39:B42"/>
    <mergeCell ref="C39:L42"/>
    <mergeCell ref="M39:O39"/>
    <mergeCell ref="A43:B44"/>
    <mergeCell ref="C43:L44"/>
    <mergeCell ref="C45:L45"/>
    <mergeCell ref="A48:L48"/>
    <mergeCell ref="M48:O48"/>
    <mergeCell ref="A52:L52"/>
    <mergeCell ref="A54:L54"/>
    <mergeCell ref="A50:L50"/>
    <mergeCell ref="A45:B45"/>
    <mergeCell ref="A49:L49"/>
    <mergeCell ref="A14:O14"/>
    <mergeCell ref="U15:U16"/>
    <mergeCell ref="A17:A22"/>
    <mergeCell ref="A23:M23"/>
    <mergeCell ref="A24:M24"/>
    <mergeCell ref="A15:O15"/>
    <mergeCell ref="A26:O26"/>
    <mergeCell ref="A31:M31"/>
    <mergeCell ref="A25:O25"/>
    <mergeCell ref="A28:A29"/>
    <mergeCell ref="A30:M30"/>
    <mergeCell ref="N30:O30"/>
    <mergeCell ref="P10:U10"/>
    <mergeCell ref="C11:H11"/>
    <mergeCell ref="J11:L11"/>
    <mergeCell ref="M11:O11"/>
    <mergeCell ref="A13:O13"/>
    <mergeCell ref="F8:G8"/>
    <mergeCell ref="I8:N8"/>
    <mergeCell ref="A1:O1"/>
    <mergeCell ref="A2:O2"/>
    <mergeCell ref="A3:O3"/>
    <mergeCell ref="A4:A10"/>
    <mergeCell ref="B4:E10"/>
    <mergeCell ref="F4:H7"/>
    <mergeCell ref="I4:N4"/>
    <mergeCell ref="I5:N5"/>
    <mergeCell ref="I6:N6"/>
    <mergeCell ref="I7:N7"/>
    <mergeCell ref="F9:G9"/>
    <mergeCell ref="I9:N9"/>
    <mergeCell ref="F10:G10"/>
    <mergeCell ref="I10:N10"/>
    <mergeCell ref="A33:K33"/>
    <mergeCell ref="L33:M33"/>
    <mergeCell ref="A35:O35"/>
    <mergeCell ref="A36:N36"/>
    <mergeCell ref="A38:O38"/>
    <mergeCell ref="A56:L56"/>
    <mergeCell ref="A58:N58"/>
    <mergeCell ref="A59:H59"/>
    <mergeCell ref="I59:O59"/>
    <mergeCell ref="I60:L60"/>
    <mergeCell ref="M60:O60"/>
  </mergeCells>
  <conditionalFormatting sqref="I59">
    <cfRule type="cellIs" dxfId="254" priority="19" operator="equal">
      <formula>"NO CUMPLE"</formula>
    </cfRule>
    <cfRule type="cellIs" dxfId="253" priority="20" operator="equal">
      <formula>"CUMPLE"</formula>
    </cfRule>
    <cfRule type="cellIs" dxfId="252" priority="21" operator="equal">
      <formula>100</formula>
    </cfRule>
  </conditionalFormatting>
  <conditionalFormatting sqref="I60:L60">
    <cfRule type="cellIs" dxfId="251" priority="28" operator="equal">
      <formula>"NO CUMPLE"</formula>
    </cfRule>
    <cfRule type="cellIs" dxfId="250" priority="29" operator="equal">
      <formula>"CUMPLE"</formula>
    </cfRule>
  </conditionalFormatting>
  <conditionalFormatting sqref="I60:O60">
    <cfRule type="cellIs" dxfId="249" priority="6" operator="equal">
      <formula>100</formula>
    </cfRule>
  </conditionalFormatting>
  <conditionalFormatting sqref="M60:O60">
    <cfRule type="cellIs" dxfId="248" priority="5" operator="lessThan">
      <formula>100</formula>
    </cfRule>
  </conditionalFormatting>
  <conditionalFormatting sqref="O17:O22">
    <cfRule type="containsText" dxfId="247" priority="4" operator="containsText" text="NO CUMPLE">
      <formula>NOT(ISERROR(SEARCH("NO CUMPLE",O17)))</formula>
    </cfRule>
  </conditionalFormatting>
  <conditionalFormatting sqref="O23">
    <cfRule type="cellIs" dxfId="246" priority="25" operator="equal">
      <formula>"NO CUMPLE"</formula>
    </cfRule>
    <cfRule type="cellIs" dxfId="245" priority="26" operator="equal">
      <formula>"CUMPLE"</formula>
    </cfRule>
    <cfRule type="cellIs" dxfId="244" priority="27" operator="equal">
      <formula>100</formula>
    </cfRule>
  </conditionalFormatting>
  <conditionalFormatting sqref="O31:O34">
    <cfRule type="cellIs" dxfId="243" priority="1" operator="equal">
      <formula>"NO CUMPLE"</formula>
    </cfRule>
    <cfRule type="cellIs" dxfId="242" priority="2" operator="equal">
      <formula>"CUMPLE"</formula>
    </cfRule>
    <cfRule type="cellIs" dxfId="241" priority="3" operator="equal">
      <formula>100</formula>
    </cfRule>
  </conditionalFormatting>
  <conditionalFormatting sqref="O36:O38">
    <cfRule type="cellIs" dxfId="240" priority="22" operator="equal">
      <formula>"NO CUMPLE"</formula>
    </cfRule>
    <cfRule type="cellIs" dxfId="239" priority="23" operator="equal">
      <formula>"CUMPLE"</formula>
    </cfRule>
    <cfRule type="cellIs" dxfId="238" priority="24" operator="equal">
      <formula>100</formula>
    </cfRule>
  </conditionalFormatting>
  <conditionalFormatting sqref="O46">
    <cfRule type="cellIs" dxfId="237" priority="10" operator="equal">
      <formula>"NO CUMPLE"</formula>
    </cfRule>
    <cfRule type="cellIs" dxfId="236" priority="11" operator="equal">
      <formula>"CUMPLE"</formula>
    </cfRule>
    <cfRule type="cellIs" dxfId="235" priority="12" operator="equal">
      <formula>100</formula>
    </cfRule>
  </conditionalFormatting>
  <conditionalFormatting sqref="P24">
    <cfRule type="cellIs" dxfId="234" priority="68" operator="equal">
      <formula>"NO CUMPLE"</formula>
    </cfRule>
    <cfRule type="cellIs" dxfId="233" priority="69" operator="equal">
      <formula>"CUMPLE"</formula>
    </cfRule>
    <cfRule type="cellIs" dxfId="232" priority="70" operator="equal">
      <formula>100</formula>
    </cfRule>
  </conditionalFormatting>
  <conditionalFormatting sqref="P32:P35">
    <cfRule type="cellIs" dxfId="231" priority="50" operator="equal">
      <formula>"NO CUMPLE"</formula>
    </cfRule>
    <cfRule type="cellIs" dxfId="230" priority="51" operator="equal">
      <formula>"CUMPLE"</formula>
    </cfRule>
    <cfRule type="cellIs" dxfId="229" priority="52" operator="equal">
      <formula>100</formula>
    </cfRule>
  </conditionalFormatting>
  <conditionalFormatting sqref="P37:P47">
    <cfRule type="cellIs" dxfId="228" priority="44" operator="equal">
      <formula>"NO CUMPLE"</formula>
    </cfRule>
    <cfRule type="cellIs" dxfId="227" priority="45" operator="equal">
      <formula>"CUMPLE"</formula>
    </cfRule>
    <cfRule type="cellIs" dxfId="226" priority="46" operator="equal">
      <formula>100</formula>
    </cfRule>
  </conditionalFormatting>
  <conditionalFormatting sqref="R61:T61">
    <cfRule type="cellIs" dxfId="225" priority="42" operator="lessThan">
      <formula>100</formula>
    </cfRule>
    <cfRule type="cellIs" dxfId="224" priority="43" operator="equal">
      <formula>100</formula>
    </cfRule>
  </conditionalFormatting>
  <dataValidations count="7">
    <dataValidation type="list" allowBlank="1" showInputMessage="1" showErrorMessage="1" sqref="J60:L60 I59:I60 O46" xr:uid="{8D7F4959-261D-42F3-BD9E-871A9C536870}">
      <formula1>$R$2:$R$3</formula1>
    </dataValidation>
    <dataValidation type="list" allowBlank="1" showInputMessage="1" showErrorMessage="1" sqref="V1:V2" xr:uid="{764C7CAC-24A6-489A-BB79-88D1998181EF}">
      <formula1>$V$1:$V$2</formula1>
    </dataValidation>
    <dataValidation type="list" allowBlank="1" showInputMessage="1" showErrorMessage="1" sqref="A3" xr:uid="{7DC1029D-D6BA-418D-8FF1-1C4F43B9FE65}">
      <formula1>$C$76:$C$83</formula1>
    </dataValidation>
    <dataValidation type="list" allowBlank="1" showInputMessage="1" showErrorMessage="1" sqref="O36:O38" xr:uid="{DA452E6F-82D0-4F58-BBA0-44A85C52885B}">
      <formula1>$R$4:$R$5</formula1>
    </dataValidation>
    <dataValidation type="list" allowBlank="1" showInputMessage="1" showErrorMessage="1" sqref="G22:H22" xr:uid="{E96A9F51-9E5B-4048-811A-B5485677AA55}">
      <formula1>$Q$2:$Q$3</formula1>
    </dataValidation>
    <dataValidation type="list" allowBlank="1" showInputMessage="1" showErrorMessage="1" sqref="M37:O37" xr:uid="{C8983529-D364-4465-B196-7A7342F52AAD}">
      <formula1>$U$1:$U$2</formula1>
    </dataValidation>
    <dataValidation type="list" allowBlank="1" showInputMessage="1" showErrorMessage="1" error="SELECCIONE EL PRESUPUESTO A EVALUAR, EN LA LISTA DESPEGABLE._x000a_" sqref="I11:I12 J12:K12" xr:uid="{7F6FBED7-5917-42DF-9E70-590341B4B719}">
      <formula1>$A$75:$A$82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6" max="14" man="1"/>
    <brk id="75" max="11"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63CF-7D01-480B-A94E-A0B62941BE87}">
  <sheetPr>
    <tabColor rgb="FFFF0000"/>
  </sheetPr>
  <dimension ref="A1:W94"/>
  <sheetViews>
    <sheetView view="pageBreakPreview" topLeftCell="A58" zoomScale="55" zoomScaleNormal="63" zoomScaleSheetLayoutView="55" workbookViewId="0">
      <selection activeCell="A64" sqref="A64"/>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43.140625" style="2" customWidth="1"/>
    <col min="6" max="6" width="17.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33.7109375" style="2" bestFit="1"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11</v>
      </c>
      <c r="B4" s="233" t="str">
        <f>_xlfn.XLOOKUP(A4,RESUMEN!$A$3:$A$19,RESUMEN!$C$3:$C$19)</f>
        <v>CONSORCIO SC AMAZON</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57" t="s">
        <v>268</v>
      </c>
      <c r="J5" s="357"/>
      <c r="K5" s="357"/>
      <c r="L5" s="357"/>
      <c r="M5" s="357"/>
      <c r="N5" s="358"/>
      <c r="O5" s="11">
        <v>0.9</v>
      </c>
      <c r="P5" s="2">
        <f>+I7</f>
        <v>0</v>
      </c>
      <c r="R5" s="2">
        <v>0</v>
      </c>
    </row>
    <row r="6" spans="1:23" ht="20.25" customHeight="1">
      <c r="A6" s="232"/>
      <c r="B6" s="236"/>
      <c r="C6" s="237"/>
      <c r="D6" s="237"/>
      <c r="E6" s="238"/>
      <c r="F6" s="236"/>
      <c r="G6" s="237"/>
      <c r="H6" s="238"/>
      <c r="I6" s="244" t="s">
        <v>269</v>
      </c>
      <c r="J6" s="244"/>
      <c r="K6" s="244"/>
      <c r="L6" s="244"/>
      <c r="M6" s="244"/>
      <c r="N6" s="245"/>
      <c r="O6" s="11">
        <v>0.1</v>
      </c>
      <c r="P6" s="2" t="str">
        <f t="shared" ref="P6:P9" si="0">+I6</f>
        <v>CONALTEC INGENIERIA S.A.S - NIT: 900630271-8</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375">
        <f>+M11*H8</f>
        <v>1793.1006709615385</v>
      </c>
      <c r="B17" s="147" t="s">
        <v>100</v>
      </c>
      <c r="C17" s="64" t="s">
        <v>270</v>
      </c>
      <c r="D17" s="148" t="s">
        <v>144</v>
      </c>
      <c r="E17" s="148" t="s">
        <v>341</v>
      </c>
      <c r="F17" s="148" t="s">
        <v>182</v>
      </c>
      <c r="G17" s="64" t="s">
        <v>182</v>
      </c>
      <c r="H17" s="64" t="s">
        <v>64</v>
      </c>
      <c r="I17" s="148" t="s">
        <v>272</v>
      </c>
      <c r="J17" s="146">
        <v>42746</v>
      </c>
      <c r="K17" s="145">
        <f>L17*W22</f>
        <v>88903979796.270004</v>
      </c>
      <c r="L17" s="66">
        <v>120512.31</v>
      </c>
      <c r="M17" s="65">
        <v>0.3</v>
      </c>
      <c r="N17" s="88">
        <f>L17*M17</f>
        <v>36153.692999999999</v>
      </c>
      <c r="O17" s="89" t="str">
        <f>+IF(AND(H17="SI",G17="SI"),"CUMPLE","NO CUMPLE")</f>
        <v>CUMPLE</v>
      </c>
      <c r="P17" s="4"/>
      <c r="Q17" s="4"/>
      <c r="R17" s="138">
        <f>+K17/L17</f>
        <v>737717</v>
      </c>
      <c r="S17" s="137">
        <f>120111739531.49-503972899-1271680185.61</f>
        <v>118336086446.88</v>
      </c>
      <c r="T17" s="138">
        <f>+S17/R17</f>
        <v>160408.51227080304</v>
      </c>
      <c r="V17" s="39">
        <v>2021</v>
      </c>
      <c r="W17" s="40">
        <v>908526</v>
      </c>
    </row>
    <row r="18" spans="1:23" ht="133.9" customHeight="1">
      <c r="A18" s="375"/>
      <c r="B18" s="147" t="s">
        <v>105</v>
      </c>
      <c r="C18" s="64" t="s">
        <v>273</v>
      </c>
      <c r="D18" s="148" t="s">
        <v>274</v>
      </c>
      <c r="E18" s="148" t="s">
        <v>275</v>
      </c>
      <c r="F18" s="148" t="s">
        <v>182</v>
      </c>
      <c r="G18" s="64" t="s">
        <v>182</v>
      </c>
      <c r="H18" s="64" t="s">
        <v>64</v>
      </c>
      <c r="I18" s="148" t="s">
        <v>272</v>
      </c>
      <c r="J18" s="146">
        <v>41995</v>
      </c>
      <c r="K18" s="145">
        <f>$L$18*$W$24</f>
        <v>11831561280.000002</v>
      </c>
      <c r="L18" s="66">
        <v>19207.080000000002</v>
      </c>
      <c r="M18" s="65">
        <v>0.5</v>
      </c>
      <c r="N18" s="88">
        <f>L18*M18</f>
        <v>9603.5400000000009</v>
      </c>
      <c r="O18" s="89" t="str">
        <f>+IF(AND(H18="SI",G18="SI"),"CUMPLE","NO CUMPLE")</f>
        <v>CUMPLE</v>
      </c>
      <c r="P18" s="4"/>
      <c r="Q18" s="4"/>
      <c r="R18" s="138">
        <f>+W21</f>
        <v>781242</v>
      </c>
      <c r="S18" s="4"/>
      <c r="T18" s="138"/>
      <c r="V18" s="96"/>
      <c r="W18" s="97"/>
    </row>
    <row r="19" spans="1:23" ht="157.69999999999999" customHeight="1">
      <c r="A19" s="375"/>
      <c r="B19" s="147" t="s">
        <v>109</v>
      </c>
      <c r="C19" s="64"/>
      <c r="D19" s="148"/>
      <c r="E19" s="148"/>
      <c r="F19" s="148"/>
      <c r="G19" s="64"/>
      <c r="H19" s="64"/>
      <c r="I19" s="148"/>
      <c r="J19" s="146"/>
      <c r="K19" s="145"/>
      <c r="L19" s="66"/>
      <c r="M19" s="65"/>
      <c r="N19" s="88">
        <f>L19*M19</f>
        <v>0</v>
      </c>
      <c r="O19" s="89" t="str">
        <f t="shared" ref="O19:O22" si="1">+IF(AND(H19="SI",G19="SI"),"CUMPLE","NO CUMPLE")</f>
        <v>NO CUMPLE</v>
      </c>
      <c r="P19" s="4"/>
      <c r="Q19" s="4"/>
      <c r="R19" s="37"/>
      <c r="S19" s="4"/>
      <c r="T19" s="69"/>
      <c r="V19" s="38">
        <v>2020</v>
      </c>
      <c r="W19" s="41">
        <v>877803</v>
      </c>
    </row>
    <row r="20" spans="1:23" ht="42.95" customHeight="1">
      <c r="A20" s="375"/>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37"/>
      <c r="S20" s="67"/>
      <c r="T20" s="69"/>
      <c r="V20" s="38">
        <v>2019</v>
      </c>
      <c r="W20" s="41">
        <v>828116</v>
      </c>
    </row>
    <row r="21" spans="1:23" ht="42.95" customHeight="1">
      <c r="A21" s="375"/>
      <c r="B21" s="147" t="s">
        <v>113</v>
      </c>
      <c r="C21" s="64"/>
      <c r="D21" s="64"/>
      <c r="E21" s="64"/>
      <c r="F21" s="64"/>
      <c r="G21" s="64"/>
      <c r="H21" s="64"/>
      <c r="I21" s="64"/>
      <c r="J21" s="146"/>
      <c r="K21" s="64"/>
      <c r="L21" s="64"/>
      <c r="M21" s="65"/>
      <c r="N21" s="88">
        <f t="shared" si="2"/>
        <v>0</v>
      </c>
      <c r="O21" s="89" t="str">
        <f t="shared" si="1"/>
        <v>NO CUMPLE</v>
      </c>
      <c r="P21" s="4"/>
      <c r="Q21" s="4"/>
      <c r="R21" s="37"/>
      <c r="S21" s="67"/>
      <c r="T21" s="27"/>
      <c r="V21" s="38">
        <v>2018</v>
      </c>
      <c r="W21" s="41">
        <v>781242</v>
      </c>
    </row>
    <row r="22" spans="1:23" ht="42.95" customHeight="1">
      <c r="A22" s="375"/>
      <c r="B22" s="147" t="s">
        <v>114</v>
      </c>
      <c r="C22" s="44"/>
      <c r="D22" s="45"/>
      <c r="E22" s="45"/>
      <c r="F22" s="64"/>
      <c r="G22" s="68"/>
      <c r="H22" s="68"/>
      <c r="I22" s="64"/>
      <c r="J22" s="146"/>
      <c r="K22" s="46"/>
      <c r="L22" s="47"/>
      <c r="M22" s="35"/>
      <c r="N22" s="88">
        <f t="shared" si="2"/>
        <v>0</v>
      </c>
      <c r="O22" s="89" t="str">
        <f t="shared" si="1"/>
        <v>NO CUMPLE</v>
      </c>
      <c r="P22" s="4"/>
      <c r="Q22" s="4"/>
      <c r="R22" s="37"/>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45757.233</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0</v>
      </c>
      <c r="T26" s="26">
        <f>+T25/W25</f>
        <v>0</v>
      </c>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thickBot="1">
      <c r="A28" s="276">
        <f>A17*50%</f>
        <v>896.55033548076926</v>
      </c>
      <c r="B28" s="147" t="s">
        <v>100</v>
      </c>
      <c r="C28" s="64" t="s">
        <v>270</v>
      </c>
      <c r="D28" s="148" t="s">
        <v>144</v>
      </c>
      <c r="E28" s="148" t="s">
        <v>271</v>
      </c>
      <c r="F28" s="148" t="s">
        <v>182</v>
      </c>
      <c r="G28" s="64" t="s">
        <v>182</v>
      </c>
      <c r="H28" s="64" t="s">
        <v>64</v>
      </c>
      <c r="I28" s="148" t="s">
        <v>272</v>
      </c>
      <c r="J28" s="146">
        <v>42746</v>
      </c>
      <c r="K28" s="145">
        <f>L28*W33</f>
        <v>74235582960</v>
      </c>
      <c r="L28" s="66">
        <v>120512.31</v>
      </c>
      <c r="M28" s="65">
        <v>0.3</v>
      </c>
      <c r="N28" s="88">
        <f>L28*M28</f>
        <v>36153.692999999999</v>
      </c>
      <c r="O28" s="89" t="str">
        <f>+IF(AND(H28="SI",G28="SI"),"CUMPLE","NO CUMPLE")</f>
        <v>CUMPLE</v>
      </c>
      <c r="P28" s="4"/>
      <c r="Q28" s="4"/>
      <c r="R28" s="36"/>
      <c r="S28" s="36"/>
      <c r="T28" s="27"/>
    </row>
    <row r="29" spans="1:23" ht="143.44999999999999" customHeight="1" thickTop="1" thickBot="1">
      <c r="A29" s="277"/>
      <c r="B29" s="147" t="s">
        <v>105</v>
      </c>
      <c r="C29" s="64" t="s">
        <v>273</v>
      </c>
      <c r="D29" s="148" t="s">
        <v>274</v>
      </c>
      <c r="E29" s="148" t="s">
        <v>275</v>
      </c>
      <c r="F29" s="148" t="s">
        <v>182</v>
      </c>
      <c r="G29" s="64" t="s">
        <v>182</v>
      </c>
      <c r="H29" s="64" t="s">
        <v>64</v>
      </c>
      <c r="I29" s="148" t="s">
        <v>272</v>
      </c>
      <c r="J29" s="146">
        <v>41995</v>
      </c>
      <c r="K29" s="145">
        <f>$L$18*$W$24</f>
        <v>11831561280.000002</v>
      </c>
      <c r="L29" s="66">
        <v>19207.080000000002</v>
      </c>
      <c r="M29" s="65">
        <v>0.5</v>
      </c>
      <c r="N29" s="88">
        <f>L29*M29</f>
        <v>9603.5400000000009</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9603.5400000000009</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48" t="s">
        <v>267</v>
      </c>
      <c r="B61" s="349"/>
      <c r="C61" s="349"/>
      <c r="D61" s="349"/>
      <c r="E61" s="349"/>
      <c r="F61" s="349"/>
      <c r="G61" s="349"/>
      <c r="H61" s="349"/>
      <c r="I61" s="349"/>
      <c r="J61" s="349"/>
      <c r="K61" s="349"/>
      <c r="L61" s="349"/>
      <c r="M61" s="349"/>
      <c r="N61" s="349"/>
      <c r="O61" s="350"/>
      <c r="P61" s="9"/>
      <c r="Q61" s="8"/>
      <c r="V61" s="38">
        <v>1993</v>
      </c>
      <c r="W61" s="41">
        <v>81510</v>
      </c>
    </row>
    <row r="62" spans="1:23" ht="53.25" customHeight="1">
      <c r="A62" s="351"/>
      <c r="B62" s="352"/>
      <c r="C62" s="352"/>
      <c r="D62" s="352"/>
      <c r="E62" s="352"/>
      <c r="F62" s="352"/>
      <c r="G62" s="352"/>
      <c r="H62" s="352"/>
      <c r="I62" s="352"/>
      <c r="J62" s="352"/>
      <c r="K62" s="352"/>
      <c r="L62" s="352"/>
      <c r="M62" s="352"/>
      <c r="N62" s="352"/>
      <c r="O62" s="353"/>
      <c r="P62" s="9"/>
      <c r="Q62" s="8"/>
      <c r="V62" s="38">
        <v>1992</v>
      </c>
      <c r="W62" s="41">
        <v>65190</v>
      </c>
    </row>
    <row r="63" spans="1:23" ht="120.75" customHeight="1">
      <c r="A63" s="354"/>
      <c r="B63" s="355"/>
      <c r="C63" s="355"/>
      <c r="D63" s="355"/>
      <c r="E63" s="355"/>
      <c r="F63" s="355"/>
      <c r="G63" s="355"/>
      <c r="H63" s="355"/>
      <c r="I63" s="355"/>
      <c r="J63" s="355"/>
      <c r="K63" s="355"/>
      <c r="L63" s="355"/>
      <c r="M63" s="355"/>
      <c r="N63" s="355"/>
      <c r="O63" s="356"/>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223" priority="19" operator="equal">
      <formula>"NO CUMPLE"</formula>
    </cfRule>
    <cfRule type="cellIs" dxfId="222" priority="20" operator="equal">
      <formula>"CUMPLE"</formula>
    </cfRule>
    <cfRule type="cellIs" dxfId="221" priority="21" operator="equal">
      <formula>100</formula>
    </cfRule>
  </conditionalFormatting>
  <conditionalFormatting sqref="I60:L60">
    <cfRule type="cellIs" dxfId="220" priority="28" operator="equal">
      <formula>"NO CUMPLE"</formula>
    </cfRule>
    <cfRule type="cellIs" dxfId="219" priority="29" operator="equal">
      <formula>"CUMPLE"</formula>
    </cfRule>
  </conditionalFormatting>
  <conditionalFormatting sqref="I60:O60">
    <cfRule type="cellIs" dxfId="218" priority="6" operator="equal">
      <formula>100</formula>
    </cfRule>
  </conditionalFormatting>
  <conditionalFormatting sqref="M60:O60">
    <cfRule type="cellIs" dxfId="217" priority="5" operator="lessThan">
      <formula>100</formula>
    </cfRule>
  </conditionalFormatting>
  <conditionalFormatting sqref="O17:O22">
    <cfRule type="containsText" dxfId="216" priority="4" operator="containsText" text="NO CUMPLE">
      <formula>NOT(ISERROR(SEARCH("NO CUMPLE",O17)))</formula>
    </cfRule>
  </conditionalFormatting>
  <conditionalFormatting sqref="O23">
    <cfRule type="cellIs" dxfId="215" priority="25" operator="equal">
      <formula>"NO CUMPLE"</formula>
    </cfRule>
    <cfRule type="cellIs" dxfId="214" priority="26" operator="equal">
      <formula>"CUMPLE"</formula>
    </cfRule>
    <cfRule type="cellIs" dxfId="213" priority="27" operator="equal">
      <formula>100</formula>
    </cfRule>
  </conditionalFormatting>
  <conditionalFormatting sqref="O36:O38">
    <cfRule type="cellIs" dxfId="212" priority="22" operator="equal">
      <formula>"NO CUMPLE"</formula>
    </cfRule>
    <cfRule type="cellIs" dxfId="211" priority="23" operator="equal">
      <formula>"CUMPLE"</formula>
    </cfRule>
    <cfRule type="cellIs" dxfId="210" priority="24" operator="equal">
      <formula>100</formula>
    </cfRule>
  </conditionalFormatting>
  <conditionalFormatting sqref="O46">
    <cfRule type="cellIs" dxfId="209" priority="10" operator="equal">
      <formula>"NO CUMPLE"</formula>
    </cfRule>
    <cfRule type="cellIs" dxfId="208" priority="11" operator="equal">
      <formula>"CUMPLE"</formula>
    </cfRule>
    <cfRule type="cellIs" dxfId="207" priority="12" operator="equal">
      <formula>100</formula>
    </cfRule>
  </conditionalFormatting>
  <conditionalFormatting sqref="O31:P34">
    <cfRule type="cellIs" dxfId="206" priority="1" operator="equal">
      <formula>"NO CUMPLE"</formula>
    </cfRule>
    <cfRule type="cellIs" dxfId="205" priority="2" operator="equal">
      <formula>"CUMPLE"</formula>
    </cfRule>
    <cfRule type="cellIs" dxfId="204" priority="3" operator="equal">
      <formula>100</formula>
    </cfRule>
  </conditionalFormatting>
  <conditionalFormatting sqref="P24">
    <cfRule type="cellIs" dxfId="203" priority="68" operator="equal">
      <formula>"NO CUMPLE"</formula>
    </cfRule>
    <cfRule type="cellIs" dxfId="202" priority="69" operator="equal">
      <formula>"CUMPLE"</formula>
    </cfRule>
    <cfRule type="cellIs" dxfId="201" priority="70" operator="equal">
      <formula>100</formula>
    </cfRule>
  </conditionalFormatting>
  <conditionalFormatting sqref="P36:P46">
    <cfRule type="cellIs" dxfId="200" priority="44" operator="equal">
      <formula>"NO CUMPLE"</formula>
    </cfRule>
    <cfRule type="cellIs" dxfId="199" priority="45" operator="equal">
      <formula>"CUMPLE"</formula>
    </cfRule>
    <cfRule type="cellIs" dxfId="198" priority="46" operator="equal">
      <formula>100</formula>
    </cfRule>
  </conditionalFormatting>
  <conditionalFormatting sqref="R60:T60">
    <cfRule type="cellIs" dxfId="197" priority="42" operator="lessThan">
      <formula>100</formula>
    </cfRule>
    <cfRule type="cellIs" dxfId="196" priority="43" operator="equal">
      <formula>100</formula>
    </cfRule>
  </conditionalFormatting>
  <dataValidations count="7">
    <dataValidation type="list" allowBlank="1" showInputMessage="1" showErrorMessage="1" sqref="M37:O37" xr:uid="{44A71740-1421-4E12-BE0B-051169F35D9D}">
      <formula1>$U$1:$U$2</formula1>
    </dataValidation>
    <dataValidation type="list" allowBlank="1" showInputMessage="1" showErrorMessage="1" sqref="G22:H22" xr:uid="{085434FA-30A3-4F24-B8B7-2EA952B090D6}">
      <formula1>$Q$2:$Q$3</formula1>
    </dataValidation>
    <dataValidation type="list" allowBlank="1" showInputMessage="1" showErrorMessage="1" sqref="O36:O38" xr:uid="{EB85B815-4DDF-4941-A79C-E6B9D22D103E}">
      <formula1>$R$4:$R$5</formula1>
    </dataValidation>
    <dataValidation type="list" allowBlank="1" showInputMessage="1" showErrorMessage="1" error="SELECCIONE EL PRESUPUESTO A EVALUAR, EN LA LISTA DESPEGABLE._x000a_" sqref="I11:I12 J12:K12" xr:uid="{4AD6296F-02F1-4B6E-97EB-B40E7BD99493}">
      <formula1>$A$75:$A$82</formula1>
    </dataValidation>
    <dataValidation type="list" allowBlank="1" showInputMessage="1" showErrorMessage="1" sqref="A3" xr:uid="{B39F706C-A671-4D10-8209-DC9FBF0DDE99}">
      <formula1>$C$75:$C$82</formula1>
    </dataValidation>
    <dataValidation type="list" allowBlank="1" showInputMessage="1" showErrorMessage="1" sqref="V1:V2" xr:uid="{2438DA1E-635C-4159-AA64-73561C4C036F}">
      <formula1>$V$1:$V$2</formula1>
    </dataValidation>
    <dataValidation type="list" allowBlank="1" showInputMessage="1" showErrorMessage="1" sqref="J60:L60 I59:I60 O46" xr:uid="{17A665A4-3502-42B4-83AD-C430A19323BE}">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F8418-0453-46E7-814A-4151746E4A6F}">
  <sheetPr>
    <tabColor rgb="FFFFFF00"/>
  </sheetPr>
  <dimension ref="A1:W94"/>
  <sheetViews>
    <sheetView view="pageBreakPreview" topLeftCell="A49" zoomScale="25" zoomScaleNormal="63" zoomScaleSheetLayoutView="25" workbookViewId="0">
      <selection activeCell="A30" sqref="A30:M30"/>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12</v>
      </c>
      <c r="B4" s="233" t="str">
        <f>_xlfn.XLOOKUP(A4,RESUMEN!$A$3:$A$19,RESUMEN!$C$3:$C$19)</f>
        <v>H.A.H CONSTRUCCIONES S.A.S</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57" t="s">
        <v>276</v>
      </c>
      <c r="J5" s="357"/>
      <c r="K5" s="357"/>
      <c r="L5" s="357"/>
      <c r="M5" s="357"/>
      <c r="N5" s="358"/>
      <c r="O5" s="11">
        <v>1</v>
      </c>
      <c r="P5" s="2">
        <f>+I7</f>
        <v>0</v>
      </c>
      <c r="R5" s="2">
        <v>0</v>
      </c>
    </row>
    <row r="6" spans="1:23" ht="20.25" customHeight="1">
      <c r="A6" s="232"/>
      <c r="B6" s="236"/>
      <c r="C6" s="237"/>
      <c r="D6" s="237"/>
      <c r="E6" s="238"/>
      <c r="F6" s="236"/>
      <c r="G6" s="237"/>
      <c r="H6" s="238"/>
      <c r="I6" s="244"/>
      <c r="J6" s="244"/>
      <c r="K6" s="244"/>
      <c r="L6" s="244"/>
      <c r="M6" s="244"/>
      <c r="N6" s="245"/>
      <c r="O6" s="11"/>
      <c r="P6" s="2">
        <f t="shared" ref="P6:P9" si="0">+I6</f>
        <v>0</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272">
        <f>+M11*H9</f>
        <v>2868.9610735384613</v>
      </c>
      <c r="B17" s="147" t="s">
        <v>100</v>
      </c>
      <c r="C17" s="64">
        <v>13</v>
      </c>
      <c r="D17" s="148" t="s">
        <v>277</v>
      </c>
      <c r="E17" s="148" t="s">
        <v>278</v>
      </c>
      <c r="F17" s="148" t="s">
        <v>64</v>
      </c>
      <c r="G17" s="64" t="s">
        <v>64</v>
      </c>
      <c r="H17" s="64" t="s">
        <v>64</v>
      </c>
      <c r="I17" s="148" t="s">
        <v>279</v>
      </c>
      <c r="J17" s="146" t="s">
        <v>280</v>
      </c>
      <c r="K17" s="145">
        <v>1435387967</v>
      </c>
      <c r="L17" s="66">
        <v>2330.1799999999998</v>
      </c>
      <c r="M17" s="65">
        <v>0.8</v>
      </c>
      <c r="N17" s="88">
        <f>L17*M17</f>
        <v>1864.144</v>
      </c>
      <c r="O17" s="89" t="str">
        <f>+IF(AND(H17="SI",G17="SI"),"CUMPLE","NO CUMPLE")</f>
        <v>CUMPLE</v>
      </c>
      <c r="P17" s="4"/>
      <c r="Q17" s="4"/>
      <c r="R17" s="135">
        <f>+(N17+N18+N19)/A17</f>
        <v>2.2841976004635907</v>
      </c>
      <c r="S17" s="4"/>
      <c r="T17" s="69"/>
      <c r="V17" s="39">
        <v>2021</v>
      </c>
      <c r="W17" s="40">
        <v>908526</v>
      </c>
    </row>
    <row r="18" spans="1:23" ht="133.9" customHeight="1">
      <c r="A18" s="272"/>
      <c r="B18" s="147" t="s">
        <v>105</v>
      </c>
      <c r="C18" s="64">
        <v>64</v>
      </c>
      <c r="D18" s="148" t="s">
        <v>281</v>
      </c>
      <c r="E18" s="148" t="s">
        <v>282</v>
      </c>
      <c r="F18" s="148" t="s">
        <v>64</v>
      </c>
      <c r="G18" s="64" t="s">
        <v>64</v>
      </c>
      <c r="H18" s="64" t="s">
        <v>64</v>
      </c>
      <c r="I18" s="148" t="s">
        <v>279</v>
      </c>
      <c r="J18" s="146" t="s">
        <v>283</v>
      </c>
      <c r="K18" s="145">
        <v>264840975.44999999</v>
      </c>
      <c r="L18" s="66">
        <v>301.7</v>
      </c>
      <c r="M18" s="65">
        <v>1</v>
      </c>
      <c r="N18" s="88">
        <f>L18*M18</f>
        <v>301.7</v>
      </c>
      <c r="O18" s="89" t="str">
        <f>+IF(AND(H18="SI",G18="SI"),"CUMPLE","NO CUMPLE")</f>
        <v>CUMPLE</v>
      </c>
      <c r="P18" s="4"/>
      <c r="Q18" s="4"/>
      <c r="R18" s="37"/>
      <c r="S18" s="4"/>
      <c r="T18" s="69"/>
      <c r="V18" s="96"/>
      <c r="W18" s="97"/>
    </row>
    <row r="19" spans="1:23" ht="157.69999999999999" customHeight="1">
      <c r="A19" s="272"/>
      <c r="B19" s="147" t="s">
        <v>109</v>
      </c>
      <c r="C19" s="64">
        <v>73</v>
      </c>
      <c r="D19" s="148" t="s">
        <v>284</v>
      </c>
      <c r="E19" s="148" t="s">
        <v>285</v>
      </c>
      <c r="F19" s="148" t="s">
        <v>64</v>
      </c>
      <c r="G19" s="64" t="s">
        <v>64</v>
      </c>
      <c r="H19" s="64" t="s">
        <v>64</v>
      </c>
      <c r="I19" s="148" t="s">
        <v>279</v>
      </c>
      <c r="J19" s="146" t="s">
        <v>286</v>
      </c>
      <c r="K19" s="145">
        <v>4387436845</v>
      </c>
      <c r="L19" s="66">
        <v>4387.43</v>
      </c>
      <c r="M19" s="65">
        <v>1</v>
      </c>
      <c r="N19" s="88">
        <f>L19*M19</f>
        <v>4387.43</v>
      </c>
      <c r="O19" s="89" t="str">
        <f t="shared" ref="O19:O22" si="1">+IF(AND(H19="SI",G19="SI"),"CUMPLE","NO CUMPLE")</f>
        <v>CUMPLE</v>
      </c>
      <c r="P19" s="4"/>
      <c r="Q19" s="4"/>
      <c r="R19" s="37"/>
      <c r="S19" s="4"/>
      <c r="T19" s="69"/>
      <c r="V19" s="38">
        <v>2020</v>
      </c>
      <c r="W19" s="41">
        <v>877803</v>
      </c>
    </row>
    <row r="20" spans="1:23" ht="42.95" customHeight="1" thickBot="1">
      <c r="A20" s="272"/>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135">
        <f>+N20/A17</f>
        <v>0</v>
      </c>
      <c r="S20" s="67"/>
      <c r="T20" s="69"/>
      <c r="V20" s="38">
        <v>2019</v>
      </c>
      <c r="W20" s="41">
        <v>828116</v>
      </c>
    </row>
    <row r="21" spans="1:23" ht="42.95" customHeight="1" thickBot="1">
      <c r="A21" s="272"/>
      <c r="B21" s="147" t="s">
        <v>113</v>
      </c>
      <c r="C21" s="64"/>
      <c r="D21" s="64"/>
      <c r="E21" s="64"/>
      <c r="F21" s="64"/>
      <c r="G21" s="64"/>
      <c r="H21" s="64"/>
      <c r="I21" s="64"/>
      <c r="J21" s="146"/>
      <c r="K21" s="64"/>
      <c r="L21" s="64"/>
      <c r="M21" s="65"/>
      <c r="N21" s="88">
        <f t="shared" si="2"/>
        <v>0</v>
      </c>
      <c r="O21" s="89" t="str">
        <f t="shared" si="1"/>
        <v>NO CUMPLE</v>
      </c>
      <c r="P21" s="4"/>
      <c r="Q21" s="4"/>
      <c r="R21" s="37"/>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2"/>
        <v>0</v>
      </c>
      <c r="O22" s="89" t="str">
        <f t="shared" si="1"/>
        <v>NO CUMPLE</v>
      </c>
      <c r="P22" s="4"/>
      <c r="Q22" s="4"/>
      <c r="R22" s="37"/>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6553.2740000000003</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T25" s="2">
        <f>1949500000+6451200000</f>
        <v>8400700000</v>
      </c>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17432.856813465529</v>
      </c>
      <c r="T26" s="26">
        <f>+T25/W25</f>
        <v>19369.840903850589</v>
      </c>
      <c r="V26" s="2">
        <v>2023</v>
      </c>
      <c r="W26" s="2">
        <v>1160000</v>
      </c>
    </row>
    <row r="27" spans="1:23" ht="91.15" customHeight="1">
      <c r="A27" s="84" t="s">
        <v>117</v>
      </c>
      <c r="B27" s="85" t="s">
        <v>86</v>
      </c>
      <c r="C27" s="72" t="s">
        <v>87</v>
      </c>
      <c r="D27" s="72" t="s">
        <v>88</v>
      </c>
      <c r="E27" s="72"/>
      <c r="F27" s="72" t="s">
        <v>90</v>
      </c>
      <c r="G27" s="86" t="s">
        <v>243</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thickBot="1">
      <c r="A28" s="276">
        <f>A17*50%</f>
        <v>1434.4805367692306</v>
      </c>
      <c r="B28" s="147" t="s">
        <v>100</v>
      </c>
      <c r="C28" s="64">
        <v>64</v>
      </c>
      <c r="D28" s="148" t="s">
        <v>281</v>
      </c>
      <c r="E28" s="148" t="s">
        <v>282</v>
      </c>
      <c r="F28" s="148" t="s">
        <v>64</v>
      </c>
      <c r="G28" s="64" t="s">
        <v>64</v>
      </c>
      <c r="H28" s="64" t="s">
        <v>64</v>
      </c>
      <c r="I28" s="148" t="s">
        <v>279</v>
      </c>
      <c r="J28" s="146" t="s">
        <v>283</v>
      </c>
      <c r="K28" s="145">
        <v>264840975.44999999</v>
      </c>
      <c r="L28" s="66">
        <v>301.7</v>
      </c>
      <c r="M28" s="65">
        <v>1</v>
      </c>
      <c r="N28" s="88">
        <f>L28*M28</f>
        <v>301.7</v>
      </c>
      <c r="O28" s="89" t="str">
        <f>+IF(AND(H28="SI",G28="SI"),"CUMPLE","NO CUMPLE")</f>
        <v>CUMPLE</v>
      </c>
      <c r="P28" s="4"/>
      <c r="Q28" s="4"/>
      <c r="R28" s="36"/>
      <c r="S28" s="36"/>
      <c r="T28" s="27"/>
    </row>
    <row r="29" spans="1:23" ht="143.44999999999999" customHeight="1" thickTop="1" thickBot="1">
      <c r="A29" s="277"/>
      <c r="B29" s="147" t="s">
        <v>105</v>
      </c>
      <c r="C29" s="64">
        <v>73</v>
      </c>
      <c r="D29" s="148" t="s">
        <v>284</v>
      </c>
      <c r="E29" s="148" t="s">
        <v>285</v>
      </c>
      <c r="F29" s="148" t="s">
        <v>64</v>
      </c>
      <c r="G29" s="64" t="s">
        <v>64</v>
      </c>
      <c r="H29" s="64" t="s">
        <v>64</v>
      </c>
      <c r="I29" s="148" t="s">
        <v>279</v>
      </c>
      <c r="J29" s="146" t="s">
        <v>286</v>
      </c>
      <c r="K29" s="145">
        <v>4387436845</v>
      </c>
      <c r="L29" s="66">
        <v>4387.43</v>
      </c>
      <c r="M29" s="65">
        <v>1</v>
      </c>
      <c r="N29" s="88">
        <f>L29*M29</f>
        <v>4387.43</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4387.43</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3.75">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11" t="s">
        <v>267</v>
      </c>
      <c r="B61" s="312"/>
      <c r="C61" s="312"/>
      <c r="D61" s="312"/>
      <c r="E61" s="312"/>
      <c r="F61" s="312"/>
      <c r="G61" s="312"/>
      <c r="H61" s="312"/>
      <c r="I61" s="312"/>
      <c r="J61" s="312"/>
      <c r="K61" s="312"/>
      <c r="L61" s="312"/>
      <c r="M61" s="312"/>
      <c r="N61" s="312"/>
      <c r="O61" s="313"/>
      <c r="P61" s="9"/>
      <c r="Q61" s="8"/>
      <c r="V61" s="38">
        <v>1993</v>
      </c>
      <c r="W61" s="41">
        <v>81510</v>
      </c>
    </row>
    <row r="62" spans="1:23" ht="30.95" customHeigh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c r="A63" s="317"/>
      <c r="B63" s="318"/>
      <c r="C63" s="318"/>
      <c r="D63" s="318"/>
      <c r="E63" s="318"/>
      <c r="F63" s="318"/>
      <c r="G63" s="318"/>
      <c r="H63" s="318"/>
      <c r="I63" s="318"/>
      <c r="J63" s="318"/>
      <c r="K63" s="318"/>
      <c r="L63" s="318"/>
      <c r="M63" s="318"/>
      <c r="N63" s="318"/>
      <c r="O63" s="319"/>
      <c r="P63" s="9"/>
      <c r="Q63" s="8"/>
      <c r="V63" s="38">
        <v>1991</v>
      </c>
      <c r="W63" s="41">
        <v>51720</v>
      </c>
    </row>
    <row r="64" spans="1:23" ht="18">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195" priority="19" operator="equal">
      <formula>"NO CUMPLE"</formula>
    </cfRule>
    <cfRule type="cellIs" dxfId="194" priority="20" operator="equal">
      <formula>"CUMPLE"</formula>
    </cfRule>
    <cfRule type="cellIs" dxfId="193" priority="21" operator="equal">
      <formula>100</formula>
    </cfRule>
  </conditionalFormatting>
  <conditionalFormatting sqref="I60:L60">
    <cfRule type="cellIs" dxfId="192" priority="28" operator="equal">
      <formula>"NO CUMPLE"</formula>
    </cfRule>
    <cfRule type="cellIs" dxfId="191" priority="29" operator="equal">
      <formula>"CUMPLE"</formula>
    </cfRule>
  </conditionalFormatting>
  <conditionalFormatting sqref="I60:O60">
    <cfRule type="cellIs" dxfId="190" priority="6" operator="equal">
      <formula>100</formula>
    </cfRule>
  </conditionalFormatting>
  <conditionalFormatting sqref="M60:O60">
    <cfRule type="cellIs" dxfId="189" priority="5" operator="lessThan">
      <formula>100</formula>
    </cfRule>
  </conditionalFormatting>
  <conditionalFormatting sqref="O17:O22">
    <cfRule type="containsText" dxfId="188" priority="4" operator="containsText" text="NO CUMPLE">
      <formula>NOT(ISERROR(SEARCH("NO CUMPLE",O17)))</formula>
    </cfRule>
  </conditionalFormatting>
  <conditionalFormatting sqref="O23">
    <cfRule type="cellIs" dxfId="187" priority="25" operator="equal">
      <formula>"NO CUMPLE"</formula>
    </cfRule>
    <cfRule type="cellIs" dxfId="186" priority="26" operator="equal">
      <formula>"CUMPLE"</formula>
    </cfRule>
    <cfRule type="cellIs" dxfId="185" priority="27" operator="equal">
      <formula>100</formula>
    </cfRule>
  </conditionalFormatting>
  <conditionalFormatting sqref="O36:O38">
    <cfRule type="cellIs" dxfId="184" priority="22" operator="equal">
      <formula>"NO CUMPLE"</formula>
    </cfRule>
    <cfRule type="cellIs" dxfId="183" priority="23" operator="equal">
      <formula>"CUMPLE"</formula>
    </cfRule>
    <cfRule type="cellIs" dxfId="182" priority="24" operator="equal">
      <formula>100</formula>
    </cfRule>
  </conditionalFormatting>
  <conditionalFormatting sqref="O46">
    <cfRule type="cellIs" dxfId="181" priority="10" operator="equal">
      <formula>"NO CUMPLE"</formula>
    </cfRule>
    <cfRule type="cellIs" dxfId="180" priority="11" operator="equal">
      <formula>"CUMPLE"</formula>
    </cfRule>
    <cfRule type="cellIs" dxfId="179" priority="12" operator="equal">
      <formula>100</formula>
    </cfRule>
  </conditionalFormatting>
  <conditionalFormatting sqref="O31:P34">
    <cfRule type="cellIs" dxfId="178" priority="1" operator="equal">
      <formula>"NO CUMPLE"</formula>
    </cfRule>
    <cfRule type="cellIs" dxfId="177" priority="2" operator="equal">
      <formula>"CUMPLE"</formula>
    </cfRule>
    <cfRule type="cellIs" dxfId="176" priority="3" operator="equal">
      <formula>100</formula>
    </cfRule>
  </conditionalFormatting>
  <conditionalFormatting sqref="P24">
    <cfRule type="cellIs" dxfId="175" priority="68" operator="equal">
      <formula>"NO CUMPLE"</formula>
    </cfRule>
    <cfRule type="cellIs" dxfId="174" priority="69" operator="equal">
      <formula>"CUMPLE"</formula>
    </cfRule>
    <cfRule type="cellIs" dxfId="173" priority="70" operator="equal">
      <formula>100</formula>
    </cfRule>
  </conditionalFormatting>
  <conditionalFormatting sqref="P36:P46">
    <cfRule type="cellIs" dxfId="172" priority="44" operator="equal">
      <formula>"NO CUMPLE"</formula>
    </cfRule>
    <cfRule type="cellIs" dxfId="171" priority="45" operator="equal">
      <formula>"CUMPLE"</formula>
    </cfRule>
    <cfRule type="cellIs" dxfId="170" priority="46" operator="equal">
      <formula>100</formula>
    </cfRule>
  </conditionalFormatting>
  <conditionalFormatting sqref="R60:T60">
    <cfRule type="cellIs" dxfId="169" priority="42" operator="lessThan">
      <formula>100</formula>
    </cfRule>
    <cfRule type="cellIs" dxfId="168" priority="43" operator="equal">
      <formula>100</formula>
    </cfRule>
  </conditionalFormatting>
  <dataValidations count="7">
    <dataValidation type="list" allowBlank="1" showInputMessage="1" showErrorMessage="1" sqref="J60:L60 I59:I60 O46" xr:uid="{D69831C2-7E83-4A80-B531-FB81E6E7270A}">
      <formula1>$R$2:$R$3</formula1>
    </dataValidation>
    <dataValidation type="list" allowBlank="1" showInputMessage="1" showErrorMessage="1" sqref="V1:V2" xr:uid="{7A1A1D4F-3121-4AC7-9591-0487DD1C2157}">
      <formula1>$V$1:$V$2</formula1>
    </dataValidation>
    <dataValidation type="list" allowBlank="1" showInputMessage="1" showErrorMessage="1" sqref="A3" xr:uid="{316963D0-18B6-45DF-8E1A-87EEA1CA025A}">
      <formula1>$C$75:$C$82</formula1>
    </dataValidation>
    <dataValidation type="list" allowBlank="1" showInputMessage="1" showErrorMessage="1" error="SELECCIONE EL PRESUPUESTO A EVALUAR, EN LA LISTA DESPEGABLE._x000a_" sqref="I11:I12 J12:K12" xr:uid="{D14D49AA-E575-4374-9D98-15D6F7D05AF6}">
      <formula1>$A$75:$A$82</formula1>
    </dataValidation>
    <dataValidation type="list" allowBlank="1" showInputMessage="1" showErrorMessage="1" sqref="O36:O38" xr:uid="{94F39C09-2021-4C11-97FF-B09BDE84C69E}">
      <formula1>$R$4:$R$5</formula1>
    </dataValidation>
    <dataValidation type="list" allowBlank="1" showInputMessage="1" showErrorMessage="1" sqref="G22:H22" xr:uid="{37FC05EC-C1D4-482E-87A9-CD3B030B8137}">
      <formula1>$Q$2:$Q$3</formula1>
    </dataValidation>
    <dataValidation type="list" allowBlank="1" showInputMessage="1" showErrorMessage="1" sqref="M37:O37" xr:uid="{D3756F2D-1737-459A-8A9F-ACBD03317876}">
      <formula1>$U$1:$U$2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7FB5D-F689-4D4F-B5CC-FD276B308094}">
  <dimension ref="A1:W94"/>
  <sheetViews>
    <sheetView view="pageBreakPreview" topLeftCell="A57" zoomScale="55" zoomScaleNormal="63" zoomScaleSheetLayoutView="55" workbookViewId="0">
      <selection activeCell="A28" sqref="A28:A29"/>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13</v>
      </c>
      <c r="B4" s="233" t="str">
        <f>_xlfn.XLOOKUP(A4,RESUMEN!$A$3:$A$19,RESUMEN!$C$3:$C$19)</f>
        <v>CONSORCIO ALFA</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244" t="s">
        <v>287</v>
      </c>
      <c r="J5" s="244"/>
      <c r="K5" s="244"/>
      <c r="L5" s="244"/>
      <c r="M5" s="244"/>
      <c r="N5" s="245"/>
      <c r="O5" s="11">
        <v>0.75</v>
      </c>
      <c r="P5" s="2">
        <f>+I7</f>
        <v>0</v>
      </c>
      <c r="R5" s="2">
        <v>0</v>
      </c>
    </row>
    <row r="6" spans="1:23" ht="20.25" customHeight="1">
      <c r="A6" s="232"/>
      <c r="B6" s="236"/>
      <c r="C6" s="237"/>
      <c r="D6" s="237"/>
      <c r="E6" s="238"/>
      <c r="F6" s="236"/>
      <c r="G6" s="237"/>
      <c r="H6" s="238"/>
      <c r="I6" s="244" t="s">
        <v>288</v>
      </c>
      <c r="J6" s="244"/>
      <c r="K6" s="244"/>
      <c r="L6" s="244"/>
      <c r="M6" s="244"/>
      <c r="N6" s="245"/>
      <c r="O6" s="11">
        <v>0.25</v>
      </c>
      <c r="P6" s="2" t="str">
        <f t="shared" ref="P6:P9" si="0">+I6</f>
        <v>OCTAVIO AUGUSTO MORALES AYALA     C.C. 79.455.505</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O6+O7+O5</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65" customHeight="1">
      <c r="A17" s="272">
        <f>+M11*H8</f>
        <v>1793.1006709615385</v>
      </c>
      <c r="B17" s="147" t="s">
        <v>100</v>
      </c>
      <c r="C17" s="64">
        <v>8</v>
      </c>
      <c r="D17" s="148" t="s">
        <v>289</v>
      </c>
      <c r="E17" s="148" t="s">
        <v>290</v>
      </c>
      <c r="F17" s="148" t="s">
        <v>64</v>
      </c>
      <c r="G17" s="64" t="s">
        <v>64</v>
      </c>
      <c r="H17" s="64" t="s">
        <v>64</v>
      </c>
      <c r="I17" s="148" t="s">
        <v>291</v>
      </c>
      <c r="J17" s="146" t="s">
        <v>292</v>
      </c>
      <c r="K17" s="145"/>
      <c r="L17" s="66">
        <v>1036.7</v>
      </c>
      <c r="M17" s="65">
        <v>0.95</v>
      </c>
      <c r="N17" s="88">
        <f>L17*M17</f>
        <v>984.86500000000001</v>
      </c>
      <c r="O17" s="89" t="str">
        <f>+IF(AND(H17="SI",G17="SI"),"CUMPLE","NO CUMPLE")</f>
        <v>CUMPLE</v>
      </c>
      <c r="P17" s="4"/>
      <c r="Q17" s="4"/>
      <c r="R17" s="135">
        <f>+N17/A17</f>
        <v>0.54925248534532789</v>
      </c>
      <c r="S17" s="4"/>
      <c r="T17" s="69"/>
      <c r="V17" s="39">
        <v>2021</v>
      </c>
      <c r="W17" s="40">
        <v>908526</v>
      </c>
    </row>
    <row r="18" spans="1:23" ht="133.9" customHeight="1">
      <c r="A18" s="272"/>
      <c r="B18" s="147" t="s">
        <v>105</v>
      </c>
      <c r="C18" s="64">
        <v>87</v>
      </c>
      <c r="D18" s="148" t="s">
        <v>101</v>
      </c>
      <c r="E18" s="148" t="s">
        <v>293</v>
      </c>
      <c r="F18" s="148" t="s">
        <v>64</v>
      </c>
      <c r="G18" s="64" t="s">
        <v>64</v>
      </c>
      <c r="H18" s="64" t="s">
        <v>64</v>
      </c>
      <c r="I18" s="148" t="s">
        <v>294</v>
      </c>
      <c r="J18" s="146" t="s">
        <v>295</v>
      </c>
      <c r="K18" s="145"/>
      <c r="L18" s="66">
        <v>12670.38</v>
      </c>
      <c r="M18" s="65">
        <v>0.25</v>
      </c>
      <c r="N18" s="88">
        <f>L18*M18</f>
        <v>3167.5949999999998</v>
      </c>
      <c r="O18" s="89" t="str">
        <f>+IF(AND(H18="SI",G18="SI"),"CUMPLE","NO CUMPLE")</f>
        <v>CUMPLE</v>
      </c>
      <c r="P18" s="4"/>
      <c r="Q18" s="4"/>
      <c r="R18" s="135">
        <f>+N18/A17</f>
        <v>1.7665461015646142</v>
      </c>
      <c r="S18" s="4"/>
      <c r="T18" s="69"/>
      <c r="V18" s="96"/>
      <c r="W18" s="97"/>
    </row>
    <row r="19" spans="1:23" ht="157.69999999999999" customHeight="1" thickBot="1">
      <c r="A19" s="272"/>
      <c r="B19" s="147" t="s">
        <v>109</v>
      </c>
      <c r="C19" s="64"/>
      <c r="D19" s="148"/>
      <c r="E19" s="148"/>
      <c r="F19" s="148"/>
      <c r="G19" s="64"/>
      <c r="H19" s="64"/>
      <c r="I19" s="148"/>
      <c r="J19" s="146"/>
      <c r="K19" s="145"/>
      <c r="L19" s="66"/>
      <c r="M19" s="65"/>
      <c r="N19" s="88">
        <f>L19*M19</f>
        <v>0</v>
      </c>
      <c r="O19" s="89" t="str">
        <f t="shared" ref="O19:O22" si="1">+IF(AND(H19="SI",G19="SI"),"CUMPLE","NO CUMPLE")</f>
        <v>NO CUMPLE</v>
      </c>
      <c r="P19" s="4"/>
      <c r="Q19" s="4"/>
      <c r="R19" s="135">
        <f>+N19/A17</f>
        <v>0</v>
      </c>
      <c r="S19" s="4"/>
      <c r="T19" s="69" t="s">
        <v>163</v>
      </c>
      <c r="V19" s="38">
        <v>2020</v>
      </c>
      <c r="W19" s="41">
        <v>877803</v>
      </c>
    </row>
    <row r="20" spans="1:23" ht="42.95" customHeight="1" thickBot="1">
      <c r="A20" s="272"/>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37"/>
      <c r="S20" s="67"/>
      <c r="T20" s="69"/>
      <c r="V20" s="38">
        <v>2019</v>
      </c>
      <c r="W20" s="41">
        <v>828116</v>
      </c>
    </row>
    <row r="21" spans="1:23" ht="42.95" customHeight="1" thickBot="1">
      <c r="A21" s="272"/>
      <c r="B21" s="147" t="s">
        <v>113</v>
      </c>
      <c r="C21" s="64"/>
      <c r="D21" s="64"/>
      <c r="E21" s="64"/>
      <c r="F21" s="64"/>
      <c r="G21" s="64"/>
      <c r="H21" s="64"/>
      <c r="I21" s="64"/>
      <c r="J21" s="146"/>
      <c r="K21" s="64"/>
      <c r="L21" s="64"/>
      <c r="M21" s="65"/>
      <c r="N21" s="88">
        <f t="shared" si="2"/>
        <v>0</v>
      </c>
      <c r="O21" s="89" t="str">
        <f t="shared" si="1"/>
        <v>NO CUMPLE</v>
      </c>
      <c r="P21" s="4"/>
      <c r="Q21" s="4"/>
      <c r="R21" s="37"/>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2"/>
        <v>0</v>
      </c>
      <c r="O22" s="89" t="str">
        <f t="shared" si="1"/>
        <v>NO CUMPLE</v>
      </c>
      <c r="P22" s="4"/>
      <c r="Q22" s="4"/>
      <c r="R22" s="37"/>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4152.46</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0</v>
      </c>
      <c r="T26" s="26">
        <f>+T25/W25</f>
        <v>0</v>
      </c>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thickBot="1">
      <c r="A28" s="276">
        <f>A17*50%</f>
        <v>896.55033548076926</v>
      </c>
      <c r="B28" s="147" t="s">
        <v>100</v>
      </c>
      <c r="C28" s="64">
        <v>87</v>
      </c>
      <c r="D28" s="148" t="s">
        <v>101</v>
      </c>
      <c r="E28" s="148" t="s">
        <v>293</v>
      </c>
      <c r="F28" s="148" t="s">
        <v>64</v>
      </c>
      <c r="G28" s="64" t="s">
        <v>64</v>
      </c>
      <c r="H28" s="64" t="s">
        <v>64</v>
      </c>
      <c r="I28" s="148" t="s">
        <v>294</v>
      </c>
      <c r="J28" s="146" t="s">
        <v>295</v>
      </c>
      <c r="K28" s="145"/>
      <c r="L28" s="66">
        <v>12670.38</v>
      </c>
      <c r="M28" s="65">
        <v>0.25</v>
      </c>
      <c r="N28" s="88">
        <f>L28*M28</f>
        <v>3167.5949999999998</v>
      </c>
      <c r="O28" s="89" t="str">
        <f>+IF(AND(H28="SI",G28="SI"),"CUMPLE","NO CUMPLE")</f>
        <v>CUMPLE</v>
      </c>
      <c r="P28" s="4"/>
      <c r="Q28" s="4"/>
      <c r="R28" s="36"/>
      <c r="S28" s="36"/>
      <c r="T28" s="27"/>
    </row>
    <row r="29" spans="1:23" ht="143.44999999999999" customHeight="1" thickTop="1" thickBot="1">
      <c r="A29" s="277"/>
      <c r="B29" s="147" t="s">
        <v>105</v>
      </c>
      <c r="C29" s="64"/>
      <c r="D29" s="148"/>
      <c r="E29" s="148"/>
      <c r="F29" s="148"/>
      <c r="G29" s="64"/>
      <c r="H29" s="64"/>
      <c r="I29" s="148"/>
      <c r="J29" s="146"/>
      <c r="K29" s="145"/>
      <c r="L29" s="66"/>
      <c r="M29" s="65"/>
      <c r="N29" s="88">
        <f>L29*M29</f>
        <v>0</v>
      </c>
      <c r="O29" s="89" t="str">
        <f>+IF(AND(H29="SI",G29="SI"),"CUMPLE","NO CUMPLE")</f>
        <v>NO CUMPLE</v>
      </c>
      <c r="P29" s="4"/>
      <c r="Q29" s="4"/>
      <c r="R29" s="37" t="str">
        <f>+IF(OR(O29="CUMPLE")*AND(N29&gt;=$R$16),"CUMPLE","NO CUMPLE")</f>
        <v>NO 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SUM(N28)</f>
        <v>3167.5949999999998</v>
      </c>
      <c r="O31" s="54" t="str">
        <f>+IF(OR(O29="CUMPLE",O28="CUMPLE")*AND(N31&gt;=A28),"CUMPLE","NO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11" t="s">
        <v>267</v>
      </c>
      <c r="B61" s="312"/>
      <c r="C61" s="312"/>
      <c r="D61" s="312"/>
      <c r="E61" s="312"/>
      <c r="F61" s="312"/>
      <c r="G61" s="312"/>
      <c r="H61" s="312"/>
      <c r="I61" s="312"/>
      <c r="J61" s="312"/>
      <c r="K61" s="312"/>
      <c r="L61" s="312"/>
      <c r="M61" s="312"/>
      <c r="N61" s="312"/>
      <c r="O61" s="313"/>
      <c r="P61" s="9"/>
      <c r="Q61" s="8"/>
      <c r="V61" s="38">
        <v>1993</v>
      </c>
      <c r="W61" s="41">
        <v>81510</v>
      </c>
    </row>
    <row r="62" spans="1:23" ht="30.95" customHeight="1" thickBo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thickBot="1">
      <c r="A63" s="317"/>
      <c r="B63" s="318"/>
      <c r="C63" s="318"/>
      <c r="D63" s="318"/>
      <c r="E63" s="318"/>
      <c r="F63" s="318"/>
      <c r="G63" s="318"/>
      <c r="H63" s="318"/>
      <c r="I63" s="318"/>
      <c r="J63" s="318"/>
      <c r="K63" s="318"/>
      <c r="L63" s="318"/>
      <c r="M63" s="318"/>
      <c r="N63" s="318"/>
      <c r="O63" s="319"/>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167" priority="19" operator="equal">
      <formula>"NO CUMPLE"</formula>
    </cfRule>
    <cfRule type="cellIs" dxfId="166" priority="20" operator="equal">
      <formula>"CUMPLE"</formula>
    </cfRule>
    <cfRule type="cellIs" dxfId="165" priority="21" operator="equal">
      <formula>100</formula>
    </cfRule>
  </conditionalFormatting>
  <conditionalFormatting sqref="I60:L60">
    <cfRule type="cellIs" dxfId="164" priority="28" operator="equal">
      <formula>"NO CUMPLE"</formula>
    </cfRule>
    <cfRule type="cellIs" dxfId="163" priority="29" operator="equal">
      <formula>"CUMPLE"</formula>
    </cfRule>
  </conditionalFormatting>
  <conditionalFormatting sqref="I60:O60">
    <cfRule type="cellIs" dxfId="162" priority="6" operator="equal">
      <formula>100</formula>
    </cfRule>
  </conditionalFormatting>
  <conditionalFormatting sqref="M60:O60">
    <cfRule type="cellIs" dxfId="161" priority="5" operator="lessThan">
      <formula>100</formula>
    </cfRule>
  </conditionalFormatting>
  <conditionalFormatting sqref="O17:O22">
    <cfRule type="containsText" dxfId="160" priority="4" operator="containsText" text="NO CUMPLE">
      <formula>NOT(ISERROR(SEARCH("NO CUMPLE",O17)))</formula>
    </cfRule>
  </conditionalFormatting>
  <conditionalFormatting sqref="O23">
    <cfRule type="cellIs" dxfId="159" priority="25" operator="equal">
      <formula>"NO CUMPLE"</formula>
    </cfRule>
    <cfRule type="cellIs" dxfId="158" priority="26" operator="equal">
      <formula>"CUMPLE"</formula>
    </cfRule>
    <cfRule type="cellIs" dxfId="157" priority="27" operator="equal">
      <formula>100</formula>
    </cfRule>
  </conditionalFormatting>
  <conditionalFormatting sqref="O36:O38">
    <cfRule type="cellIs" dxfId="156" priority="22" operator="equal">
      <formula>"NO CUMPLE"</formula>
    </cfRule>
    <cfRule type="cellIs" dxfId="155" priority="23" operator="equal">
      <formula>"CUMPLE"</formula>
    </cfRule>
    <cfRule type="cellIs" dxfId="154" priority="24" operator="equal">
      <formula>100</formula>
    </cfRule>
  </conditionalFormatting>
  <conditionalFormatting sqref="O46">
    <cfRule type="cellIs" dxfId="153" priority="10" operator="equal">
      <formula>"NO CUMPLE"</formula>
    </cfRule>
    <cfRule type="cellIs" dxfId="152" priority="11" operator="equal">
      <formula>"CUMPLE"</formula>
    </cfRule>
    <cfRule type="cellIs" dxfId="151" priority="12" operator="equal">
      <formula>100</formula>
    </cfRule>
  </conditionalFormatting>
  <conditionalFormatting sqref="O31:P34">
    <cfRule type="cellIs" dxfId="150" priority="1" operator="equal">
      <formula>"NO CUMPLE"</formula>
    </cfRule>
    <cfRule type="cellIs" dxfId="149" priority="2" operator="equal">
      <formula>"CUMPLE"</formula>
    </cfRule>
    <cfRule type="cellIs" dxfId="148" priority="3" operator="equal">
      <formula>100</formula>
    </cfRule>
  </conditionalFormatting>
  <conditionalFormatting sqref="P24">
    <cfRule type="cellIs" dxfId="147" priority="68" operator="equal">
      <formula>"NO CUMPLE"</formula>
    </cfRule>
    <cfRule type="cellIs" dxfId="146" priority="69" operator="equal">
      <formula>"CUMPLE"</formula>
    </cfRule>
    <cfRule type="cellIs" dxfId="145" priority="70" operator="equal">
      <formula>100</formula>
    </cfRule>
  </conditionalFormatting>
  <conditionalFormatting sqref="P36:P46">
    <cfRule type="cellIs" dxfId="144" priority="44" operator="equal">
      <formula>"NO CUMPLE"</formula>
    </cfRule>
    <cfRule type="cellIs" dxfId="143" priority="45" operator="equal">
      <formula>"CUMPLE"</formula>
    </cfRule>
    <cfRule type="cellIs" dxfId="142" priority="46" operator="equal">
      <formula>100</formula>
    </cfRule>
  </conditionalFormatting>
  <conditionalFormatting sqref="R60:T60">
    <cfRule type="cellIs" dxfId="141" priority="42" operator="lessThan">
      <formula>100</formula>
    </cfRule>
    <cfRule type="cellIs" dxfId="140" priority="43" operator="equal">
      <formula>100</formula>
    </cfRule>
  </conditionalFormatting>
  <dataValidations disablePrompts="1" count="7">
    <dataValidation type="list" allowBlank="1" showInputMessage="1" showErrorMessage="1" sqref="M37:O37" xr:uid="{65A42C4C-474A-4AD7-84E6-287D1BB00E8F}">
      <formula1>$U$1:$U$2</formula1>
    </dataValidation>
    <dataValidation type="list" allowBlank="1" showInputMessage="1" showErrorMessage="1" sqref="G22:H22" xr:uid="{5A0245A0-5E33-4F9B-BB61-46B42783A6FB}">
      <formula1>$Q$2:$Q$3</formula1>
    </dataValidation>
    <dataValidation type="list" allowBlank="1" showInputMessage="1" showErrorMessage="1" sqref="O36:O38" xr:uid="{1382D593-3EE1-4771-BC91-CF1CE989FF40}">
      <formula1>$R$4:$R$5</formula1>
    </dataValidation>
    <dataValidation type="list" allowBlank="1" showInputMessage="1" showErrorMessage="1" error="SELECCIONE EL PRESUPUESTO A EVALUAR, EN LA LISTA DESPEGABLE._x000a_" sqref="I11:I12 J12:K12" xr:uid="{B16134C0-CFAE-4945-8C29-6B0B1F42841A}">
      <formula1>$A$75:$A$82</formula1>
    </dataValidation>
    <dataValidation type="list" allowBlank="1" showInputMessage="1" showErrorMessage="1" sqref="A3" xr:uid="{F3699C60-55C1-4352-B398-0FFD7A28CB27}">
      <formula1>$C$75:$C$82</formula1>
    </dataValidation>
    <dataValidation type="list" allowBlank="1" showInputMessage="1" showErrorMessage="1" sqref="V1:V2" xr:uid="{59B07536-BFB7-4716-8CAF-2B18B8BB350E}">
      <formula1>$V$1:$V$2</formula1>
    </dataValidation>
    <dataValidation type="list" allowBlank="1" showInputMessage="1" showErrorMessage="1" sqref="J60:L60 I59:I60 O46" xr:uid="{1716AE30-C8D8-4371-BEA2-486872669BA8}">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BB47A-1E3F-4F4D-89F7-A5175D9005D7}">
  <sheetPr>
    <tabColor rgb="FFFF0000"/>
  </sheetPr>
  <dimension ref="A1:W94"/>
  <sheetViews>
    <sheetView view="pageBreakPreview" topLeftCell="A56" zoomScale="40" zoomScaleNormal="63" zoomScaleSheetLayoutView="40" workbookViewId="0">
      <selection activeCell="I64" sqref="I64"/>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31.140625" style="2" customWidth="1"/>
    <col min="6" max="6" width="20.1406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14</v>
      </c>
      <c r="B4" s="233" t="str">
        <f>_xlfn.XLOOKUP(A4,RESUMEN!$A$3:$A$19,RESUMEN!$C$3:$C$19)</f>
        <v>GRU S.A.S</v>
      </c>
      <c r="C4" s="234"/>
      <c r="D4" s="234"/>
      <c r="E4" s="235"/>
      <c r="F4" s="233" t="s">
        <v>69</v>
      </c>
      <c r="G4" s="234"/>
      <c r="H4" s="235"/>
      <c r="I4" s="242" t="s">
        <v>70</v>
      </c>
      <c r="J4" s="243"/>
      <c r="K4" s="243"/>
      <c r="L4" s="243"/>
      <c r="M4" s="243"/>
      <c r="N4" s="243"/>
      <c r="O4" s="11"/>
      <c r="P4" s="2" t="str">
        <f>+I4</f>
        <v>APORTANTE DE LA EXPERIENCIA - GENERAL</v>
      </c>
      <c r="R4" s="2">
        <v>10</v>
      </c>
    </row>
    <row r="5" spans="1:23" ht="32.25" customHeight="1">
      <c r="A5" s="232"/>
      <c r="B5" s="236"/>
      <c r="C5" s="237"/>
      <c r="D5" s="237"/>
      <c r="E5" s="238"/>
      <c r="F5" s="236"/>
      <c r="G5" s="237"/>
      <c r="H5" s="238"/>
      <c r="I5" s="357" t="s">
        <v>296</v>
      </c>
      <c r="J5" s="357"/>
      <c r="K5" s="357"/>
      <c r="L5" s="357"/>
      <c r="M5" s="357"/>
      <c r="N5" s="358"/>
      <c r="O5" s="11">
        <v>1</v>
      </c>
      <c r="P5" s="2">
        <f>+I7</f>
        <v>0</v>
      </c>
      <c r="R5" s="2">
        <v>0</v>
      </c>
    </row>
    <row r="6" spans="1:23" ht="27" customHeight="1">
      <c r="A6" s="232"/>
      <c r="B6" s="236"/>
      <c r="C6" s="237"/>
      <c r="D6" s="237"/>
      <c r="E6" s="238"/>
      <c r="F6" s="236"/>
      <c r="G6" s="237"/>
      <c r="H6" s="238"/>
      <c r="I6" s="244"/>
      <c r="J6" s="244"/>
      <c r="K6" s="244"/>
      <c r="L6" s="244"/>
      <c r="M6" s="244"/>
      <c r="N6" s="245"/>
      <c r="O6" s="11"/>
      <c r="P6" s="2">
        <f t="shared" ref="P6:P9" si="0">+I6</f>
        <v>0</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376">
        <f>+M11*H8</f>
        <v>1793.1006709615385</v>
      </c>
      <c r="B17" s="147" t="s">
        <v>100</v>
      </c>
      <c r="C17" s="64">
        <v>183</v>
      </c>
      <c r="D17" s="148" t="s">
        <v>297</v>
      </c>
      <c r="E17" s="148" t="s">
        <v>298</v>
      </c>
      <c r="F17" s="148" t="s">
        <v>64</v>
      </c>
      <c r="G17" s="64" t="s">
        <v>64</v>
      </c>
      <c r="H17" s="64" t="s">
        <v>182</v>
      </c>
      <c r="I17" s="148" t="s">
        <v>51</v>
      </c>
      <c r="J17" s="146">
        <v>43857</v>
      </c>
      <c r="K17" s="145">
        <f>L17*W19</f>
        <v>7116261140.6999998</v>
      </c>
      <c r="L17" s="66">
        <v>8106.9</v>
      </c>
      <c r="M17" s="65">
        <v>1</v>
      </c>
      <c r="N17" s="88">
        <f>L17*M17</f>
        <v>8106.9</v>
      </c>
      <c r="O17" s="89" t="str">
        <f>+IF(AND(H17="SI",G17="SI"),"CUMPLE","NO CUMPLE")</f>
        <v>CUMPLE</v>
      </c>
      <c r="P17" s="4"/>
      <c r="Q17" s="4"/>
      <c r="R17" s="37"/>
      <c r="S17" s="4"/>
      <c r="T17" s="69"/>
      <c r="V17" s="39">
        <v>2021</v>
      </c>
      <c r="W17" s="40">
        <v>908526</v>
      </c>
    </row>
    <row r="18" spans="1:23" ht="133.9" customHeight="1">
      <c r="A18" s="376"/>
      <c r="B18" s="147" t="s">
        <v>105</v>
      </c>
      <c r="C18" s="64">
        <v>12</v>
      </c>
      <c r="D18" s="148" t="s">
        <v>144</v>
      </c>
      <c r="E18" s="148" t="s">
        <v>299</v>
      </c>
      <c r="F18" s="148" t="s">
        <v>64</v>
      </c>
      <c r="G18" s="64" t="s">
        <v>64</v>
      </c>
      <c r="H18" s="64" t="s">
        <v>64</v>
      </c>
      <c r="I18" s="148" t="s">
        <v>51</v>
      </c>
      <c r="J18" s="146">
        <v>40938</v>
      </c>
      <c r="K18" s="145">
        <f>$L$18*$W$34</f>
        <v>1175902500</v>
      </c>
      <c r="L18" s="66">
        <v>2075</v>
      </c>
      <c r="M18" s="65">
        <v>0.8</v>
      </c>
      <c r="N18" s="88">
        <f>L18*M18</f>
        <v>1660</v>
      </c>
      <c r="O18" s="89" t="str">
        <f>+IF(AND(H18="SI",G18="SI"),"CUMPLE","NO CUMPLE")</f>
        <v>CUMPLE</v>
      </c>
      <c r="P18" s="4"/>
      <c r="Q18" s="4"/>
      <c r="R18" s="37"/>
      <c r="S18" s="4"/>
      <c r="T18" s="69"/>
      <c r="V18" s="96"/>
      <c r="W18" s="97"/>
    </row>
    <row r="19" spans="1:23" ht="157.69999999999999" customHeight="1">
      <c r="A19" s="376"/>
      <c r="B19" s="147" t="s">
        <v>109</v>
      </c>
      <c r="C19" s="64"/>
      <c r="D19" s="148"/>
      <c r="E19" s="148"/>
      <c r="F19" s="148"/>
      <c r="G19" s="64"/>
      <c r="H19" s="64"/>
      <c r="I19" s="148"/>
      <c r="J19" s="146"/>
      <c r="K19" s="145"/>
      <c r="L19" s="66"/>
      <c r="M19" s="65"/>
      <c r="N19" s="88">
        <f>L19*M19</f>
        <v>0</v>
      </c>
      <c r="O19" s="89" t="str">
        <f t="shared" ref="O19:O22" si="1">+IF(AND(H19="SI",G19="SI"),"CUMPLE","NO CUMPLE")</f>
        <v>NO CUMPLE</v>
      </c>
      <c r="P19" s="4"/>
      <c r="Q19" s="4"/>
      <c r="R19" s="37"/>
      <c r="S19" s="4"/>
      <c r="T19" s="69"/>
      <c r="V19" s="38">
        <v>2020</v>
      </c>
      <c r="W19" s="41">
        <v>877803</v>
      </c>
    </row>
    <row r="20" spans="1:23" ht="42.95" customHeight="1">
      <c r="A20" s="376"/>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37"/>
      <c r="S20" s="67"/>
      <c r="T20" s="69"/>
      <c r="V20" s="38">
        <v>2019</v>
      </c>
      <c r="W20" s="41">
        <v>828116</v>
      </c>
    </row>
    <row r="21" spans="1:23" ht="42.95" customHeight="1">
      <c r="A21" s="376"/>
      <c r="B21" s="147" t="s">
        <v>113</v>
      </c>
      <c r="C21" s="64"/>
      <c r="D21" s="64"/>
      <c r="E21" s="64"/>
      <c r="F21" s="64"/>
      <c r="G21" s="64"/>
      <c r="H21" s="64"/>
      <c r="I21" s="64"/>
      <c r="J21" s="146"/>
      <c r="K21" s="64"/>
      <c r="L21" s="64"/>
      <c r="M21" s="65"/>
      <c r="N21" s="88">
        <f t="shared" si="2"/>
        <v>0</v>
      </c>
      <c r="O21" s="89" t="str">
        <f t="shared" si="1"/>
        <v>NO CUMPLE</v>
      </c>
      <c r="P21" s="4"/>
      <c r="Q21" s="4"/>
      <c r="R21" s="37"/>
      <c r="S21" s="67"/>
      <c r="T21" s="27"/>
      <c r="V21" s="38">
        <v>2018</v>
      </c>
      <c r="W21" s="41">
        <v>781242</v>
      </c>
    </row>
    <row r="22" spans="1:23" ht="42.95" customHeight="1">
      <c r="A22" s="376"/>
      <c r="B22" s="147" t="s">
        <v>114</v>
      </c>
      <c r="C22" s="44"/>
      <c r="D22" s="45"/>
      <c r="E22" s="45"/>
      <c r="F22" s="64"/>
      <c r="G22" s="68"/>
      <c r="H22" s="68"/>
      <c r="I22" s="64"/>
      <c r="J22" s="146"/>
      <c r="K22" s="46"/>
      <c r="L22" s="47"/>
      <c r="M22" s="35"/>
      <c r="N22" s="88">
        <f t="shared" si="2"/>
        <v>0</v>
      </c>
      <c r="O22" s="89" t="str">
        <f t="shared" si="1"/>
        <v>NO CUMPLE</v>
      </c>
      <c r="P22" s="4"/>
      <c r="Q22" s="4"/>
      <c r="R22" s="37"/>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9766.9</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V25" s="2">
        <v>2007</v>
      </c>
      <c r="W25" s="2">
        <v>433700</v>
      </c>
    </row>
    <row r="26" spans="1:23" ht="211.9" customHeight="1">
      <c r="A26" s="268" t="s">
        <v>338</v>
      </c>
      <c r="B26" s="269"/>
      <c r="C26" s="269"/>
      <c r="D26" s="269"/>
      <c r="E26" s="269"/>
      <c r="F26" s="269"/>
      <c r="G26" s="269"/>
      <c r="H26" s="269"/>
      <c r="I26" s="269"/>
      <c r="J26" s="269"/>
      <c r="K26" s="269"/>
      <c r="L26" s="269"/>
      <c r="M26" s="269"/>
      <c r="N26" s="269"/>
      <c r="O26" s="270"/>
      <c r="T26" s="26"/>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c r="S27" s="36"/>
      <c r="T27" s="27"/>
      <c r="V27" s="2">
        <v>2022</v>
      </c>
      <c r="W27" s="2">
        <v>1000000</v>
      </c>
    </row>
    <row r="28" spans="1:23" ht="145.5" customHeight="1" thickBot="1">
      <c r="A28" s="276">
        <f>A17*50%</f>
        <v>896.55033548076926</v>
      </c>
      <c r="B28" s="147" t="s">
        <v>100</v>
      </c>
      <c r="C28" s="64">
        <v>12</v>
      </c>
      <c r="D28" s="148" t="s">
        <v>144</v>
      </c>
      <c r="E28" s="148" t="s">
        <v>299</v>
      </c>
      <c r="F28" s="148" t="s">
        <v>64</v>
      </c>
      <c r="G28" s="64" t="s">
        <v>64</v>
      </c>
      <c r="H28" s="64" t="s">
        <v>64</v>
      </c>
      <c r="I28" s="148" t="s">
        <v>51</v>
      </c>
      <c r="J28" s="146">
        <v>40938</v>
      </c>
      <c r="K28" s="145">
        <f>$L$18*$W$34</f>
        <v>1175902500</v>
      </c>
      <c r="L28" s="66">
        <v>2075</v>
      </c>
      <c r="M28" s="65">
        <v>0.8</v>
      </c>
      <c r="N28" s="88">
        <f>L28*M28</f>
        <v>1660</v>
      </c>
      <c r="O28" s="89" t="str">
        <f>+IF(AND(H28="SI",G28="SI"),"CUMPLE","NO CUMPLE")</f>
        <v>CUMPLE</v>
      </c>
      <c r="P28" s="4"/>
      <c r="Q28" s="4"/>
      <c r="R28" s="36"/>
      <c r="S28" s="36"/>
      <c r="T28" s="27"/>
    </row>
    <row r="29" spans="1:23" ht="143.44999999999999" customHeight="1" thickTop="1" thickBot="1">
      <c r="A29" s="277"/>
      <c r="B29" s="147" t="s">
        <v>105</v>
      </c>
      <c r="C29" s="64">
        <v>183</v>
      </c>
      <c r="D29" s="148" t="s">
        <v>297</v>
      </c>
      <c r="E29" s="148" t="s">
        <v>298</v>
      </c>
      <c r="F29" s="148" t="s">
        <v>64</v>
      </c>
      <c r="G29" s="64" t="s">
        <v>64</v>
      </c>
      <c r="H29" s="64" t="s">
        <v>182</v>
      </c>
      <c r="I29" s="148" t="s">
        <v>51</v>
      </c>
      <c r="J29" s="146">
        <v>43857</v>
      </c>
      <c r="K29" s="145">
        <f>L29*W31</f>
        <v>4993850400</v>
      </c>
      <c r="L29" s="66">
        <v>8106.9</v>
      </c>
      <c r="M29" s="65">
        <v>1</v>
      </c>
      <c r="N29" s="88">
        <f>L29*M29</f>
        <v>8106.9</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8106.9</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48" t="s">
        <v>267</v>
      </c>
      <c r="B61" s="349"/>
      <c r="C61" s="349"/>
      <c r="D61" s="349"/>
      <c r="E61" s="349"/>
      <c r="F61" s="349"/>
      <c r="G61" s="349"/>
      <c r="H61" s="349"/>
      <c r="I61" s="349"/>
      <c r="J61" s="349"/>
      <c r="K61" s="349"/>
      <c r="L61" s="349"/>
      <c r="M61" s="349"/>
      <c r="N61" s="349"/>
      <c r="O61" s="350"/>
      <c r="P61" s="9"/>
      <c r="Q61" s="8"/>
      <c r="V61" s="38">
        <v>1993</v>
      </c>
      <c r="W61" s="41">
        <v>81510</v>
      </c>
    </row>
    <row r="62" spans="1:23" ht="30.95" customHeight="1">
      <c r="A62" s="351"/>
      <c r="B62" s="352"/>
      <c r="C62" s="352"/>
      <c r="D62" s="352"/>
      <c r="E62" s="352"/>
      <c r="F62" s="352"/>
      <c r="G62" s="352"/>
      <c r="H62" s="352"/>
      <c r="I62" s="352"/>
      <c r="J62" s="352"/>
      <c r="K62" s="352"/>
      <c r="L62" s="352"/>
      <c r="M62" s="352"/>
      <c r="N62" s="352"/>
      <c r="O62" s="353"/>
      <c r="P62" s="9"/>
      <c r="Q62" s="8"/>
      <c r="V62" s="38">
        <v>1992</v>
      </c>
      <c r="W62" s="41">
        <v>65190</v>
      </c>
    </row>
    <row r="63" spans="1:23" ht="62.45" customHeight="1">
      <c r="A63" s="354"/>
      <c r="B63" s="355"/>
      <c r="C63" s="355"/>
      <c r="D63" s="355"/>
      <c r="E63" s="355"/>
      <c r="F63" s="355"/>
      <c r="G63" s="355"/>
      <c r="H63" s="355"/>
      <c r="I63" s="355"/>
      <c r="J63" s="355"/>
      <c r="K63" s="355"/>
      <c r="L63" s="355"/>
      <c r="M63" s="355"/>
      <c r="N63" s="355"/>
      <c r="O63" s="356"/>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139" priority="19" operator="equal">
      <formula>"NO CUMPLE"</formula>
    </cfRule>
    <cfRule type="cellIs" dxfId="138" priority="20" operator="equal">
      <formula>"CUMPLE"</formula>
    </cfRule>
    <cfRule type="cellIs" dxfId="137" priority="21" operator="equal">
      <formula>100</formula>
    </cfRule>
  </conditionalFormatting>
  <conditionalFormatting sqref="I60:L60">
    <cfRule type="cellIs" dxfId="136" priority="28" operator="equal">
      <formula>"NO CUMPLE"</formula>
    </cfRule>
    <cfRule type="cellIs" dxfId="135" priority="29" operator="equal">
      <formula>"CUMPLE"</formula>
    </cfRule>
  </conditionalFormatting>
  <conditionalFormatting sqref="I60:O60">
    <cfRule type="cellIs" dxfId="134" priority="6" operator="equal">
      <formula>100</formula>
    </cfRule>
  </conditionalFormatting>
  <conditionalFormatting sqref="M60:O60">
    <cfRule type="cellIs" dxfId="133" priority="5" operator="lessThan">
      <formula>100</formula>
    </cfRule>
  </conditionalFormatting>
  <conditionalFormatting sqref="O17:O22">
    <cfRule type="containsText" dxfId="132" priority="4" operator="containsText" text="NO CUMPLE">
      <formula>NOT(ISERROR(SEARCH("NO CUMPLE",O17)))</formula>
    </cfRule>
  </conditionalFormatting>
  <conditionalFormatting sqref="O23">
    <cfRule type="cellIs" dxfId="131" priority="25" operator="equal">
      <formula>"NO CUMPLE"</formula>
    </cfRule>
    <cfRule type="cellIs" dxfId="130" priority="26" operator="equal">
      <formula>"CUMPLE"</formula>
    </cfRule>
    <cfRule type="cellIs" dxfId="129" priority="27" operator="equal">
      <formula>100</formula>
    </cfRule>
  </conditionalFormatting>
  <conditionalFormatting sqref="O36:O38">
    <cfRule type="cellIs" dxfId="128" priority="22" operator="equal">
      <formula>"NO CUMPLE"</formula>
    </cfRule>
    <cfRule type="cellIs" dxfId="127" priority="23" operator="equal">
      <formula>"CUMPLE"</formula>
    </cfRule>
    <cfRule type="cellIs" dxfId="126" priority="24" operator="equal">
      <formula>100</formula>
    </cfRule>
  </conditionalFormatting>
  <conditionalFormatting sqref="O46">
    <cfRule type="cellIs" dxfId="125" priority="10" operator="equal">
      <formula>"NO CUMPLE"</formula>
    </cfRule>
    <cfRule type="cellIs" dxfId="124" priority="11" operator="equal">
      <formula>"CUMPLE"</formula>
    </cfRule>
    <cfRule type="cellIs" dxfId="123" priority="12" operator="equal">
      <formula>100</formula>
    </cfRule>
  </conditionalFormatting>
  <conditionalFormatting sqref="O31:P34">
    <cfRule type="cellIs" dxfId="122" priority="1" operator="equal">
      <formula>"NO CUMPLE"</formula>
    </cfRule>
    <cfRule type="cellIs" dxfId="121" priority="2" operator="equal">
      <formula>"CUMPLE"</formula>
    </cfRule>
    <cfRule type="cellIs" dxfId="120" priority="3" operator="equal">
      <formula>100</formula>
    </cfRule>
  </conditionalFormatting>
  <conditionalFormatting sqref="P24">
    <cfRule type="cellIs" dxfId="119" priority="68" operator="equal">
      <formula>"NO CUMPLE"</formula>
    </cfRule>
    <cfRule type="cellIs" dxfId="118" priority="69" operator="equal">
      <formula>"CUMPLE"</formula>
    </cfRule>
    <cfRule type="cellIs" dxfId="117" priority="70" operator="equal">
      <formula>100</formula>
    </cfRule>
  </conditionalFormatting>
  <conditionalFormatting sqref="P36:P46">
    <cfRule type="cellIs" dxfId="116" priority="44" operator="equal">
      <formula>"NO CUMPLE"</formula>
    </cfRule>
    <cfRule type="cellIs" dxfId="115" priority="45" operator="equal">
      <formula>"CUMPLE"</formula>
    </cfRule>
    <cfRule type="cellIs" dxfId="114" priority="46" operator="equal">
      <formula>100</formula>
    </cfRule>
  </conditionalFormatting>
  <conditionalFormatting sqref="R60:T60">
    <cfRule type="cellIs" dxfId="113" priority="42" operator="lessThan">
      <formula>100</formula>
    </cfRule>
    <cfRule type="cellIs" dxfId="112" priority="43" operator="equal">
      <formula>100</formula>
    </cfRule>
  </conditionalFormatting>
  <dataValidations count="7">
    <dataValidation type="list" allowBlank="1" showInputMessage="1" showErrorMessage="1" sqref="J60:L60 I59:I60 O46" xr:uid="{1D017879-C4D1-4347-B964-9098ECEF8A29}">
      <formula1>$R$2:$R$3</formula1>
    </dataValidation>
    <dataValidation type="list" allowBlank="1" showInputMessage="1" showErrorMessage="1" sqref="V1:V2" xr:uid="{2BD40830-57B1-4101-AE47-D87E8092BECD}">
      <formula1>$V$1:$V$2</formula1>
    </dataValidation>
    <dataValidation type="list" allowBlank="1" showInputMessage="1" showErrorMessage="1" sqref="A3" xr:uid="{699A855E-238F-4FA7-BA15-83C3E3758F78}">
      <formula1>$C$75:$C$82</formula1>
    </dataValidation>
    <dataValidation type="list" allowBlank="1" showInputMessage="1" showErrorMessage="1" error="SELECCIONE EL PRESUPUESTO A EVALUAR, EN LA LISTA DESPEGABLE._x000a_" sqref="I11:I12 J12:K12" xr:uid="{2656C9BB-F335-47F2-830C-A5804EC77836}">
      <formula1>$A$75:$A$82</formula1>
    </dataValidation>
    <dataValidation type="list" allowBlank="1" showInputMessage="1" showErrorMessage="1" sqref="O36:O38" xr:uid="{4A202988-777A-4D52-B142-788EF6577CC0}">
      <formula1>$R$4:$R$5</formula1>
    </dataValidation>
    <dataValidation type="list" allowBlank="1" showInputMessage="1" showErrorMessage="1" sqref="G22:H22" xr:uid="{EFC86ABA-6CC9-4DFC-A0EF-CC5D5AFCD351}">
      <formula1>$Q$2:$Q$3</formula1>
    </dataValidation>
    <dataValidation type="list" allowBlank="1" showInputMessage="1" showErrorMessage="1" sqref="M37:O37" xr:uid="{B080BA20-C2A2-4C70-A393-4066B4C9C426}">
      <formula1>$U$1:$U$2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92A9B-E6D2-4C72-9C17-244A223BBF24}">
  <sheetPr>
    <tabColor rgb="FFFFFF00"/>
  </sheetPr>
  <dimension ref="A1:W94"/>
  <sheetViews>
    <sheetView view="pageBreakPreview" topLeftCell="A26" zoomScale="40" zoomScaleNormal="63" zoomScaleSheetLayoutView="40" workbookViewId="0">
      <selection activeCell="I60" sqref="I60:L60"/>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15</v>
      </c>
      <c r="B4" s="233" t="str">
        <f>_xlfn.XLOOKUP(A4,RESUMEN!$A$3:$A$19,RESUMEN!$C$3:$C$19)</f>
        <v>CONSORCIO CRC 20-24</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57" t="s">
        <v>300</v>
      </c>
      <c r="J5" s="357"/>
      <c r="K5" s="357"/>
      <c r="L5" s="357"/>
      <c r="M5" s="357"/>
      <c r="N5" s="358"/>
      <c r="O5" s="11">
        <v>0.1</v>
      </c>
      <c r="P5" s="2">
        <f>+I7</f>
        <v>0</v>
      </c>
      <c r="R5" s="2">
        <v>0</v>
      </c>
    </row>
    <row r="6" spans="1:23" ht="20.25" customHeight="1">
      <c r="A6" s="232"/>
      <c r="B6" s="236"/>
      <c r="C6" s="237"/>
      <c r="D6" s="237"/>
      <c r="E6" s="238"/>
      <c r="F6" s="236"/>
      <c r="G6" s="237"/>
      <c r="H6" s="238"/>
      <c r="I6" s="244" t="s">
        <v>301</v>
      </c>
      <c r="J6" s="244"/>
      <c r="K6" s="244"/>
      <c r="L6" s="244"/>
      <c r="M6" s="244"/>
      <c r="N6" s="245"/>
      <c r="O6" s="11">
        <v>0.9</v>
      </c>
      <c r="P6" s="2" t="str">
        <f t="shared" ref="P6:P9" si="0">+I6</f>
        <v>CONSTRUCCIONES SAS SIGLA CPJ ING&amp;CONS</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272">
        <f>+M11*H8</f>
        <v>1793.1006709615385</v>
      </c>
      <c r="B17" s="147" t="s">
        <v>100</v>
      </c>
      <c r="C17" s="64">
        <v>26</v>
      </c>
      <c r="D17" s="148" t="s">
        <v>302</v>
      </c>
      <c r="E17" s="148" t="s">
        <v>303</v>
      </c>
      <c r="F17" s="148" t="s">
        <v>64</v>
      </c>
      <c r="G17" s="64" t="s">
        <v>64</v>
      </c>
      <c r="H17" s="64" t="s">
        <v>64</v>
      </c>
      <c r="I17" s="148" t="s">
        <v>304</v>
      </c>
      <c r="J17" s="146" t="s">
        <v>305</v>
      </c>
      <c r="K17" s="145">
        <v>6729392899</v>
      </c>
      <c r="L17" s="66">
        <v>6312.68</v>
      </c>
      <c r="M17" s="65">
        <v>0.3</v>
      </c>
      <c r="N17" s="88">
        <f>L17*M17</f>
        <v>1893.8040000000001</v>
      </c>
      <c r="O17" s="89" t="str">
        <f>+IF(AND(H17="SI",G17="SI"),"CUMPLE","NO CUMPLE")</f>
        <v>CUMPLE</v>
      </c>
      <c r="P17" s="4"/>
      <c r="Q17" s="4"/>
      <c r="R17" s="135">
        <f>+N17/$A$17</f>
        <v>1.0561615589516566</v>
      </c>
      <c r="S17" s="4"/>
      <c r="T17" s="69"/>
      <c r="V17" s="39">
        <v>2021</v>
      </c>
      <c r="W17" s="40">
        <v>908526</v>
      </c>
    </row>
    <row r="18" spans="1:23" ht="133.9" customHeight="1">
      <c r="A18" s="272"/>
      <c r="B18" s="147" t="s">
        <v>105</v>
      </c>
      <c r="C18" s="64">
        <v>61</v>
      </c>
      <c r="D18" s="148" t="s">
        <v>306</v>
      </c>
      <c r="E18" s="148" t="s">
        <v>307</v>
      </c>
      <c r="F18" s="148" t="s">
        <v>64</v>
      </c>
      <c r="G18" s="64" t="s">
        <v>67</v>
      </c>
      <c r="H18" s="64" t="s">
        <v>64</v>
      </c>
      <c r="I18" s="148" t="s">
        <v>308</v>
      </c>
      <c r="J18" s="146" t="s">
        <v>309</v>
      </c>
      <c r="K18" s="145">
        <f>522500000+235125000</f>
        <v>757625000</v>
      </c>
      <c r="L18" s="66">
        <v>653.12</v>
      </c>
      <c r="M18" s="65">
        <v>0.5</v>
      </c>
      <c r="N18" s="88">
        <f>L18*M18</f>
        <v>326.56</v>
      </c>
      <c r="O18" s="89" t="str">
        <f>+IF(AND(H18="SI",G18="SI"),"CUMPLE","NO CUMPLE")</f>
        <v>NO CUMPLE</v>
      </c>
      <c r="P18" s="4"/>
      <c r="Q18" s="4"/>
      <c r="R18" s="135">
        <f t="shared" ref="R18:R19" si="1">+N18/$A$17</f>
        <v>0.18212028208370717</v>
      </c>
      <c r="S18" s="4"/>
      <c r="T18" s="69"/>
      <c r="V18" s="96"/>
      <c r="W18" s="97"/>
    </row>
    <row r="19" spans="1:23" ht="157.69999999999999" customHeight="1" thickBot="1">
      <c r="A19" s="272"/>
      <c r="B19" s="147" t="s">
        <v>109</v>
      </c>
      <c r="C19" s="64"/>
      <c r="D19" s="148"/>
      <c r="E19" s="148"/>
      <c r="F19" s="148"/>
      <c r="G19" s="64"/>
      <c r="H19" s="64"/>
      <c r="I19" s="148"/>
      <c r="J19" s="146"/>
      <c r="K19" s="145"/>
      <c r="L19" s="66"/>
      <c r="M19" s="65"/>
      <c r="N19" s="88">
        <f>L19*M19</f>
        <v>0</v>
      </c>
      <c r="O19" s="89" t="str">
        <f t="shared" ref="O19:O22" si="2">+IF(AND(H19="SI",G19="SI"),"CUMPLE","NO CUMPLE")</f>
        <v>NO CUMPLE</v>
      </c>
      <c r="P19" s="4"/>
      <c r="Q19" s="4"/>
      <c r="R19" s="135">
        <f t="shared" si="1"/>
        <v>0</v>
      </c>
      <c r="S19" s="4"/>
      <c r="T19" s="69"/>
      <c r="V19" s="38">
        <v>2020</v>
      </c>
      <c r="W19" s="41">
        <v>877803</v>
      </c>
    </row>
    <row r="20" spans="1:23" ht="42.95" customHeight="1" thickBot="1">
      <c r="A20" s="272"/>
      <c r="B20" s="147" t="s">
        <v>112</v>
      </c>
      <c r="C20" s="64"/>
      <c r="D20" s="148"/>
      <c r="E20" s="148"/>
      <c r="F20" s="64"/>
      <c r="G20" s="64"/>
      <c r="H20" s="64"/>
      <c r="I20" s="148"/>
      <c r="J20" s="146"/>
      <c r="K20" s="145"/>
      <c r="L20" s="66"/>
      <c r="M20" s="65"/>
      <c r="N20" s="88">
        <f t="shared" ref="N20:N22" si="3">IF(AND(G20="SI",H20="SI"),(L20*M20),0)</f>
        <v>0</v>
      </c>
      <c r="O20" s="89" t="str">
        <f t="shared" si="2"/>
        <v>NO CUMPLE</v>
      </c>
      <c r="P20" s="4"/>
      <c r="Q20" s="4"/>
      <c r="R20" s="37"/>
      <c r="S20" s="67"/>
      <c r="T20" s="69"/>
      <c r="V20" s="38">
        <v>2019</v>
      </c>
      <c r="W20" s="41">
        <v>828116</v>
      </c>
    </row>
    <row r="21" spans="1:23" ht="42.95" customHeight="1" thickBot="1">
      <c r="A21" s="272"/>
      <c r="B21" s="147" t="s">
        <v>113</v>
      </c>
      <c r="C21" s="64"/>
      <c r="D21" s="64"/>
      <c r="E21" s="64"/>
      <c r="F21" s="64"/>
      <c r="G21" s="64"/>
      <c r="H21" s="64"/>
      <c r="I21" s="64"/>
      <c r="J21" s="146"/>
      <c r="K21" s="64"/>
      <c r="L21" s="64"/>
      <c r="M21" s="65"/>
      <c r="N21" s="88">
        <f t="shared" si="3"/>
        <v>0</v>
      </c>
      <c r="O21" s="89" t="str">
        <f t="shared" si="2"/>
        <v>NO CUMPLE</v>
      </c>
      <c r="P21" s="4"/>
      <c r="Q21" s="4"/>
      <c r="R21" s="37"/>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3"/>
        <v>0</v>
      </c>
      <c r="O22" s="89" t="str">
        <f t="shared" si="2"/>
        <v>NO CUMPLE</v>
      </c>
      <c r="P22" s="4"/>
      <c r="Q22" s="4"/>
      <c r="R22" s="37"/>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f>
        <v>1893.8040000000001</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V25" s="2">
        <v>2007</v>
      </c>
      <c r="W25" s="2">
        <v>433700</v>
      </c>
    </row>
    <row r="26" spans="1:23" ht="211.9" customHeight="1">
      <c r="A26" s="268" t="s">
        <v>338</v>
      </c>
      <c r="B26" s="269"/>
      <c r="C26" s="269"/>
      <c r="D26" s="269"/>
      <c r="E26" s="269"/>
      <c r="F26" s="269"/>
      <c r="G26" s="269"/>
      <c r="H26" s="269"/>
      <c r="I26" s="269"/>
      <c r="J26" s="269"/>
      <c r="K26" s="269"/>
      <c r="L26" s="269"/>
      <c r="M26" s="269"/>
      <c r="N26" s="269"/>
      <c r="O26" s="270"/>
      <c r="T26" s="26"/>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c r="S27" s="36"/>
      <c r="T27" s="27"/>
      <c r="V27" s="2">
        <v>2022</v>
      </c>
      <c r="W27" s="2">
        <v>1000000</v>
      </c>
    </row>
    <row r="28" spans="1:23" ht="145.5" customHeight="1" thickBot="1">
      <c r="A28" s="276">
        <f>A17*50%</f>
        <v>896.55033548076926</v>
      </c>
      <c r="B28" s="147" t="s">
        <v>100</v>
      </c>
      <c r="C28" s="64">
        <v>61</v>
      </c>
      <c r="D28" s="148" t="s">
        <v>306</v>
      </c>
      <c r="E28" s="148" t="s">
        <v>307</v>
      </c>
      <c r="F28" s="148" t="s">
        <v>64</v>
      </c>
      <c r="G28" s="64" t="s">
        <v>67</v>
      </c>
      <c r="H28" s="64" t="s">
        <v>64</v>
      </c>
      <c r="I28" s="148" t="s">
        <v>308</v>
      </c>
      <c r="J28" s="146" t="s">
        <v>309</v>
      </c>
      <c r="K28" s="145">
        <f>522500000+235125000</f>
        <v>757625000</v>
      </c>
      <c r="L28" s="66">
        <v>653.12</v>
      </c>
      <c r="M28" s="65">
        <v>0.5</v>
      </c>
      <c r="N28" s="88">
        <f>L28*M28</f>
        <v>326.56</v>
      </c>
      <c r="O28" s="89" t="str">
        <f>+IF(AND(H28="SI",G28="SI"),"CUMPLE","NO CUMPLE")</f>
        <v>NO CUMPLE</v>
      </c>
      <c r="P28" s="4"/>
      <c r="Q28" s="4"/>
      <c r="R28" s="36"/>
      <c r="S28" s="36"/>
      <c r="T28" s="27"/>
    </row>
    <row r="29" spans="1:23" ht="143.44999999999999" customHeight="1" thickTop="1" thickBot="1">
      <c r="A29" s="277"/>
      <c r="B29" s="147" t="s">
        <v>105</v>
      </c>
      <c r="C29" s="64">
        <v>26</v>
      </c>
      <c r="D29" s="148" t="s">
        <v>302</v>
      </c>
      <c r="E29" s="148" t="s">
        <v>303</v>
      </c>
      <c r="F29" s="148" t="s">
        <v>64</v>
      </c>
      <c r="G29" s="64" t="s">
        <v>64</v>
      </c>
      <c r="H29" s="64" t="s">
        <v>64</v>
      </c>
      <c r="I29" s="148" t="s">
        <v>304</v>
      </c>
      <c r="J29" s="146" t="s">
        <v>305</v>
      </c>
      <c r="K29" s="145">
        <v>6729392899</v>
      </c>
      <c r="L29" s="66">
        <v>6312.68</v>
      </c>
      <c r="M29" s="65">
        <v>0.3</v>
      </c>
      <c r="N29" s="88">
        <f>L29*M29</f>
        <v>1893.8040000000001</v>
      </c>
      <c r="O29" s="89" t="str">
        <f>+IF(AND(H29="SI",G29="SI"),"CUMPLE","NO CUMPLE")</f>
        <v>CUMPLE</v>
      </c>
      <c r="P29" s="4"/>
      <c r="Q29" s="4"/>
      <c r="R29" s="37"/>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1893.8040000000001</v>
      </c>
      <c r="O31" s="54" t="str">
        <f>+IF(AND(O29="CUMPLE",O28="CUMPLE")*AND(N31&gt;=A28),"CUMPLE","NO CUMPLE")</f>
        <v>NO 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NO 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68</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68</v>
      </c>
      <c r="J60" s="323"/>
      <c r="K60" s="323"/>
      <c r="L60" s="324"/>
      <c r="M60" s="308">
        <f>+O56+O54+O52+M50+M44+O58</f>
        <v>40.5</v>
      </c>
      <c r="N60" s="309"/>
      <c r="O60" s="310"/>
      <c r="P60" s="9"/>
      <c r="Q60" s="8"/>
      <c r="R60" s="308"/>
      <c r="S60" s="309"/>
      <c r="T60" s="310"/>
      <c r="V60" s="38">
        <v>1994</v>
      </c>
      <c r="W60" s="41">
        <v>98700</v>
      </c>
    </row>
    <row r="61" spans="1:23" ht="15" customHeight="1">
      <c r="A61" s="311" t="s">
        <v>345</v>
      </c>
      <c r="B61" s="312"/>
      <c r="C61" s="312"/>
      <c r="D61" s="312"/>
      <c r="E61" s="312"/>
      <c r="F61" s="312"/>
      <c r="G61" s="312"/>
      <c r="H61" s="312"/>
      <c r="I61" s="312"/>
      <c r="J61" s="312"/>
      <c r="K61" s="312"/>
      <c r="L61" s="312"/>
      <c r="M61" s="312"/>
      <c r="N61" s="312"/>
      <c r="O61" s="313"/>
      <c r="P61" s="9"/>
      <c r="Q61" s="8"/>
      <c r="V61" s="38">
        <v>1993</v>
      </c>
      <c r="W61" s="41">
        <v>81510</v>
      </c>
    </row>
    <row r="62" spans="1:23" ht="30.95" customHeight="1" thickBo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thickBot="1">
      <c r="A63" s="317"/>
      <c r="B63" s="318"/>
      <c r="C63" s="318"/>
      <c r="D63" s="318"/>
      <c r="E63" s="318"/>
      <c r="F63" s="318"/>
      <c r="G63" s="318"/>
      <c r="H63" s="318"/>
      <c r="I63" s="318"/>
      <c r="J63" s="318"/>
      <c r="K63" s="318"/>
      <c r="L63" s="318"/>
      <c r="M63" s="318"/>
      <c r="N63" s="318"/>
      <c r="O63" s="319"/>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111" priority="19" operator="equal">
      <formula>"NO CUMPLE"</formula>
    </cfRule>
    <cfRule type="cellIs" dxfId="110" priority="20" operator="equal">
      <formula>"CUMPLE"</formula>
    </cfRule>
    <cfRule type="cellIs" dxfId="109" priority="21" operator="equal">
      <formula>100</formula>
    </cfRule>
  </conditionalFormatting>
  <conditionalFormatting sqref="I60:L60">
    <cfRule type="cellIs" dxfId="108" priority="28" operator="equal">
      <formula>"NO CUMPLE"</formula>
    </cfRule>
    <cfRule type="cellIs" dxfId="107" priority="29" operator="equal">
      <formula>"CUMPLE"</formula>
    </cfRule>
  </conditionalFormatting>
  <conditionalFormatting sqref="I60:O60">
    <cfRule type="cellIs" dxfId="106" priority="6" operator="equal">
      <formula>100</formula>
    </cfRule>
  </conditionalFormatting>
  <conditionalFormatting sqref="M60:O60">
    <cfRule type="cellIs" dxfId="105" priority="5" operator="lessThan">
      <formula>100</formula>
    </cfRule>
  </conditionalFormatting>
  <conditionalFormatting sqref="O17:O22">
    <cfRule type="containsText" dxfId="104" priority="4" operator="containsText" text="NO CUMPLE">
      <formula>NOT(ISERROR(SEARCH("NO CUMPLE",O17)))</formula>
    </cfRule>
  </conditionalFormatting>
  <conditionalFormatting sqref="O23">
    <cfRule type="cellIs" dxfId="103" priority="25" operator="equal">
      <formula>"NO CUMPLE"</formula>
    </cfRule>
    <cfRule type="cellIs" dxfId="102" priority="26" operator="equal">
      <formula>"CUMPLE"</formula>
    </cfRule>
    <cfRule type="cellIs" dxfId="101" priority="27" operator="equal">
      <formula>100</formula>
    </cfRule>
  </conditionalFormatting>
  <conditionalFormatting sqref="O36:O38">
    <cfRule type="cellIs" dxfId="100" priority="22" operator="equal">
      <formula>"NO CUMPLE"</formula>
    </cfRule>
    <cfRule type="cellIs" dxfId="99" priority="23" operator="equal">
      <formula>"CUMPLE"</formula>
    </cfRule>
    <cfRule type="cellIs" dxfId="98" priority="24" operator="equal">
      <formula>100</formula>
    </cfRule>
  </conditionalFormatting>
  <conditionalFormatting sqref="O46">
    <cfRule type="cellIs" dxfId="97" priority="10" operator="equal">
      <formula>"NO CUMPLE"</formula>
    </cfRule>
    <cfRule type="cellIs" dxfId="96" priority="11" operator="equal">
      <formula>"CUMPLE"</formula>
    </cfRule>
    <cfRule type="cellIs" dxfId="95" priority="12" operator="equal">
      <formula>100</formula>
    </cfRule>
  </conditionalFormatting>
  <conditionalFormatting sqref="O31:P34">
    <cfRule type="cellIs" dxfId="94" priority="1" operator="equal">
      <formula>"NO CUMPLE"</formula>
    </cfRule>
    <cfRule type="cellIs" dxfId="93" priority="2" operator="equal">
      <formula>"CUMPLE"</formula>
    </cfRule>
    <cfRule type="cellIs" dxfId="92" priority="3" operator="equal">
      <formula>100</formula>
    </cfRule>
  </conditionalFormatting>
  <conditionalFormatting sqref="P24">
    <cfRule type="cellIs" dxfId="91" priority="68" operator="equal">
      <formula>"NO CUMPLE"</formula>
    </cfRule>
    <cfRule type="cellIs" dxfId="90" priority="69" operator="equal">
      <formula>"CUMPLE"</formula>
    </cfRule>
    <cfRule type="cellIs" dxfId="89" priority="70" operator="equal">
      <formula>100</formula>
    </cfRule>
  </conditionalFormatting>
  <conditionalFormatting sqref="P36:P46">
    <cfRule type="cellIs" dxfId="88" priority="44" operator="equal">
      <formula>"NO CUMPLE"</formula>
    </cfRule>
    <cfRule type="cellIs" dxfId="87" priority="45" operator="equal">
      <formula>"CUMPLE"</formula>
    </cfRule>
    <cfRule type="cellIs" dxfId="86" priority="46" operator="equal">
      <formula>100</formula>
    </cfRule>
  </conditionalFormatting>
  <conditionalFormatting sqref="R60:T60">
    <cfRule type="cellIs" dxfId="85" priority="42" operator="lessThan">
      <formula>100</formula>
    </cfRule>
    <cfRule type="cellIs" dxfId="84" priority="43" operator="equal">
      <formula>100</formula>
    </cfRule>
  </conditionalFormatting>
  <dataValidations count="7">
    <dataValidation type="list" allowBlank="1" showInputMessage="1" showErrorMessage="1" sqref="M37:O37" xr:uid="{51BB4F81-7C3A-4B9C-B2FB-94A9DB4487B1}">
      <formula1>$U$1:$U$2</formula1>
    </dataValidation>
    <dataValidation type="list" allowBlank="1" showInputMessage="1" showErrorMessage="1" sqref="G22:H22" xr:uid="{2F8343AF-7B63-4128-8D46-4D2FCA50DB51}">
      <formula1>$Q$2:$Q$3</formula1>
    </dataValidation>
    <dataValidation type="list" allowBlank="1" showInputMessage="1" showErrorMessage="1" sqref="O36:O38" xr:uid="{03CE0CBB-65B2-457C-82B0-02B4A0904C90}">
      <formula1>$R$4:$R$5</formula1>
    </dataValidation>
    <dataValidation type="list" allowBlank="1" showInputMessage="1" showErrorMessage="1" error="SELECCIONE EL PRESUPUESTO A EVALUAR, EN LA LISTA DESPEGABLE._x000a_" sqref="I11:I12 J12:K12" xr:uid="{58020B30-7A98-4411-87BC-FFFD458D1E90}">
      <formula1>$A$75:$A$82</formula1>
    </dataValidation>
    <dataValidation type="list" allowBlank="1" showInputMessage="1" showErrorMessage="1" sqref="A3" xr:uid="{F287EA39-C6C2-4A08-AB20-33319492665F}">
      <formula1>$C$75:$C$82</formula1>
    </dataValidation>
    <dataValidation type="list" allowBlank="1" showInputMessage="1" showErrorMessage="1" sqref="V1:V2" xr:uid="{6FB80507-89C4-4726-ACA0-4A9E5F21D77F}">
      <formula1>$V$1:$V$2</formula1>
    </dataValidation>
    <dataValidation type="list" allowBlank="1" showInputMessage="1" showErrorMessage="1" sqref="J60:L60 I59:I60 O46" xr:uid="{16AD17E9-254F-49F4-8C29-32144FAC43BD}">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B4989-05FA-4C89-8BFF-6748E3CCC885}">
  <dimension ref="A1:W94"/>
  <sheetViews>
    <sheetView view="pageBreakPreview" topLeftCell="A52" zoomScale="25" zoomScaleNormal="63" zoomScaleSheetLayoutView="25" workbookViewId="0">
      <selection activeCell="A28" sqref="A28:A29"/>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16</v>
      </c>
      <c r="B4" s="233" t="str">
        <f>_xlfn.XLOOKUP(A4,RESUMEN!$A$3:$A$19,RESUMEN!$C$3:$C$19)</f>
        <v>CONSORCIO INFRAESTRUCTURA DBC</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244" t="s">
        <v>310</v>
      </c>
      <c r="J5" s="244"/>
      <c r="K5" s="244"/>
      <c r="L5" s="244"/>
      <c r="M5" s="244"/>
      <c r="N5" s="245"/>
      <c r="O5" s="11">
        <v>0.8</v>
      </c>
      <c r="P5" s="2" t="str">
        <f>+I7</f>
        <v>BIOCONSTRUYE S.A.S.      NIT. 901.443.277-2</v>
      </c>
      <c r="R5" s="2">
        <v>0</v>
      </c>
    </row>
    <row r="6" spans="1:23" ht="20.25" customHeight="1">
      <c r="A6" s="232"/>
      <c r="B6" s="236"/>
      <c r="C6" s="237"/>
      <c r="D6" s="237"/>
      <c r="E6" s="238"/>
      <c r="F6" s="236"/>
      <c r="G6" s="237"/>
      <c r="H6" s="238"/>
      <c r="I6" s="244" t="s">
        <v>311</v>
      </c>
      <c r="J6" s="244"/>
      <c r="K6" s="244"/>
      <c r="L6" s="244"/>
      <c r="M6" s="244"/>
      <c r="N6" s="245"/>
      <c r="O6" s="11">
        <v>0.1</v>
      </c>
      <c r="P6" s="2" t="str">
        <f t="shared" ref="P6:P9" si="0">+I6</f>
        <v>CONVEG S.A.S.       NIT. 901.519.494-2</v>
      </c>
    </row>
    <row r="7" spans="1:23" ht="35.450000000000003" customHeight="1">
      <c r="A7" s="232"/>
      <c r="B7" s="236"/>
      <c r="C7" s="237"/>
      <c r="D7" s="237"/>
      <c r="E7" s="238"/>
      <c r="F7" s="239"/>
      <c r="G7" s="240"/>
      <c r="H7" s="241"/>
      <c r="I7" s="245" t="s">
        <v>312</v>
      </c>
      <c r="J7" s="246"/>
      <c r="K7" s="246"/>
      <c r="L7" s="246"/>
      <c r="M7" s="246"/>
      <c r="N7" s="246"/>
      <c r="O7" s="11">
        <v>0.1</v>
      </c>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f>M11*0.3</f>
        <v>717.24026838461532</v>
      </c>
      <c r="S16" s="36" t="s">
        <v>214</v>
      </c>
      <c r="T16" s="27"/>
      <c r="U16" s="271"/>
      <c r="V16" s="2">
        <v>2022</v>
      </c>
      <c r="W16" s="2">
        <v>1000000</v>
      </c>
    </row>
    <row r="17" spans="1:23" ht="166.5" customHeight="1">
      <c r="A17" s="272">
        <f>+M11*H8</f>
        <v>1793.1006709615385</v>
      </c>
      <c r="B17" s="147" t="s">
        <v>100</v>
      </c>
      <c r="C17" s="64">
        <v>59</v>
      </c>
      <c r="D17" s="148" t="s">
        <v>101</v>
      </c>
      <c r="E17" s="148" t="s">
        <v>313</v>
      </c>
      <c r="F17" s="148" t="s">
        <v>64</v>
      </c>
      <c r="G17" s="64" t="s">
        <v>64</v>
      </c>
      <c r="H17" s="64" t="s">
        <v>64</v>
      </c>
      <c r="I17" s="148" t="s">
        <v>314</v>
      </c>
      <c r="J17" s="146" t="s">
        <v>309</v>
      </c>
      <c r="K17" s="145"/>
      <c r="L17" s="66">
        <v>653.12</v>
      </c>
      <c r="M17" s="65">
        <v>0.5</v>
      </c>
      <c r="N17" s="88">
        <f>L17*M17</f>
        <v>326.56</v>
      </c>
      <c r="O17" s="89" t="str">
        <f>+IF(AND(H17="SI",G17="SI"),"CUMPLE","NO CUMPLE")</f>
        <v>CUMPLE</v>
      </c>
      <c r="P17" s="4"/>
      <c r="Q17" s="4"/>
      <c r="R17" s="37" t="str">
        <f>+IF(OR(O17="CUMPLE")*AND(N17&gt;=$R$16),"CUMPLE","NO CUMPLE")</f>
        <v>NO CUMPLE</v>
      </c>
      <c r="S17" s="4">
        <f>+K21/W16</f>
        <v>0</v>
      </c>
      <c r="T17" s="69"/>
      <c r="V17" s="39">
        <v>2021</v>
      </c>
      <c r="W17" s="40">
        <v>908526</v>
      </c>
    </row>
    <row r="18" spans="1:23" ht="166.5" customHeight="1">
      <c r="A18" s="272"/>
      <c r="B18" s="147" t="s">
        <v>105</v>
      </c>
      <c r="C18" s="64">
        <v>114</v>
      </c>
      <c r="D18" s="148" t="s">
        <v>315</v>
      </c>
      <c r="E18" s="148" t="s">
        <v>316</v>
      </c>
      <c r="F18" s="148" t="s">
        <v>64</v>
      </c>
      <c r="G18" s="64" t="s">
        <v>64</v>
      </c>
      <c r="H18" s="64" t="s">
        <v>64</v>
      </c>
      <c r="I18" s="148" t="s">
        <v>317</v>
      </c>
      <c r="J18" s="146" t="s">
        <v>305</v>
      </c>
      <c r="K18" s="145"/>
      <c r="L18" s="66">
        <v>6312.68</v>
      </c>
      <c r="M18" s="65">
        <v>0.7</v>
      </c>
      <c r="N18" s="88">
        <f>L18*M18</f>
        <v>4418.8760000000002</v>
      </c>
      <c r="O18" s="89" t="str">
        <f>+IF(AND(H18="SI",G18="SI"),"CUMPLE","NO CUMPLE")</f>
        <v>CUMPLE</v>
      </c>
      <c r="P18" s="4"/>
      <c r="Q18" s="4"/>
      <c r="R18" s="37"/>
      <c r="S18" s="4"/>
      <c r="T18" s="69"/>
      <c r="V18" s="96"/>
      <c r="W18" s="97"/>
    </row>
    <row r="19" spans="1:23" ht="157.69999999999999" customHeight="1" thickBot="1">
      <c r="A19" s="272"/>
      <c r="B19" s="147" t="s">
        <v>109</v>
      </c>
      <c r="C19" s="64"/>
      <c r="D19" s="148"/>
      <c r="E19" s="148"/>
      <c r="F19" s="148"/>
      <c r="G19" s="64"/>
      <c r="H19" s="64"/>
      <c r="I19" s="148"/>
      <c r="J19" s="146"/>
      <c r="K19" s="145"/>
      <c r="L19" s="66"/>
      <c r="M19" s="65"/>
      <c r="N19" s="88">
        <f>L19*M19</f>
        <v>0</v>
      </c>
      <c r="O19" s="89" t="str">
        <f t="shared" ref="O19:O22" si="1">+IF(AND(H19="SI",G19="SI"),"CUMPLE","NO CUMPLE")</f>
        <v>NO CUMPLE</v>
      </c>
      <c r="P19" s="4"/>
      <c r="Q19" s="4"/>
      <c r="R19" s="37" t="str">
        <f>+IF(OR(O19="CUMPLE")*AND(N19&gt;=$R$16),"CUMPLE","NO CUMPLE")</f>
        <v>NO CUMPLE</v>
      </c>
      <c r="S19" s="4" t="e">
        <f>+#REF!/W34</f>
        <v>#REF!</v>
      </c>
      <c r="T19" s="69" t="s">
        <v>163</v>
      </c>
      <c r="V19" s="38">
        <v>2020</v>
      </c>
      <c r="W19" s="41">
        <v>877803</v>
      </c>
    </row>
    <row r="20" spans="1:23" ht="42.95" customHeight="1" thickBot="1">
      <c r="A20" s="272"/>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37" t="str">
        <f t="shared" ref="R20:R22" si="3">+IF(OR(O20="CUMPLE")*AND(N20&gt;=$R$16),"CUMPLE","NO CUMPLE")</f>
        <v>NO CUMPLE</v>
      </c>
      <c r="S20" s="67"/>
      <c r="T20" s="69" t="s">
        <v>163</v>
      </c>
      <c r="V20" s="38">
        <v>2019</v>
      </c>
      <c r="W20" s="41">
        <v>828116</v>
      </c>
    </row>
    <row r="21" spans="1:23" ht="42.95" customHeight="1" thickBot="1">
      <c r="A21" s="272"/>
      <c r="B21" s="147" t="s">
        <v>113</v>
      </c>
      <c r="C21" s="64"/>
      <c r="D21" s="64"/>
      <c r="E21" s="64"/>
      <c r="F21" s="64"/>
      <c r="G21" s="64"/>
      <c r="H21" s="64"/>
      <c r="I21" s="64"/>
      <c r="J21" s="146"/>
      <c r="K21" s="64"/>
      <c r="L21" s="64"/>
      <c r="M21" s="65"/>
      <c r="N21" s="88">
        <f t="shared" si="2"/>
        <v>0</v>
      </c>
      <c r="O21" s="89" t="str">
        <f t="shared" si="1"/>
        <v>NO CUMPLE</v>
      </c>
      <c r="P21" s="4"/>
      <c r="Q21" s="4"/>
      <c r="R21" s="37" t="str">
        <f t="shared" si="3"/>
        <v>NO CUMPLE</v>
      </c>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2"/>
        <v>0</v>
      </c>
      <c r="O22" s="89" t="str">
        <f t="shared" si="1"/>
        <v>NO CUMPLE</v>
      </c>
      <c r="P22" s="4"/>
      <c r="Q22" s="4"/>
      <c r="R22" s="37" t="str">
        <f t="shared" si="3"/>
        <v>NO CUMPLE</v>
      </c>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4745.4360000000006</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T25" s="2">
        <f>1949500000+6451200000</f>
        <v>8400700000</v>
      </c>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17432.856813465529</v>
      </c>
      <c r="T26" s="26">
        <f>+T25/W25</f>
        <v>19369.840903850589</v>
      </c>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68" customHeight="1" thickBot="1">
      <c r="A28" s="276">
        <f>A17*50%</f>
        <v>896.55033548076926</v>
      </c>
      <c r="B28" s="147" t="s">
        <v>100</v>
      </c>
      <c r="C28" s="64">
        <v>59</v>
      </c>
      <c r="D28" s="148" t="s">
        <v>101</v>
      </c>
      <c r="E28" s="148" t="s">
        <v>313</v>
      </c>
      <c r="F28" s="148" t="s">
        <v>64</v>
      </c>
      <c r="G28" s="64" t="s">
        <v>64</v>
      </c>
      <c r="H28" s="64" t="s">
        <v>64</v>
      </c>
      <c r="I28" s="148" t="s">
        <v>314</v>
      </c>
      <c r="J28" s="146" t="s">
        <v>309</v>
      </c>
      <c r="K28" s="145"/>
      <c r="L28" s="66">
        <v>653.12</v>
      </c>
      <c r="M28" s="65">
        <v>0.5</v>
      </c>
      <c r="N28" s="88">
        <f>L28*M28</f>
        <v>326.56</v>
      </c>
      <c r="O28" s="89" t="str">
        <f>+IF(AND(H28="SI",G28="SI"),"CUMPLE","NO CUMPLE")</f>
        <v>CUMPLE</v>
      </c>
      <c r="P28" s="4"/>
      <c r="Q28" s="4"/>
      <c r="R28" s="36"/>
      <c r="S28" s="36"/>
      <c r="T28" s="27"/>
    </row>
    <row r="29" spans="1:23" ht="143.44999999999999" customHeight="1" thickTop="1" thickBot="1">
      <c r="A29" s="277"/>
      <c r="B29" s="147" t="s">
        <v>105</v>
      </c>
      <c r="C29" s="64">
        <v>114</v>
      </c>
      <c r="D29" s="148" t="s">
        <v>315</v>
      </c>
      <c r="E29" s="148" t="s">
        <v>316</v>
      </c>
      <c r="F29" s="148" t="s">
        <v>64</v>
      </c>
      <c r="G29" s="64" t="s">
        <v>64</v>
      </c>
      <c r="H29" s="64" t="s">
        <v>64</v>
      </c>
      <c r="I29" s="148" t="s">
        <v>317</v>
      </c>
      <c r="J29" s="146" t="s">
        <v>305</v>
      </c>
      <c r="K29" s="145"/>
      <c r="L29" s="66">
        <v>6312.68</v>
      </c>
      <c r="M29" s="65">
        <v>0.7</v>
      </c>
      <c r="N29" s="88">
        <f>L29*M29</f>
        <v>4418.8760000000002</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4418.8760000000002</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69" t="s">
        <v>344</v>
      </c>
      <c r="B61" s="312"/>
      <c r="C61" s="312"/>
      <c r="D61" s="312"/>
      <c r="E61" s="312"/>
      <c r="F61" s="312"/>
      <c r="G61" s="312"/>
      <c r="H61" s="312"/>
      <c r="I61" s="312"/>
      <c r="J61" s="312"/>
      <c r="K61" s="312"/>
      <c r="L61" s="312"/>
      <c r="M61" s="312"/>
      <c r="N61" s="312"/>
      <c r="O61" s="313"/>
      <c r="P61" s="9"/>
      <c r="Q61" s="8"/>
      <c r="V61" s="38">
        <v>1993</v>
      </c>
      <c r="W61" s="41">
        <v>81510</v>
      </c>
    </row>
    <row r="62" spans="1:23" ht="30.95" customHeight="1" thickBo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thickBot="1">
      <c r="A63" s="317"/>
      <c r="B63" s="318"/>
      <c r="C63" s="318"/>
      <c r="D63" s="318"/>
      <c r="E63" s="318"/>
      <c r="F63" s="318"/>
      <c r="G63" s="318"/>
      <c r="H63" s="318"/>
      <c r="I63" s="318"/>
      <c r="J63" s="318"/>
      <c r="K63" s="318"/>
      <c r="L63" s="318"/>
      <c r="M63" s="318"/>
      <c r="N63" s="318"/>
      <c r="O63" s="319"/>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83" priority="19" operator="equal">
      <formula>"NO CUMPLE"</formula>
    </cfRule>
    <cfRule type="cellIs" dxfId="82" priority="20" operator="equal">
      <formula>"CUMPLE"</formula>
    </cfRule>
    <cfRule type="cellIs" dxfId="81" priority="21" operator="equal">
      <formula>100</formula>
    </cfRule>
  </conditionalFormatting>
  <conditionalFormatting sqref="I60:L60">
    <cfRule type="cellIs" dxfId="80" priority="28" operator="equal">
      <formula>"NO CUMPLE"</formula>
    </cfRule>
    <cfRule type="cellIs" dxfId="79" priority="29" operator="equal">
      <formula>"CUMPLE"</formula>
    </cfRule>
  </conditionalFormatting>
  <conditionalFormatting sqref="I60:O60">
    <cfRule type="cellIs" dxfId="78" priority="6" operator="equal">
      <formula>100</formula>
    </cfRule>
  </conditionalFormatting>
  <conditionalFormatting sqref="M60:O60">
    <cfRule type="cellIs" dxfId="77" priority="5" operator="lessThan">
      <formula>100</formula>
    </cfRule>
  </conditionalFormatting>
  <conditionalFormatting sqref="O17:O22">
    <cfRule type="containsText" dxfId="76" priority="4" operator="containsText" text="NO CUMPLE">
      <formula>NOT(ISERROR(SEARCH("NO CUMPLE",O17)))</formula>
    </cfRule>
  </conditionalFormatting>
  <conditionalFormatting sqref="O23">
    <cfRule type="cellIs" dxfId="75" priority="25" operator="equal">
      <formula>"NO CUMPLE"</formula>
    </cfRule>
    <cfRule type="cellIs" dxfId="74" priority="26" operator="equal">
      <formula>"CUMPLE"</formula>
    </cfRule>
    <cfRule type="cellIs" dxfId="73" priority="27" operator="equal">
      <formula>100</formula>
    </cfRule>
  </conditionalFormatting>
  <conditionalFormatting sqref="O36:O38">
    <cfRule type="cellIs" dxfId="72" priority="22" operator="equal">
      <formula>"NO CUMPLE"</formula>
    </cfRule>
    <cfRule type="cellIs" dxfId="71" priority="23" operator="equal">
      <formula>"CUMPLE"</formula>
    </cfRule>
    <cfRule type="cellIs" dxfId="70" priority="24" operator="equal">
      <formula>100</formula>
    </cfRule>
  </conditionalFormatting>
  <conditionalFormatting sqref="O46">
    <cfRule type="cellIs" dxfId="69" priority="10" operator="equal">
      <formula>"NO CUMPLE"</formula>
    </cfRule>
    <cfRule type="cellIs" dxfId="68" priority="11" operator="equal">
      <formula>"CUMPLE"</formula>
    </cfRule>
    <cfRule type="cellIs" dxfId="67" priority="12" operator="equal">
      <formula>100</formula>
    </cfRule>
  </conditionalFormatting>
  <conditionalFormatting sqref="O31:P34">
    <cfRule type="cellIs" dxfId="66" priority="1" operator="equal">
      <formula>"NO CUMPLE"</formula>
    </cfRule>
    <cfRule type="cellIs" dxfId="65" priority="2" operator="equal">
      <formula>"CUMPLE"</formula>
    </cfRule>
    <cfRule type="cellIs" dxfId="64" priority="3" operator="equal">
      <formula>100</formula>
    </cfRule>
  </conditionalFormatting>
  <conditionalFormatting sqref="P24">
    <cfRule type="cellIs" dxfId="63" priority="68" operator="equal">
      <formula>"NO CUMPLE"</formula>
    </cfRule>
    <cfRule type="cellIs" dxfId="62" priority="69" operator="equal">
      <formula>"CUMPLE"</formula>
    </cfRule>
    <cfRule type="cellIs" dxfId="61" priority="70" operator="equal">
      <formula>100</formula>
    </cfRule>
  </conditionalFormatting>
  <conditionalFormatting sqref="P36:P46">
    <cfRule type="cellIs" dxfId="60" priority="44" operator="equal">
      <formula>"NO CUMPLE"</formula>
    </cfRule>
    <cfRule type="cellIs" dxfId="59" priority="45" operator="equal">
      <formula>"CUMPLE"</formula>
    </cfRule>
    <cfRule type="cellIs" dxfId="58" priority="46" operator="equal">
      <formula>100</formula>
    </cfRule>
  </conditionalFormatting>
  <conditionalFormatting sqref="R60:T60">
    <cfRule type="cellIs" dxfId="57" priority="42" operator="lessThan">
      <formula>100</formula>
    </cfRule>
    <cfRule type="cellIs" dxfId="56" priority="43" operator="equal">
      <formula>100</formula>
    </cfRule>
  </conditionalFormatting>
  <dataValidations count="7">
    <dataValidation type="list" allowBlank="1" showInputMessage="1" showErrorMessage="1" sqref="J60:L60 I59:I60 O46" xr:uid="{CA0DC87A-536E-49D9-885F-6D83129AB3E0}">
      <formula1>$R$2:$R$3</formula1>
    </dataValidation>
    <dataValidation type="list" allowBlank="1" showInputMessage="1" showErrorMessage="1" sqref="V1:V2" xr:uid="{0C68165E-FD9E-486A-A521-364245B9E7D1}">
      <formula1>$V$1:$V$2</formula1>
    </dataValidation>
    <dataValidation type="list" allowBlank="1" showInputMessage="1" showErrorMessage="1" sqref="A3" xr:uid="{D4A69BF1-D1DD-4997-A551-2ECDC8ACAD6B}">
      <formula1>$C$75:$C$82</formula1>
    </dataValidation>
    <dataValidation type="list" allowBlank="1" showInputMessage="1" showErrorMessage="1" error="SELECCIONE EL PRESUPUESTO A EVALUAR, EN LA LISTA DESPEGABLE._x000a_" sqref="I11:I12 J12:K12" xr:uid="{17523D49-1B22-41F7-83FC-40E3E541F43F}">
      <formula1>$A$75:$A$82</formula1>
    </dataValidation>
    <dataValidation type="list" allowBlank="1" showInputMessage="1" showErrorMessage="1" sqref="O36:O38" xr:uid="{4F88BBB8-B84F-47B7-9B41-DFD28D48D94B}">
      <formula1>$R$4:$R$5</formula1>
    </dataValidation>
    <dataValidation type="list" allowBlank="1" showInputMessage="1" showErrorMessage="1" sqref="G22:H22" xr:uid="{ACD17A8D-E949-4525-97C8-39B19869F2AB}">
      <formula1>$Q$2:$Q$3</formula1>
    </dataValidation>
    <dataValidation type="list" allowBlank="1" showInputMessage="1" showErrorMessage="1" sqref="M37:O37" xr:uid="{EA981512-28A7-4AD4-BA0C-B61E542F4239}">
      <formula1>$U$1:$U$2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5644A-DB30-46F7-86D6-FFC5455FABED}">
  <sheetPr>
    <tabColor rgb="FFFF0000"/>
  </sheetPr>
  <dimension ref="A1:W94"/>
  <sheetViews>
    <sheetView view="pageBreakPreview" topLeftCell="A58" zoomScale="55" zoomScaleNormal="63" zoomScaleSheetLayoutView="55" workbookViewId="0">
      <selection activeCell="F72" sqref="F72"/>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4" width="20" style="2" customWidth="1"/>
    <col min="5" max="5" width="34.28515625" style="2" customWidth="1"/>
    <col min="6" max="6" width="20.1406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17</v>
      </c>
      <c r="B4" s="233" t="str">
        <f>_xlfn.XLOOKUP(A4,RESUMEN!$A$3:$A$19,RESUMEN!$C$3:$C$19)</f>
        <v>CONSORCIO ECO OBRAS COINCO</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77" t="s">
        <v>318</v>
      </c>
      <c r="J5" s="377"/>
      <c r="K5" s="377"/>
      <c r="L5" s="377"/>
      <c r="M5" s="377"/>
      <c r="N5" s="378"/>
      <c r="O5" s="11">
        <v>0.9</v>
      </c>
      <c r="P5" s="2">
        <f>+I7</f>
        <v>0</v>
      </c>
      <c r="R5" s="2">
        <v>0</v>
      </c>
    </row>
    <row r="6" spans="1:23" ht="20.25" customHeight="1">
      <c r="A6" s="232"/>
      <c r="B6" s="236"/>
      <c r="C6" s="237"/>
      <c r="D6" s="237"/>
      <c r="E6" s="238"/>
      <c r="F6" s="236"/>
      <c r="G6" s="237"/>
      <c r="H6" s="238"/>
      <c r="I6" s="244" t="s">
        <v>319</v>
      </c>
      <c r="J6" s="244"/>
      <c r="K6" s="244"/>
      <c r="L6" s="244"/>
      <c r="M6" s="244"/>
      <c r="N6" s="245"/>
      <c r="O6" s="11">
        <v>0.1</v>
      </c>
      <c r="P6" s="2" t="str">
        <f t="shared" ref="P6:P9" si="0">+I6</f>
        <v>ECO OBRAS DE COLOMBIA S.A.S - NIT: 900811995-8</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1</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379">
        <f>+M11*H9</f>
        <v>2868.9610735384613</v>
      </c>
      <c r="B17" s="147" t="s">
        <v>100</v>
      </c>
      <c r="C17" s="148" t="s">
        <v>320</v>
      </c>
      <c r="D17" s="148" t="s">
        <v>321</v>
      </c>
      <c r="E17" s="148" t="s">
        <v>322</v>
      </c>
      <c r="F17" s="148" t="s">
        <v>64</v>
      </c>
      <c r="G17" s="64" t="s">
        <v>64</v>
      </c>
      <c r="H17" s="64" t="s">
        <v>64</v>
      </c>
      <c r="I17" s="148" t="s">
        <v>323</v>
      </c>
      <c r="J17" s="146">
        <v>44844</v>
      </c>
      <c r="K17" s="145">
        <f>L17*W16</f>
        <v>3753250000</v>
      </c>
      <c r="L17" s="66">
        <v>3753.25</v>
      </c>
      <c r="M17" s="65">
        <v>0.8</v>
      </c>
      <c r="N17" s="88">
        <f>L17*M17</f>
        <v>3002.6000000000004</v>
      </c>
      <c r="O17" s="89" t="str">
        <f>+IF(AND(H17="SI",G17="SI"),"CUMPLE","NO CUMPLE")</f>
        <v>CUMPLE</v>
      </c>
      <c r="P17" s="4"/>
      <c r="Q17" s="4"/>
      <c r="R17" s="135">
        <f>+(N17+N18)/A17</f>
        <v>1.2144640204904094</v>
      </c>
      <c r="S17" s="4"/>
      <c r="T17" s="69"/>
      <c r="V17" s="39">
        <v>2021</v>
      </c>
      <c r="W17" s="40">
        <v>908526</v>
      </c>
    </row>
    <row r="18" spans="1:23" ht="133.9" customHeight="1">
      <c r="A18" s="379"/>
      <c r="B18" s="147" t="s">
        <v>105</v>
      </c>
      <c r="C18" s="148" t="s">
        <v>324</v>
      </c>
      <c r="D18" s="175" t="s">
        <v>325</v>
      </c>
      <c r="E18" s="148" t="s">
        <v>326</v>
      </c>
      <c r="F18" s="148" t="s">
        <v>64</v>
      </c>
      <c r="G18" s="64" t="s">
        <v>64</v>
      </c>
      <c r="H18" s="64" t="s">
        <v>64</v>
      </c>
      <c r="I18" s="148" t="s">
        <v>327</v>
      </c>
      <c r="J18" s="146">
        <v>43721</v>
      </c>
      <c r="K18" s="145">
        <f>$W$20*$L$18</f>
        <v>398862071.39999998</v>
      </c>
      <c r="L18" s="66">
        <v>481.65</v>
      </c>
      <c r="M18" s="65">
        <v>1</v>
      </c>
      <c r="N18" s="88">
        <f>L18*M18</f>
        <v>481.65</v>
      </c>
      <c r="O18" s="89" t="str">
        <f>+IF(AND(H18="SI",G18="SI"),"CUMPLE","NO CUMPLE")</f>
        <v>CUMPLE</v>
      </c>
      <c r="P18" s="4"/>
      <c r="Q18" s="4"/>
      <c r="R18" s="37"/>
      <c r="S18" s="4"/>
      <c r="T18" s="69"/>
      <c r="V18" s="96"/>
      <c r="W18" s="97"/>
    </row>
    <row r="19" spans="1:23" ht="157.69999999999999" customHeight="1">
      <c r="A19" s="379"/>
      <c r="B19" s="147" t="s">
        <v>109</v>
      </c>
      <c r="C19" s="148" t="s">
        <v>328</v>
      </c>
      <c r="D19" s="175" t="s">
        <v>325</v>
      </c>
      <c r="E19" s="148" t="s">
        <v>329</v>
      </c>
      <c r="F19" s="148" t="s">
        <v>64</v>
      </c>
      <c r="G19" s="64" t="s">
        <v>64</v>
      </c>
      <c r="H19" s="64" t="s">
        <v>64</v>
      </c>
      <c r="I19" s="148" t="s">
        <v>327</v>
      </c>
      <c r="J19" s="146">
        <v>43784</v>
      </c>
      <c r="K19" s="145">
        <f>$W$20*$L$19</f>
        <v>118337776.40000001</v>
      </c>
      <c r="L19" s="66">
        <v>142.9</v>
      </c>
      <c r="M19" s="65">
        <v>1</v>
      </c>
      <c r="N19" s="88">
        <f>L19*M19</f>
        <v>142.9</v>
      </c>
      <c r="O19" s="89" t="str">
        <f t="shared" ref="O19" si="1">+IF(AND(H19="SI",G19="SI"),"CUMPLE","NO CUMPLE")</f>
        <v>CUMPLE</v>
      </c>
      <c r="P19" s="4"/>
      <c r="Q19" s="4"/>
      <c r="R19" s="37"/>
      <c r="S19" s="4"/>
      <c r="T19" s="69"/>
      <c r="V19" s="38">
        <v>2020</v>
      </c>
      <c r="W19" s="41">
        <v>877803</v>
      </c>
    </row>
    <row r="20" spans="1:23" ht="42.95" customHeight="1">
      <c r="A20" s="379"/>
      <c r="B20" s="147" t="s">
        <v>112</v>
      </c>
      <c r="C20" s="64"/>
      <c r="D20" s="148"/>
      <c r="E20" s="148"/>
      <c r="F20" s="64"/>
      <c r="G20" s="64"/>
      <c r="H20" s="64"/>
      <c r="I20" s="148"/>
      <c r="J20" s="146"/>
      <c r="K20" s="145"/>
      <c r="L20" s="66"/>
      <c r="M20" s="65"/>
      <c r="N20" s="88"/>
      <c r="O20" s="89"/>
      <c r="P20" s="4"/>
      <c r="Q20" s="4"/>
      <c r="R20" s="37" t="str">
        <f t="shared" ref="R20:R22" si="2">+IF(OR(O20="CUMPLE")*AND(N20&gt;=$R$16),"CUMPLE","NO CUMPLE")</f>
        <v>NO CUMPLE</v>
      </c>
      <c r="S20" s="67"/>
      <c r="T20" s="69" t="s">
        <v>163</v>
      </c>
      <c r="V20" s="38">
        <v>2019</v>
      </c>
      <c r="W20" s="41">
        <v>828116</v>
      </c>
    </row>
    <row r="21" spans="1:23" ht="42.95" customHeight="1">
      <c r="A21" s="379"/>
      <c r="B21" s="147" t="s">
        <v>113</v>
      </c>
      <c r="C21" s="64"/>
      <c r="D21" s="64"/>
      <c r="E21" s="64"/>
      <c r="F21" s="64"/>
      <c r="G21" s="64"/>
      <c r="H21" s="64"/>
      <c r="I21" s="64"/>
      <c r="J21" s="146"/>
      <c r="K21" s="64"/>
      <c r="L21" s="64"/>
      <c r="M21" s="65"/>
      <c r="N21" s="88"/>
      <c r="O21" s="89"/>
      <c r="P21" s="4"/>
      <c r="Q21" s="4"/>
      <c r="R21" s="37" t="str">
        <f t="shared" si="2"/>
        <v>NO CUMPLE</v>
      </c>
      <c r="S21" s="67"/>
      <c r="T21" s="27"/>
      <c r="V21" s="38">
        <v>2018</v>
      </c>
      <c r="W21" s="41">
        <v>781242</v>
      </c>
    </row>
    <row r="22" spans="1:23" ht="42.95" customHeight="1">
      <c r="A22" s="379"/>
      <c r="B22" s="147" t="s">
        <v>114</v>
      </c>
      <c r="C22" s="44"/>
      <c r="D22" s="45"/>
      <c r="E22" s="45"/>
      <c r="F22" s="64"/>
      <c r="G22" s="68"/>
      <c r="H22" s="68"/>
      <c r="I22" s="64"/>
      <c r="J22" s="146"/>
      <c r="K22" s="46"/>
      <c r="L22" s="47"/>
      <c r="M22" s="35"/>
      <c r="N22" s="88"/>
      <c r="O22" s="89"/>
      <c r="P22" s="4"/>
      <c r="Q22" s="4"/>
      <c r="R22" s="37" t="str">
        <f t="shared" si="2"/>
        <v>NO CUMPLE</v>
      </c>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SUM(N17:N21)</f>
        <v>3627.1500000000005</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T25" s="2">
        <f>1949500000+6451200000</f>
        <v>8400700000</v>
      </c>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17432.856813465529</v>
      </c>
      <c r="T26" s="26">
        <f>+T25/W25</f>
        <v>19369.840903850589</v>
      </c>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thickBot="1">
      <c r="A28" s="276">
        <f>A17*50%</f>
        <v>1434.4805367692306</v>
      </c>
      <c r="B28" s="153" t="s">
        <v>105</v>
      </c>
      <c r="C28" s="151" t="s">
        <v>328</v>
      </c>
      <c r="D28" s="176" t="s">
        <v>325</v>
      </c>
      <c r="E28" s="148" t="s">
        <v>329</v>
      </c>
      <c r="F28" s="151" t="s">
        <v>64</v>
      </c>
      <c r="G28" s="64" t="s">
        <v>64</v>
      </c>
      <c r="H28" s="149" t="s">
        <v>64</v>
      </c>
      <c r="I28" s="151" t="s">
        <v>327</v>
      </c>
      <c r="J28" s="154">
        <v>43784</v>
      </c>
      <c r="K28" s="155">
        <f>$W$20*$L$19</f>
        <v>118337776.40000001</v>
      </c>
      <c r="L28" s="156">
        <v>142.9</v>
      </c>
      <c r="M28" s="65">
        <v>1</v>
      </c>
      <c r="N28" s="88">
        <f>L28*M28</f>
        <v>142.9</v>
      </c>
      <c r="O28" s="89" t="str">
        <f>+IF(AND(H28="SI",G28="SI"),"CUMPLE","NO CUMPLE")</f>
        <v>CUMPLE</v>
      </c>
      <c r="P28" s="4"/>
      <c r="Q28" s="4"/>
      <c r="R28" s="36"/>
      <c r="S28" s="36"/>
      <c r="T28" s="27"/>
    </row>
    <row r="29" spans="1:23" ht="143.44999999999999" customHeight="1" thickTop="1" thickBot="1">
      <c r="A29" s="277"/>
      <c r="B29" s="153" t="s">
        <v>109</v>
      </c>
      <c r="C29" s="148" t="s">
        <v>320</v>
      </c>
      <c r="D29" s="148" t="s">
        <v>321</v>
      </c>
      <c r="E29" s="148" t="s">
        <v>322</v>
      </c>
      <c r="F29" s="148" t="s">
        <v>64</v>
      </c>
      <c r="G29" s="64" t="s">
        <v>64</v>
      </c>
      <c r="H29" s="64" t="s">
        <v>64</v>
      </c>
      <c r="I29" s="148" t="s">
        <v>323</v>
      </c>
      <c r="J29" s="146">
        <v>44844</v>
      </c>
      <c r="K29" s="145">
        <f>L29*W28</f>
        <v>0</v>
      </c>
      <c r="L29" s="66">
        <v>3753.25</v>
      </c>
      <c r="M29" s="65">
        <v>0.8</v>
      </c>
      <c r="N29" s="88">
        <f>L29*M29</f>
        <v>3002.6000000000004</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3002.6000000000004</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80" t="s">
        <v>267</v>
      </c>
      <c r="B61" s="381"/>
      <c r="C61" s="381"/>
      <c r="D61" s="381"/>
      <c r="E61" s="381"/>
      <c r="F61" s="381"/>
      <c r="G61" s="381"/>
      <c r="H61" s="381"/>
      <c r="I61" s="381"/>
      <c r="J61" s="381"/>
      <c r="K61" s="381"/>
      <c r="L61" s="381"/>
      <c r="M61" s="381"/>
      <c r="N61" s="381"/>
      <c r="O61" s="382"/>
      <c r="P61" s="9"/>
      <c r="Q61" s="8"/>
      <c r="V61" s="38">
        <v>1993</v>
      </c>
      <c r="W61" s="41">
        <v>81510</v>
      </c>
    </row>
    <row r="62" spans="1:23" ht="30.95" customHeight="1">
      <c r="A62" s="383"/>
      <c r="B62" s="384"/>
      <c r="C62" s="384"/>
      <c r="D62" s="384"/>
      <c r="E62" s="384"/>
      <c r="F62" s="384"/>
      <c r="G62" s="384"/>
      <c r="H62" s="384"/>
      <c r="I62" s="384"/>
      <c r="J62" s="384"/>
      <c r="K62" s="384"/>
      <c r="L62" s="384"/>
      <c r="M62" s="384"/>
      <c r="N62" s="384"/>
      <c r="O62" s="385"/>
      <c r="P62" s="9"/>
      <c r="Q62" s="8"/>
      <c r="V62" s="38">
        <v>1992</v>
      </c>
      <c r="W62" s="41">
        <v>65190</v>
      </c>
    </row>
    <row r="63" spans="1:23" ht="62.45" customHeight="1">
      <c r="A63" s="386"/>
      <c r="B63" s="387"/>
      <c r="C63" s="387"/>
      <c r="D63" s="387"/>
      <c r="E63" s="387"/>
      <c r="F63" s="387"/>
      <c r="G63" s="387"/>
      <c r="H63" s="387"/>
      <c r="I63" s="387"/>
      <c r="J63" s="387"/>
      <c r="K63" s="387"/>
      <c r="L63" s="387"/>
      <c r="M63" s="387"/>
      <c r="N63" s="387"/>
      <c r="O63" s="388"/>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R60:T60"/>
    <mergeCell ref="A61:O63"/>
    <mergeCell ref="A58:N58"/>
    <mergeCell ref="A59:H59"/>
    <mergeCell ref="I59:O59"/>
    <mergeCell ref="A60:H60"/>
    <mergeCell ref="I60:L60"/>
    <mergeCell ref="M60:O60"/>
    <mergeCell ref="A54:L54"/>
    <mergeCell ref="A56:L56"/>
    <mergeCell ref="A50:L50"/>
    <mergeCell ref="A52:L52"/>
    <mergeCell ref="A45:B45"/>
    <mergeCell ref="C45:L45"/>
    <mergeCell ref="A48:L48"/>
    <mergeCell ref="M48:O48"/>
    <mergeCell ref="A49:L49"/>
    <mergeCell ref="A35:O35"/>
    <mergeCell ref="A36:N36"/>
    <mergeCell ref="A38:O38"/>
    <mergeCell ref="A39:B42"/>
    <mergeCell ref="C39:L42"/>
    <mergeCell ref="M39:O39"/>
    <mergeCell ref="A43:B44"/>
    <mergeCell ref="C43:L44"/>
    <mergeCell ref="A33:K33"/>
    <mergeCell ref="L33:M33"/>
    <mergeCell ref="A15:O15"/>
    <mergeCell ref="U15:U16"/>
    <mergeCell ref="A17:A22"/>
    <mergeCell ref="A23:M23"/>
    <mergeCell ref="A24:M24"/>
    <mergeCell ref="A25:O25"/>
    <mergeCell ref="A26:O26"/>
    <mergeCell ref="A28:A29"/>
    <mergeCell ref="A30:M30"/>
    <mergeCell ref="N30:O30"/>
    <mergeCell ref="A31:M31"/>
    <mergeCell ref="P10:U10"/>
    <mergeCell ref="C11:H11"/>
    <mergeCell ref="J11:L11"/>
    <mergeCell ref="M11:O11"/>
    <mergeCell ref="A13:O13"/>
    <mergeCell ref="A14:O14"/>
    <mergeCell ref="F8:G8"/>
    <mergeCell ref="I8:N8"/>
    <mergeCell ref="F9:G9"/>
    <mergeCell ref="I9:N9"/>
    <mergeCell ref="F10:G10"/>
    <mergeCell ref="I10:N10"/>
    <mergeCell ref="A1:O1"/>
    <mergeCell ref="A2:O2"/>
    <mergeCell ref="A3:O3"/>
    <mergeCell ref="A4:A10"/>
    <mergeCell ref="B4:E10"/>
    <mergeCell ref="F4:H7"/>
    <mergeCell ref="I4:N4"/>
    <mergeCell ref="I5:N5"/>
    <mergeCell ref="I6:N6"/>
    <mergeCell ref="I7:N7"/>
  </mergeCells>
  <conditionalFormatting sqref="I59">
    <cfRule type="cellIs" dxfId="55" priority="19" operator="equal">
      <formula>"NO CUMPLE"</formula>
    </cfRule>
    <cfRule type="cellIs" dxfId="54" priority="20" operator="equal">
      <formula>"CUMPLE"</formula>
    </cfRule>
    <cfRule type="cellIs" dxfId="53" priority="21" operator="equal">
      <formula>100</formula>
    </cfRule>
  </conditionalFormatting>
  <conditionalFormatting sqref="I60:L60">
    <cfRule type="cellIs" dxfId="52" priority="28" operator="equal">
      <formula>"NO CUMPLE"</formula>
    </cfRule>
    <cfRule type="cellIs" dxfId="51" priority="29" operator="equal">
      <formula>"CUMPLE"</formula>
    </cfRule>
  </conditionalFormatting>
  <conditionalFormatting sqref="I60:O60">
    <cfRule type="cellIs" dxfId="50" priority="6" operator="equal">
      <formula>100</formula>
    </cfRule>
  </conditionalFormatting>
  <conditionalFormatting sqref="M60:O60">
    <cfRule type="cellIs" dxfId="49" priority="5" operator="lessThan">
      <formula>100</formula>
    </cfRule>
  </conditionalFormatting>
  <conditionalFormatting sqref="O17:O22">
    <cfRule type="containsText" dxfId="48" priority="4" operator="containsText" text="NO CUMPLE">
      <formula>NOT(ISERROR(SEARCH("NO CUMPLE",O17)))</formula>
    </cfRule>
  </conditionalFormatting>
  <conditionalFormatting sqref="O23">
    <cfRule type="cellIs" dxfId="47" priority="25" operator="equal">
      <formula>"NO CUMPLE"</formula>
    </cfRule>
    <cfRule type="cellIs" dxfId="46" priority="26" operator="equal">
      <formula>"CUMPLE"</formula>
    </cfRule>
    <cfRule type="cellIs" dxfId="45" priority="27" operator="equal">
      <formula>100</formula>
    </cfRule>
  </conditionalFormatting>
  <conditionalFormatting sqref="O36:O38">
    <cfRule type="cellIs" dxfId="44" priority="22" operator="equal">
      <formula>"NO CUMPLE"</formula>
    </cfRule>
    <cfRule type="cellIs" dxfId="43" priority="23" operator="equal">
      <formula>"CUMPLE"</formula>
    </cfRule>
    <cfRule type="cellIs" dxfId="42" priority="24" operator="equal">
      <formula>100</formula>
    </cfRule>
  </conditionalFormatting>
  <conditionalFormatting sqref="O46">
    <cfRule type="cellIs" dxfId="41" priority="10" operator="equal">
      <formula>"NO CUMPLE"</formula>
    </cfRule>
    <cfRule type="cellIs" dxfId="40" priority="11" operator="equal">
      <formula>"CUMPLE"</formula>
    </cfRule>
    <cfRule type="cellIs" dxfId="39" priority="12" operator="equal">
      <formula>100</formula>
    </cfRule>
  </conditionalFormatting>
  <conditionalFormatting sqref="O31:P34">
    <cfRule type="cellIs" dxfId="38" priority="1" operator="equal">
      <formula>"NO CUMPLE"</formula>
    </cfRule>
    <cfRule type="cellIs" dxfId="37" priority="2" operator="equal">
      <formula>"CUMPLE"</formula>
    </cfRule>
    <cfRule type="cellIs" dxfId="36" priority="3" operator="equal">
      <formula>100</formula>
    </cfRule>
  </conditionalFormatting>
  <conditionalFormatting sqref="P24">
    <cfRule type="cellIs" dxfId="35" priority="68" operator="equal">
      <formula>"NO CUMPLE"</formula>
    </cfRule>
    <cfRule type="cellIs" dxfId="34" priority="69" operator="equal">
      <formula>"CUMPLE"</formula>
    </cfRule>
    <cfRule type="cellIs" dxfId="33" priority="70" operator="equal">
      <formula>100</formula>
    </cfRule>
  </conditionalFormatting>
  <conditionalFormatting sqref="P36:P46">
    <cfRule type="cellIs" dxfId="32" priority="44" operator="equal">
      <formula>"NO CUMPLE"</formula>
    </cfRule>
    <cfRule type="cellIs" dxfId="31" priority="45" operator="equal">
      <formula>"CUMPLE"</formula>
    </cfRule>
    <cfRule type="cellIs" dxfId="30" priority="46" operator="equal">
      <formula>100</formula>
    </cfRule>
  </conditionalFormatting>
  <conditionalFormatting sqref="R60:T60">
    <cfRule type="cellIs" dxfId="29" priority="42" operator="lessThan">
      <formula>100</formula>
    </cfRule>
    <cfRule type="cellIs" dxfId="28" priority="43" operator="equal">
      <formula>100</formula>
    </cfRule>
  </conditionalFormatting>
  <dataValidations count="7">
    <dataValidation type="list" allowBlank="1" showInputMessage="1" showErrorMessage="1" sqref="J60:L60 I59:I60 O46" xr:uid="{FF12B097-553F-4F5A-A2D3-2D8110A30BDB}">
      <formula1>$R$2:$R$3</formula1>
    </dataValidation>
    <dataValidation type="list" allowBlank="1" showInputMessage="1" showErrorMessage="1" sqref="V1:V2" xr:uid="{FC0AEEC7-1EDF-451A-BE56-64EE8C8E9B5B}">
      <formula1>$V$1:$V$2</formula1>
    </dataValidation>
    <dataValidation type="list" allowBlank="1" showInputMessage="1" showErrorMessage="1" sqref="A3" xr:uid="{65EAAF2E-EB50-4C56-A0F8-FA12EEC27D3C}">
      <formula1>$C$75:$C$82</formula1>
    </dataValidation>
    <dataValidation type="list" allowBlank="1" showInputMessage="1" showErrorMessage="1" error="SELECCIONE EL PRESUPUESTO A EVALUAR, EN LA LISTA DESPEGABLE._x000a_" sqref="I11:I12 J12:K12" xr:uid="{DE4EE091-DC60-4D7A-8741-A80216917AE5}">
      <formula1>$A$75:$A$82</formula1>
    </dataValidation>
    <dataValidation type="list" allowBlank="1" showInputMessage="1" showErrorMessage="1" sqref="O36:O38" xr:uid="{B88F288C-B110-434C-B2D8-FB133FDDC749}">
      <formula1>$R$4:$R$5</formula1>
    </dataValidation>
    <dataValidation type="list" allowBlank="1" showInputMessage="1" showErrorMessage="1" sqref="G22:H22" xr:uid="{9C5E5579-9790-4BA0-8748-6F7F021F148D}">
      <formula1>$Q$2:$Q$3</formula1>
    </dataValidation>
    <dataValidation type="list" allowBlank="1" showInputMessage="1" showErrorMessage="1" sqref="M37:O37" xr:uid="{758F997D-4BF9-4560-A53A-3348A3C999AC}">
      <formula1>$U$1:$U$2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92041-9F60-4561-A202-C248070B72F8}">
  <sheetPr>
    <tabColor rgb="FFFFFF00"/>
  </sheetPr>
  <dimension ref="A1:W94"/>
  <sheetViews>
    <sheetView view="pageBreakPreview" topLeftCell="A48" zoomScale="25" zoomScaleNormal="63" zoomScaleSheetLayoutView="25" workbookViewId="0">
      <selection activeCell="S54" sqref="S54"/>
    </sheetView>
  </sheetViews>
  <sheetFormatPr baseColWidth="10" defaultColWidth="11.42578125" defaultRowHeight="14.25"/>
  <cols>
    <col min="1" max="1" width="22.42578125" style="2" bestFit="1" customWidth="1"/>
    <col min="2" max="2" width="25.42578125" style="2" bestFit="1" customWidth="1"/>
    <col min="3" max="3" width="18.140625" style="2" customWidth="1"/>
    <col min="4" max="5" width="20" style="2" customWidth="1"/>
    <col min="6" max="6" width="29.42578125" style="2" customWidth="1"/>
    <col min="7" max="7" width="25.85546875" style="2" customWidth="1"/>
    <col min="8" max="8" width="16.5703125" style="2" customWidth="1"/>
    <col min="9" max="9" width="38.5703125" style="2" customWidth="1"/>
    <col min="10" max="10" width="30.42578125" style="2" customWidth="1"/>
    <col min="11" max="11" width="33.42578125" style="2" customWidth="1"/>
    <col min="12" max="12" width="21.42578125" style="2" customWidth="1"/>
    <col min="13" max="13" width="19.42578125" style="2" customWidth="1"/>
    <col min="14" max="14" width="20.42578125" style="2" customWidth="1"/>
    <col min="15" max="15" width="26.42578125" style="2" bestFit="1" customWidth="1"/>
    <col min="16" max="16" width="36.42578125" style="2" hidden="1" customWidth="1"/>
    <col min="17" max="17" width="4.85546875" style="2" hidden="1" customWidth="1"/>
    <col min="18" max="18" width="30" style="2" customWidth="1"/>
    <col min="19" max="19" width="19.42578125" style="2" customWidth="1"/>
    <col min="20" max="20" width="24.42578125" style="2" customWidth="1"/>
    <col min="21" max="21" width="18.42578125" style="2" customWidth="1"/>
    <col min="22" max="22" width="16.85546875" style="2" customWidth="1"/>
    <col min="23" max="23" width="19.5703125" style="2" customWidth="1"/>
    <col min="24" max="24" width="3.42578125" style="2" customWidth="1"/>
    <col min="25" max="25" width="18.42578125" style="2" customWidth="1"/>
    <col min="26" max="28" width="11.42578125" style="2"/>
    <col min="29" max="29" width="50.85546875" style="2" customWidth="1"/>
    <col min="30" max="16384" width="11.42578125" style="2"/>
  </cols>
  <sheetData>
    <row r="1" spans="1:23" ht="27.75">
      <c r="A1" s="222" t="s">
        <v>0</v>
      </c>
      <c r="B1" s="223"/>
      <c r="C1" s="223"/>
      <c r="D1" s="223"/>
      <c r="E1" s="223"/>
      <c r="F1" s="223"/>
      <c r="G1" s="223"/>
      <c r="H1" s="223"/>
      <c r="I1" s="223"/>
      <c r="J1" s="223"/>
      <c r="K1" s="223"/>
      <c r="L1" s="223"/>
      <c r="M1" s="223"/>
      <c r="N1" s="223"/>
      <c r="O1" s="224"/>
      <c r="U1" s="5">
        <v>1</v>
      </c>
      <c r="V1" s="2">
        <v>20</v>
      </c>
      <c r="W1" s="2">
        <v>5</v>
      </c>
    </row>
    <row r="2" spans="1:23" ht="23.25">
      <c r="A2" s="225" t="s">
        <v>63</v>
      </c>
      <c r="B2" s="226"/>
      <c r="C2" s="226"/>
      <c r="D2" s="226"/>
      <c r="E2" s="226"/>
      <c r="F2" s="226"/>
      <c r="G2" s="226"/>
      <c r="H2" s="226"/>
      <c r="I2" s="226"/>
      <c r="J2" s="226"/>
      <c r="K2" s="226"/>
      <c r="L2" s="226"/>
      <c r="M2" s="226"/>
      <c r="N2" s="226"/>
      <c r="O2" s="227"/>
      <c r="Q2" s="2" t="s">
        <v>64</v>
      </c>
      <c r="R2" s="2" t="s">
        <v>65</v>
      </c>
      <c r="U2" s="5">
        <v>0</v>
      </c>
      <c r="V2" s="2">
        <v>5</v>
      </c>
      <c r="W2" s="2">
        <v>0</v>
      </c>
    </row>
    <row r="3" spans="1:23" ht="71.45" customHeight="1">
      <c r="A3" s="228" t="s">
        <v>66</v>
      </c>
      <c r="B3" s="229"/>
      <c r="C3" s="229"/>
      <c r="D3" s="229"/>
      <c r="E3" s="229"/>
      <c r="F3" s="229"/>
      <c r="G3" s="229"/>
      <c r="H3" s="229"/>
      <c r="I3" s="230"/>
      <c r="J3" s="230"/>
      <c r="K3" s="230"/>
      <c r="L3" s="230"/>
      <c r="M3" s="230"/>
      <c r="N3" s="230"/>
      <c r="O3" s="231"/>
      <c r="Q3" s="2" t="s">
        <v>67</v>
      </c>
      <c r="R3" s="2" t="s">
        <v>68</v>
      </c>
      <c r="V3" s="2">
        <v>0</v>
      </c>
    </row>
    <row r="4" spans="1:23" ht="20.25" customHeight="1">
      <c r="A4" s="232">
        <v>18</v>
      </c>
      <c r="B4" s="233" t="str">
        <f>_xlfn.XLOOKUP(A4,RESUMEN!$A$3:$A$20,RESUMEN!$C$3:$C$20)</f>
        <v>CONSORCIO OBRAS LA SABANA</v>
      </c>
      <c r="C4" s="234"/>
      <c r="D4" s="234"/>
      <c r="E4" s="235"/>
      <c r="F4" s="233" t="s">
        <v>69</v>
      </c>
      <c r="G4" s="234"/>
      <c r="H4" s="235"/>
      <c r="I4" s="242" t="s">
        <v>70</v>
      </c>
      <c r="J4" s="243"/>
      <c r="K4" s="243"/>
      <c r="L4" s="243"/>
      <c r="M4" s="243"/>
      <c r="N4" s="243"/>
      <c r="O4" s="11"/>
      <c r="P4" s="2" t="str">
        <f>+I4</f>
        <v>APORTANTE DE LA EXPERIENCIA - GENERAL</v>
      </c>
      <c r="R4" s="2">
        <v>10</v>
      </c>
    </row>
    <row r="5" spans="1:23" ht="20.25" customHeight="1">
      <c r="A5" s="232"/>
      <c r="B5" s="236"/>
      <c r="C5" s="237"/>
      <c r="D5" s="237"/>
      <c r="E5" s="238"/>
      <c r="F5" s="236"/>
      <c r="G5" s="237"/>
      <c r="H5" s="238"/>
      <c r="I5" s="357" t="s">
        <v>330</v>
      </c>
      <c r="J5" s="357"/>
      <c r="K5" s="357"/>
      <c r="L5" s="357"/>
      <c r="M5" s="357"/>
      <c r="N5" s="358"/>
      <c r="O5" s="11" t="s">
        <v>227</v>
      </c>
      <c r="P5" s="2">
        <f>+I7</f>
        <v>0</v>
      </c>
      <c r="R5" s="2">
        <v>0</v>
      </c>
    </row>
    <row r="6" spans="1:23" ht="20.25" customHeight="1">
      <c r="A6" s="232"/>
      <c r="B6" s="236"/>
      <c r="C6" s="237"/>
      <c r="D6" s="237"/>
      <c r="E6" s="238"/>
      <c r="F6" s="236"/>
      <c r="G6" s="237"/>
      <c r="H6" s="238"/>
      <c r="I6" s="244" t="s">
        <v>331</v>
      </c>
      <c r="J6" s="244"/>
      <c r="K6" s="244"/>
      <c r="L6" s="244"/>
      <c r="M6" s="244"/>
      <c r="N6" s="245"/>
      <c r="O6" s="11" t="s">
        <v>227</v>
      </c>
      <c r="P6" s="2" t="str">
        <f t="shared" ref="P6:P9" si="0">+I6</f>
        <v>PROYECTISTAS CONSTRUCTORES ASOCIADOS
PCA S.A.S</v>
      </c>
    </row>
    <row r="7" spans="1:23" ht="35.450000000000003" customHeight="1">
      <c r="A7" s="232"/>
      <c r="B7" s="236"/>
      <c r="C7" s="237"/>
      <c r="D7" s="237"/>
      <c r="E7" s="238"/>
      <c r="F7" s="239"/>
      <c r="G7" s="240"/>
      <c r="H7" s="241"/>
      <c r="I7" s="245"/>
      <c r="J7" s="246"/>
      <c r="K7" s="246"/>
      <c r="L7" s="246"/>
      <c r="M7" s="246"/>
      <c r="N7" s="246"/>
      <c r="O7" s="11"/>
      <c r="P7" s="2" t="e">
        <f>+#REF!</f>
        <v>#REF!</v>
      </c>
    </row>
    <row r="8" spans="1:23" ht="20.25" customHeight="1">
      <c r="A8" s="232"/>
      <c r="B8" s="236"/>
      <c r="C8" s="237"/>
      <c r="D8" s="237"/>
      <c r="E8" s="238"/>
      <c r="F8" s="250" t="s">
        <v>74</v>
      </c>
      <c r="G8" s="251"/>
      <c r="H8" s="93">
        <v>0.75</v>
      </c>
      <c r="I8" s="244"/>
      <c r="J8" s="244"/>
      <c r="K8" s="244"/>
      <c r="L8" s="244"/>
      <c r="M8" s="244"/>
      <c r="N8" s="245"/>
      <c r="O8" s="11"/>
      <c r="P8" s="2">
        <f t="shared" si="0"/>
        <v>0</v>
      </c>
    </row>
    <row r="9" spans="1:23" ht="20.25" customHeight="1">
      <c r="A9" s="232"/>
      <c r="B9" s="236"/>
      <c r="C9" s="237"/>
      <c r="D9" s="237"/>
      <c r="E9" s="238"/>
      <c r="F9" s="250" t="s">
        <v>75</v>
      </c>
      <c r="G9" s="251"/>
      <c r="H9" s="93">
        <v>1.2</v>
      </c>
      <c r="I9" s="244"/>
      <c r="J9" s="244"/>
      <c r="K9" s="244"/>
      <c r="L9" s="244"/>
      <c r="M9" s="244"/>
      <c r="N9" s="245"/>
      <c r="O9" s="11"/>
      <c r="P9" s="2">
        <f t="shared" si="0"/>
        <v>0</v>
      </c>
    </row>
    <row r="10" spans="1:23" ht="21.2" customHeight="1">
      <c r="A10" s="232"/>
      <c r="B10" s="239"/>
      <c r="C10" s="240"/>
      <c r="D10" s="240"/>
      <c r="E10" s="241"/>
      <c r="F10" s="250" t="s">
        <v>76</v>
      </c>
      <c r="G10" s="251"/>
      <c r="H10" s="93">
        <v>1.5</v>
      </c>
      <c r="I10" s="252" t="s">
        <v>77</v>
      </c>
      <c r="J10" s="253"/>
      <c r="K10" s="253"/>
      <c r="L10" s="253"/>
      <c r="M10" s="253"/>
      <c r="N10" s="253"/>
      <c r="O10" s="82">
        <f>+SUM(O5:O9)</f>
        <v>0</v>
      </c>
      <c r="P10" s="254"/>
      <c r="Q10" s="254"/>
      <c r="R10" s="254"/>
      <c r="S10" s="254"/>
      <c r="T10" s="254"/>
      <c r="U10" s="254"/>
    </row>
    <row r="11" spans="1:23" ht="68.25" customHeight="1">
      <c r="A11" s="92" t="s">
        <v>78</v>
      </c>
      <c r="B11" s="94" t="s">
        <v>79</v>
      </c>
      <c r="C11" s="255" t="s">
        <v>80</v>
      </c>
      <c r="D11" s="256"/>
      <c r="E11" s="256"/>
      <c r="F11" s="256"/>
      <c r="G11" s="256"/>
      <c r="H11" s="257"/>
      <c r="I11" s="83">
        <v>3108041163</v>
      </c>
      <c r="J11" s="258" t="s">
        <v>81</v>
      </c>
      <c r="K11" s="259"/>
      <c r="L11" s="260"/>
      <c r="M11" s="261">
        <f>I11/W13</f>
        <v>2390.8008946153845</v>
      </c>
      <c r="N11" s="262"/>
      <c r="O11" s="263"/>
      <c r="R11" s="2" t="s">
        <v>82</v>
      </c>
      <c r="T11" s="6"/>
    </row>
    <row r="12" spans="1:23" ht="23.25">
      <c r="A12" s="15"/>
      <c r="B12" s="16"/>
      <c r="C12" s="17"/>
      <c r="D12" s="17"/>
      <c r="E12" s="17"/>
      <c r="F12" s="18"/>
      <c r="G12" s="18"/>
      <c r="H12" s="19"/>
      <c r="I12" s="20"/>
      <c r="J12" s="20"/>
      <c r="K12" s="20"/>
      <c r="L12" s="21"/>
      <c r="M12" s="22"/>
      <c r="N12" s="23"/>
      <c r="O12" s="24"/>
      <c r="T12" s="6"/>
    </row>
    <row r="13" spans="1:23" ht="23.25">
      <c r="A13" s="264" t="s">
        <v>83</v>
      </c>
      <c r="B13" s="265"/>
      <c r="C13" s="265"/>
      <c r="D13" s="265"/>
      <c r="E13" s="265"/>
      <c r="F13" s="265"/>
      <c r="G13" s="265"/>
      <c r="H13" s="265"/>
      <c r="I13" s="265"/>
      <c r="J13" s="265"/>
      <c r="K13" s="265"/>
      <c r="L13" s="265"/>
      <c r="M13" s="265"/>
      <c r="N13" s="265"/>
      <c r="O13" s="266"/>
      <c r="V13" s="2">
        <v>2024</v>
      </c>
      <c r="W13" s="2">
        <v>1300000</v>
      </c>
    </row>
    <row r="14" spans="1:23" ht="29.45" customHeight="1">
      <c r="A14" s="247" t="s">
        <v>84</v>
      </c>
      <c r="B14" s="248"/>
      <c r="C14" s="248"/>
      <c r="D14" s="248"/>
      <c r="E14" s="248"/>
      <c r="F14" s="248"/>
      <c r="G14" s="248"/>
      <c r="H14" s="248"/>
      <c r="I14" s="248"/>
      <c r="J14" s="248"/>
      <c r="K14" s="248"/>
      <c r="L14" s="248"/>
      <c r="M14" s="248"/>
      <c r="N14" s="248"/>
      <c r="O14" s="249"/>
    </row>
    <row r="15" spans="1:23" ht="135.94999999999999" customHeight="1">
      <c r="A15" s="268" t="s">
        <v>85</v>
      </c>
      <c r="B15" s="269"/>
      <c r="C15" s="269"/>
      <c r="D15" s="269"/>
      <c r="E15" s="269"/>
      <c r="F15" s="269"/>
      <c r="G15" s="269"/>
      <c r="H15" s="269"/>
      <c r="I15" s="269"/>
      <c r="J15" s="269"/>
      <c r="K15" s="269"/>
      <c r="L15" s="269"/>
      <c r="M15" s="269"/>
      <c r="N15" s="269"/>
      <c r="O15" s="270"/>
      <c r="T15" s="26"/>
      <c r="U15" s="271"/>
      <c r="V15" s="2">
        <v>2023</v>
      </c>
      <c r="W15" s="2">
        <v>1160000</v>
      </c>
    </row>
    <row r="16" spans="1:23" ht="114.75" customHeight="1" thickBot="1">
      <c r="A16" s="84" t="s">
        <v>69</v>
      </c>
      <c r="B16" s="85" t="s">
        <v>86</v>
      </c>
      <c r="C16" s="71" t="s">
        <v>87</v>
      </c>
      <c r="D16" s="71" t="s">
        <v>88</v>
      </c>
      <c r="E16" s="71" t="s">
        <v>89</v>
      </c>
      <c r="F16" s="71" t="s">
        <v>90</v>
      </c>
      <c r="G16" s="86" t="s">
        <v>91</v>
      </c>
      <c r="H16" s="63" t="s">
        <v>92</v>
      </c>
      <c r="I16" s="63" t="s">
        <v>93</v>
      </c>
      <c r="J16" s="63" t="s">
        <v>94</v>
      </c>
      <c r="K16" s="63" t="s">
        <v>95</v>
      </c>
      <c r="L16" s="71" t="s">
        <v>96</v>
      </c>
      <c r="M16" s="71" t="s">
        <v>97</v>
      </c>
      <c r="N16" s="71" t="s">
        <v>98</v>
      </c>
      <c r="O16" s="87" t="s">
        <v>99</v>
      </c>
      <c r="P16" s="4"/>
      <c r="Q16" s="4"/>
      <c r="R16" s="36"/>
      <c r="S16" s="36"/>
      <c r="T16" s="27"/>
      <c r="U16" s="271"/>
      <c r="V16" s="2">
        <v>2022</v>
      </c>
      <c r="W16" s="2">
        <v>1000000</v>
      </c>
    </row>
    <row r="17" spans="1:23" ht="133.9" customHeight="1">
      <c r="A17" s="272">
        <f>+M11*H8</f>
        <v>1793.1006709615385</v>
      </c>
      <c r="B17" s="147" t="s">
        <v>100</v>
      </c>
      <c r="C17" s="151">
        <v>1</v>
      </c>
      <c r="D17" s="151" t="s">
        <v>101</v>
      </c>
      <c r="E17" s="151" t="s">
        <v>332</v>
      </c>
      <c r="F17" s="148" t="s">
        <v>64</v>
      </c>
      <c r="G17" s="151" t="s">
        <v>64</v>
      </c>
      <c r="H17" s="151" t="s">
        <v>64</v>
      </c>
      <c r="I17" s="148" t="s">
        <v>330</v>
      </c>
      <c r="J17" s="151" t="s">
        <v>333</v>
      </c>
      <c r="K17" s="145">
        <v>478826420</v>
      </c>
      <c r="L17" s="66">
        <v>929.76</v>
      </c>
      <c r="M17" s="65">
        <v>0.9</v>
      </c>
      <c r="N17" s="88">
        <f>L17*M17</f>
        <v>836.78399999999999</v>
      </c>
      <c r="O17" s="89" t="str">
        <f>+IF(AND(H17="SI",G17="SI"),"CUMPLE","NO CUMPLE")</f>
        <v>CUMPLE</v>
      </c>
      <c r="P17" s="4"/>
      <c r="Q17" s="4"/>
      <c r="R17" s="135">
        <f>+(N17+N18)/A17</f>
        <v>6.3483775252260601</v>
      </c>
      <c r="S17" s="4"/>
      <c r="T17" s="69"/>
      <c r="V17" s="39">
        <v>2021</v>
      </c>
      <c r="W17" s="40">
        <v>908526</v>
      </c>
    </row>
    <row r="18" spans="1:23" ht="133.9" customHeight="1">
      <c r="A18" s="272"/>
      <c r="B18" s="147" t="s">
        <v>105</v>
      </c>
      <c r="C18" s="151">
        <v>101</v>
      </c>
      <c r="D18" s="151" t="s">
        <v>334</v>
      </c>
      <c r="E18" s="151" t="s">
        <v>335</v>
      </c>
      <c r="F18" s="148" t="s">
        <v>64</v>
      </c>
      <c r="G18" s="151" t="s">
        <v>64</v>
      </c>
      <c r="H18" s="148" t="s">
        <v>64</v>
      </c>
      <c r="I18" s="148" t="s">
        <v>336</v>
      </c>
      <c r="J18" s="151" t="s">
        <v>337</v>
      </c>
      <c r="K18" s="145">
        <v>9725414486.6499996</v>
      </c>
      <c r="L18" s="66">
        <v>13183.12</v>
      </c>
      <c r="M18" s="65">
        <v>0.8</v>
      </c>
      <c r="N18" s="88">
        <f>L18*M18</f>
        <v>10546.496000000001</v>
      </c>
      <c r="O18" s="89" t="str">
        <f>+IF(AND(H18="SI",G18="SI"),"CUMPLE","NO CUMPLE")</f>
        <v>CUMPLE</v>
      </c>
      <c r="P18" s="4"/>
      <c r="Q18" s="4"/>
      <c r="R18" s="37"/>
      <c r="S18" s="4"/>
      <c r="T18" s="69"/>
      <c r="V18" s="96"/>
      <c r="W18" s="97"/>
    </row>
    <row r="19" spans="1:23" ht="157.69999999999999" customHeight="1" thickBot="1">
      <c r="A19" s="272"/>
      <c r="B19" s="147" t="s">
        <v>109</v>
      </c>
      <c r="C19" s="64"/>
      <c r="D19" s="148"/>
      <c r="E19" s="148"/>
      <c r="F19" s="148"/>
      <c r="G19" s="64"/>
      <c r="H19" s="64"/>
      <c r="I19" s="148"/>
      <c r="J19" s="146"/>
      <c r="K19" s="145"/>
      <c r="L19" s="66"/>
      <c r="M19" s="65"/>
      <c r="N19" s="88">
        <f>L19*M19</f>
        <v>0</v>
      </c>
      <c r="O19" s="89" t="str">
        <f t="shared" ref="O19:O22" si="1">+IF(AND(H19="SI",G19="SI"),"CUMPLE","NO CUMPLE")</f>
        <v>NO CUMPLE</v>
      </c>
      <c r="P19" s="4"/>
      <c r="Q19" s="4"/>
      <c r="R19" s="37"/>
      <c r="S19" s="4"/>
      <c r="T19" s="69"/>
      <c r="V19" s="38">
        <v>2020</v>
      </c>
      <c r="W19" s="41">
        <v>877803</v>
      </c>
    </row>
    <row r="20" spans="1:23" ht="42.95" customHeight="1" thickBot="1">
      <c r="A20" s="272"/>
      <c r="B20" s="147" t="s">
        <v>112</v>
      </c>
      <c r="C20" s="64"/>
      <c r="D20" s="148"/>
      <c r="E20" s="148"/>
      <c r="F20" s="64"/>
      <c r="G20" s="64"/>
      <c r="H20" s="64"/>
      <c r="I20" s="148"/>
      <c r="J20" s="146"/>
      <c r="K20" s="145"/>
      <c r="L20" s="66"/>
      <c r="M20" s="65"/>
      <c r="N20" s="88">
        <f t="shared" ref="N20:N22" si="2">IF(AND(G20="SI",H20="SI"),(L20*M20),0)</f>
        <v>0</v>
      </c>
      <c r="O20" s="89" t="str">
        <f t="shared" si="1"/>
        <v>NO CUMPLE</v>
      </c>
      <c r="P20" s="4"/>
      <c r="Q20" s="4"/>
      <c r="R20" s="37" t="str">
        <f t="shared" ref="R20:R22" si="3">+IF(OR(O20="CUMPLE")*AND(N20&gt;=$R$16),"CUMPLE","NO CUMPLE")</f>
        <v>NO CUMPLE</v>
      </c>
      <c r="S20" s="67"/>
      <c r="T20" s="69" t="s">
        <v>163</v>
      </c>
      <c r="V20" s="38">
        <v>2019</v>
      </c>
      <c r="W20" s="41">
        <v>828116</v>
      </c>
    </row>
    <row r="21" spans="1:23" ht="42.95" customHeight="1" thickBot="1">
      <c r="A21" s="272"/>
      <c r="B21" s="147" t="s">
        <v>113</v>
      </c>
      <c r="C21" s="64"/>
      <c r="D21" s="64"/>
      <c r="E21" s="64"/>
      <c r="F21" s="64"/>
      <c r="G21" s="64"/>
      <c r="H21" s="64"/>
      <c r="I21" s="64"/>
      <c r="J21" s="146"/>
      <c r="K21" s="64"/>
      <c r="L21" s="64"/>
      <c r="M21" s="65"/>
      <c r="N21" s="88">
        <f t="shared" si="2"/>
        <v>0</v>
      </c>
      <c r="O21" s="89" t="str">
        <f t="shared" si="1"/>
        <v>NO CUMPLE</v>
      </c>
      <c r="P21" s="4"/>
      <c r="Q21" s="4"/>
      <c r="R21" s="37" t="str">
        <f t="shared" si="3"/>
        <v>NO CUMPLE</v>
      </c>
      <c r="S21" s="67"/>
      <c r="T21" s="27"/>
      <c r="V21" s="38">
        <v>2018</v>
      </c>
      <c r="W21" s="41">
        <v>781242</v>
      </c>
    </row>
    <row r="22" spans="1:23" ht="42.95" customHeight="1" thickBot="1">
      <c r="A22" s="272"/>
      <c r="B22" s="147" t="s">
        <v>114</v>
      </c>
      <c r="C22" s="44"/>
      <c r="D22" s="45"/>
      <c r="E22" s="45"/>
      <c r="F22" s="64"/>
      <c r="G22" s="68"/>
      <c r="H22" s="68"/>
      <c r="I22" s="64"/>
      <c r="J22" s="146"/>
      <c r="K22" s="46"/>
      <c r="L22" s="47"/>
      <c r="M22" s="35"/>
      <c r="N22" s="88">
        <f t="shared" si="2"/>
        <v>0</v>
      </c>
      <c r="O22" s="89" t="str">
        <f t="shared" si="1"/>
        <v>NO CUMPLE</v>
      </c>
      <c r="P22" s="4"/>
      <c r="Q22" s="4"/>
      <c r="R22" s="37" t="str">
        <f t="shared" si="3"/>
        <v>NO CUMPLE</v>
      </c>
      <c r="S22" s="4"/>
      <c r="T22" s="27"/>
      <c r="V22" s="38">
        <v>2017</v>
      </c>
      <c r="W22" s="41">
        <v>737717</v>
      </c>
    </row>
    <row r="23" spans="1:23" ht="27.95" customHeight="1" thickBot="1">
      <c r="A23" s="273"/>
      <c r="B23" s="273"/>
      <c r="C23" s="273"/>
      <c r="D23" s="273"/>
      <c r="E23" s="273"/>
      <c r="F23" s="273"/>
      <c r="G23" s="273"/>
      <c r="H23" s="273"/>
      <c r="I23" s="273"/>
      <c r="J23" s="273"/>
      <c r="K23" s="273"/>
      <c r="L23" s="273"/>
      <c r="M23" s="274"/>
      <c r="N23" s="34">
        <f>SUM(N17:N22)</f>
        <v>11383.28</v>
      </c>
      <c r="O23" s="54" t="str">
        <f>+IF(OR(O18="CUMPLE",O22="CUMPLE",O21="CUMPLE",O20="CUMPLE",O19="CUMPLE",O17="CUMPLE")*AND(N23&gt;=A17),"CUMPLE","NO CUMPLE")</f>
        <v>CUMPLE</v>
      </c>
      <c r="P23" s="4"/>
      <c r="Q23" s="4"/>
      <c r="R23" s="4"/>
      <c r="S23" s="4"/>
      <c r="T23" s="27"/>
      <c r="V23" s="38">
        <v>2015</v>
      </c>
      <c r="W23" s="41">
        <v>644350</v>
      </c>
    </row>
    <row r="24" spans="1:23" ht="36" customHeight="1">
      <c r="A24" s="264" t="s">
        <v>115</v>
      </c>
      <c r="B24" s="265"/>
      <c r="C24" s="265"/>
      <c r="D24" s="265"/>
      <c r="E24" s="265"/>
      <c r="F24" s="265"/>
      <c r="G24" s="265"/>
      <c r="H24" s="265"/>
      <c r="I24" s="265"/>
      <c r="J24" s="265"/>
      <c r="K24" s="265"/>
      <c r="L24" s="265"/>
      <c r="M24" s="275"/>
      <c r="P24" s="10"/>
      <c r="Q24" s="4"/>
      <c r="S24" s="4"/>
      <c r="T24" s="28"/>
      <c r="V24" s="38">
        <v>2014</v>
      </c>
      <c r="W24" s="41">
        <v>616000</v>
      </c>
    </row>
    <row r="25" spans="1:23" ht="29.45" customHeight="1">
      <c r="A25" s="247" t="s">
        <v>116</v>
      </c>
      <c r="B25" s="248"/>
      <c r="C25" s="248"/>
      <c r="D25" s="248"/>
      <c r="E25" s="248"/>
      <c r="F25" s="248"/>
      <c r="G25" s="248"/>
      <c r="H25" s="248"/>
      <c r="I25" s="248"/>
      <c r="J25" s="248"/>
      <c r="K25" s="248"/>
      <c r="L25" s="248"/>
      <c r="M25" s="248"/>
      <c r="N25" s="248"/>
      <c r="O25" s="249"/>
      <c r="T25" s="2">
        <f>1949500000+6451200000</f>
        <v>8400700000</v>
      </c>
      <c r="V25" s="2">
        <v>2007</v>
      </c>
      <c r="W25" s="2">
        <v>433700</v>
      </c>
    </row>
    <row r="26" spans="1:23" ht="211.9" customHeight="1">
      <c r="A26" s="268" t="s">
        <v>338</v>
      </c>
      <c r="B26" s="269"/>
      <c r="C26" s="269"/>
      <c r="D26" s="269"/>
      <c r="E26" s="269"/>
      <c r="F26" s="269"/>
      <c r="G26" s="269"/>
      <c r="H26" s="269"/>
      <c r="I26" s="269"/>
      <c r="J26" s="269"/>
      <c r="K26" s="269"/>
      <c r="L26" s="269"/>
      <c r="M26" s="269"/>
      <c r="N26" s="269"/>
      <c r="O26" s="270"/>
      <c r="S26" s="2">
        <f>+T26*0.9</f>
        <v>17432.856813465529</v>
      </c>
      <c r="T26" s="26">
        <f>+T25/W25</f>
        <v>19369.840903850589</v>
      </c>
      <c r="V26" s="2">
        <v>2023</v>
      </c>
      <c r="W26" s="2">
        <v>1160000</v>
      </c>
    </row>
    <row r="27" spans="1:23" ht="91.15" customHeight="1">
      <c r="A27" s="84" t="s">
        <v>117</v>
      </c>
      <c r="B27" s="85" t="s">
        <v>86</v>
      </c>
      <c r="C27" s="72" t="s">
        <v>87</v>
      </c>
      <c r="D27" s="72" t="s">
        <v>88</v>
      </c>
      <c r="E27" s="72"/>
      <c r="F27" s="72" t="s">
        <v>90</v>
      </c>
      <c r="G27" s="86" t="s">
        <v>91</v>
      </c>
      <c r="H27" s="33" t="s">
        <v>92</v>
      </c>
      <c r="I27" s="33" t="s">
        <v>93</v>
      </c>
      <c r="J27" s="33" t="s">
        <v>94</v>
      </c>
      <c r="K27" s="33" t="s">
        <v>118</v>
      </c>
      <c r="L27" s="72" t="s">
        <v>96</v>
      </c>
      <c r="M27" s="72" t="s">
        <v>97</v>
      </c>
      <c r="N27" s="72" t="s">
        <v>98</v>
      </c>
      <c r="O27" s="90" t="s">
        <v>99</v>
      </c>
      <c r="P27" s="4"/>
      <c r="Q27" s="4"/>
      <c r="R27" s="36" t="e">
        <f>#REF!/2</f>
        <v>#REF!</v>
      </c>
      <c r="S27" s="36" t="s">
        <v>117</v>
      </c>
      <c r="T27" s="27"/>
      <c r="V27" s="2">
        <v>2022</v>
      </c>
      <c r="W27" s="2">
        <v>1000000</v>
      </c>
    </row>
    <row r="28" spans="1:23" ht="145.5" customHeight="1" thickBot="1">
      <c r="A28" s="276">
        <f>A17*50%</f>
        <v>896.55033548076926</v>
      </c>
      <c r="B28" s="147" t="s">
        <v>100</v>
      </c>
      <c r="C28" s="151">
        <v>1</v>
      </c>
      <c r="D28" s="148" t="s">
        <v>101</v>
      </c>
      <c r="E28" s="148" t="s">
        <v>332</v>
      </c>
      <c r="F28" s="148" t="s">
        <v>64</v>
      </c>
      <c r="G28" s="151" t="s">
        <v>64</v>
      </c>
      <c r="H28" s="151" t="s">
        <v>64</v>
      </c>
      <c r="I28" s="148" t="s">
        <v>330</v>
      </c>
      <c r="J28" s="151" t="s">
        <v>333</v>
      </c>
      <c r="K28" s="145">
        <v>478826420</v>
      </c>
      <c r="L28" s="66">
        <v>929.76</v>
      </c>
      <c r="M28" s="65">
        <v>0.9</v>
      </c>
      <c r="N28" s="88">
        <f>L28*M28</f>
        <v>836.78399999999999</v>
      </c>
      <c r="O28" s="89" t="str">
        <f>+IF(AND(H28="SI",G28="SI"),"CUMPLE","NO CUMPLE")</f>
        <v>CUMPLE</v>
      </c>
      <c r="P28" s="4"/>
      <c r="Q28" s="4"/>
      <c r="R28" s="36"/>
      <c r="S28" s="36"/>
      <c r="T28" s="27"/>
    </row>
    <row r="29" spans="1:23" ht="143.44999999999999" customHeight="1" thickTop="1" thickBot="1">
      <c r="A29" s="277"/>
      <c r="B29" s="147" t="s">
        <v>105</v>
      </c>
      <c r="C29" s="151">
        <v>101</v>
      </c>
      <c r="D29" s="151" t="s">
        <v>334</v>
      </c>
      <c r="E29" s="151" t="s">
        <v>335</v>
      </c>
      <c r="F29" s="148" t="s">
        <v>64</v>
      </c>
      <c r="G29" s="151" t="s">
        <v>64</v>
      </c>
      <c r="H29" s="148" t="s">
        <v>64</v>
      </c>
      <c r="I29" s="148" t="s">
        <v>336</v>
      </c>
      <c r="J29" s="151" t="s">
        <v>337</v>
      </c>
      <c r="K29" s="145">
        <v>9725414486.6499996</v>
      </c>
      <c r="L29" s="66">
        <v>13183.12</v>
      </c>
      <c r="M29" s="65">
        <v>0.8</v>
      </c>
      <c r="N29" s="88">
        <f>L29*M29</f>
        <v>10546.496000000001</v>
      </c>
      <c r="O29" s="89" t="str">
        <f>+IF(AND(H29="SI",G29="SI"),"CUMPLE","NO CUMPLE")</f>
        <v>CUMPLE</v>
      </c>
      <c r="P29" s="4"/>
      <c r="Q29" s="4"/>
      <c r="R29" s="37" t="str">
        <f>+IF(OR(O29="CUMPLE")*AND(N29&gt;=$R$16),"CUMPLE","NO CUMPLE")</f>
        <v>CUMPLE</v>
      </c>
      <c r="S29" s="4"/>
      <c r="T29" s="27"/>
      <c r="V29" s="39">
        <v>2021</v>
      </c>
      <c r="W29" s="40">
        <v>908526</v>
      </c>
    </row>
    <row r="30" spans="1:23" ht="27.95" customHeight="1" thickBot="1">
      <c r="A30" s="273"/>
      <c r="B30" s="273"/>
      <c r="C30" s="273"/>
      <c r="D30" s="273"/>
      <c r="E30" s="273"/>
      <c r="F30" s="273"/>
      <c r="G30" s="273"/>
      <c r="H30" s="273"/>
      <c r="I30" s="273"/>
      <c r="J30" s="273"/>
      <c r="K30" s="273"/>
      <c r="L30" s="273"/>
      <c r="M30" s="274"/>
      <c r="N30" s="278"/>
      <c r="O30" s="279"/>
      <c r="P30" s="4"/>
      <c r="Q30" s="4"/>
      <c r="R30" s="4"/>
      <c r="S30" s="4"/>
      <c r="T30" s="27"/>
      <c r="V30" s="38">
        <v>2015</v>
      </c>
      <c r="W30" s="41">
        <v>644350</v>
      </c>
    </row>
    <row r="31" spans="1:23" ht="36" customHeight="1" thickBot="1">
      <c r="A31" s="264" t="s">
        <v>119</v>
      </c>
      <c r="B31" s="265"/>
      <c r="C31" s="265"/>
      <c r="D31" s="265"/>
      <c r="E31" s="265"/>
      <c r="F31" s="265"/>
      <c r="G31" s="265"/>
      <c r="H31" s="265"/>
      <c r="I31" s="265"/>
      <c r="J31" s="265"/>
      <c r="K31" s="265"/>
      <c r="L31" s="265"/>
      <c r="M31" s="275"/>
      <c r="N31" s="34">
        <f>SUM(N29)</f>
        <v>10546.496000000001</v>
      </c>
      <c r="O31" s="54" t="str">
        <f>+IF(AND(O29="CUMPLE",O28="CUMPLE")*AND(N31&gt;=A28),"CUMPLE","NO CUMPLE")</f>
        <v>CUMPLE</v>
      </c>
      <c r="P31" s="10"/>
      <c r="Q31" s="4"/>
      <c r="S31" s="4"/>
      <c r="T31" s="28"/>
      <c r="V31" s="38">
        <v>2014</v>
      </c>
      <c r="W31" s="41">
        <v>616000</v>
      </c>
    </row>
    <row r="32" spans="1:23" ht="36" customHeight="1" thickBot="1">
      <c r="A32" s="55"/>
      <c r="B32" s="56"/>
      <c r="C32" s="56"/>
      <c r="D32" s="56"/>
      <c r="E32" s="56"/>
      <c r="F32" s="56"/>
      <c r="G32" s="56"/>
      <c r="H32" s="56"/>
      <c r="I32" s="56"/>
      <c r="J32" s="56"/>
      <c r="K32" s="56"/>
      <c r="L32" s="56"/>
      <c r="M32" s="56"/>
      <c r="N32" s="34"/>
      <c r="O32" s="54"/>
      <c r="P32" s="10"/>
      <c r="Q32" s="4"/>
      <c r="S32" s="4"/>
      <c r="T32" s="28"/>
      <c r="V32" s="38"/>
      <c r="W32" s="41"/>
    </row>
    <row r="33" spans="1:23" ht="51" customHeight="1" thickBot="1">
      <c r="A33" s="264"/>
      <c r="B33" s="265"/>
      <c r="C33" s="265"/>
      <c r="D33" s="265"/>
      <c r="E33" s="265"/>
      <c r="F33" s="265"/>
      <c r="G33" s="265"/>
      <c r="H33" s="265"/>
      <c r="I33" s="265"/>
      <c r="J33" s="265"/>
      <c r="K33" s="265"/>
      <c r="L33" s="267" t="s">
        <v>120</v>
      </c>
      <c r="M33" s="267"/>
      <c r="N33" s="34">
        <v>0</v>
      </c>
      <c r="O33" s="54" t="str">
        <f>O31</f>
        <v>CUMPLE</v>
      </c>
      <c r="P33" s="10"/>
      <c r="Q33" s="4"/>
      <c r="S33" s="4"/>
      <c r="T33" s="28"/>
      <c r="V33" s="38">
        <v>2014</v>
      </c>
      <c r="W33" s="41">
        <v>616000</v>
      </c>
    </row>
    <row r="34" spans="1:23" ht="27" thickBot="1">
      <c r="A34" s="57"/>
      <c r="B34" s="52"/>
      <c r="C34" s="52"/>
      <c r="D34" s="52"/>
      <c r="E34" s="52"/>
      <c r="F34" s="52"/>
      <c r="G34" s="52"/>
      <c r="H34" s="52"/>
      <c r="I34" s="52"/>
      <c r="J34" s="52"/>
      <c r="K34" s="52"/>
      <c r="L34" s="52"/>
      <c r="M34" s="52"/>
      <c r="N34" s="53"/>
      <c r="O34" s="54"/>
      <c r="P34" s="10"/>
      <c r="Q34" s="4"/>
      <c r="R34" s="4"/>
      <c r="S34" s="4"/>
      <c r="T34" s="4"/>
      <c r="V34" s="38">
        <v>2012</v>
      </c>
      <c r="W34" s="41">
        <v>566700</v>
      </c>
    </row>
    <row r="35" spans="1:23" ht="26.45" customHeight="1" thickBot="1">
      <c r="A35" s="264"/>
      <c r="B35" s="265"/>
      <c r="C35" s="265"/>
      <c r="D35" s="265"/>
      <c r="E35" s="265"/>
      <c r="F35" s="265"/>
      <c r="G35" s="265"/>
      <c r="H35" s="265"/>
      <c r="I35" s="265"/>
      <c r="J35" s="265"/>
      <c r="K35" s="265"/>
      <c r="L35" s="265"/>
      <c r="M35" s="265"/>
      <c r="N35" s="265"/>
      <c r="O35" s="266"/>
      <c r="P35" s="4"/>
      <c r="Q35" s="4"/>
      <c r="R35" s="4"/>
      <c r="S35" s="4"/>
      <c r="T35" s="4"/>
      <c r="V35" s="38">
        <v>2011</v>
      </c>
      <c r="W35" s="41">
        <v>535600</v>
      </c>
    </row>
    <row r="36" spans="1:23" ht="195" customHeight="1" thickBot="1">
      <c r="A36" s="285"/>
      <c r="B36" s="286"/>
      <c r="C36" s="286"/>
      <c r="D36" s="286"/>
      <c r="E36" s="286"/>
      <c r="F36" s="286"/>
      <c r="G36" s="286"/>
      <c r="H36" s="286"/>
      <c r="I36" s="286"/>
      <c r="J36" s="286"/>
      <c r="K36" s="286"/>
      <c r="L36" s="286"/>
      <c r="M36" s="286"/>
      <c r="N36" s="287"/>
      <c r="O36" s="91"/>
      <c r="P36" s="10"/>
      <c r="Q36" s="4"/>
      <c r="R36" s="4"/>
      <c r="S36" s="4"/>
      <c r="T36" s="4"/>
      <c r="V36" s="38">
        <v>2010</v>
      </c>
      <c r="W36" s="41">
        <v>515000</v>
      </c>
    </row>
    <row r="37" spans="1:23" ht="30.75" thickBot="1">
      <c r="A37" s="58"/>
      <c r="B37" s="50"/>
      <c r="C37" s="50"/>
      <c r="D37" s="50"/>
      <c r="E37" s="50"/>
      <c r="F37" s="50"/>
      <c r="G37" s="50"/>
      <c r="H37" s="50"/>
      <c r="I37" s="50"/>
      <c r="J37" s="50"/>
      <c r="K37" s="50"/>
      <c r="L37" s="50"/>
      <c r="M37" s="48"/>
      <c r="N37" s="48"/>
      <c r="O37" s="49"/>
      <c r="P37" s="7"/>
      <c r="Q37" s="8"/>
      <c r="V37" s="38">
        <v>2002</v>
      </c>
      <c r="W37" s="41">
        <v>309000</v>
      </c>
    </row>
    <row r="38" spans="1:23" ht="30.95" customHeight="1" thickBot="1">
      <c r="A38" s="288" t="s">
        <v>121</v>
      </c>
      <c r="B38" s="289"/>
      <c r="C38" s="289"/>
      <c r="D38" s="289"/>
      <c r="E38" s="289"/>
      <c r="F38" s="289"/>
      <c r="G38" s="289"/>
      <c r="H38" s="289"/>
      <c r="I38" s="289"/>
      <c r="J38" s="289"/>
      <c r="K38" s="289"/>
      <c r="L38" s="289"/>
      <c r="M38" s="289"/>
      <c r="N38" s="289"/>
      <c r="O38" s="290"/>
      <c r="P38" s="7"/>
      <c r="Q38" s="8"/>
      <c r="V38" s="38">
        <v>2001</v>
      </c>
      <c r="W38" s="41">
        <v>286000</v>
      </c>
    </row>
    <row r="39" spans="1:23" ht="33.950000000000003" customHeight="1" thickBot="1">
      <c r="A39" s="291" t="s">
        <v>122</v>
      </c>
      <c r="B39" s="292"/>
      <c r="C39" s="293" t="s">
        <v>123</v>
      </c>
      <c r="D39" s="294"/>
      <c r="E39" s="294"/>
      <c r="F39" s="294"/>
      <c r="G39" s="294"/>
      <c r="H39" s="294"/>
      <c r="I39" s="294"/>
      <c r="J39" s="294"/>
      <c r="K39" s="294"/>
      <c r="L39" s="295"/>
      <c r="M39" s="280" t="s">
        <v>120</v>
      </c>
      <c r="N39" s="281"/>
      <c r="O39" s="282"/>
      <c r="P39" s="9"/>
      <c r="Q39" s="8"/>
      <c r="V39" s="38">
        <v>2000</v>
      </c>
      <c r="W39" s="41">
        <v>260100</v>
      </c>
    </row>
    <row r="40" spans="1:23" ht="33.950000000000003" customHeight="1" thickBot="1">
      <c r="A40" s="291"/>
      <c r="B40" s="292"/>
      <c r="C40" s="296"/>
      <c r="D40" s="297"/>
      <c r="E40" s="297"/>
      <c r="F40" s="297"/>
      <c r="G40" s="297"/>
      <c r="H40" s="297"/>
      <c r="I40" s="297"/>
      <c r="J40" s="297"/>
      <c r="K40" s="297"/>
      <c r="L40" s="297"/>
      <c r="M40" s="103" t="s">
        <v>65</v>
      </c>
      <c r="N40" s="104"/>
      <c r="O40" s="105"/>
      <c r="P40" s="9"/>
      <c r="Q40" s="8"/>
      <c r="V40" s="38">
        <v>1999</v>
      </c>
      <c r="W40" s="41">
        <v>236438</v>
      </c>
    </row>
    <row r="41" spans="1:23" ht="31.7" customHeight="1" thickBot="1">
      <c r="A41" s="291"/>
      <c r="B41" s="292"/>
      <c r="C41" s="296"/>
      <c r="D41" s="297"/>
      <c r="E41" s="297"/>
      <c r="F41" s="297"/>
      <c r="G41" s="297"/>
      <c r="H41" s="297"/>
      <c r="I41" s="297"/>
      <c r="J41" s="297"/>
      <c r="K41" s="297"/>
      <c r="L41" s="297"/>
      <c r="M41" s="124"/>
      <c r="N41" s="121"/>
      <c r="O41" s="125"/>
      <c r="P41" s="9"/>
      <c r="Q41" s="8"/>
      <c r="V41" s="38">
        <v>1998</v>
      </c>
      <c r="W41" s="41">
        <v>203825</v>
      </c>
    </row>
    <row r="42" spans="1:23" ht="80.45" customHeight="1" thickBot="1">
      <c r="A42" s="291"/>
      <c r="B42" s="292"/>
      <c r="C42" s="298"/>
      <c r="D42" s="299"/>
      <c r="E42" s="299"/>
      <c r="F42" s="299"/>
      <c r="G42" s="299"/>
      <c r="H42" s="299"/>
      <c r="I42" s="299"/>
      <c r="J42" s="299"/>
      <c r="K42" s="299"/>
      <c r="L42" s="299"/>
      <c r="M42" s="126"/>
      <c r="N42" s="122"/>
      <c r="O42" s="127"/>
      <c r="P42" s="9"/>
      <c r="Q42" s="8"/>
      <c r="V42" s="38">
        <v>1997</v>
      </c>
      <c r="W42" s="41">
        <v>172005</v>
      </c>
    </row>
    <row r="43" spans="1:23" ht="98.45" customHeight="1" thickBot="1">
      <c r="A43" s="300" t="s">
        <v>124</v>
      </c>
      <c r="B43" s="295"/>
      <c r="C43" s="293" t="s">
        <v>125</v>
      </c>
      <c r="D43" s="294"/>
      <c r="E43" s="294"/>
      <c r="F43" s="294"/>
      <c r="G43" s="294"/>
      <c r="H43" s="294"/>
      <c r="I43" s="294"/>
      <c r="J43" s="294"/>
      <c r="K43" s="294"/>
      <c r="L43" s="294"/>
      <c r="M43" s="126"/>
      <c r="N43" s="122"/>
      <c r="O43" s="127"/>
      <c r="P43" s="9"/>
      <c r="Q43" s="8"/>
      <c r="V43" s="38">
        <v>1996</v>
      </c>
      <c r="W43" s="41">
        <v>142125</v>
      </c>
    </row>
    <row r="44" spans="1:23" ht="108.75" customHeight="1">
      <c r="A44" s="301"/>
      <c r="B44" s="302"/>
      <c r="C44" s="298"/>
      <c r="D44" s="299"/>
      <c r="E44" s="299"/>
      <c r="F44" s="299"/>
      <c r="G44" s="299"/>
      <c r="H44" s="299"/>
      <c r="I44" s="299"/>
      <c r="J44" s="299"/>
      <c r="K44" s="299"/>
      <c r="L44" s="299"/>
      <c r="M44" s="128">
        <v>20</v>
      </c>
      <c r="N44" s="123"/>
      <c r="O44" s="129"/>
      <c r="P44" s="9"/>
      <c r="Q44" s="8"/>
      <c r="V44" s="38">
        <v>1996</v>
      </c>
      <c r="W44" s="41">
        <v>142125</v>
      </c>
    </row>
    <row r="45" spans="1:23" ht="193.35" customHeight="1" thickBot="1">
      <c r="A45" s="307"/>
      <c r="B45" s="306"/>
      <c r="C45" s="307" t="s">
        <v>126</v>
      </c>
      <c r="D45" s="284"/>
      <c r="E45" s="284"/>
      <c r="F45" s="284"/>
      <c r="G45" s="284"/>
      <c r="H45" s="284"/>
      <c r="I45" s="284"/>
      <c r="J45" s="284"/>
      <c r="K45" s="284"/>
      <c r="L45" s="284"/>
      <c r="M45" s="130"/>
      <c r="N45" s="131"/>
      <c r="O45" s="132"/>
      <c r="P45" s="9"/>
      <c r="Q45" s="8"/>
      <c r="V45" s="38">
        <v>1996</v>
      </c>
      <c r="W45" s="41">
        <v>142125</v>
      </c>
    </row>
    <row r="46" spans="1:23" ht="18" customHeight="1" thickBot="1">
      <c r="A46" s="61"/>
      <c r="B46" s="62"/>
      <c r="C46" s="59"/>
      <c r="D46" s="59"/>
      <c r="E46" s="59"/>
      <c r="F46" s="59"/>
      <c r="G46" s="59"/>
      <c r="H46" s="59"/>
      <c r="I46" s="59"/>
      <c r="J46" s="59"/>
      <c r="K46" s="59"/>
      <c r="L46" s="59"/>
      <c r="M46" s="59"/>
      <c r="N46" s="60"/>
      <c r="O46" s="54"/>
      <c r="P46" s="10"/>
      <c r="Q46" s="4"/>
      <c r="R46" s="4"/>
      <c r="S46" s="4"/>
      <c r="T46" s="4"/>
      <c r="V46" s="38">
        <v>2009</v>
      </c>
      <c r="W46" s="41">
        <v>496900</v>
      </c>
    </row>
    <row r="47" spans="1:23" ht="28.5" customHeight="1" thickBot="1">
      <c r="A47" s="108" t="s">
        <v>127</v>
      </c>
      <c r="B47" s="109"/>
      <c r="C47" s="109"/>
      <c r="D47" s="109"/>
      <c r="E47" s="109"/>
      <c r="F47" s="109"/>
      <c r="G47" s="109"/>
      <c r="H47" s="109"/>
      <c r="I47" s="109"/>
      <c r="J47" s="109"/>
      <c r="K47" s="109"/>
      <c r="L47" s="109"/>
      <c r="M47" s="109"/>
      <c r="N47" s="109"/>
      <c r="O47" s="110"/>
      <c r="V47" s="38">
        <v>2005</v>
      </c>
      <c r="W47" s="41">
        <v>381500</v>
      </c>
    </row>
    <row r="48" spans="1:23" ht="90" customHeight="1" thickBot="1">
      <c r="A48" s="283" t="s">
        <v>128</v>
      </c>
      <c r="B48" s="284"/>
      <c r="C48" s="284"/>
      <c r="D48" s="284"/>
      <c r="E48" s="284"/>
      <c r="F48" s="284"/>
      <c r="G48" s="284"/>
      <c r="H48" s="284"/>
      <c r="I48" s="284"/>
      <c r="J48" s="284"/>
      <c r="K48" s="284"/>
      <c r="L48" s="284"/>
      <c r="M48" s="280" t="s">
        <v>120</v>
      </c>
      <c r="N48" s="281"/>
      <c r="O48" s="282"/>
      <c r="P48" s="7"/>
      <c r="Q48" s="8"/>
      <c r="V48" s="38">
        <v>2004</v>
      </c>
      <c r="W48" s="41">
        <v>358000</v>
      </c>
    </row>
    <row r="49" spans="1:23" ht="99.75" customHeight="1" thickBot="1">
      <c r="A49" s="283" t="s">
        <v>129</v>
      </c>
      <c r="B49" s="284"/>
      <c r="C49" s="284"/>
      <c r="D49" s="284"/>
      <c r="E49" s="284"/>
      <c r="F49" s="284"/>
      <c r="G49" s="284"/>
      <c r="H49" s="284"/>
      <c r="I49" s="284"/>
      <c r="J49" s="284"/>
      <c r="K49" s="284"/>
      <c r="L49" s="284"/>
      <c r="M49" s="103" t="s">
        <v>65</v>
      </c>
      <c r="N49" s="104"/>
      <c r="O49" s="105"/>
      <c r="P49" s="7"/>
      <c r="Q49" s="8"/>
      <c r="V49" s="38">
        <v>2003</v>
      </c>
      <c r="W49" s="41">
        <v>332000</v>
      </c>
    </row>
    <row r="50" spans="1:23" ht="99.75" customHeight="1" thickBot="1">
      <c r="A50" s="283" t="s">
        <v>130</v>
      </c>
      <c r="B50" s="284"/>
      <c r="C50" s="284"/>
      <c r="D50" s="284"/>
      <c r="E50" s="284"/>
      <c r="F50" s="284"/>
      <c r="G50" s="284"/>
      <c r="H50" s="284"/>
      <c r="I50" s="284"/>
      <c r="J50" s="284"/>
      <c r="K50" s="284"/>
      <c r="L50" s="306"/>
      <c r="M50" s="120">
        <v>1</v>
      </c>
      <c r="N50" s="118"/>
      <c r="O50" s="119"/>
      <c r="P50" s="7"/>
      <c r="Q50" s="8"/>
      <c r="V50" s="38">
        <v>2003</v>
      </c>
      <c r="W50" s="41">
        <v>332000</v>
      </c>
    </row>
    <row r="51" spans="1:23" ht="31.35" customHeight="1" thickBot="1">
      <c r="A51" s="111" t="s">
        <v>131</v>
      </c>
      <c r="B51" s="112"/>
      <c r="C51" s="112"/>
      <c r="D51" s="112"/>
      <c r="E51" s="112"/>
      <c r="F51" s="112"/>
      <c r="G51" s="112"/>
      <c r="H51" s="112"/>
      <c r="I51" s="112"/>
      <c r="J51" s="112"/>
      <c r="K51" s="112"/>
      <c r="L51" s="112"/>
      <c r="M51" s="112"/>
      <c r="N51" s="112"/>
      <c r="O51" s="113"/>
      <c r="P51" s="7"/>
      <c r="Q51" s="8"/>
      <c r="V51" s="38"/>
      <c r="W51" s="41"/>
    </row>
    <row r="52" spans="1:23" ht="99.75" customHeight="1">
      <c r="A52" s="303" t="s">
        <v>132</v>
      </c>
      <c r="B52" s="304"/>
      <c r="C52" s="304"/>
      <c r="D52" s="304"/>
      <c r="E52" s="304"/>
      <c r="F52" s="304"/>
      <c r="G52" s="304"/>
      <c r="H52" s="304"/>
      <c r="I52" s="304"/>
      <c r="J52" s="304"/>
      <c r="K52" s="304"/>
      <c r="L52" s="305"/>
      <c r="M52" s="106" t="s">
        <v>65</v>
      </c>
      <c r="N52" s="107"/>
      <c r="O52" s="70">
        <v>19</v>
      </c>
      <c r="P52" s="7"/>
      <c r="Q52" s="8"/>
      <c r="V52" s="38"/>
      <c r="W52" s="41"/>
    </row>
    <row r="53" spans="1:23" ht="31.35" customHeight="1" thickBot="1">
      <c r="A53" s="114" t="s">
        <v>133</v>
      </c>
      <c r="B53" s="115"/>
      <c r="C53" s="115"/>
      <c r="D53" s="115"/>
      <c r="E53" s="115"/>
      <c r="F53" s="115"/>
      <c r="G53" s="115"/>
      <c r="H53" s="115"/>
      <c r="I53" s="115"/>
      <c r="J53" s="115"/>
      <c r="K53" s="115"/>
      <c r="L53" s="115"/>
      <c r="M53" s="116"/>
      <c r="N53" s="116"/>
      <c r="O53" s="117"/>
      <c r="P53" s="7"/>
      <c r="Q53" s="8"/>
      <c r="V53" s="38"/>
      <c r="W53" s="41"/>
    </row>
    <row r="54" spans="1:23" ht="162.19999999999999" customHeight="1">
      <c r="A54" s="283" t="s">
        <v>134</v>
      </c>
      <c r="B54" s="284"/>
      <c r="C54" s="284"/>
      <c r="D54" s="284"/>
      <c r="E54" s="284"/>
      <c r="F54" s="284"/>
      <c r="G54" s="284"/>
      <c r="H54" s="284"/>
      <c r="I54" s="284"/>
      <c r="J54" s="284"/>
      <c r="K54" s="284"/>
      <c r="L54" s="284"/>
      <c r="M54" s="106" t="s">
        <v>65</v>
      </c>
      <c r="N54" s="107"/>
      <c r="O54" s="70">
        <v>0.25</v>
      </c>
      <c r="P54" s="7"/>
      <c r="Q54" s="8"/>
      <c r="V54" s="38"/>
      <c r="W54" s="41"/>
    </row>
    <row r="55" spans="1:23" ht="29.25" customHeight="1" thickBot="1">
      <c r="A55" s="111" t="s">
        <v>135</v>
      </c>
      <c r="B55" s="112"/>
      <c r="C55" s="112"/>
      <c r="D55" s="112"/>
      <c r="E55" s="112"/>
      <c r="F55" s="112"/>
      <c r="G55" s="112"/>
      <c r="H55" s="112"/>
      <c r="I55" s="112"/>
      <c r="J55" s="112"/>
      <c r="K55" s="112"/>
      <c r="L55" s="112"/>
      <c r="M55" s="116"/>
      <c r="N55" s="116"/>
      <c r="O55" s="117"/>
      <c r="P55" s="7"/>
      <c r="Q55" s="8"/>
      <c r="V55" s="38"/>
      <c r="W55" s="41"/>
    </row>
    <row r="56" spans="1:23" ht="131.85" customHeight="1">
      <c r="A56" s="303" t="s">
        <v>136</v>
      </c>
      <c r="B56" s="304"/>
      <c r="C56" s="304"/>
      <c r="D56" s="304"/>
      <c r="E56" s="304"/>
      <c r="F56" s="304"/>
      <c r="G56" s="304"/>
      <c r="H56" s="304"/>
      <c r="I56" s="304"/>
      <c r="J56" s="304"/>
      <c r="K56" s="304"/>
      <c r="L56" s="305"/>
      <c r="M56" s="106" t="s">
        <v>65</v>
      </c>
      <c r="N56" s="107"/>
      <c r="O56" s="70">
        <v>0.25</v>
      </c>
      <c r="P56" s="7"/>
      <c r="Q56" s="8"/>
      <c r="V56" s="38"/>
      <c r="W56" s="41"/>
    </row>
    <row r="57" spans="1:23" ht="29.25" customHeight="1" thickBot="1">
      <c r="A57" s="114" t="s">
        <v>137</v>
      </c>
      <c r="B57" s="115"/>
      <c r="C57" s="115"/>
      <c r="D57" s="115"/>
      <c r="E57" s="115"/>
      <c r="F57" s="115"/>
      <c r="G57" s="115"/>
      <c r="H57" s="115"/>
      <c r="I57" s="115"/>
      <c r="J57" s="115"/>
      <c r="K57" s="115"/>
      <c r="L57" s="115"/>
      <c r="M57" s="115"/>
      <c r="N57" s="115"/>
      <c r="O57" s="117"/>
      <c r="P57" s="7"/>
      <c r="Q57" s="8"/>
      <c r="V57" s="38"/>
      <c r="W57" s="41"/>
    </row>
    <row r="58" spans="1:23" ht="162.4" customHeight="1">
      <c r="A58" s="300" t="s">
        <v>138</v>
      </c>
      <c r="B58" s="294"/>
      <c r="C58" s="294"/>
      <c r="D58" s="294"/>
      <c r="E58" s="294"/>
      <c r="F58" s="294"/>
      <c r="G58" s="294"/>
      <c r="H58" s="294"/>
      <c r="I58" s="294"/>
      <c r="J58" s="294"/>
      <c r="K58" s="294"/>
      <c r="L58" s="294"/>
      <c r="M58" s="294"/>
      <c r="N58" s="294"/>
      <c r="O58" s="102">
        <v>0</v>
      </c>
      <c r="P58" s="7"/>
      <c r="Q58" s="8"/>
      <c r="V58" s="38"/>
      <c r="W58" s="41"/>
    </row>
    <row r="59" spans="1:23" ht="30.2" customHeight="1" thickBot="1">
      <c r="A59" s="320" t="s">
        <v>99</v>
      </c>
      <c r="B59" s="321"/>
      <c r="C59" s="321"/>
      <c r="D59" s="321"/>
      <c r="E59" s="321"/>
      <c r="F59" s="321"/>
      <c r="G59" s="321"/>
      <c r="H59" s="321"/>
      <c r="I59" s="322" t="s">
        <v>65</v>
      </c>
      <c r="J59" s="323"/>
      <c r="K59" s="323"/>
      <c r="L59" s="323"/>
      <c r="M59" s="323"/>
      <c r="N59" s="323"/>
      <c r="O59" s="324"/>
      <c r="P59" s="9"/>
      <c r="Q59" s="8"/>
      <c r="V59" s="38">
        <v>1995</v>
      </c>
      <c r="W59" s="41">
        <v>118934</v>
      </c>
    </row>
    <row r="60" spans="1:23" ht="34.5" thickBot="1">
      <c r="A60" s="322" t="s">
        <v>139</v>
      </c>
      <c r="B60" s="323"/>
      <c r="C60" s="323"/>
      <c r="D60" s="323"/>
      <c r="E60" s="323"/>
      <c r="F60" s="323"/>
      <c r="G60" s="323"/>
      <c r="H60" s="324"/>
      <c r="I60" s="322" t="s">
        <v>65</v>
      </c>
      <c r="J60" s="323"/>
      <c r="K60" s="323"/>
      <c r="L60" s="324"/>
      <c r="M60" s="308">
        <f>+O56+O54+O52+M50+M44+O58</f>
        <v>40.5</v>
      </c>
      <c r="N60" s="309"/>
      <c r="O60" s="310"/>
      <c r="P60" s="9"/>
      <c r="Q60" s="8"/>
      <c r="R60" s="308"/>
      <c r="S60" s="309"/>
      <c r="T60" s="310"/>
      <c r="V60" s="38">
        <v>1994</v>
      </c>
      <c r="W60" s="41">
        <v>98700</v>
      </c>
    </row>
    <row r="61" spans="1:23" ht="15" customHeight="1">
      <c r="A61" s="369" t="s">
        <v>344</v>
      </c>
      <c r="B61" s="312"/>
      <c r="C61" s="312"/>
      <c r="D61" s="312"/>
      <c r="E61" s="312"/>
      <c r="F61" s="312"/>
      <c r="G61" s="312"/>
      <c r="H61" s="312"/>
      <c r="I61" s="312"/>
      <c r="J61" s="312"/>
      <c r="K61" s="312"/>
      <c r="L61" s="312"/>
      <c r="M61" s="312"/>
      <c r="N61" s="312"/>
      <c r="O61" s="313"/>
      <c r="P61" s="9"/>
      <c r="Q61" s="8"/>
      <c r="V61" s="38">
        <v>1993</v>
      </c>
      <c r="W61" s="41">
        <v>81510</v>
      </c>
    </row>
    <row r="62" spans="1:23" ht="30.95" customHeight="1" thickBot="1">
      <c r="A62" s="314"/>
      <c r="B62" s="315"/>
      <c r="C62" s="315"/>
      <c r="D62" s="315"/>
      <c r="E62" s="315"/>
      <c r="F62" s="315"/>
      <c r="G62" s="315"/>
      <c r="H62" s="315"/>
      <c r="I62" s="315"/>
      <c r="J62" s="315"/>
      <c r="K62" s="315"/>
      <c r="L62" s="315"/>
      <c r="M62" s="315"/>
      <c r="N62" s="315"/>
      <c r="O62" s="316"/>
      <c r="P62" s="9"/>
      <c r="Q62" s="8"/>
      <c r="V62" s="38">
        <v>1992</v>
      </c>
      <c r="W62" s="41">
        <v>65190</v>
      </c>
    </row>
    <row r="63" spans="1:23" ht="62.45" customHeight="1" thickBot="1">
      <c r="A63" s="317"/>
      <c r="B63" s="318"/>
      <c r="C63" s="318"/>
      <c r="D63" s="318"/>
      <c r="E63" s="318"/>
      <c r="F63" s="318"/>
      <c r="G63" s="318"/>
      <c r="H63" s="318"/>
      <c r="I63" s="318"/>
      <c r="J63" s="318"/>
      <c r="K63" s="318"/>
      <c r="L63" s="318"/>
      <c r="M63" s="318"/>
      <c r="N63" s="318"/>
      <c r="O63" s="319"/>
      <c r="P63" s="9"/>
      <c r="Q63" s="8"/>
      <c r="V63" s="38">
        <v>1991</v>
      </c>
      <c r="W63" s="41">
        <v>51720</v>
      </c>
    </row>
    <row r="64" spans="1:23" ht="18.75" thickBot="1">
      <c r="A64" s="8"/>
      <c r="B64" s="8"/>
      <c r="C64" s="8"/>
      <c r="D64" s="8"/>
      <c r="E64" s="8"/>
      <c r="F64" s="8"/>
      <c r="G64" s="8"/>
      <c r="H64" s="8"/>
      <c r="I64" s="8"/>
      <c r="J64" s="8"/>
      <c r="K64" s="8"/>
      <c r="L64" s="8"/>
      <c r="M64" s="8"/>
      <c r="N64" s="8"/>
      <c r="O64" s="8"/>
      <c r="P64" s="9"/>
      <c r="Q64" s="8"/>
      <c r="V64" s="42">
        <v>1990</v>
      </c>
      <c r="W64" s="43">
        <v>41025</v>
      </c>
    </row>
    <row r="65" spans="1:17">
      <c r="A65" s="8"/>
      <c r="B65" s="8"/>
      <c r="C65" s="8"/>
      <c r="D65" s="8"/>
      <c r="E65" s="8"/>
      <c r="F65" s="8"/>
      <c r="G65" s="8"/>
      <c r="H65" s="8"/>
      <c r="I65" s="8"/>
      <c r="J65" s="8"/>
      <c r="K65" s="8"/>
      <c r="L65" s="8"/>
      <c r="M65" s="8"/>
      <c r="N65" s="8"/>
      <c r="O65" s="8"/>
      <c r="P65" s="9"/>
      <c r="Q65" s="8"/>
    </row>
    <row r="66" spans="1:17">
      <c r="A66" s="8"/>
      <c r="B66" s="8"/>
      <c r="C66" s="8"/>
      <c r="D66" s="8"/>
      <c r="E66" s="8"/>
      <c r="F66" s="8"/>
      <c r="G66" s="8"/>
      <c r="H66" s="8"/>
      <c r="I66" s="8"/>
      <c r="J66" s="8"/>
      <c r="K66" s="8"/>
      <c r="L66" s="8"/>
      <c r="M66" s="8"/>
      <c r="N66" s="8"/>
      <c r="O66" s="8"/>
      <c r="P66" s="9"/>
      <c r="Q66" s="8"/>
    </row>
    <row r="67" spans="1:17">
      <c r="A67" s="25"/>
      <c r="B67" s="8"/>
      <c r="C67" s="8"/>
      <c r="D67" s="8"/>
      <c r="E67" s="8"/>
      <c r="F67" s="8"/>
      <c r="G67" s="8"/>
      <c r="H67" s="8"/>
      <c r="I67" s="8"/>
      <c r="J67" s="8"/>
      <c r="K67" s="8"/>
      <c r="L67" s="8"/>
      <c r="M67" s="8"/>
      <c r="N67" s="8"/>
      <c r="O67" s="8"/>
      <c r="P67" s="9"/>
      <c r="Q67" s="8"/>
    </row>
    <row r="68" spans="1:17">
      <c r="A68" s="25"/>
      <c r="B68" s="8"/>
      <c r="C68" s="8"/>
      <c r="D68" s="8"/>
      <c r="E68" s="8"/>
      <c r="F68" s="8"/>
      <c r="G68" s="8"/>
      <c r="H68" s="8"/>
      <c r="I68" s="8"/>
      <c r="J68" s="8"/>
      <c r="K68" s="8"/>
      <c r="L68" s="8"/>
      <c r="M68" s="8"/>
      <c r="N68" s="8"/>
      <c r="O68" s="8"/>
      <c r="P68" s="9"/>
      <c r="Q68" s="8"/>
    </row>
    <row r="69" spans="1:17">
      <c r="A69" s="25"/>
      <c r="B69" s="8"/>
      <c r="C69" s="8"/>
      <c r="D69" s="8"/>
      <c r="E69" s="8"/>
      <c r="F69" s="8"/>
      <c r="G69" s="8"/>
      <c r="H69" s="8"/>
      <c r="I69" s="8"/>
      <c r="J69" s="8"/>
      <c r="K69" s="8"/>
      <c r="L69" s="8"/>
      <c r="M69" s="8"/>
      <c r="N69" s="8"/>
      <c r="O69" s="8"/>
      <c r="P69" s="9"/>
      <c r="Q69" s="8"/>
    </row>
    <row r="70" spans="1:17">
      <c r="A70" s="25"/>
      <c r="B70" s="8"/>
      <c r="C70" s="8"/>
      <c r="D70" s="8"/>
      <c r="E70" s="8"/>
      <c r="F70" s="8"/>
      <c r="G70" s="8"/>
      <c r="H70" s="8"/>
      <c r="I70" s="8"/>
      <c r="J70" s="8"/>
      <c r="K70" s="8"/>
      <c r="L70" s="8"/>
      <c r="M70" s="8"/>
      <c r="N70" s="8"/>
      <c r="O70" s="8"/>
      <c r="P70" s="9"/>
      <c r="Q70" s="8"/>
    </row>
    <row r="71" spans="1:17">
      <c r="A71" s="8"/>
      <c r="B71" s="8"/>
      <c r="C71" s="8"/>
      <c r="D71" s="8"/>
      <c r="E71" s="8"/>
      <c r="F71" s="8"/>
      <c r="G71" s="8"/>
      <c r="H71" s="8"/>
      <c r="I71" s="8"/>
      <c r="J71" s="8"/>
      <c r="K71" s="8"/>
      <c r="L71" s="8"/>
      <c r="M71" s="8"/>
      <c r="N71" s="8"/>
      <c r="O71" s="8"/>
      <c r="P71" s="9"/>
      <c r="Q71" s="8"/>
    </row>
    <row r="72" spans="1:17">
      <c r="A72" s="8"/>
      <c r="B72" s="8"/>
      <c r="C72" s="8"/>
      <c r="D72" s="8"/>
      <c r="E72" s="8"/>
      <c r="F72" s="8"/>
      <c r="G72" s="8"/>
      <c r="H72" s="8"/>
      <c r="I72" s="8"/>
      <c r="J72" s="8"/>
      <c r="K72" s="8"/>
      <c r="L72" s="8"/>
      <c r="M72" s="8"/>
      <c r="N72" s="8"/>
      <c r="O72" s="8"/>
      <c r="P72" s="9"/>
      <c r="Q72" s="8"/>
    </row>
    <row r="73" spans="1:17">
      <c r="A73" s="8"/>
      <c r="B73" s="8"/>
      <c r="C73" s="8"/>
      <c r="D73" s="8"/>
      <c r="E73" s="8"/>
      <c r="F73" s="8"/>
      <c r="G73" s="8"/>
      <c r="H73" s="8"/>
      <c r="I73" s="8"/>
      <c r="J73" s="8"/>
      <c r="K73" s="8"/>
      <c r="L73" s="8"/>
      <c r="M73" s="8"/>
      <c r="N73" s="8"/>
      <c r="O73" s="8"/>
      <c r="P73" s="9"/>
      <c r="Q73" s="8"/>
    </row>
    <row r="74" spans="1:17">
      <c r="A74" s="8"/>
      <c r="B74" s="8"/>
      <c r="C74" s="8"/>
      <c r="D74" s="8"/>
      <c r="E74" s="8"/>
      <c r="F74" s="8"/>
      <c r="G74" s="8"/>
      <c r="H74" s="8"/>
      <c r="I74" s="8"/>
      <c r="J74" s="8"/>
      <c r="K74" s="8"/>
      <c r="L74" s="8"/>
      <c r="M74" s="8"/>
      <c r="N74" s="8"/>
      <c r="O74" s="8"/>
      <c r="P74" s="9"/>
      <c r="Q74" s="8"/>
    </row>
    <row r="75" spans="1:17" ht="199.5">
      <c r="A75" s="30">
        <v>3108041163</v>
      </c>
      <c r="B75" s="31" t="s">
        <v>140</v>
      </c>
      <c r="C75" s="51" t="s">
        <v>66</v>
      </c>
      <c r="P75" s="9"/>
      <c r="Q75" s="8"/>
    </row>
    <row r="76" spans="1:17">
      <c r="A76" s="32"/>
      <c r="B76" s="31"/>
      <c r="C76" s="31"/>
      <c r="P76" s="9"/>
      <c r="Q76" s="8"/>
    </row>
    <row r="77" spans="1:17">
      <c r="A77" s="32"/>
      <c r="B77" s="31"/>
      <c r="C77" s="31"/>
      <c r="P77" s="9"/>
      <c r="Q77" s="8"/>
    </row>
    <row r="78" spans="1:17">
      <c r="A78" s="14"/>
      <c r="C78" s="13"/>
      <c r="P78" s="9"/>
      <c r="Q78" s="8"/>
    </row>
    <row r="79" spans="1:17">
      <c r="A79" s="14"/>
      <c r="C79" s="13"/>
      <c r="P79" s="9"/>
      <c r="Q79" s="8"/>
    </row>
    <row r="80" spans="1:17">
      <c r="A80" s="14"/>
      <c r="C80" s="13"/>
      <c r="O80" s="3"/>
      <c r="P80" s="8"/>
      <c r="Q80" s="8"/>
    </row>
    <row r="81" spans="1:3">
      <c r="A81" s="14"/>
      <c r="C81" s="13"/>
    </row>
    <row r="82" spans="1:3">
      <c r="A82" s="14"/>
      <c r="C82" s="13"/>
    </row>
    <row r="89" spans="1:3">
      <c r="C89" s="29"/>
    </row>
    <row r="90" spans="1:3">
      <c r="C90" s="29"/>
    </row>
    <row r="92" spans="1:3">
      <c r="C92" s="29"/>
    </row>
    <row r="94" spans="1:3">
      <c r="C94" s="29"/>
    </row>
  </sheetData>
  <autoFilter ref="A1:R11" xr:uid="{00000000-0001-0000-06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dataConsolidate/>
  <mergeCells count="60">
    <mergeCell ref="A1:O1"/>
    <mergeCell ref="A2:O2"/>
    <mergeCell ref="A3:O3"/>
    <mergeCell ref="A4:A10"/>
    <mergeCell ref="B4:E10"/>
    <mergeCell ref="F4:H7"/>
    <mergeCell ref="I4:N4"/>
    <mergeCell ref="I5:N5"/>
    <mergeCell ref="I6:N6"/>
    <mergeCell ref="I7:N7"/>
    <mergeCell ref="A14:O14"/>
    <mergeCell ref="F8:G8"/>
    <mergeCell ref="I8:N8"/>
    <mergeCell ref="F9:G9"/>
    <mergeCell ref="I9:N9"/>
    <mergeCell ref="F10:G10"/>
    <mergeCell ref="I10:N10"/>
    <mergeCell ref="P10:U10"/>
    <mergeCell ref="C11:H11"/>
    <mergeCell ref="J11:L11"/>
    <mergeCell ref="M11:O11"/>
    <mergeCell ref="A13:O13"/>
    <mergeCell ref="A33:K33"/>
    <mergeCell ref="L33:M33"/>
    <mergeCell ref="A15:O15"/>
    <mergeCell ref="U15:U16"/>
    <mergeCell ref="A17:A22"/>
    <mergeCell ref="A23:M23"/>
    <mergeCell ref="A24:M24"/>
    <mergeCell ref="A25:O25"/>
    <mergeCell ref="A26:O26"/>
    <mergeCell ref="A28:A29"/>
    <mergeCell ref="A30:M30"/>
    <mergeCell ref="N30:O30"/>
    <mergeCell ref="A31:M31"/>
    <mergeCell ref="M48:O48"/>
    <mergeCell ref="A35:O35"/>
    <mergeCell ref="A36:N36"/>
    <mergeCell ref="A38:O38"/>
    <mergeCell ref="A39:B42"/>
    <mergeCell ref="C39:L42"/>
    <mergeCell ref="M39:O39"/>
    <mergeCell ref="A43:B44"/>
    <mergeCell ref="C43:L44"/>
    <mergeCell ref="A45:B45"/>
    <mergeCell ref="C45:L45"/>
    <mergeCell ref="A48:L48"/>
    <mergeCell ref="R60:T60"/>
    <mergeCell ref="A49:L49"/>
    <mergeCell ref="A50:L50"/>
    <mergeCell ref="A52:L52"/>
    <mergeCell ref="A54:L54"/>
    <mergeCell ref="A56:L56"/>
    <mergeCell ref="A58:N58"/>
    <mergeCell ref="A61:O63"/>
    <mergeCell ref="A59:H59"/>
    <mergeCell ref="I59:O59"/>
    <mergeCell ref="A60:H60"/>
    <mergeCell ref="I60:L60"/>
    <mergeCell ref="M60:O60"/>
  </mergeCells>
  <conditionalFormatting sqref="I59">
    <cfRule type="cellIs" dxfId="27" priority="19" operator="equal">
      <formula>"NO CUMPLE"</formula>
    </cfRule>
    <cfRule type="cellIs" dxfId="26" priority="20" operator="equal">
      <formula>"CUMPLE"</formula>
    </cfRule>
    <cfRule type="cellIs" dxfId="25" priority="21" operator="equal">
      <formula>100</formula>
    </cfRule>
  </conditionalFormatting>
  <conditionalFormatting sqref="I60:L60">
    <cfRule type="cellIs" dxfId="24" priority="28" operator="equal">
      <formula>"NO CUMPLE"</formula>
    </cfRule>
    <cfRule type="cellIs" dxfId="23" priority="29" operator="equal">
      <formula>"CUMPLE"</formula>
    </cfRule>
  </conditionalFormatting>
  <conditionalFormatting sqref="I60:O60">
    <cfRule type="cellIs" dxfId="22" priority="6" operator="equal">
      <formula>100</formula>
    </cfRule>
  </conditionalFormatting>
  <conditionalFormatting sqref="M60:O60">
    <cfRule type="cellIs" dxfId="21" priority="5" operator="lessThan">
      <formula>100</formula>
    </cfRule>
  </conditionalFormatting>
  <conditionalFormatting sqref="O17:O22">
    <cfRule type="containsText" dxfId="20" priority="4" operator="containsText" text="NO CUMPLE">
      <formula>NOT(ISERROR(SEARCH("NO CUMPLE",O17)))</formula>
    </cfRule>
  </conditionalFormatting>
  <conditionalFormatting sqref="O23">
    <cfRule type="cellIs" dxfId="19" priority="25" operator="equal">
      <formula>"NO CUMPLE"</formula>
    </cfRule>
    <cfRule type="cellIs" dxfId="18" priority="26" operator="equal">
      <formula>"CUMPLE"</formula>
    </cfRule>
    <cfRule type="cellIs" dxfId="17" priority="27" operator="equal">
      <formula>100</formula>
    </cfRule>
  </conditionalFormatting>
  <conditionalFormatting sqref="O36:O38">
    <cfRule type="cellIs" dxfId="16" priority="22" operator="equal">
      <formula>"NO CUMPLE"</formula>
    </cfRule>
    <cfRule type="cellIs" dxfId="15" priority="23" operator="equal">
      <formula>"CUMPLE"</formula>
    </cfRule>
    <cfRule type="cellIs" dxfId="14" priority="24" operator="equal">
      <formula>100</formula>
    </cfRule>
  </conditionalFormatting>
  <conditionalFormatting sqref="O46">
    <cfRule type="cellIs" dxfId="13" priority="10" operator="equal">
      <formula>"NO CUMPLE"</formula>
    </cfRule>
    <cfRule type="cellIs" dxfId="12" priority="11" operator="equal">
      <formula>"CUMPLE"</formula>
    </cfRule>
    <cfRule type="cellIs" dxfId="11" priority="12" operator="equal">
      <formula>100</formula>
    </cfRule>
  </conditionalFormatting>
  <conditionalFormatting sqref="O31:P34">
    <cfRule type="cellIs" dxfId="10" priority="1" operator="equal">
      <formula>"NO CUMPLE"</formula>
    </cfRule>
    <cfRule type="cellIs" dxfId="9" priority="2" operator="equal">
      <formula>"CUMPLE"</formula>
    </cfRule>
    <cfRule type="cellIs" dxfId="8" priority="3" operator="equal">
      <formula>100</formula>
    </cfRule>
  </conditionalFormatting>
  <conditionalFormatting sqref="P24">
    <cfRule type="cellIs" dxfId="7" priority="66" operator="equal">
      <formula>"NO CUMPLE"</formula>
    </cfRule>
    <cfRule type="cellIs" dxfId="6" priority="67" operator="equal">
      <formula>"CUMPLE"</formula>
    </cfRule>
    <cfRule type="cellIs" dxfId="5" priority="68" operator="equal">
      <formula>100</formula>
    </cfRule>
  </conditionalFormatting>
  <conditionalFormatting sqref="P36:P46">
    <cfRule type="cellIs" dxfId="4" priority="42" operator="equal">
      <formula>"NO CUMPLE"</formula>
    </cfRule>
    <cfRule type="cellIs" dxfId="3" priority="43" operator="equal">
      <formula>"CUMPLE"</formula>
    </cfRule>
    <cfRule type="cellIs" dxfId="2" priority="44" operator="equal">
      <formula>100</formula>
    </cfRule>
  </conditionalFormatting>
  <conditionalFormatting sqref="R60:T60">
    <cfRule type="cellIs" dxfId="1" priority="40" operator="lessThan">
      <formula>100</formula>
    </cfRule>
    <cfRule type="cellIs" dxfId="0" priority="41" operator="equal">
      <formula>100</formula>
    </cfRule>
  </conditionalFormatting>
  <dataValidations count="7">
    <dataValidation type="list" allowBlank="1" showInputMessage="1" showErrorMessage="1" sqref="M37:O37" xr:uid="{214AE197-2EC0-4977-9661-58B1FB246781}">
      <formula1>$U$1:$U$2</formula1>
    </dataValidation>
    <dataValidation type="list" allowBlank="1" showInputMessage="1" showErrorMessage="1" sqref="G22:H22" xr:uid="{95934E41-C332-401D-84A9-3217CAC15E56}">
      <formula1>$Q$2:$Q$3</formula1>
    </dataValidation>
    <dataValidation type="list" allowBlank="1" showInputMessage="1" showErrorMessage="1" sqref="O36:O38" xr:uid="{6A6DB676-1839-4DF4-AD60-21E0BE2E632A}">
      <formula1>$R$4:$R$5</formula1>
    </dataValidation>
    <dataValidation type="list" allowBlank="1" showInputMessage="1" showErrorMessage="1" error="SELECCIONE EL PRESUPUESTO A EVALUAR, EN LA LISTA DESPEGABLE._x000a_" sqref="I11:I12 J12:K12" xr:uid="{1205275C-F1F9-4878-A1A5-E63B4B633173}">
      <formula1>$A$75:$A$82</formula1>
    </dataValidation>
    <dataValidation type="list" allowBlank="1" showInputMessage="1" showErrorMessage="1" sqref="A3" xr:uid="{1C136B10-ADDD-4A02-8A32-C863CEA12A79}">
      <formula1>$C$75:$C$82</formula1>
    </dataValidation>
    <dataValidation type="list" allowBlank="1" showInputMessage="1" showErrorMessage="1" sqref="V1:V2" xr:uid="{65DA5ED2-5DF2-4DD2-B227-B0E10F4279A6}">
      <formula1>$V$1:$V$2</formula1>
    </dataValidation>
    <dataValidation type="list" allowBlank="1" showInputMessage="1" showErrorMessage="1" sqref="J60:L60 I59:I60 O46" xr:uid="{B474F203-6AE5-407D-BB09-7FCD76F4C0A7}">
      <formula1>$R$2:$R$3</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5" max="14" man="1"/>
    <brk id="74"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19</vt:i4>
      </vt:variant>
    </vt:vector>
  </HeadingPairs>
  <TitlesOfParts>
    <vt:vector size="41" baseType="lpstr">
      <vt:lpstr>RESUM (2)</vt:lpstr>
      <vt:lpstr>SALARIOS</vt:lpstr>
      <vt:lpstr>consideraciones</vt:lpstr>
      <vt:lpstr>RESUMEN</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'2'!Área_de_impresión</vt:lpstr>
      <vt:lpstr>'3'!Área_de_impresión</vt:lpstr>
      <vt:lpstr>'4'!Área_de_impresión</vt:lpstr>
      <vt:lpstr>'5'!Área_de_impresión</vt:lpstr>
      <vt:lpstr>'6'!Área_de_impresión</vt:lpstr>
      <vt:lpstr>'7'!Área_de_impresión</vt:lpstr>
      <vt:lpstr>'8'!Área_de_impresión</vt:lpstr>
      <vt:lpstr>'9'!Área_de_impresión</vt:lpstr>
      <vt:lpstr>'RESUM (2)'!Títulos_a_imprimir</vt:lpstr>
    </vt:vector>
  </TitlesOfParts>
  <Manager/>
  <Company>U. A. E. de aeronáutica Civil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hr</dc:creator>
  <cp:keywords/>
  <dc:description/>
  <cp:lastModifiedBy>Michell Yobany Moreno Beltran</cp:lastModifiedBy>
  <cp:revision/>
  <dcterms:created xsi:type="dcterms:W3CDTF">2014-07-14T21:38:45Z</dcterms:created>
  <dcterms:modified xsi:type="dcterms:W3CDTF">2024-12-04T14:44:53Z</dcterms:modified>
  <cp:category/>
  <cp:contentStatus/>
</cp:coreProperties>
</file>