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10912"/>
  <workbookPr defaultThemeVersion="124226"/>
  <mc:AlternateContent xmlns:mc="http://schemas.openxmlformats.org/markup-compatibility/2006">
    <mc:Choice Requires="x15">
      <x15ac:absPath xmlns:x15ac="http://schemas.microsoft.com/office/spreadsheetml/2010/11/ac" url="/Users/javierfernandezcampillo/Library/CloudStorage/GoogleDrive-jf.estrategiascontractuales@gmail.com/Mi unidad/Servicios/Contratacion Publica/Asesorias Premium/PROCESOS/SENA/2023/SASI-ANT-00366-2023_Dinámica_$241 m/Contrato/"/>
    </mc:Choice>
  </mc:AlternateContent>
  <xr:revisionPtr revIDLastSave="0" documentId="13_ncr:1_{77881691-2AE8-DC4C-B6DA-3051FFDE7606}" xr6:coauthVersionLast="47" xr6:coauthVersionMax="47" xr10:uidLastSave="{00000000-0000-0000-0000-000000000000}"/>
  <bookViews>
    <workbookView xWindow="6700" yWindow="1220" windowWidth="21760" windowHeight="13580" xr2:uid="{00000000-000D-0000-FFFF-FFFF00000000}"/>
  </bookViews>
  <sheets>
    <sheet name="2021-1088_Detalle Liquidación" sheetId="1" r:id="rId1"/>
  </sheets>
  <calcPr calcId="191029"/>
  <extLst>
    <ext xmlns:xcalcf="http://schemas.microsoft.com/office/spreadsheetml/2018/calcfeatures" uri="{B58B0392-4F1F-4190-BB64-5DF3571DCE5F}">
      <xcalcf:calcFeatures>
        <xcalcf:feature name="microsoft.com:RD"/>
        <xcalcf:feature name="microsoft.com:FV"/>
        <xcalcf:feature name="microsoft.com:LET_WF"/>
      </xcalcf:calcFeatures>
    </ext>
  </extLst>
</workbook>
</file>

<file path=xl/calcChain.xml><?xml version="1.0" encoding="utf-8"?>
<calcChain xmlns="http://schemas.openxmlformats.org/spreadsheetml/2006/main">
  <c r="F42" i="1" l="1"/>
  <c r="E42" i="1"/>
  <c r="N35" i="1"/>
  <c r="M35" i="1"/>
  <c r="O35" i="1" s="1"/>
  <c r="L36" i="1"/>
  <c r="K36" i="1"/>
  <c r="G36" i="1"/>
  <c r="H36" i="1" s="1"/>
  <c r="E36" i="1"/>
  <c r="A36" i="1"/>
  <c r="C36" i="1" s="1"/>
  <c r="L35" i="1"/>
  <c r="K35" i="1"/>
  <c r="G35" i="1"/>
  <c r="H35" i="1" s="1"/>
  <c r="E35" i="1"/>
  <c r="B35" i="1"/>
  <c r="A35" i="1"/>
  <c r="C35" i="1" s="1"/>
  <c r="B34" i="1"/>
  <c r="K28" i="1"/>
  <c r="K26" i="1"/>
  <c r="L34" i="1"/>
  <c r="K34" i="1"/>
  <c r="G34" i="1"/>
  <c r="H34" i="1" s="1"/>
  <c r="E34" i="1"/>
  <c r="L33" i="1"/>
  <c r="K33" i="1"/>
  <c r="G33" i="1"/>
  <c r="H33" i="1" s="1"/>
  <c r="E33" i="1"/>
  <c r="L32" i="1"/>
  <c r="K32" i="1"/>
  <c r="G32" i="1"/>
  <c r="H32" i="1" s="1"/>
  <c r="E32" i="1"/>
  <c r="L31" i="1"/>
  <c r="K31" i="1"/>
  <c r="G31" i="1"/>
  <c r="H31" i="1" s="1"/>
  <c r="E31" i="1"/>
  <c r="L30" i="1"/>
  <c r="K30" i="1"/>
  <c r="G30" i="1"/>
  <c r="H30" i="1" s="1"/>
  <c r="E30" i="1"/>
  <c r="L29" i="1"/>
  <c r="K29" i="1"/>
  <c r="G29" i="1"/>
  <c r="H29" i="1" s="1"/>
  <c r="E29" i="1"/>
  <c r="L28" i="1"/>
  <c r="G28" i="1"/>
  <c r="H28" i="1" s="1"/>
  <c r="E28" i="1"/>
  <c r="A28" i="1"/>
  <c r="B28" i="1" s="1"/>
  <c r="A29" i="1" s="1"/>
  <c r="B29" i="1" s="1"/>
  <c r="A30" i="1" s="1"/>
  <c r="E27" i="1"/>
  <c r="C27" i="1"/>
  <c r="A42" i="1"/>
  <c r="E24" i="1"/>
  <c r="L26" i="1"/>
  <c r="G26" i="1"/>
  <c r="H26" i="1" s="1"/>
  <c r="E26" i="1"/>
  <c r="L25" i="1"/>
  <c r="K25" i="1"/>
  <c r="G25" i="1"/>
  <c r="H25" i="1" s="1"/>
  <c r="E25" i="1"/>
  <c r="E11" i="1"/>
  <c r="M36" i="1" l="1"/>
  <c r="I36" i="1"/>
  <c r="N36" i="1" s="1"/>
  <c r="I35" i="1"/>
  <c r="C28" i="1"/>
  <c r="B30" i="1"/>
  <c r="C29" i="1"/>
  <c r="I27" i="1"/>
  <c r="L23" i="1"/>
  <c r="K23" i="1"/>
  <c r="L24" i="1"/>
  <c r="K24" i="1"/>
  <c r="E23" i="1"/>
  <c r="A23" i="1"/>
  <c r="B23" i="1" s="1"/>
  <c r="A24" i="1" s="1"/>
  <c r="B24" i="1" s="1"/>
  <c r="A25" i="1" s="1"/>
  <c r="B25" i="1" s="1"/>
  <c r="A26" i="1" s="1"/>
  <c r="G24" i="1"/>
  <c r="H24" i="1" s="1"/>
  <c r="M23" i="1"/>
  <c r="G23" i="1"/>
  <c r="H23" i="1" s="1"/>
  <c r="O36" i="1" l="1"/>
  <c r="C30" i="1"/>
  <c r="A31" i="1"/>
  <c r="B31" i="1" s="1"/>
  <c r="A32" i="1" s="1"/>
  <c r="B32" i="1" s="1"/>
  <c r="A33" i="1" s="1"/>
  <c r="C25" i="1"/>
  <c r="M24" i="1"/>
  <c r="C23" i="1"/>
  <c r="C31" i="1" l="1"/>
  <c r="B33" i="1"/>
  <c r="A34" i="1" s="1"/>
  <c r="C32" i="1"/>
  <c r="C26" i="1"/>
  <c r="M25" i="1"/>
  <c r="M26" i="1" s="1"/>
  <c r="I25" i="1"/>
  <c r="I23" i="1"/>
  <c r="N23" i="1" s="1"/>
  <c r="O23" i="1" s="1"/>
  <c r="I26" i="1" l="1"/>
  <c r="C34" i="1"/>
  <c r="C33" i="1"/>
  <c r="C24" i="1"/>
  <c r="I24" i="1" s="1"/>
  <c r="N24" i="1" s="1"/>
  <c r="N25" i="1" l="1"/>
  <c r="O25" i="1" s="1"/>
  <c r="O24" i="1"/>
  <c r="N26" i="1" l="1"/>
  <c r="O26" i="1" l="1"/>
  <c r="K27" i="1"/>
  <c r="L27" i="1" l="1"/>
  <c r="M27" i="1" s="1"/>
  <c r="N27" i="1"/>
  <c r="I28" i="1" l="1"/>
  <c r="N28" i="1" s="1"/>
  <c r="M28" i="1"/>
  <c r="O27" i="1"/>
  <c r="I29" i="1" l="1"/>
  <c r="N29" i="1" s="1"/>
  <c r="M29" i="1"/>
  <c r="O28" i="1"/>
  <c r="I30" i="1" l="1"/>
  <c r="N30" i="1" s="1"/>
  <c r="O29" i="1"/>
  <c r="M30" i="1"/>
  <c r="I31" i="1" l="1"/>
  <c r="N31" i="1" s="1"/>
  <c r="M31" i="1"/>
  <c r="O30" i="1"/>
  <c r="I32" i="1" l="1"/>
  <c r="N32" i="1" s="1"/>
  <c r="O31" i="1"/>
  <c r="M32" i="1"/>
  <c r="I33" i="1" l="1"/>
  <c r="N33" i="1" s="1"/>
  <c r="O32" i="1"/>
  <c r="M33" i="1"/>
  <c r="I34" i="1" l="1"/>
  <c r="N34" i="1" s="1"/>
  <c r="F43" i="1" s="1"/>
  <c r="O33" i="1"/>
  <c r="M34" i="1"/>
  <c r="O34" i="1" l="1"/>
  <c r="I42" i="1" l="1"/>
  <c r="I43" i="1" s="1"/>
  <c r="E43"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Microsoft Office User</author>
  </authors>
  <commentList>
    <comment ref="D22" authorId="0" shapeId="0" xr:uid="{53174172-40B7-0849-8399-289D48B28655}">
      <text>
        <r>
          <rPr>
            <b/>
            <sz val="10"/>
            <color rgb="FF000000"/>
            <rFont val="Tahoma"/>
            <family val="2"/>
          </rPr>
          <t>Microsoft Office User:</t>
        </r>
        <r>
          <rPr>
            <sz val="10"/>
            <color rgb="FF000000"/>
            <rFont val="Tahoma"/>
            <family val="2"/>
          </rPr>
          <t xml:space="preserve">
</t>
        </r>
        <r>
          <rPr>
            <sz val="10"/>
            <color rgb="FF000000"/>
            <rFont val="Tahoma"/>
            <family val="2"/>
          </rPr>
          <t xml:space="preserve">1: Generación de intereses moratorios
</t>
        </r>
        <r>
          <rPr>
            <sz val="10"/>
            <color rgb="FF000000"/>
            <rFont val="Tahoma"/>
            <family val="2"/>
          </rPr>
          <t xml:space="preserve">
</t>
        </r>
        <r>
          <rPr>
            <sz val="10"/>
            <color rgb="FF000000"/>
            <rFont val="Tahoma"/>
            <family val="2"/>
          </rPr>
          <t xml:space="preserve">2: Capitalización de intereses acumulada
</t>
        </r>
        <r>
          <rPr>
            <sz val="10"/>
            <color rgb="FF000000"/>
            <rFont val="Tahoma"/>
            <family val="2"/>
          </rPr>
          <t xml:space="preserve">
</t>
        </r>
        <r>
          <rPr>
            <sz val="10"/>
            <color rgb="FF000000"/>
            <rFont val="Tahoma"/>
            <family val="2"/>
          </rPr>
          <t xml:space="preserve">3: Capitalización de intereses
</t>
        </r>
        <r>
          <rPr>
            <sz val="10"/>
            <color rgb="FF000000"/>
            <rFont val="Tahoma"/>
            <family val="2"/>
          </rPr>
          <t xml:space="preserve">
</t>
        </r>
        <r>
          <rPr>
            <sz val="10"/>
            <color rgb="FF000000"/>
            <rFont val="Tahoma"/>
            <family val="2"/>
          </rPr>
          <t>4: Pago Parcial</t>
        </r>
      </text>
    </comment>
  </commentList>
</comments>
</file>

<file path=xl/sharedStrings.xml><?xml version="1.0" encoding="utf-8"?>
<sst xmlns="http://schemas.openxmlformats.org/spreadsheetml/2006/main" count="57" uniqueCount="54">
  <si>
    <t>TIPO Y Nº DE TÍTULO</t>
  </si>
  <si>
    <t>VALOR</t>
  </si>
  <si>
    <t>LIQUIDACIÓN DE CRÉDITO</t>
  </si>
  <si>
    <t>SALDO CAPITAL</t>
  </si>
  <si>
    <t>SALDO INTERESES</t>
  </si>
  <si>
    <t>SALDO TOTAL</t>
  </si>
  <si>
    <t>ABONO A CAPITAL</t>
  </si>
  <si>
    <t>ABONO A INTERESES</t>
  </si>
  <si>
    <t>CREDITOS</t>
  </si>
  <si>
    <t>DEBITOS</t>
  </si>
  <si>
    <t>TASA</t>
  </si>
  <si>
    <t>MOVIMIENTO</t>
  </si>
  <si>
    <t>TASA MENSUAL</t>
  </si>
  <si>
    <t>FECHA FINAL</t>
  </si>
  <si>
    <t>FECHA INICIAL</t>
  </si>
  <si>
    <t xml:space="preserve"> VENCIMIENTO</t>
  </si>
  <si>
    <t>PERIODO LIQUIDADO</t>
  </si>
  <si>
    <t xml:space="preserve"> TÍTULO</t>
  </si>
  <si>
    <t>SALDO  TOTAL</t>
  </si>
  <si>
    <t>TOTALES</t>
  </si>
  <si>
    <t>RESUMEN DE LA LIQUIDACIÓN</t>
  </si>
  <si>
    <t>DIAS</t>
  </si>
  <si>
    <t>TASA EA IBC</t>
  </si>
  <si>
    <t>TASA EA AUMENTADA 1,5 VECES</t>
  </si>
  <si>
    <t>TÍTULO</t>
  </si>
  <si>
    <t>COD</t>
  </si>
  <si>
    <t>CONCEPTO</t>
  </si>
  <si>
    <t>REFERENCIA:</t>
  </si>
  <si>
    <t>ASUNTO:</t>
  </si>
  <si>
    <t>DEUDOR:</t>
  </si>
  <si>
    <t>ACREEDOR:</t>
  </si>
  <si>
    <t>DATOS DEL DEUDOR</t>
  </si>
  <si>
    <t>Nombres y Apellidos Deudor</t>
  </si>
  <si>
    <t>Fecha Liquidación</t>
  </si>
  <si>
    <t>Teléfono</t>
  </si>
  <si>
    <t>Dirección</t>
  </si>
  <si>
    <t>Correo electrónico</t>
  </si>
  <si>
    <t>Ciudad</t>
  </si>
  <si>
    <t>Profesión u oficio</t>
  </si>
  <si>
    <t>Tipo de documento de identidad</t>
  </si>
  <si>
    <t>N° de documento de identidad</t>
  </si>
  <si>
    <t>NIT</t>
  </si>
  <si>
    <t>Bogotá D.C.</t>
  </si>
  <si>
    <t>DINÁMICA EMPAQUES E IMPRESOS S.A.S.</t>
  </si>
  <si>
    <t>SERVICIO NACIONAL DE APRENDIZAJE</t>
  </si>
  <si>
    <t>899999034-1</t>
  </si>
  <si>
    <t>Calle 57 No. 8-69</t>
  </si>
  <si>
    <t>jibotero@sena.edu.co</t>
  </si>
  <si>
    <t>Entidad Estatal</t>
  </si>
  <si>
    <t>28/01/2024</t>
  </si>
  <si>
    <t>CTO CO1.PCCNTR.5653457 - Factura electrónica DEEI4085</t>
  </si>
  <si>
    <r>
      <rPr>
        <b/>
        <sz val="11"/>
        <color theme="1"/>
        <rFont val="Verdana"/>
        <family val="2"/>
      </rPr>
      <t>Nota 1:</t>
    </r>
    <r>
      <rPr>
        <sz val="11"/>
        <color theme="1"/>
        <rFont val="Verdana"/>
        <family val="2"/>
      </rPr>
      <t xml:space="preserve"> Los intereses fueron liquidados a la tasa máxima certificada por la Superintendencia Financiera de Colombia para cada mes en que se causan
</t>
    </r>
    <r>
      <rPr>
        <b/>
        <sz val="11"/>
        <color theme="1"/>
        <rFont val="Verdana"/>
        <family val="2"/>
      </rPr>
      <t>Nota 2:</t>
    </r>
    <r>
      <rPr>
        <sz val="11"/>
        <color theme="1"/>
        <rFont val="Verdana"/>
        <family val="2"/>
      </rPr>
      <t xml:space="preserve"> El pago realizado el 22 de abril de 2024, se imputó en primer lugar, a los intereses causados desde el 29 de enero hasta el 22 de abril de 2024 y, en segundo lugar, al capital adeudado hasta ese momento, de conformidad con lo preceptuado en el artículo 1653 del código civil. En consecuencia, sobre el saldo de capital restante, se vienen causando nuevos intereses moratorios, desde el 23 de abril de 2024. Dichos intereses, únicamente se encuentran liquidados hasta la fecha actual de presentación de las salvedades; esto es, a 16 de octubre de 2024; sin perjuicio de que se sigan causando en la medida en que se incremente la mora.</t>
    </r>
  </si>
  <si>
    <t>Señores
Servicio Nacional de Aprendizaje – SENA
Regional Antioquia
Medellín D.E.</t>
  </si>
  <si>
    <t>Medellín, 9 de diciembre de 2024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</si>
</sst>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3" formatCode="_-* #,##0.00_-;\-* #,##0.00_-;_-* &quot;-&quot;??_-;_-@_-"/>
    <numFmt numFmtId="164" formatCode="_-&quot;$&quot;* #,##0.00_-;\-&quot;$&quot;* #,##0.00_-;_-&quot;$&quot;* &quot;-&quot;??_-;_-@_-"/>
    <numFmt numFmtId="165" formatCode="_-* #,##0.00\ _€_-;\-* #,##0.00\ _€_-;_-* &quot;-&quot;??\ _€_-;_-@_-"/>
    <numFmt numFmtId="166" formatCode="_-* #,##0_-;\-* #,##0_-;_-* &quot;-&quot;??_-;_-@_-"/>
  </numFmts>
  <fonts count="8" x14ac:knownFonts="1">
    <font>
      <sz val="11"/>
      <color theme="1"/>
      <name val="Calibri"/>
      <family val="2"/>
      <scheme val="minor"/>
    </font>
    <font>
      <sz val="11"/>
      <color theme="1"/>
      <name val="Calibri"/>
      <family val="2"/>
      <scheme val="minor"/>
    </font>
    <font>
      <b/>
      <sz val="11"/>
      <color theme="1"/>
      <name val="Verdana"/>
      <family val="2"/>
    </font>
    <font>
      <sz val="11"/>
      <color theme="1"/>
      <name val="Verdana"/>
      <family val="2"/>
    </font>
    <font>
      <b/>
      <sz val="10"/>
      <color rgb="FF000000"/>
      <name val="Tahoma"/>
      <family val="2"/>
    </font>
    <font>
      <sz val="10"/>
      <color rgb="FF000000"/>
      <name val="Tahoma"/>
      <family val="2"/>
    </font>
    <font>
      <u/>
      <sz val="11"/>
      <color theme="10"/>
      <name val="Calibri"/>
      <family val="2"/>
      <scheme val="minor"/>
    </font>
    <font>
      <u/>
      <sz val="11"/>
      <color theme="10"/>
      <name val="Verdana"/>
      <family val="2"/>
    </font>
  </fonts>
  <fills count="2">
    <fill>
      <patternFill patternType="none"/>
    </fill>
    <fill>
      <patternFill patternType="gray125"/>
    </fill>
  </fills>
  <borders count="10">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top style="thin">
        <color indexed="64"/>
      </top>
      <bottom style="thin">
        <color indexed="64"/>
      </bottom>
      <diagonal/>
    </border>
    <border>
      <left/>
      <right style="thin">
        <color indexed="64"/>
      </right>
      <top style="thin">
        <color indexed="64"/>
      </top>
      <bottom/>
      <diagonal/>
    </border>
  </borders>
  <cellStyleXfs count="5">
    <xf numFmtId="0" fontId="0" fillId="0" borderId="0"/>
    <xf numFmtId="164"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0" fontId="6" fillId="0" borderId="0" applyNumberFormat="0" applyFill="0" applyBorder="0" applyAlignment="0" applyProtection="0"/>
  </cellStyleXfs>
  <cellXfs count="84">
    <xf numFmtId="0" fontId="0" fillId="0" borderId="0" xfId="0"/>
    <xf numFmtId="0" fontId="2" fillId="0" borderId="0" xfId="0" applyFont="1" applyAlignment="1">
      <alignment vertical="center"/>
    </xf>
    <xf numFmtId="0" fontId="3" fillId="0" borderId="0" xfId="0" applyFont="1" applyAlignment="1">
      <alignment vertical="center"/>
    </xf>
    <xf numFmtId="0" fontId="2" fillId="0" borderId="1" xfId="0" applyFont="1" applyBorder="1" applyAlignment="1">
      <alignment horizontal="center" vertical="center" wrapText="1"/>
    </xf>
    <xf numFmtId="0" fontId="2" fillId="0" borderId="0" xfId="0" applyFont="1" applyAlignment="1">
      <alignment horizontal="center" vertical="center" wrapText="1"/>
    </xf>
    <xf numFmtId="49" fontId="3" fillId="0" borderId="0" xfId="0" applyNumberFormat="1" applyFont="1" applyAlignment="1">
      <alignment vertical="center"/>
    </xf>
    <xf numFmtId="164" fontId="3" fillId="0" borderId="0" xfId="1" applyFont="1" applyBorder="1" applyAlignment="1">
      <alignment vertical="center"/>
    </xf>
    <xf numFmtId="14" fontId="3" fillId="0" borderId="1" xfId="0" applyNumberFormat="1" applyFont="1" applyBorder="1" applyAlignment="1">
      <alignment vertical="center"/>
    </xf>
    <xf numFmtId="10" fontId="3" fillId="0" borderId="1" xfId="2" applyNumberFormat="1" applyFont="1" applyBorder="1" applyAlignment="1">
      <alignment vertical="center"/>
    </xf>
    <xf numFmtId="164" fontId="3" fillId="0" borderId="1" xfId="0" applyNumberFormat="1" applyFont="1" applyBorder="1" applyAlignment="1">
      <alignment vertical="center"/>
    </xf>
    <xf numFmtId="164" fontId="3" fillId="0" borderId="0" xfId="0" applyNumberFormat="1" applyFont="1" applyAlignment="1">
      <alignment vertical="center"/>
    </xf>
    <xf numFmtId="14" fontId="3" fillId="0" borderId="0" xfId="0" applyNumberFormat="1" applyFont="1" applyAlignment="1">
      <alignment vertical="center"/>
    </xf>
    <xf numFmtId="10" fontId="3" fillId="0" borderId="0" xfId="2" applyNumberFormat="1" applyFont="1" applyBorder="1" applyAlignment="1">
      <alignment vertical="center"/>
    </xf>
    <xf numFmtId="165" fontId="3" fillId="0" borderId="0" xfId="0" applyNumberFormat="1" applyFont="1" applyAlignment="1">
      <alignment vertical="center"/>
    </xf>
    <xf numFmtId="0" fontId="3" fillId="0" borderId="0" xfId="0" applyFont="1" applyAlignment="1">
      <alignment vertical="center" wrapText="1"/>
    </xf>
    <xf numFmtId="164" fontId="2" fillId="0" borderId="1" xfId="0" applyNumberFormat="1" applyFont="1" applyBorder="1" applyAlignment="1">
      <alignment vertical="center"/>
    </xf>
    <xf numFmtId="14" fontId="2" fillId="0" borderId="0" xfId="0" applyNumberFormat="1" applyFont="1" applyAlignment="1">
      <alignment horizontal="center" vertical="center"/>
    </xf>
    <xf numFmtId="0" fontId="3" fillId="0" borderId="0" xfId="0" applyFont="1" applyAlignment="1">
      <alignment vertical="center" wrapText="1"/>
    </xf>
    <xf numFmtId="0" fontId="2" fillId="0" borderId="6" xfId="0" applyFont="1" applyBorder="1" applyAlignment="1">
      <alignment horizontal="center" vertical="center"/>
    </xf>
    <xf numFmtId="0" fontId="2" fillId="0" borderId="7" xfId="0" applyFont="1" applyBorder="1" applyAlignment="1">
      <alignment horizontal="center" vertical="center"/>
    </xf>
    <xf numFmtId="0" fontId="2" fillId="0" borderId="9" xfId="0" applyFont="1" applyBorder="1" applyAlignment="1">
      <alignment horizontal="center" vertical="center"/>
    </xf>
    <xf numFmtId="49" fontId="3" fillId="0" borderId="1" xfId="0" applyNumberFormat="1" applyFont="1" applyBorder="1" applyAlignment="1">
      <alignment horizontal="right" vertical="center"/>
    </xf>
    <xf numFmtId="166" fontId="3" fillId="0" borderId="1" xfId="3" applyNumberFormat="1" applyFont="1" applyBorder="1" applyAlignment="1">
      <alignment vertical="center"/>
    </xf>
    <xf numFmtId="0" fontId="2" fillId="0" borderId="1" xfId="0" applyFont="1" applyBorder="1" applyAlignment="1">
      <alignment horizontal="center" vertical="center" wrapText="1"/>
    </xf>
    <xf numFmtId="0" fontId="3" fillId="0" borderId="0" xfId="0" applyFont="1" applyAlignment="1">
      <alignment vertical="center" wrapText="1"/>
    </xf>
    <xf numFmtId="0" fontId="2" fillId="0" borderId="2" xfId="0" applyFont="1" applyBorder="1" applyAlignment="1">
      <alignment horizontal="center" vertical="center" wrapText="1"/>
    </xf>
    <xf numFmtId="0" fontId="2" fillId="0" borderId="1" xfId="0" applyFont="1" applyBorder="1" applyAlignment="1">
      <alignment vertical="center" wrapText="1"/>
    </xf>
    <xf numFmtId="0" fontId="2" fillId="0" borderId="0" xfId="0" applyFont="1" applyBorder="1" applyAlignment="1">
      <alignment vertical="center"/>
    </xf>
    <xf numFmtId="49" fontId="3" fillId="0" borderId="1" xfId="0" applyNumberFormat="1" applyFont="1" applyBorder="1" applyAlignment="1">
      <alignment vertical="center"/>
    </xf>
    <xf numFmtId="14" fontId="2" fillId="0" borderId="0" xfId="0" applyNumberFormat="1" applyFont="1" applyAlignment="1">
      <alignment vertical="center"/>
    </xf>
    <xf numFmtId="0" fontId="3" fillId="0" borderId="1" xfId="0" applyFont="1" applyBorder="1" applyAlignment="1">
      <alignment vertical="center"/>
    </xf>
    <xf numFmtId="14" fontId="3" fillId="0" borderId="1" xfId="0" applyNumberFormat="1" applyFont="1" applyBorder="1" applyAlignment="1">
      <alignment vertical="center"/>
    </xf>
    <xf numFmtId="14" fontId="3" fillId="0" borderId="1" xfId="0" applyNumberFormat="1" applyFont="1" applyBorder="1" applyAlignment="1">
      <alignment vertical="center"/>
    </xf>
    <xf numFmtId="14" fontId="2" fillId="0" borderId="1" xfId="0" applyNumberFormat="1" applyFont="1" applyBorder="1" applyAlignment="1">
      <alignment vertical="center"/>
    </xf>
    <xf numFmtId="14" fontId="3" fillId="0" borderId="1" xfId="0" applyNumberFormat="1" applyFont="1" applyBorder="1" applyAlignment="1">
      <alignment vertical="center"/>
    </xf>
    <xf numFmtId="14" fontId="2" fillId="0" borderId="2" xfId="0" applyNumberFormat="1" applyFont="1" applyBorder="1" applyAlignment="1">
      <alignment horizontal="center" vertical="center"/>
    </xf>
    <xf numFmtId="14" fontId="2" fillId="0" borderId="8" xfId="0" applyNumberFormat="1" applyFont="1" applyBorder="1" applyAlignment="1">
      <alignment horizontal="center" vertical="center"/>
    </xf>
    <xf numFmtId="14" fontId="2" fillId="0" borderId="3" xfId="0" applyNumberFormat="1" applyFont="1" applyBorder="1" applyAlignment="1">
      <alignment horizontal="center" vertical="center"/>
    </xf>
    <xf numFmtId="0" fontId="3" fillId="0" borderId="0" xfId="0" applyFont="1" applyAlignment="1">
      <alignment vertical="center" wrapText="1"/>
    </xf>
    <xf numFmtId="0" fontId="3" fillId="0" borderId="0" xfId="0" applyFont="1" applyAlignment="1">
      <alignment vertical="top" wrapText="1"/>
    </xf>
    <xf numFmtId="0" fontId="2" fillId="0" borderId="1" xfId="0" applyFont="1" applyBorder="1"/>
    <xf numFmtId="0" fontId="3" fillId="0" borderId="1" xfId="0" applyFont="1" applyBorder="1" applyAlignment="1">
      <alignment vertical="center"/>
    </xf>
    <xf numFmtId="0" fontId="2" fillId="0" borderId="1" xfId="0" applyFont="1" applyBorder="1" applyAlignment="1">
      <alignment vertical="center"/>
    </xf>
    <xf numFmtId="0" fontId="2" fillId="0" borderId="2" xfId="0" applyFont="1" applyBorder="1" applyAlignment="1">
      <alignment horizontal="center" vertical="center"/>
    </xf>
    <xf numFmtId="0" fontId="2" fillId="0" borderId="8" xfId="0" applyFont="1" applyBorder="1" applyAlignment="1">
      <alignment horizontal="center" vertical="center"/>
    </xf>
    <xf numFmtId="0" fontId="2" fillId="0" borderId="3" xfId="0" applyFont="1" applyBorder="1" applyAlignment="1">
      <alignment horizontal="center" vertical="center"/>
    </xf>
    <xf numFmtId="0" fontId="2" fillId="0" borderId="4" xfId="0" applyFont="1" applyBorder="1" applyAlignment="1">
      <alignment horizontal="center" vertical="center" wrapText="1"/>
    </xf>
    <xf numFmtId="0" fontId="2" fillId="0" borderId="5" xfId="0" applyFont="1" applyBorder="1" applyAlignment="1">
      <alignment horizontal="center" vertical="center" wrapText="1"/>
    </xf>
    <xf numFmtId="0" fontId="2" fillId="0" borderId="1" xfId="0" applyFont="1" applyBorder="1" applyAlignment="1">
      <alignment horizontal="center" vertical="center" wrapText="1"/>
    </xf>
    <xf numFmtId="0" fontId="2" fillId="0" borderId="1" xfId="0" applyFont="1" applyBorder="1" applyAlignment="1">
      <alignment vertical="center" wrapText="1"/>
    </xf>
    <xf numFmtId="0" fontId="3" fillId="0" borderId="1" xfId="0" applyFont="1" applyBorder="1" applyAlignment="1">
      <alignment vertical="center" wrapText="1"/>
    </xf>
    <xf numFmtId="164" fontId="3" fillId="0" borderId="1" xfId="1" applyFont="1" applyBorder="1" applyAlignment="1">
      <alignment horizontal="center" vertical="center"/>
    </xf>
    <xf numFmtId="0" fontId="2" fillId="0" borderId="1" xfId="0" applyFont="1" applyBorder="1" applyAlignment="1">
      <alignment horizontal="center" vertical="center"/>
    </xf>
    <xf numFmtId="0" fontId="2" fillId="0" borderId="1" xfId="0" applyFont="1" applyBorder="1" applyAlignment="1">
      <alignment horizontal="center"/>
    </xf>
    <xf numFmtId="14" fontId="3" fillId="0" borderId="1" xfId="0" applyNumberFormat="1" applyFont="1" applyBorder="1" applyAlignment="1">
      <alignment vertical="center"/>
    </xf>
    <xf numFmtId="0" fontId="3" fillId="0" borderId="1" xfId="0" applyFont="1" applyBorder="1" applyAlignment="1">
      <alignment wrapText="1"/>
    </xf>
    <xf numFmtId="0" fontId="6" fillId="0" borderId="1" xfId="4" applyBorder="1" applyAlignment="1"/>
    <xf numFmtId="0" fontId="7" fillId="0" borderId="1" xfId="4" applyFont="1" applyBorder="1" applyAlignment="1"/>
    <xf numFmtId="0" fontId="3" fillId="0" borderId="1" xfId="0" applyFont="1" applyBorder="1" applyAlignment="1"/>
    <xf numFmtId="0" fontId="2" fillId="0" borderId="2" xfId="0" applyFont="1" applyBorder="1" applyAlignment="1">
      <alignment vertical="center"/>
    </xf>
    <xf numFmtId="0" fontId="2" fillId="0" borderId="8" xfId="0" applyFont="1" applyBorder="1" applyAlignment="1">
      <alignment vertical="center"/>
    </xf>
    <xf numFmtId="0" fontId="2" fillId="0" borderId="3" xfId="0" applyFont="1" applyBorder="1" applyAlignment="1">
      <alignment vertical="center"/>
    </xf>
    <xf numFmtId="0" fontId="3" fillId="0" borderId="2" xfId="0" applyFont="1" applyBorder="1" applyAlignment="1">
      <alignment vertical="center"/>
    </xf>
    <xf numFmtId="0" fontId="3" fillId="0" borderId="3" xfId="0" applyFont="1" applyBorder="1" applyAlignment="1">
      <alignment vertical="center"/>
    </xf>
    <xf numFmtId="0" fontId="2" fillId="0" borderId="2" xfId="0" applyFont="1" applyBorder="1" applyAlignment="1">
      <alignment vertical="center" wrapText="1"/>
    </xf>
    <xf numFmtId="0" fontId="2" fillId="0" borderId="8" xfId="0" applyFont="1" applyBorder="1" applyAlignment="1">
      <alignment vertical="center" wrapText="1"/>
    </xf>
    <xf numFmtId="0" fontId="2" fillId="0" borderId="3" xfId="0" applyFont="1" applyBorder="1" applyAlignment="1">
      <alignment vertical="center" wrapText="1"/>
    </xf>
    <xf numFmtId="164" fontId="3" fillId="0" borderId="2" xfId="0" applyNumberFormat="1" applyFont="1" applyBorder="1" applyAlignment="1">
      <alignment horizontal="center" vertical="center"/>
    </xf>
    <xf numFmtId="164" fontId="3" fillId="0" borderId="8" xfId="0" applyNumberFormat="1" applyFont="1" applyBorder="1" applyAlignment="1">
      <alignment horizontal="center" vertical="center"/>
    </xf>
    <xf numFmtId="164" fontId="3" fillId="0" borderId="3" xfId="0" applyNumberFormat="1" applyFont="1" applyBorder="1" applyAlignment="1">
      <alignment horizontal="center" vertical="center"/>
    </xf>
    <xf numFmtId="164" fontId="2" fillId="0" borderId="2" xfId="0" applyNumberFormat="1" applyFont="1" applyBorder="1" applyAlignment="1">
      <alignment horizontal="center" vertical="center"/>
    </xf>
    <xf numFmtId="164" fontId="2" fillId="0" borderId="8" xfId="0" applyNumberFormat="1" applyFont="1" applyBorder="1" applyAlignment="1">
      <alignment horizontal="center" vertical="center"/>
    </xf>
    <xf numFmtId="164" fontId="2" fillId="0" borderId="3" xfId="0" applyNumberFormat="1" applyFont="1" applyBorder="1" applyAlignment="1">
      <alignment horizontal="center" vertical="center"/>
    </xf>
    <xf numFmtId="10" fontId="2" fillId="0" borderId="2" xfId="2" applyNumberFormat="1" applyFont="1" applyBorder="1" applyAlignment="1">
      <alignment horizontal="center" vertical="center"/>
    </xf>
    <xf numFmtId="10" fontId="2" fillId="0" borderId="3" xfId="2" applyNumberFormat="1" applyFont="1" applyBorder="1" applyAlignment="1">
      <alignment horizontal="center" vertical="center"/>
    </xf>
    <xf numFmtId="0" fontId="3" fillId="0" borderId="2" xfId="0" applyFont="1" applyBorder="1" applyAlignment="1">
      <alignment vertical="center" wrapText="1"/>
    </xf>
    <xf numFmtId="0" fontId="3" fillId="0" borderId="8" xfId="0" applyFont="1" applyBorder="1" applyAlignment="1">
      <alignment vertical="center" wrapText="1"/>
    </xf>
    <xf numFmtId="0" fontId="3" fillId="0" borderId="3" xfId="0" applyFont="1" applyBorder="1" applyAlignment="1">
      <alignment vertical="center" wrapText="1"/>
    </xf>
    <xf numFmtId="14" fontId="2" fillId="0" borderId="2" xfId="0" applyNumberFormat="1" applyFont="1" applyBorder="1" applyAlignment="1">
      <alignment vertical="center"/>
    </xf>
    <xf numFmtId="14" fontId="2" fillId="0" borderId="8" xfId="0" applyNumberFormat="1" applyFont="1" applyBorder="1" applyAlignment="1">
      <alignment vertical="center"/>
    </xf>
    <xf numFmtId="14" fontId="2" fillId="0" borderId="3" xfId="0" applyNumberFormat="1" applyFont="1" applyBorder="1" applyAlignment="1">
      <alignment vertical="center"/>
    </xf>
    <xf numFmtId="14" fontId="3" fillId="0" borderId="0" xfId="0" applyNumberFormat="1" applyFont="1" applyBorder="1" applyAlignment="1">
      <alignment vertical="center"/>
    </xf>
    <xf numFmtId="166" fontId="3" fillId="0" borderId="0" xfId="3" applyNumberFormat="1" applyFont="1" applyBorder="1" applyAlignment="1">
      <alignment vertical="center"/>
    </xf>
    <xf numFmtId="164" fontId="3" fillId="0" borderId="0" xfId="0" applyNumberFormat="1" applyFont="1" applyBorder="1" applyAlignment="1">
      <alignment vertical="center"/>
    </xf>
  </cellXfs>
  <cellStyles count="5">
    <cellStyle name="Hipervínculo" xfId="4" builtinId="8"/>
    <cellStyle name="Millares" xfId="3" builtinId="3"/>
    <cellStyle name="Moneda" xfId="1" builtinId="4"/>
    <cellStyle name="Normal" xfId="0" builtinId="0"/>
    <cellStyle name="Porcentaje" xfId="2"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printerSettings" Target="../printerSettings/printerSettings1.bin"/><Relationship Id="rId1" Type="http://schemas.openxmlformats.org/officeDocument/2006/relationships/hyperlink" Target="mailto:jibotero@sena.edu.co" TargetMode="External"/><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O47"/>
  <sheetViews>
    <sheetView tabSelected="1" zoomScale="73" zoomScaleNormal="70" workbookViewId="0">
      <selection activeCell="J16" sqref="J16"/>
    </sheetView>
  </sheetViews>
  <sheetFormatPr baseColWidth="10" defaultColWidth="11.5" defaultRowHeight="14" x14ac:dyDescent="0.2"/>
  <cols>
    <col min="1" max="1" width="13" style="2" bestFit="1" customWidth="1"/>
    <col min="2" max="2" width="10.6640625" style="2" bestFit="1" customWidth="1"/>
    <col min="3" max="3" width="7" style="2" customWidth="1"/>
    <col min="4" max="4" width="6.33203125" style="2" customWidth="1"/>
    <col min="5" max="5" width="38.33203125" style="2" customWidth="1"/>
    <col min="6" max="6" width="9.1640625" style="2" customWidth="1"/>
    <col min="7" max="7" width="14.5" style="2" customWidth="1"/>
    <col min="8" max="8" width="11.83203125" style="2" bestFit="1" customWidth="1"/>
    <col min="9" max="9" width="17.83203125" style="2" bestFit="1" customWidth="1"/>
    <col min="10" max="10" width="19" style="2" bestFit="1" customWidth="1"/>
    <col min="11" max="11" width="17.83203125" style="2" bestFit="1" customWidth="1"/>
    <col min="12" max="12" width="19" style="2" bestFit="1" customWidth="1"/>
    <col min="13" max="13" width="19.33203125" style="2" bestFit="1" customWidth="1"/>
    <col min="14" max="14" width="17.83203125" style="2" bestFit="1" customWidth="1"/>
    <col min="15" max="15" width="19" style="2" bestFit="1" customWidth="1"/>
    <col min="16" max="16" width="14.1640625" style="2" bestFit="1" customWidth="1"/>
    <col min="17" max="16384" width="11.5" style="2"/>
  </cols>
  <sheetData>
    <row r="1" spans="1:15" ht="14.25" customHeight="1" x14ac:dyDescent="0.2">
      <c r="A1" s="38" t="s">
        <v>53</v>
      </c>
      <c r="B1" s="38"/>
      <c r="C1" s="38"/>
      <c r="D1" s="38"/>
      <c r="E1" s="38"/>
      <c r="F1" s="38"/>
      <c r="G1" s="38"/>
      <c r="H1" s="38"/>
      <c r="I1" s="38"/>
    </row>
    <row r="3" spans="1:15" ht="65" customHeight="1" x14ac:dyDescent="0.2">
      <c r="A3" s="38" t="s">
        <v>52</v>
      </c>
      <c r="B3" s="38"/>
      <c r="C3" s="38"/>
      <c r="D3" s="38"/>
      <c r="E3" s="38"/>
      <c r="F3" s="38"/>
      <c r="G3" s="38"/>
      <c r="H3" s="38"/>
      <c r="I3" s="38"/>
      <c r="J3" s="38"/>
    </row>
    <row r="4" spans="1:15" x14ac:dyDescent="0.2">
      <c r="A4" s="14"/>
      <c r="B4" s="14"/>
      <c r="C4" s="14"/>
      <c r="D4" s="24"/>
      <c r="E4" s="14"/>
      <c r="F4" s="14"/>
      <c r="G4" s="14"/>
      <c r="H4" s="14"/>
      <c r="I4" s="14"/>
      <c r="J4" s="14"/>
    </row>
    <row r="5" spans="1:15" ht="15" customHeight="1" x14ac:dyDescent="0.2">
      <c r="A5" s="49" t="s">
        <v>28</v>
      </c>
      <c r="B5" s="49"/>
      <c r="C5" s="49"/>
      <c r="D5" s="49"/>
      <c r="E5" s="50" t="s">
        <v>2</v>
      </c>
      <c r="F5" s="50"/>
      <c r="G5" s="50"/>
      <c r="H5" s="50"/>
      <c r="I5" s="50"/>
      <c r="J5" s="50"/>
      <c r="K5" s="50"/>
      <c r="L5" s="50"/>
      <c r="M5" s="50"/>
      <c r="N5" s="50"/>
      <c r="O5" s="50"/>
    </row>
    <row r="6" spans="1:15" ht="15" customHeight="1" x14ac:dyDescent="0.2">
      <c r="A6" s="49" t="s">
        <v>27</v>
      </c>
      <c r="B6" s="49"/>
      <c r="C6" s="49"/>
      <c r="D6" s="49"/>
      <c r="E6" s="50"/>
      <c r="F6" s="50"/>
      <c r="G6" s="50"/>
      <c r="H6" s="50"/>
      <c r="I6" s="50"/>
      <c r="J6" s="50"/>
      <c r="K6" s="50"/>
      <c r="L6" s="50"/>
      <c r="M6" s="50"/>
      <c r="N6" s="50"/>
      <c r="O6" s="50"/>
    </row>
    <row r="7" spans="1:15" ht="15" customHeight="1" x14ac:dyDescent="0.2">
      <c r="A7" s="49" t="s">
        <v>30</v>
      </c>
      <c r="B7" s="49"/>
      <c r="C7" s="49"/>
      <c r="D7" s="49"/>
      <c r="E7" s="50" t="s">
        <v>43</v>
      </c>
      <c r="F7" s="50"/>
      <c r="G7" s="50"/>
      <c r="H7" s="50"/>
      <c r="I7" s="50"/>
      <c r="J7" s="50"/>
      <c r="K7" s="50"/>
      <c r="L7" s="50"/>
      <c r="M7" s="50"/>
      <c r="N7" s="50"/>
      <c r="O7" s="50"/>
    </row>
    <row r="8" spans="1:15" ht="15" customHeight="1" x14ac:dyDescent="0.2">
      <c r="A8" s="49" t="s">
        <v>29</v>
      </c>
      <c r="B8" s="49"/>
      <c r="C8" s="49"/>
      <c r="D8" s="49"/>
      <c r="E8" s="50" t="s">
        <v>44</v>
      </c>
      <c r="F8" s="50"/>
      <c r="G8" s="50"/>
      <c r="H8" s="50"/>
      <c r="I8" s="50"/>
      <c r="J8" s="50"/>
      <c r="K8" s="50"/>
      <c r="L8" s="50"/>
      <c r="M8" s="50"/>
      <c r="N8" s="50"/>
      <c r="O8" s="50"/>
    </row>
    <row r="9" spans="1:15" x14ac:dyDescent="0.2">
      <c r="A9" s="17"/>
      <c r="B9" s="17"/>
      <c r="C9" s="17"/>
      <c r="D9" s="24"/>
      <c r="E9" s="17"/>
      <c r="F9" s="17"/>
      <c r="G9" s="17"/>
      <c r="H9" s="17"/>
      <c r="I9" s="17"/>
      <c r="J9" s="17"/>
    </row>
    <row r="10" spans="1:15" x14ac:dyDescent="0.15">
      <c r="A10" s="53" t="s">
        <v>31</v>
      </c>
      <c r="B10" s="53"/>
      <c r="C10" s="53"/>
      <c r="D10" s="53"/>
      <c r="E10" s="53"/>
      <c r="F10" s="53"/>
      <c r="G10" s="53"/>
      <c r="H10" s="53"/>
      <c r="I10" s="53"/>
      <c r="J10" s="53"/>
      <c r="K10" s="53"/>
      <c r="L10" s="53"/>
      <c r="M10" s="53"/>
      <c r="N10" s="53"/>
      <c r="O10" s="53"/>
    </row>
    <row r="11" spans="1:15" x14ac:dyDescent="0.15">
      <c r="A11" s="40" t="s">
        <v>32</v>
      </c>
      <c r="B11" s="40"/>
      <c r="C11" s="40"/>
      <c r="D11" s="40"/>
      <c r="E11" s="41" t="str">
        <f>E8</f>
        <v>SERVICIO NACIONAL DE APRENDIZAJE</v>
      </c>
      <c r="F11" s="41"/>
      <c r="G11" s="41"/>
      <c r="H11" s="41"/>
      <c r="I11" s="41"/>
      <c r="J11" s="41"/>
      <c r="K11" s="42" t="s">
        <v>33</v>
      </c>
      <c r="L11" s="42"/>
      <c r="M11" s="54">
        <v>45635</v>
      </c>
      <c r="N11" s="54"/>
      <c r="O11" s="54"/>
    </row>
    <row r="12" spans="1:15" x14ac:dyDescent="0.15">
      <c r="A12" s="40" t="s">
        <v>39</v>
      </c>
      <c r="B12" s="40"/>
      <c r="C12" s="40"/>
      <c r="D12" s="40"/>
      <c r="E12" s="30" t="s">
        <v>41</v>
      </c>
      <c r="F12" s="59" t="s">
        <v>40</v>
      </c>
      <c r="G12" s="60"/>
      <c r="H12" s="61"/>
      <c r="I12" s="62" t="s">
        <v>45</v>
      </c>
      <c r="J12" s="63"/>
      <c r="K12" s="40" t="s">
        <v>34</v>
      </c>
      <c r="L12" s="40"/>
      <c r="M12" s="55">
        <v>6045461500</v>
      </c>
      <c r="N12" s="55"/>
      <c r="O12" s="55"/>
    </row>
    <row r="13" spans="1:15" ht="15" x14ac:dyDescent="0.2">
      <c r="A13" s="40" t="s">
        <v>35</v>
      </c>
      <c r="B13" s="40"/>
      <c r="C13" s="40"/>
      <c r="D13" s="40"/>
      <c r="E13" s="41" t="s">
        <v>46</v>
      </c>
      <c r="F13" s="41"/>
      <c r="G13" s="41"/>
      <c r="H13" s="41"/>
      <c r="I13" s="41"/>
      <c r="J13" s="41"/>
      <c r="K13" s="40" t="s">
        <v>36</v>
      </c>
      <c r="L13" s="40"/>
      <c r="M13" s="56" t="s">
        <v>47</v>
      </c>
      <c r="N13" s="57"/>
      <c r="O13" s="57"/>
    </row>
    <row r="14" spans="1:15" x14ac:dyDescent="0.15">
      <c r="A14" s="40" t="s">
        <v>37</v>
      </c>
      <c r="B14" s="40"/>
      <c r="C14" s="40"/>
      <c r="D14" s="40"/>
      <c r="E14" s="41" t="s">
        <v>42</v>
      </c>
      <c r="F14" s="41"/>
      <c r="G14" s="41"/>
      <c r="H14" s="41"/>
      <c r="I14" s="41"/>
      <c r="J14" s="41"/>
      <c r="K14" s="40" t="s">
        <v>38</v>
      </c>
      <c r="L14" s="40"/>
      <c r="M14" s="58" t="s">
        <v>48</v>
      </c>
      <c r="N14" s="58"/>
      <c r="O14" s="58"/>
    </row>
    <row r="15" spans="1:15" x14ac:dyDescent="0.2">
      <c r="A15" s="11"/>
      <c r="B15" s="11"/>
      <c r="C15" s="11"/>
      <c r="D15" s="11"/>
      <c r="E15" s="12"/>
      <c r="F15" s="12"/>
      <c r="G15" s="10"/>
      <c r="H15" s="10"/>
      <c r="I15" s="10"/>
      <c r="J15" s="10"/>
      <c r="K15" s="10"/>
      <c r="L15" s="10"/>
      <c r="M15" s="13"/>
    </row>
    <row r="16" spans="1:15" x14ac:dyDescent="0.2">
      <c r="A16" s="52" t="s">
        <v>17</v>
      </c>
      <c r="B16" s="52"/>
      <c r="C16" s="52"/>
      <c r="D16" s="52"/>
      <c r="E16" s="52"/>
      <c r="F16" s="52"/>
      <c r="G16" s="52"/>
      <c r="H16" s="27"/>
      <c r="J16" s="1"/>
      <c r="K16" s="1"/>
      <c r="L16" s="1"/>
    </row>
    <row r="17" spans="1:15" ht="15" x14ac:dyDescent="0.2">
      <c r="A17" s="48" t="s">
        <v>0</v>
      </c>
      <c r="B17" s="48"/>
      <c r="C17" s="48"/>
      <c r="D17" s="48"/>
      <c r="E17" s="26" t="s">
        <v>15</v>
      </c>
      <c r="F17" s="48" t="s">
        <v>1</v>
      </c>
      <c r="G17" s="48"/>
      <c r="I17" s="27"/>
      <c r="K17" s="4"/>
    </row>
    <row r="18" spans="1:15" ht="37" customHeight="1" x14ac:dyDescent="0.2">
      <c r="A18" s="50" t="s">
        <v>50</v>
      </c>
      <c r="B18" s="50"/>
      <c r="C18" s="50"/>
      <c r="D18" s="50"/>
      <c r="E18" s="28" t="s">
        <v>49</v>
      </c>
      <c r="F18" s="51">
        <v>241141962.94999999</v>
      </c>
      <c r="G18" s="51"/>
      <c r="K18" s="5"/>
    </row>
    <row r="19" spans="1:15" x14ac:dyDescent="0.2">
      <c r="J19" s="5"/>
      <c r="K19" s="5"/>
      <c r="L19" s="6"/>
    </row>
    <row r="20" spans="1:15" x14ac:dyDescent="0.2">
      <c r="A20" s="43" t="s">
        <v>2</v>
      </c>
      <c r="B20" s="44"/>
      <c r="C20" s="44"/>
      <c r="D20" s="44"/>
      <c r="E20" s="44"/>
      <c r="F20" s="44"/>
      <c r="G20" s="44"/>
      <c r="H20" s="44"/>
      <c r="I20" s="44"/>
      <c r="J20" s="44"/>
      <c r="K20" s="44"/>
      <c r="L20" s="44"/>
      <c r="M20" s="44"/>
      <c r="N20" s="44"/>
      <c r="O20" s="45"/>
    </row>
    <row r="21" spans="1:15" ht="14" customHeight="1" x14ac:dyDescent="0.2">
      <c r="A21" s="43" t="s">
        <v>16</v>
      </c>
      <c r="B21" s="44"/>
      <c r="C21" s="44"/>
      <c r="D21" s="48" t="s">
        <v>11</v>
      </c>
      <c r="E21" s="48"/>
      <c r="F21" s="18" t="s">
        <v>10</v>
      </c>
      <c r="G21" s="19"/>
      <c r="H21" s="20"/>
      <c r="I21" s="46" t="s">
        <v>8</v>
      </c>
      <c r="J21" s="46" t="s">
        <v>9</v>
      </c>
      <c r="K21" s="46" t="s">
        <v>7</v>
      </c>
      <c r="L21" s="46" t="s">
        <v>6</v>
      </c>
      <c r="M21" s="46" t="s">
        <v>3</v>
      </c>
      <c r="N21" s="46" t="s">
        <v>4</v>
      </c>
      <c r="O21" s="46" t="s">
        <v>5</v>
      </c>
    </row>
    <row r="22" spans="1:15" ht="45" x14ac:dyDescent="0.2">
      <c r="A22" s="3" t="s">
        <v>14</v>
      </c>
      <c r="B22" s="3" t="s">
        <v>13</v>
      </c>
      <c r="C22" s="25" t="s">
        <v>21</v>
      </c>
      <c r="D22" s="23" t="s">
        <v>25</v>
      </c>
      <c r="E22" s="23" t="s">
        <v>26</v>
      </c>
      <c r="F22" s="3" t="s">
        <v>22</v>
      </c>
      <c r="G22" s="3" t="s">
        <v>23</v>
      </c>
      <c r="H22" s="3" t="s">
        <v>12</v>
      </c>
      <c r="I22" s="47"/>
      <c r="J22" s="47"/>
      <c r="K22" s="47"/>
      <c r="L22" s="47"/>
      <c r="M22" s="47"/>
      <c r="N22" s="47"/>
      <c r="O22" s="47"/>
    </row>
    <row r="23" spans="1:15" x14ac:dyDescent="0.2">
      <c r="A23" s="21" t="str">
        <f>E18</f>
        <v>28/01/2024</v>
      </c>
      <c r="B23" s="7">
        <f t="shared" ref="B23:B25" si="0">IF(D23=1,(EOMONTH(A23,0)),A23)</f>
        <v>45322</v>
      </c>
      <c r="C23" s="22">
        <f>DAYS360(A23,B23,FALSE)</f>
        <v>3</v>
      </c>
      <c r="D23" s="22">
        <v>1</v>
      </c>
      <c r="E23" s="7" t="str">
        <f t="shared" ref="E23" si="1">IF(D23=1,"Generación de intereses moratorios",IF(D23=2,"Capitalizacion de intereses acumulada",IF(D23=3,"Capitalización de intereses",IF(D23=4,"Pago parcial"," "))))</f>
        <v>Generación de intereses moratorios</v>
      </c>
      <c r="F23" s="8">
        <v>0.23319999999999999</v>
      </c>
      <c r="G23" s="8">
        <f t="shared" ref="G23:G26" si="2">F23*1.5</f>
        <v>0.3498</v>
      </c>
      <c r="H23" s="8">
        <f t="shared" ref="H23:H26" si="3">POWER((1+G23),(30/360))-1</f>
        <v>2.5311398067152435E-2</v>
      </c>
      <c r="I23" s="9">
        <f>IF(D23=1,((F18*H23)/30)*C23,IF(D23=2,N23,0))</f>
        <v>610364.02149219729</v>
      </c>
      <c r="J23" s="9">
        <v>0</v>
      </c>
      <c r="K23" s="9">
        <f>IF(D23=1,0,IF(D23=2,I23,IF(D23=3,I23,IF(D23=4,J23-(J23-N22),0))))</f>
        <v>0</v>
      </c>
      <c r="L23" s="9">
        <f t="shared" ref="L23" si="4">IF(D23=4,J23-K23,0)</f>
        <v>0</v>
      </c>
      <c r="M23" s="9">
        <f>F18</f>
        <v>241141962.94999999</v>
      </c>
      <c r="N23" s="9">
        <f>I23</f>
        <v>610364.02149219729</v>
      </c>
      <c r="O23" s="9">
        <f t="shared" ref="O23:O24" si="5">M23+N23</f>
        <v>241752326.97149217</v>
      </c>
    </row>
    <row r="24" spans="1:15" x14ac:dyDescent="0.2">
      <c r="A24" s="7">
        <f>B23+1</f>
        <v>45323</v>
      </c>
      <c r="B24" s="7">
        <f t="shared" si="0"/>
        <v>45351</v>
      </c>
      <c r="C24" s="22">
        <f>IF(DAYS360(A24,B24,FALSE)&gt;26,30,DAYS360(A24,B24,FALSE))</f>
        <v>30</v>
      </c>
      <c r="D24" s="22">
        <v>1</v>
      </c>
      <c r="E24" s="7" t="str">
        <f>IF(D24=1,"Generación de intereses moratorios",IF(D24=2,"Capitalizacion de intereses acumulada",IF(D24=3,"Capitalización de intereses",IF(D24=4,"Pago parcial"," "))))</f>
        <v>Generación de intereses moratorios</v>
      </c>
      <c r="F24" s="8">
        <v>0.2331</v>
      </c>
      <c r="G24" s="8">
        <f t="shared" si="2"/>
        <v>0.34965000000000002</v>
      </c>
      <c r="H24" s="8">
        <f t="shared" si="3"/>
        <v>2.5301902552775868E-2</v>
      </c>
      <c r="I24" s="9">
        <f>IF(D24=1,((M23*H24)/30)*C24,IF(D24=2,#REF!,IF(D24=3,#REF!,0)))</f>
        <v>6101350.4479459887</v>
      </c>
      <c r="J24" s="9">
        <v>0</v>
      </c>
      <c r="K24" s="9">
        <f t="shared" ref="K24" si="6">IF(D24=1,0,IF(D24=2,I24,IF(D24=3,I24,IF(D24=4,J24-(J24-N23),0))))</f>
        <v>0</v>
      </c>
      <c r="L24" s="9">
        <f t="shared" ref="L24" si="7">IF(D24=4,J24-K24,0)</f>
        <v>0</v>
      </c>
      <c r="M24" s="9">
        <f t="shared" ref="M24" si="8">IF(D24=1,M23-L24,IF(D24=2,M23-L24+I24,IF(D24=3,M23-L24+I24,M23-L24)))</f>
        <v>241141962.94999999</v>
      </c>
      <c r="N24" s="9">
        <f>IF(D24=1,N23+I24-K24,IF(D24=2,N23-K24,IF(D24=3,N23-K24,N23+I24-K24)))</f>
        <v>6711714.4694381859</v>
      </c>
      <c r="O24" s="9">
        <f t="shared" si="5"/>
        <v>247853677.41943818</v>
      </c>
    </row>
    <row r="25" spans="1:15" x14ac:dyDescent="0.2">
      <c r="A25" s="32">
        <f t="shared" ref="A25:A34" si="9">B24+1</f>
        <v>45352</v>
      </c>
      <c r="B25" s="31">
        <f t="shared" si="0"/>
        <v>45382</v>
      </c>
      <c r="C25" s="22">
        <f>IF(DAYS360(A25,B25,FALSE)&gt;26,30,DAYS360(A25,B25,FALSE))</f>
        <v>30</v>
      </c>
      <c r="D25" s="22">
        <v>1</v>
      </c>
      <c r="E25" s="31" t="str">
        <f t="shared" ref="E25" si="10">IF(D25=1,"Generación de intereses moratorios",IF(D25=2,"Capitalizacion de intereses acumulada",IF(D25=3,"Capitalización de intereses",IF(D25=4,"Pago parcial"," "))))</f>
        <v>Generación de intereses moratorios</v>
      </c>
      <c r="F25" s="8">
        <v>0.222</v>
      </c>
      <c r="G25" s="8">
        <f t="shared" si="2"/>
        <v>0.33300000000000002</v>
      </c>
      <c r="H25" s="8">
        <f t="shared" si="3"/>
        <v>2.4241839479260285E-2</v>
      </c>
      <c r="I25" s="9">
        <f>IF(D25=1,((M24*H25)/30)*C25,IF(D25=2,#REF!,IF(D25=3,#REF!,0)))</f>
        <v>5845724.7575476309</v>
      </c>
      <c r="J25" s="9">
        <v>0</v>
      </c>
      <c r="K25" s="9">
        <f t="shared" ref="K25:K28" si="11">IF(D25=1,0,IF(D25=2,I25,IF(D25=3,I25,IF(D25=4,J25-(J25-N24),0))))</f>
        <v>0</v>
      </c>
      <c r="L25" s="9">
        <f t="shared" ref="L25" si="12">IF(D25=4,J25-K25,0)</f>
        <v>0</v>
      </c>
      <c r="M25" s="9">
        <f t="shared" ref="M25" si="13">IF(D25=1,M24-L25,IF(D25=2,M24-L25+I25,IF(D25=3,M24-L25+I25,M24-L25)))</f>
        <v>241141962.94999999</v>
      </c>
      <c r="N25" s="9">
        <f>IF(D25=1,N24+I25-K25,IF(D25=2,N24-K25,IF(D25=3,N24-K25,N24+I25-K25)))</f>
        <v>12557439.226985816</v>
      </c>
      <c r="O25" s="9">
        <f t="shared" ref="O25" si="14">M25+N25</f>
        <v>253699402.1769858</v>
      </c>
    </row>
    <row r="26" spans="1:15" x14ac:dyDescent="0.2">
      <c r="A26" s="32">
        <f>B25+1</f>
        <v>45383</v>
      </c>
      <c r="B26" s="31">
        <v>45404</v>
      </c>
      <c r="C26" s="22">
        <f>IF(DAYS360(A26,B26,FALSE)&gt;26,30,DAYS360(A26,B26,FALSE))</f>
        <v>21</v>
      </c>
      <c r="D26" s="22">
        <v>1</v>
      </c>
      <c r="E26" s="31" t="str">
        <f t="shared" ref="E26" si="15">IF(D26=1,"Generación de intereses moratorios",IF(D26=2,"Capitalizacion de intereses acumulada",IF(D26=3,"Capitalización de intereses",IF(D26=4,"Pago parcial"," "))))</f>
        <v>Generación de intereses moratorios</v>
      </c>
      <c r="F26" s="8">
        <v>0.22059999999999999</v>
      </c>
      <c r="G26" s="8">
        <f t="shared" si="2"/>
        <v>0.33089999999999997</v>
      </c>
      <c r="H26" s="8">
        <f t="shared" si="3"/>
        <v>2.4107276932201271E-2</v>
      </c>
      <c r="I26" s="9">
        <f>IF(D26=1,((M25*H26)/30)*C26,IF(D26=2,#REF!,IF(D26=3,#REF!,0)))</f>
        <v>4069293.2565671876</v>
      </c>
      <c r="J26" s="9">
        <v>0</v>
      </c>
      <c r="K26" s="9">
        <f t="shared" si="11"/>
        <v>0</v>
      </c>
      <c r="L26" s="9">
        <f t="shared" ref="L26:L27" si="16">IF(D26=4,J26-K26,0)</f>
        <v>0</v>
      </c>
      <c r="M26" s="9">
        <f t="shared" ref="M26:M34" si="17">IF(D26=1,M25-L26,IF(D26=2,M25-L26+I26,IF(D26=3,M25-L26+I26,M25-L26)))</f>
        <v>241141962.94999999</v>
      </c>
      <c r="N26" s="9">
        <f t="shared" ref="N26:N34" si="18">IF(D26=1,N25+I26-K26,IF(D26=2,N25-K26,IF(D26=3,N25-K26,N25+I26-K26)))</f>
        <v>16626732.483553004</v>
      </c>
      <c r="O26" s="9">
        <f t="shared" ref="O26:O34" si="19">M26+N26</f>
        <v>257768695.43355298</v>
      </c>
    </row>
    <row r="27" spans="1:15" x14ac:dyDescent="0.2">
      <c r="A27" s="32">
        <v>45404</v>
      </c>
      <c r="B27" s="32">
        <v>45404</v>
      </c>
      <c r="C27" s="22">
        <f>IF(DAYS360(A27,B27,FALSE)&gt;26,30,DAYS360(A27,B27,FALSE))</f>
        <v>0</v>
      </c>
      <c r="D27" s="22">
        <v>4</v>
      </c>
      <c r="E27" s="32" t="str">
        <f t="shared" ref="E27:E28" si="20">IF(D27=1,"Generación de intereses moratorios",IF(D27=2,"Capitalizacion de intereses acumulada",IF(D27=3,"Capitalización de intereses",IF(D27=4,"Pago parcial"," "))))</f>
        <v>Pago parcial</v>
      </c>
      <c r="F27" s="8"/>
      <c r="G27" s="8"/>
      <c r="H27" s="8"/>
      <c r="I27" s="9">
        <f>IF(D27=1,((M26*H27)/30)*C27,IF(D27=2,#REF!,IF(D27=3,#REF!,0)))</f>
        <v>0</v>
      </c>
      <c r="J27" s="9">
        <v>241141962.94999999</v>
      </c>
      <c r="K27" s="9">
        <f t="shared" si="11"/>
        <v>16626732.483552992</v>
      </c>
      <c r="L27" s="9">
        <f t="shared" si="16"/>
        <v>224515230.466447</v>
      </c>
      <c r="M27" s="9">
        <f t="shared" si="17"/>
        <v>16626732.483552992</v>
      </c>
      <c r="N27" s="9">
        <f t="shared" si="18"/>
        <v>1.1175870895385742E-8</v>
      </c>
      <c r="O27" s="9">
        <f t="shared" si="19"/>
        <v>16626732.483553004</v>
      </c>
    </row>
    <row r="28" spans="1:15" x14ac:dyDescent="0.2">
      <c r="A28" s="32">
        <f t="shared" si="9"/>
        <v>45405</v>
      </c>
      <c r="B28" s="32">
        <f t="shared" ref="B28" si="21">IF(D28=1,(EOMONTH(A28,0)),A28)</f>
        <v>45412</v>
      </c>
      <c r="C28" s="22">
        <f>IF(DAYS360(A28,B28,FALSE)&gt;26,30,DAYS360(A28,B28,FALSE))</f>
        <v>7</v>
      </c>
      <c r="D28" s="22">
        <v>1</v>
      </c>
      <c r="E28" s="32" t="str">
        <f t="shared" si="20"/>
        <v>Generación de intereses moratorios</v>
      </c>
      <c r="F28" s="8">
        <v>0.22059999999999999</v>
      </c>
      <c r="G28" s="8">
        <f t="shared" ref="G28" si="22">F28*1.5</f>
        <v>0.33089999999999997</v>
      </c>
      <c r="H28" s="8">
        <f t="shared" ref="H28" si="23">POWER((1+G28),(30/360))-1</f>
        <v>2.4107276932201271E-2</v>
      </c>
      <c r="I28" s="9">
        <f>IF(D28=1,((M27*H28)/30)*C28,IF(D28=2,#REF!,IF(D28=3,#REF!,0)))</f>
        <v>93525.890373682341</v>
      </c>
      <c r="J28" s="9">
        <v>0</v>
      </c>
      <c r="K28" s="9">
        <f t="shared" si="11"/>
        <v>0</v>
      </c>
      <c r="L28" s="9">
        <f t="shared" ref="L28" si="24">IF(D28=4,J28-K28,0)</f>
        <v>0</v>
      </c>
      <c r="M28" s="9">
        <f t="shared" si="17"/>
        <v>16626732.483552992</v>
      </c>
      <c r="N28" s="9">
        <f t="shared" si="18"/>
        <v>93525.890373693517</v>
      </c>
      <c r="O28" s="9">
        <f t="shared" si="19"/>
        <v>16720258.373926686</v>
      </c>
    </row>
    <row r="29" spans="1:15" x14ac:dyDescent="0.2">
      <c r="A29" s="32">
        <f t="shared" si="9"/>
        <v>45413</v>
      </c>
      <c r="B29" s="32">
        <f t="shared" ref="B29:B30" si="25">IF(D29=1,(EOMONTH(A29,0)),A29)</f>
        <v>45443</v>
      </c>
      <c r="C29" s="22">
        <f t="shared" ref="C29:C30" si="26">IF(DAYS360(A29,B29,FALSE)&gt;26,30,DAYS360(A29,B29,FALSE))</f>
        <v>30</v>
      </c>
      <c r="D29" s="22">
        <v>1</v>
      </c>
      <c r="E29" s="32" t="str">
        <f t="shared" ref="E29:E30" si="27">IF(D29=1,"Generación de intereses moratorios",IF(D29=2,"Capitalizacion de intereses acumulada",IF(D29=3,"Capitalización de intereses",IF(D29=4,"Pago parcial"," "))))</f>
        <v>Generación de intereses moratorios</v>
      </c>
      <c r="F29" s="8">
        <v>0.2102</v>
      </c>
      <c r="G29" s="8">
        <f t="shared" ref="G29:G30" si="28">F29*1.5</f>
        <v>0.31530000000000002</v>
      </c>
      <c r="H29" s="8">
        <f t="shared" ref="H29:H30" si="29">POWER((1+G29),(30/360))-1</f>
        <v>2.3101532064367492E-2</v>
      </c>
      <c r="I29" s="9">
        <f>IF(D29=1,((M28*H29)/30)*C29,IF(D29=2,#REF!,IF(D29=3,#REF!,0)))</f>
        <v>384102.99359446001</v>
      </c>
      <c r="J29" s="9">
        <v>0</v>
      </c>
      <c r="K29" s="9">
        <f t="shared" ref="K29:K30" si="30">IF(D29=1,0,IF(D29=2,I29,IF(D29=3,I29,IF(D29=4,J29-(J29-N28),0))))</f>
        <v>0</v>
      </c>
      <c r="L29" s="9">
        <f t="shared" ref="L29:L30" si="31">IF(D29=4,J29-K29,0)</f>
        <v>0</v>
      </c>
      <c r="M29" s="9">
        <f t="shared" si="17"/>
        <v>16626732.483552992</v>
      </c>
      <c r="N29" s="9">
        <f t="shared" si="18"/>
        <v>477628.8839681535</v>
      </c>
      <c r="O29" s="9">
        <f t="shared" si="19"/>
        <v>17104361.367521144</v>
      </c>
    </row>
    <row r="30" spans="1:15" x14ac:dyDescent="0.2">
      <c r="A30" s="32">
        <f t="shared" si="9"/>
        <v>45444</v>
      </c>
      <c r="B30" s="32">
        <f t="shared" si="25"/>
        <v>45473</v>
      </c>
      <c r="C30" s="22">
        <f t="shared" si="26"/>
        <v>30</v>
      </c>
      <c r="D30" s="22">
        <v>1</v>
      </c>
      <c r="E30" s="32" t="str">
        <f t="shared" si="27"/>
        <v>Generación de intereses moratorios</v>
      </c>
      <c r="F30" s="8">
        <v>0.2056</v>
      </c>
      <c r="G30" s="8">
        <f t="shared" si="28"/>
        <v>0.30840000000000001</v>
      </c>
      <c r="H30" s="8">
        <f t="shared" si="29"/>
        <v>2.2653191301707398E-2</v>
      </c>
      <c r="I30" s="9">
        <f>IF(D30=1,((M29*H30)/30)*C30,IF(D30=2,#REF!,IF(D30=3,#REF!,0)))</f>
        <v>376648.55167223851</v>
      </c>
      <c r="J30" s="9">
        <v>0</v>
      </c>
      <c r="K30" s="9">
        <f t="shared" si="30"/>
        <v>0</v>
      </c>
      <c r="L30" s="9">
        <f t="shared" si="31"/>
        <v>0</v>
      </c>
      <c r="M30" s="9">
        <f t="shared" si="17"/>
        <v>16626732.483552992</v>
      </c>
      <c r="N30" s="9">
        <f t="shared" si="18"/>
        <v>854277.43564039201</v>
      </c>
      <c r="O30" s="9">
        <f t="shared" si="19"/>
        <v>17481009.919193383</v>
      </c>
    </row>
    <row r="31" spans="1:15" x14ac:dyDescent="0.2">
      <c r="A31" s="32">
        <f t="shared" si="9"/>
        <v>45474</v>
      </c>
      <c r="B31" s="32">
        <f t="shared" ref="B31:B34" si="32">IF(D31=1,(EOMONTH(A31,0)),A31)</f>
        <v>45504</v>
      </c>
      <c r="C31" s="22">
        <f t="shared" ref="C31:C34" si="33">IF(DAYS360(A31,B31,FALSE)&gt;26,30,DAYS360(A31,B31,FALSE))</f>
        <v>30</v>
      </c>
      <c r="D31" s="22">
        <v>1</v>
      </c>
      <c r="E31" s="32" t="str">
        <f t="shared" ref="E31:E34" si="34">IF(D31=1,"Generación de intereses moratorios",IF(D31=2,"Capitalizacion de intereses acumulada",IF(D31=3,"Capitalización de intereses",IF(D31=4,"Pago parcial"," "))))</f>
        <v>Generación de intereses moratorios</v>
      </c>
      <c r="F31" s="8">
        <v>0.1966</v>
      </c>
      <c r="G31" s="8">
        <f t="shared" ref="G31:G34" si="35">F31*1.5</f>
        <v>0.2949</v>
      </c>
      <c r="H31" s="8">
        <f t="shared" ref="H31:H34" si="36">POWER((1+G31),(30/360))-1</f>
        <v>2.1769698724889874E-2</v>
      </c>
      <c r="I31" s="9">
        <f>IF(D31=1,((M30*H31)/30)*C31,IF(D31=2,#REF!,IF(D31=3,#REF!,0)))</f>
        <v>361958.95694628864</v>
      </c>
      <c r="J31" s="9">
        <v>0</v>
      </c>
      <c r="K31" s="9">
        <f t="shared" ref="K31:K34" si="37">IF(D31=1,0,IF(D31=2,I31,IF(D31=3,I31,IF(D31=4,J31-(J31-N30),0))))</f>
        <v>0</v>
      </c>
      <c r="L31" s="9">
        <f t="shared" ref="L31:L34" si="38">IF(D31=4,J31-K31,0)</f>
        <v>0</v>
      </c>
      <c r="M31" s="9">
        <f t="shared" si="17"/>
        <v>16626732.483552992</v>
      </c>
      <c r="N31" s="9">
        <f t="shared" si="18"/>
        <v>1216236.3925866806</v>
      </c>
      <c r="O31" s="9">
        <f t="shared" si="19"/>
        <v>17842968.876139674</v>
      </c>
    </row>
    <row r="32" spans="1:15" x14ac:dyDescent="0.2">
      <c r="A32" s="32">
        <f t="shared" si="9"/>
        <v>45505</v>
      </c>
      <c r="B32" s="32">
        <f t="shared" si="32"/>
        <v>45535</v>
      </c>
      <c r="C32" s="22">
        <f t="shared" si="33"/>
        <v>30</v>
      </c>
      <c r="D32" s="22">
        <v>1</v>
      </c>
      <c r="E32" s="32" t="str">
        <f t="shared" si="34"/>
        <v>Generación de intereses moratorios</v>
      </c>
      <c r="F32" s="8">
        <v>0.19470000000000001</v>
      </c>
      <c r="G32" s="8">
        <f t="shared" si="35"/>
        <v>0.29205000000000003</v>
      </c>
      <c r="H32" s="8">
        <f t="shared" si="36"/>
        <v>2.1582104744219066E-2</v>
      </c>
      <c r="I32" s="9">
        <f>IF(D32=1,((M31*H32)/30)*C32,IF(D32=2,#REF!,IF(D32=3,#REF!,0)))</f>
        <v>358839.88201415027</v>
      </c>
      <c r="J32" s="9">
        <v>0</v>
      </c>
      <c r="K32" s="9">
        <f t="shared" si="37"/>
        <v>0</v>
      </c>
      <c r="L32" s="9">
        <f t="shared" si="38"/>
        <v>0</v>
      </c>
      <c r="M32" s="9">
        <f t="shared" si="17"/>
        <v>16626732.483552992</v>
      </c>
      <c r="N32" s="9">
        <f t="shared" si="18"/>
        <v>1575076.2746008309</v>
      </c>
      <c r="O32" s="9">
        <f t="shared" si="19"/>
        <v>18201808.758153822</v>
      </c>
    </row>
    <row r="33" spans="1:15" x14ac:dyDescent="0.2">
      <c r="A33" s="32">
        <f t="shared" si="9"/>
        <v>45536</v>
      </c>
      <c r="B33" s="32">
        <f t="shared" si="32"/>
        <v>45565</v>
      </c>
      <c r="C33" s="22">
        <f t="shared" si="33"/>
        <v>30</v>
      </c>
      <c r="D33" s="22">
        <v>1</v>
      </c>
      <c r="E33" s="32" t="str">
        <f t="shared" si="34"/>
        <v>Generación de intereses moratorios</v>
      </c>
      <c r="F33" s="8">
        <v>0.1923</v>
      </c>
      <c r="G33" s="8">
        <f t="shared" si="35"/>
        <v>0.28844999999999998</v>
      </c>
      <c r="H33" s="8">
        <f t="shared" si="36"/>
        <v>2.1344601002089014E-2</v>
      </c>
      <c r="I33" s="9">
        <f>IF(D33=1,((M32*H33)/30)*C33,IF(D33=2,#REF!,IF(D33=3,#REF!,0)))</f>
        <v>354890.97082991118</v>
      </c>
      <c r="J33" s="9">
        <v>0</v>
      </c>
      <c r="K33" s="9">
        <f t="shared" si="37"/>
        <v>0</v>
      </c>
      <c r="L33" s="9">
        <f t="shared" si="38"/>
        <v>0</v>
      </c>
      <c r="M33" s="9">
        <f t="shared" si="17"/>
        <v>16626732.483552992</v>
      </c>
      <c r="N33" s="9">
        <f t="shared" si="18"/>
        <v>1929967.2454307419</v>
      </c>
      <c r="O33" s="9">
        <f t="shared" si="19"/>
        <v>18556699.728983734</v>
      </c>
    </row>
    <row r="34" spans="1:15" x14ac:dyDescent="0.2">
      <c r="A34" s="32">
        <f t="shared" si="9"/>
        <v>45566</v>
      </c>
      <c r="B34" s="34">
        <f t="shared" si="32"/>
        <v>45596</v>
      </c>
      <c r="C34" s="22">
        <f t="shared" si="33"/>
        <v>30</v>
      </c>
      <c r="D34" s="22">
        <v>1</v>
      </c>
      <c r="E34" s="32" t="str">
        <f t="shared" si="34"/>
        <v>Generación de intereses moratorios</v>
      </c>
      <c r="F34" s="8">
        <v>0.18779999999999999</v>
      </c>
      <c r="G34" s="8">
        <f t="shared" si="35"/>
        <v>0.28170000000000001</v>
      </c>
      <c r="H34" s="8">
        <f t="shared" si="36"/>
        <v>2.0897637252162315E-2</v>
      </c>
      <c r="I34" s="9">
        <f>IF(D34=1,((M33*H34)/30)*C34,IF(D34=2,#REF!,IF(D34=3,#REF!,0)))</f>
        <v>347459.42413003428</v>
      </c>
      <c r="J34" s="9">
        <v>0</v>
      </c>
      <c r="K34" s="9">
        <f t="shared" si="37"/>
        <v>0</v>
      </c>
      <c r="L34" s="9">
        <f t="shared" si="38"/>
        <v>0</v>
      </c>
      <c r="M34" s="9">
        <f t="shared" si="17"/>
        <v>16626732.483552992</v>
      </c>
      <c r="N34" s="9">
        <f t="shared" si="18"/>
        <v>2277426.6695607761</v>
      </c>
      <c r="O34" s="9">
        <f t="shared" si="19"/>
        <v>18904159.153113768</v>
      </c>
    </row>
    <row r="35" spans="1:15" x14ac:dyDescent="0.2">
      <c r="A35" s="34">
        <f t="shared" ref="A35" si="39">B34+1</f>
        <v>45597</v>
      </c>
      <c r="B35" s="34">
        <f t="shared" ref="B35" si="40">IF(D35=1,(EOMONTH(A35,0)),A35)</f>
        <v>45626</v>
      </c>
      <c r="C35" s="22">
        <f t="shared" ref="C35" si="41">IF(DAYS360(A35,B35,FALSE)&gt;26,30,DAYS360(A35,B35,FALSE))</f>
        <v>30</v>
      </c>
      <c r="D35" s="22">
        <v>1</v>
      </c>
      <c r="E35" s="34" t="str">
        <f t="shared" ref="E35" si="42">IF(D35=1,"Generación de intereses moratorios",IF(D35=2,"Capitalizacion de intereses acumulada",IF(D35=3,"Capitalización de intereses",IF(D35=4,"Pago parcial"," "))))</f>
        <v>Generación de intereses moratorios</v>
      </c>
      <c r="F35" s="8">
        <v>0.186</v>
      </c>
      <c r="G35" s="8">
        <f t="shared" ref="G35" si="43">F35*1.5</f>
        <v>0.27900000000000003</v>
      </c>
      <c r="H35" s="8">
        <f t="shared" ref="H35" si="44">POWER((1+G35),(30/360))-1</f>
        <v>2.071824734194827E-2</v>
      </c>
      <c r="I35" s="9">
        <f>IF(D35=1,((M34*H35)/30)*C35,IF(D35=2,#REF!,IF(D35=3,#REF!,0)))</f>
        <v>344476.75608265674</v>
      </c>
      <c r="J35" s="9">
        <v>0</v>
      </c>
      <c r="K35" s="9">
        <f t="shared" ref="K35" si="45">IF(D35=1,0,IF(D35=2,I35,IF(D35=3,I35,IF(D35=4,J35-(J35-N34),0))))</f>
        <v>0</v>
      </c>
      <c r="L35" s="9">
        <f t="shared" ref="L35" si="46">IF(D35=4,J35-K35,0)</f>
        <v>0</v>
      </c>
      <c r="M35" s="9">
        <f t="shared" ref="M35:M36" si="47">IF(D35=1,M34-L35,IF(D35=2,M34-L35+I35,IF(D35=3,M34-L35+I35,M34-L35)))</f>
        <v>16626732.483552992</v>
      </c>
      <c r="N35" s="9">
        <f t="shared" ref="N35:N36" si="48">IF(D35=1,N34+I35-K35,IF(D35=2,N34-K35,IF(D35=3,N34-K35,N34+I35-K35)))</f>
        <v>2621903.4256434329</v>
      </c>
      <c r="O35" s="9">
        <f t="shared" ref="O35:O36" si="49">M35+N35</f>
        <v>19248635.909196425</v>
      </c>
    </row>
    <row r="36" spans="1:15" x14ac:dyDescent="0.2">
      <c r="A36" s="34">
        <f t="shared" ref="A36" si="50">B35+1</f>
        <v>45627</v>
      </c>
      <c r="B36" s="34">
        <v>45635</v>
      </c>
      <c r="C36" s="22">
        <f t="shared" ref="C36" si="51">IF(DAYS360(A36,B36,FALSE)&gt;26,30,DAYS360(A36,B36,FALSE))</f>
        <v>8</v>
      </c>
      <c r="D36" s="22">
        <v>1</v>
      </c>
      <c r="E36" s="34" t="str">
        <f t="shared" ref="E36" si="52">IF(D36=1,"Generación de intereses moratorios",IF(D36=2,"Capitalizacion de intereses acumulada",IF(D36=3,"Capitalización de intereses",IF(D36=4,"Pago parcial"," "))))</f>
        <v>Generación de intereses moratorios</v>
      </c>
      <c r="F36" s="8">
        <v>0.1759</v>
      </c>
      <c r="G36" s="8">
        <f t="shared" ref="G36" si="53">F36*1.5</f>
        <v>0.26385000000000003</v>
      </c>
      <c r="H36" s="8">
        <f t="shared" ref="H36" si="54">POWER((1+G36),(30/360))-1</f>
        <v>1.9705185284566218E-2</v>
      </c>
      <c r="I36" s="9">
        <f>IF(D36=1,((M35*H36)/30)*C36,IF(D36=2,#REF!,IF(D36=3,#REF!,0)))</f>
        <v>87368.758470754008</v>
      </c>
      <c r="J36" s="9">
        <v>0</v>
      </c>
      <c r="K36" s="9">
        <f t="shared" ref="K36" si="55">IF(D36=1,0,IF(D36=2,I36,IF(D36=3,I36,IF(D36=4,J36-(J36-N35),0))))</f>
        <v>0</v>
      </c>
      <c r="L36" s="9">
        <f t="shared" ref="L36" si="56">IF(D36=4,J36-K36,0)</f>
        <v>0</v>
      </c>
      <c r="M36" s="9">
        <f t="shared" si="47"/>
        <v>16626732.483552992</v>
      </c>
      <c r="N36" s="9">
        <f t="shared" si="48"/>
        <v>2709272.184114187</v>
      </c>
      <c r="O36" s="9">
        <f t="shared" si="49"/>
        <v>19336004.66766718</v>
      </c>
    </row>
    <row r="37" spans="1:15" x14ac:dyDescent="0.2">
      <c r="A37" s="81"/>
      <c r="B37" s="81"/>
      <c r="C37" s="82"/>
      <c r="D37" s="82"/>
      <c r="E37" s="81"/>
      <c r="F37" s="12"/>
      <c r="G37" s="12"/>
      <c r="H37" s="12"/>
      <c r="I37" s="83"/>
      <c r="J37" s="83"/>
      <c r="K37" s="83"/>
      <c r="L37" s="83"/>
      <c r="M37" s="83"/>
      <c r="N37" s="83"/>
      <c r="O37" s="83"/>
    </row>
    <row r="38" spans="1:15" x14ac:dyDescent="0.2">
      <c r="A38" s="11"/>
      <c r="B38" s="11"/>
      <c r="C38" s="11"/>
      <c r="D38" s="11"/>
      <c r="E38" s="12"/>
      <c r="F38" s="12"/>
      <c r="G38" s="10"/>
      <c r="H38" s="10"/>
      <c r="I38" s="10"/>
      <c r="J38" s="10"/>
      <c r="K38" s="10"/>
      <c r="L38" s="10"/>
      <c r="M38" s="13"/>
    </row>
    <row r="39" spans="1:15" x14ac:dyDescent="0.2">
      <c r="A39" s="11"/>
      <c r="B39" s="11"/>
      <c r="C39" s="11"/>
      <c r="D39" s="11"/>
      <c r="E39" s="12"/>
      <c r="F39" s="12"/>
      <c r="G39" s="10"/>
      <c r="H39" s="10"/>
      <c r="I39" s="10"/>
      <c r="J39" s="10"/>
      <c r="K39" s="10"/>
      <c r="L39" s="10"/>
      <c r="M39" s="13"/>
    </row>
    <row r="40" spans="1:15" x14ac:dyDescent="0.2">
      <c r="A40" s="35" t="s">
        <v>20</v>
      </c>
      <c r="B40" s="36"/>
      <c r="C40" s="36"/>
      <c r="D40" s="36"/>
      <c r="E40" s="36"/>
      <c r="F40" s="36"/>
      <c r="G40" s="36"/>
      <c r="H40" s="36"/>
      <c r="I40" s="36"/>
      <c r="J40" s="37"/>
      <c r="K40" s="10"/>
      <c r="L40" s="10"/>
      <c r="M40" s="13"/>
    </row>
    <row r="41" spans="1:15" x14ac:dyDescent="0.2">
      <c r="A41" s="78" t="s">
        <v>24</v>
      </c>
      <c r="B41" s="79"/>
      <c r="C41" s="79"/>
      <c r="D41" s="80"/>
      <c r="E41" s="33" t="s">
        <v>3</v>
      </c>
      <c r="F41" s="35" t="s">
        <v>4</v>
      </c>
      <c r="G41" s="36"/>
      <c r="H41" s="37"/>
      <c r="I41" s="73" t="s">
        <v>18</v>
      </c>
      <c r="J41" s="74"/>
      <c r="K41" s="10"/>
      <c r="L41" s="10"/>
      <c r="M41" s="13"/>
    </row>
    <row r="42" spans="1:15" ht="33" customHeight="1" x14ac:dyDescent="0.2">
      <c r="A42" s="75" t="str">
        <f>A18</f>
        <v>CTO CO1.PCCNTR.5653457 - Factura electrónica DEEI4085</v>
      </c>
      <c r="B42" s="76"/>
      <c r="C42" s="76"/>
      <c r="D42" s="77"/>
      <c r="E42" s="9">
        <f>M36</f>
        <v>16626732.483552992</v>
      </c>
      <c r="F42" s="67">
        <f>N36</f>
        <v>2709272.184114187</v>
      </c>
      <c r="G42" s="68"/>
      <c r="H42" s="69"/>
      <c r="I42" s="67">
        <f>E42+F42</f>
        <v>19336004.66766718</v>
      </c>
      <c r="J42" s="69"/>
      <c r="K42" s="10"/>
      <c r="L42" s="10"/>
      <c r="M42" s="13"/>
    </row>
    <row r="43" spans="1:15" ht="14" customHeight="1" x14ac:dyDescent="0.2">
      <c r="A43" s="64" t="s">
        <v>19</v>
      </c>
      <c r="B43" s="65"/>
      <c r="C43" s="65"/>
      <c r="D43" s="66"/>
      <c r="E43" s="15">
        <f>SUM(E42:E42)</f>
        <v>16626732.483552992</v>
      </c>
      <c r="F43" s="70">
        <f>SUM(F42:F42)</f>
        <v>2709272.184114187</v>
      </c>
      <c r="G43" s="71"/>
      <c r="H43" s="72"/>
      <c r="I43" s="70">
        <f>SUM(I42:I42)</f>
        <v>19336004.66766718</v>
      </c>
      <c r="J43" s="72"/>
      <c r="K43" s="10"/>
      <c r="L43" s="10"/>
      <c r="M43" s="13"/>
    </row>
    <row r="44" spans="1:15" x14ac:dyDescent="0.2">
      <c r="A44" s="16"/>
      <c r="E44" s="29"/>
      <c r="F44" s="10"/>
      <c r="I44" s="12"/>
      <c r="J44" s="10"/>
      <c r="K44" s="10"/>
      <c r="L44" s="10"/>
      <c r="M44" s="13"/>
    </row>
    <row r="45" spans="1:15" x14ac:dyDescent="0.2">
      <c r="A45" s="16"/>
      <c r="E45" s="16"/>
      <c r="F45" s="10"/>
      <c r="I45" s="12"/>
      <c r="J45" s="10"/>
      <c r="K45" s="10"/>
      <c r="L45" s="10"/>
      <c r="M45" s="13"/>
    </row>
    <row r="46" spans="1:15" x14ac:dyDescent="0.2">
      <c r="A46" s="16"/>
      <c r="B46" s="16"/>
      <c r="C46" s="16"/>
      <c r="D46" s="16"/>
      <c r="E46" s="10"/>
      <c r="F46" s="12"/>
      <c r="G46" s="10"/>
      <c r="H46" s="10"/>
      <c r="I46" s="10"/>
      <c r="J46" s="10"/>
      <c r="K46" s="10"/>
      <c r="L46" s="10"/>
      <c r="M46" s="13"/>
    </row>
    <row r="47" spans="1:15" ht="83" customHeight="1" x14ac:dyDescent="0.2">
      <c r="A47" s="39" t="s">
        <v>51</v>
      </c>
      <c r="B47" s="39"/>
      <c r="C47" s="39"/>
      <c r="D47" s="39"/>
      <c r="E47" s="39"/>
      <c r="F47" s="39"/>
      <c r="G47" s="39"/>
      <c r="H47" s="39"/>
      <c r="I47" s="39"/>
      <c r="J47" s="39"/>
      <c r="K47" s="39"/>
      <c r="L47" s="39"/>
      <c r="M47" s="39"/>
    </row>
  </sheetData>
  <mergeCells count="54">
    <mergeCell ref="A14:D14"/>
    <mergeCell ref="E14:J14"/>
    <mergeCell ref="K14:L14"/>
    <mergeCell ref="A43:D43"/>
    <mergeCell ref="F41:H41"/>
    <mergeCell ref="F42:H42"/>
    <mergeCell ref="I42:J42"/>
    <mergeCell ref="F43:H43"/>
    <mergeCell ref="I43:J43"/>
    <mergeCell ref="I41:J41"/>
    <mergeCell ref="A42:D42"/>
    <mergeCell ref="A41:D41"/>
    <mergeCell ref="A12:D12"/>
    <mergeCell ref="K12:L12"/>
    <mergeCell ref="A13:D13"/>
    <mergeCell ref="E13:J13"/>
    <mergeCell ref="K13:L13"/>
    <mergeCell ref="M12:O12"/>
    <mergeCell ref="M13:O13"/>
    <mergeCell ref="M14:O14"/>
    <mergeCell ref="F12:H12"/>
    <mergeCell ref="I12:J12"/>
    <mergeCell ref="D21:E21"/>
    <mergeCell ref="A5:D5"/>
    <mergeCell ref="A6:D6"/>
    <mergeCell ref="A7:D7"/>
    <mergeCell ref="A8:D8"/>
    <mergeCell ref="E5:O5"/>
    <mergeCell ref="E6:O6"/>
    <mergeCell ref="E7:O7"/>
    <mergeCell ref="E8:O8"/>
    <mergeCell ref="A17:D17"/>
    <mergeCell ref="A18:D18"/>
    <mergeCell ref="F17:G17"/>
    <mergeCell ref="F18:G18"/>
    <mergeCell ref="A16:G16"/>
    <mergeCell ref="A10:O10"/>
    <mergeCell ref="M11:O11"/>
    <mergeCell ref="A40:J40"/>
    <mergeCell ref="A1:I1"/>
    <mergeCell ref="A3:J3"/>
    <mergeCell ref="A47:M47"/>
    <mergeCell ref="A11:D11"/>
    <mergeCell ref="E11:J11"/>
    <mergeCell ref="K11:L11"/>
    <mergeCell ref="A20:O20"/>
    <mergeCell ref="A21:C21"/>
    <mergeCell ref="I21:I22"/>
    <mergeCell ref="J21:J22"/>
    <mergeCell ref="K21:K22"/>
    <mergeCell ref="L21:L22"/>
    <mergeCell ref="M21:M22"/>
    <mergeCell ref="N21:N22"/>
    <mergeCell ref="O21:O22"/>
  </mergeCells>
  <hyperlinks>
    <hyperlink ref="M13" r:id="rId1" xr:uid="{18EA9E17-213B-8145-8244-606933B5F20B}"/>
  </hyperlinks>
  <pageMargins left="0.9055118110236221" right="0.9055118110236221" top="1.1417322834645669" bottom="0.94488188976377963" header="0.31496062992125984" footer="0.31496062992125984"/>
  <pageSetup paperSize="153" scale="46" fitToHeight="4" orientation="landscape" r:id="rId2"/>
  <legacyDrawing r:id="rId3"/>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1</vt:i4>
      </vt:variant>
    </vt:vector>
  </HeadingPairs>
  <TitlesOfParts>
    <vt:vector size="1" baseType="lpstr">
      <vt:lpstr>2021-1088_Detalle Liquidación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Javier Fernandez</dc:creator>
  <cp:lastModifiedBy>Microsoft Office User</cp:lastModifiedBy>
  <cp:lastPrinted>2024-05-17T19:30:07Z</cp:lastPrinted>
  <dcterms:created xsi:type="dcterms:W3CDTF">2021-06-21T16:40:03Z</dcterms:created>
  <dcterms:modified xsi:type="dcterms:W3CDTF">2024-12-09T15:29:23Z</dcterms:modified>
</cp:coreProperties>
</file>