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66925"/>
  <mc:AlternateContent xmlns:mc="http://schemas.openxmlformats.org/markup-compatibility/2006">
    <mc:Choice Requires="x15">
      <x15ac:absPath xmlns:x15ac="http://schemas.microsoft.com/office/spreadsheetml/2010/11/ac" url="https://aerocivil-my.sharepoint.com/personal/vianney_carrillo_aerocivil_gov_co/Documents/Gestión de Mantenimiento Sistemas CNS_MET/Evaluacion Radar Picacho/Documentos finales/"/>
    </mc:Choice>
  </mc:AlternateContent>
  <xr:revisionPtr revIDLastSave="136" documentId="13_ncr:1_{D4477B4E-7847-4E1A-8411-D24DEF521FE4}" xr6:coauthVersionLast="47" xr6:coauthVersionMax="47" xr10:uidLastSave="{4CA7FFCF-0AAC-45DC-911D-695E2DCDA78B}"/>
  <bookViews>
    <workbookView xWindow="-120" yWindow="-120" windowWidth="29040" windowHeight="15840" tabRatio="631" activeTab="2" xr2:uid="{EC1C969E-BC05-40BA-9E8C-64AAD80294B2}"/>
  </bookViews>
  <sheets>
    <sheet name="RESUMEN" sheetId="2" r:id="rId1"/>
    <sheet name="1" sheetId="13" r:id="rId2"/>
    <sheet name="F7 PROPUESTA ECONOMICA" sheetId="3" r:id="rId3"/>
    <sheet name="Serie Historica SMMLV" sheetId="6" r:id="rId4"/>
  </sheets>
  <definedNames>
    <definedName name="_xlnm._FilterDatabase" localSheetId="1" hidden="1">'1'!$A$1:$Q$10</definedName>
    <definedName name="_xlnm.Print_Area" localSheetId="1">'1'!$A$1:$P$72</definedName>
    <definedName name="CARTA" localSheetId="1">'1'!$P$41</definedName>
    <definedName name="CARTA">#REF!</definedName>
    <definedName name="DISCAP" localSheetId="1">'1'!$P$64</definedName>
    <definedName name="DISCAP">#REF!</definedName>
    <definedName name="EXPESP" localSheetId="1">'1'!$O$24</definedName>
    <definedName name="EXPESP">#REF!</definedName>
    <definedName name="EXPGRAL" localSheetId="1">'1'!$O$13</definedName>
    <definedName name="EXPGRAL">#REF!</definedName>
    <definedName name="FCALIDAD" localSheetId="1">'1'!$P$58</definedName>
    <definedName name="FCALIDAD">#REF!</definedName>
    <definedName name="FORMATO8" localSheetId="1">'1'!$P$38</definedName>
    <definedName name="FORMATO8">#REF!</definedName>
    <definedName name="FTECNICAS" localSheetId="1">'1'!$P$50</definedName>
    <definedName name="FTECNICAS">#REF!</definedName>
    <definedName name="GARANTIA" localSheetId="1">'1'!$P$47</definedName>
    <definedName name="GARANTIA">#REF!</definedName>
    <definedName name="INDNAL" localSheetId="1">'1'!$P$61</definedName>
    <definedName name="INDNAL">#REF!</definedName>
    <definedName name="METODOS">'F7 PROPUESTA ECONOMICA'!$U$1:$U$4</definedName>
    <definedName name="MIPYME" localSheetId="1">'1'!$P$70</definedName>
    <definedName name="MIPYME">#REF!</definedName>
    <definedName name="MUJERES" localSheetId="1">'1'!$P$67</definedName>
    <definedName name="MUJERES">#REF!</definedName>
    <definedName name="PPTOOFICIAL">RESUMEN!$T$5</definedName>
    <definedName name="PTOTAL" localSheetId="1">'1'!$P$72</definedName>
    <definedName name="PTOTAL">#REF!</definedName>
    <definedName name="REPBIENES" localSheetId="1">'1'!$P$44</definedName>
    <definedName name="REPBIENES">#REF!</definedName>
    <definedName name="SUMEXPESP" localSheetId="1">'1'!$O$21</definedName>
    <definedName name="SUMEXPESP">#REF!</definedName>
    <definedName name="SUMEXPGRAL" localSheetId="1">'1'!$O$21</definedName>
    <definedName name="SUMEXPGRAL">#REF!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5" i="3" l="1"/>
  <c r="F8" i="3"/>
  <c r="B9" i="3"/>
  <c r="F9" i="3"/>
  <c r="H9" i="3"/>
  <c r="L9" i="3"/>
  <c r="B10" i="3"/>
  <c r="F10" i="3"/>
  <c r="H10" i="3"/>
  <c r="L10" i="3"/>
  <c r="B11" i="3"/>
  <c r="F11" i="3"/>
  <c r="H11" i="3"/>
  <c r="L11" i="3"/>
  <c r="F12" i="3"/>
  <c r="H12" i="3"/>
  <c r="L12" i="3"/>
  <c r="F13" i="3"/>
  <c r="H13" i="3"/>
  <c r="L13" i="3"/>
  <c r="F14" i="3"/>
  <c r="H14" i="3"/>
  <c r="L14" i="3"/>
  <c r="F15" i="3"/>
  <c r="H15" i="3"/>
  <c r="L15" i="3"/>
  <c r="F16" i="3"/>
  <c r="H16" i="3"/>
  <c r="L16" i="3"/>
  <c r="F17" i="3"/>
  <c r="H17" i="3"/>
  <c r="L17" i="3"/>
  <c r="F18" i="3"/>
  <c r="H18" i="3"/>
  <c r="L18" i="3"/>
  <c r="F19" i="3"/>
  <c r="H19" i="3"/>
  <c r="L19" i="3"/>
  <c r="F20" i="3"/>
  <c r="H20" i="3"/>
  <c r="L20" i="3"/>
  <c r="F21" i="3"/>
  <c r="H21" i="3"/>
  <c r="L21" i="3"/>
  <c r="F22" i="3"/>
  <c r="H22" i="3"/>
  <c r="L22" i="3"/>
  <c r="C24" i="3"/>
  <c r="A3" i="13"/>
  <c r="O29" i="13"/>
  <c r="O27" i="13"/>
  <c r="P58" i="13"/>
  <c r="C4" i="3"/>
  <c r="C29" i="3" l="1"/>
  <c r="C27" i="3"/>
  <c r="H8" i="3" s="1"/>
  <c r="I12" i="3" s="1"/>
  <c r="P72" i="13"/>
  <c r="N10" i="13" s="1"/>
  <c r="P10" i="13" s="1"/>
  <c r="A15" i="13" s="1"/>
  <c r="O34" i="13"/>
  <c r="O33" i="13"/>
  <c r="O32" i="13"/>
  <c r="O31" i="13"/>
  <c r="O30" i="13"/>
  <c r="O28" i="13"/>
  <c r="O26" i="13"/>
  <c r="O21" i="13"/>
  <c r="O20" i="13"/>
  <c r="O17" i="13"/>
  <c r="O16" i="13"/>
  <c r="O15" i="13"/>
  <c r="H14" i="13"/>
  <c r="J10" i="13"/>
  <c r="P9" i="13"/>
  <c r="B4" i="13"/>
  <c r="A2" i="13"/>
  <c r="L8" i="3"/>
  <c r="C5" i="3" a="1"/>
  <c r="C5" i="3" s="1"/>
  <c r="C6" i="3" s="1"/>
  <c r="J11" i="3" l="1"/>
  <c r="J15" i="3"/>
  <c r="J19" i="3"/>
  <c r="J12" i="3"/>
  <c r="J16" i="3"/>
  <c r="J20" i="3"/>
  <c r="J9" i="3"/>
  <c r="J13" i="3"/>
  <c r="J17" i="3"/>
  <c r="J21" i="3"/>
  <c r="J10" i="3"/>
  <c r="J14" i="3"/>
  <c r="J18" i="3"/>
  <c r="J22" i="3"/>
  <c r="I9" i="3"/>
  <c r="I13" i="3"/>
  <c r="I17" i="3"/>
  <c r="I21" i="3"/>
  <c r="I10" i="3"/>
  <c r="I14" i="3"/>
  <c r="I18" i="3"/>
  <c r="I22" i="3"/>
  <c r="I11" i="3"/>
  <c r="I15" i="3"/>
  <c r="I19" i="3"/>
  <c r="I16" i="3"/>
  <c r="I20" i="3"/>
  <c r="O13" i="13"/>
  <c r="O24" i="13"/>
  <c r="I8" i="3"/>
  <c r="J8" i="3"/>
  <c r="D7" i="3"/>
  <c r="C31" i="3"/>
  <c r="Q16" i="2" a="1"/>
  <c r="L14" i="2" a="1"/>
  <c r="P13" i="2" a="1"/>
  <c r="K19" i="2" a="1"/>
  <c r="O13" i="2" a="1"/>
  <c r="P12" i="2" a="1"/>
  <c r="P22" i="2" a="1"/>
  <c r="R21" i="2" a="1"/>
  <c r="M8" i="2" a="1"/>
  <c r="I20" i="2" a="1"/>
  <c r="H13" i="2" a="1"/>
  <c r="H17" i="2" a="1"/>
  <c r="J22" i="2" a="1"/>
  <c r="N13" i="2" a="1"/>
  <c r="G20" i="2" a="1"/>
  <c r="I16" i="2" a="1"/>
  <c r="N22" i="2" a="1"/>
  <c r="I15" i="2" a="1"/>
  <c r="Q17" i="2" a="1"/>
  <c r="G17" i="2" a="1"/>
  <c r="L21" i="2" a="1"/>
  <c r="I13" i="2" a="1"/>
  <c r="O20" i="2" a="1"/>
  <c r="N16" i="2" a="1"/>
  <c r="O14" i="2" a="1"/>
  <c r="I8" i="2" a="1"/>
  <c r="N17" i="2" a="1"/>
  <c r="H15" i="2" a="1"/>
  <c r="I21" i="2" a="1"/>
  <c r="I22" i="2" a="1"/>
  <c r="J13" i="2" a="1"/>
  <c r="R16" i="2" a="1"/>
  <c r="Q20" i="2" a="1"/>
  <c r="R12" i="2" a="1"/>
  <c r="I12" i="2" a="1"/>
  <c r="R13" i="2" a="1"/>
  <c r="K8" i="2" a="1"/>
  <c r="L20" i="2" a="1"/>
  <c r="M22" i="2" a="1"/>
  <c r="Q14" i="2" a="1"/>
  <c r="I17" i="2" a="1"/>
  <c r="O12" i="2" a="1"/>
  <c r="O19" i="2" a="1"/>
  <c r="O17" i="2" a="1"/>
  <c r="I18" i="2" a="1"/>
  <c r="M21" i="2" a="1"/>
  <c r="H12" i="2" a="1"/>
  <c r="R17" i="2" a="1"/>
  <c r="J21" i="2" a="1"/>
  <c r="N18" i="2" a="1"/>
  <c r="G15" i="2" a="1"/>
  <c r="K17" i="2" a="1"/>
  <c r="P14" i="2" a="1"/>
  <c r="Q15" i="2" a="1"/>
  <c r="P19" i="2" a="1"/>
  <c r="J17" i="2" a="1"/>
  <c r="H21" i="2" a="1"/>
  <c r="G12" i="2" a="1"/>
  <c r="G22" i="2" a="1"/>
  <c r="G13" i="2" a="1"/>
  <c r="L17" i="2" a="1"/>
  <c r="H19" i="2" a="1"/>
  <c r="M13" i="2" a="1"/>
  <c r="N14" i="2" a="1"/>
  <c r="L13" i="2" a="1"/>
  <c r="J16" i="2" a="1"/>
  <c r="G16" i="2" a="1"/>
  <c r="G21" i="2" a="1"/>
  <c r="K15" i="2" a="1"/>
  <c r="K12" i="2" a="1"/>
  <c r="P18" i="2" a="1"/>
  <c r="P20" i="2" a="1"/>
  <c r="R19" i="2" a="1"/>
  <c r="N15" i="2" a="1"/>
  <c r="L12" i="2" a="1"/>
  <c r="P17" i="2" a="1"/>
  <c r="K21" i="2" a="1"/>
  <c r="J15" i="2" a="1"/>
  <c r="L15" i="2" a="1"/>
  <c r="M17" i="2" a="1"/>
  <c r="R14" i="2" a="1"/>
  <c r="G14" i="2" a="1"/>
  <c r="K20" i="2" a="1"/>
  <c r="H16" i="2" a="1"/>
  <c r="N19" i="2" a="1"/>
  <c r="G19" i="2" a="1"/>
  <c r="O8" i="2" a="1"/>
  <c r="G18" i="2" a="1"/>
  <c r="J19" i="2" a="1"/>
  <c r="M18" i="2" a="1"/>
  <c r="O21" i="2" a="1"/>
  <c r="K14" i="2" a="1"/>
  <c r="O22" i="2" a="1"/>
  <c r="L16" i="2" a="1"/>
  <c r="M20" i="2" a="1"/>
  <c r="Q21" i="2" a="1"/>
  <c r="M16" i="2" a="1"/>
  <c r="P21" i="2" a="1"/>
  <c r="J12" i="2" a="1"/>
  <c r="J20" i="2" a="1"/>
  <c r="K18" i="2" a="1"/>
  <c r="Q18" i="2" a="1"/>
  <c r="R18" i="2" a="1"/>
  <c r="O16" i="2" a="1"/>
  <c r="L18" i="2" a="1"/>
  <c r="I19" i="2" a="1"/>
  <c r="K16" i="2" a="1"/>
  <c r="R15" i="2" a="1"/>
  <c r="H14" i="2" a="1"/>
  <c r="K13" i="2" a="1"/>
  <c r="O15" i="2" a="1"/>
  <c r="L8" i="2" a="1"/>
  <c r="M12" i="2" a="1"/>
  <c r="H22" i="2" a="1"/>
  <c r="N12" i="2" a="1"/>
  <c r="P8" i="2" a="1"/>
  <c r="O18" i="2" a="1"/>
  <c r="Q12" i="2" a="1"/>
  <c r="L22" i="2" a="1"/>
  <c r="H18" i="2" a="1"/>
  <c r="H20" i="2" a="1"/>
  <c r="P16" i="2" a="1"/>
  <c r="J14" i="2" a="1"/>
  <c r="L19" i="2" a="1"/>
  <c r="K22" i="2" a="1"/>
  <c r="I14" i="2" a="1"/>
  <c r="Q13" i="2" a="1"/>
  <c r="Q19" i="2" a="1"/>
  <c r="R20" i="2" a="1"/>
  <c r="J18" i="2" a="1"/>
  <c r="Q8" i="2" a="1"/>
  <c r="N20" i="2" a="1"/>
  <c r="Q22" i="2" a="1"/>
  <c r="N21" i="2" a="1"/>
  <c r="P15" i="2" a="1"/>
  <c r="M19" i="2" a="1"/>
  <c r="M14" i="2" a="1"/>
  <c r="R22" i="2" a="1"/>
  <c r="M15" i="2" a="1"/>
  <c r="R8" i="2" a="1"/>
  <c r="K10" i="3" l="1"/>
  <c r="K14" i="3"/>
  <c r="K18" i="3"/>
  <c r="K22" i="3"/>
  <c r="K11" i="3"/>
  <c r="K15" i="3"/>
  <c r="K19" i="3"/>
  <c r="K12" i="3"/>
  <c r="K16" i="3"/>
  <c r="K20" i="3"/>
  <c r="K9" i="3"/>
  <c r="K13" i="3"/>
  <c r="K17" i="3"/>
  <c r="K21" i="3"/>
  <c r="M16" i="2"/>
  <c r="I16" i="2"/>
  <c r="G15" i="2"/>
  <c r="K19" i="2"/>
  <c r="M22" i="2"/>
  <c r="Q21" i="2"/>
  <c r="H19" i="2"/>
  <c r="O8" i="2"/>
  <c r="L15" i="2"/>
  <c r="O12" i="2"/>
  <c r="L12" i="2"/>
  <c r="P20" i="2"/>
  <c r="P15" i="2"/>
  <c r="M14" i="2"/>
  <c r="O17" i="2"/>
  <c r="N14" i="2"/>
  <c r="R17" i="2"/>
  <c r="B17" i="3" s="1"/>
  <c r="N21" i="2"/>
  <c r="K15" i="2"/>
  <c r="Q13" i="2"/>
  <c r="Q8" i="2"/>
  <c r="G22" i="2"/>
  <c r="K22" i="2"/>
  <c r="Q12" i="2"/>
  <c r="I18" i="2"/>
  <c r="Q20" i="2"/>
  <c r="H21" i="2"/>
  <c r="L21" i="2"/>
  <c r="G13" i="2"/>
  <c r="M12" i="2"/>
  <c r="P8" i="2"/>
  <c r="H17" i="2"/>
  <c r="P14" i="2"/>
  <c r="O16" i="2"/>
  <c r="M17" i="2"/>
  <c r="K14" i="2"/>
  <c r="R12" i="2"/>
  <c r="B12" i="3" s="1"/>
  <c r="P22" i="2"/>
  <c r="J13" i="2"/>
  <c r="Q14" i="2"/>
  <c r="N17" i="2"/>
  <c r="G18" i="2"/>
  <c r="Q17" i="2"/>
  <c r="H16" i="2"/>
  <c r="H22" i="2"/>
  <c r="N15" i="2"/>
  <c r="J14" i="2"/>
  <c r="R14" i="2"/>
  <c r="B14" i="3" s="1"/>
  <c r="L18" i="2"/>
  <c r="G16" i="2"/>
  <c r="O15" i="2"/>
  <c r="P19" i="2"/>
  <c r="R21" i="2"/>
  <c r="B21" i="3" s="1"/>
  <c r="J18" i="2"/>
  <c r="I20" i="2"/>
  <c r="I21" i="2"/>
  <c r="K16" i="2"/>
  <c r="H20" i="2"/>
  <c r="I8" i="2"/>
  <c r="H14" i="2"/>
  <c r="R8" i="2"/>
  <c r="N16" i="2"/>
  <c r="Q18" i="2"/>
  <c r="J20" i="2"/>
  <c r="L20" i="2"/>
  <c r="G20" i="2"/>
  <c r="O13" i="2"/>
  <c r="P13" i="2"/>
  <c r="G21" i="2"/>
  <c r="M20" i="2"/>
  <c r="N22" i="2"/>
  <c r="J21" i="2"/>
  <c r="O19" i="2"/>
  <c r="J15" i="2"/>
  <c r="M15" i="2"/>
  <c r="R13" i="2"/>
  <c r="B13" i="3" s="1"/>
  <c r="P16" i="2"/>
  <c r="N19" i="2"/>
  <c r="M18" i="2"/>
  <c r="M13" i="2"/>
  <c r="O14" i="2"/>
  <c r="G14" i="2"/>
  <c r="R19" i="2"/>
  <c r="B19" i="3" s="1"/>
  <c r="I14" i="2"/>
  <c r="P21" i="2"/>
  <c r="G12" i="2"/>
  <c r="L13" i="2"/>
  <c r="O18" i="2"/>
  <c r="Q16" i="2"/>
  <c r="R16" i="2"/>
  <c r="B16" i="3" s="1"/>
  <c r="Q19" i="2"/>
  <c r="G17" i="2"/>
  <c r="G19" i="2"/>
  <c r="L8" i="2"/>
  <c r="L22" i="2"/>
  <c r="H13" i="2"/>
  <c r="K12" i="2"/>
  <c r="R18" i="2"/>
  <c r="B18" i="3" s="1"/>
  <c r="I13" i="2"/>
  <c r="O21" i="2"/>
  <c r="L17" i="2"/>
  <c r="P12" i="2"/>
  <c r="J22" i="2"/>
  <c r="P17" i="2"/>
  <c r="L19" i="2"/>
  <c r="N18" i="2"/>
  <c r="O22" i="2"/>
  <c r="M21" i="2"/>
  <c r="N12" i="2"/>
  <c r="K8" i="2"/>
  <c r="K21" i="2"/>
  <c r="N20" i="2"/>
  <c r="I15" i="2"/>
  <c r="J16" i="2"/>
  <c r="M19" i="2"/>
  <c r="Q15" i="2"/>
  <c r="M8" i="2"/>
  <c r="R20" i="2"/>
  <c r="B20" i="3" s="1"/>
  <c r="Q22" i="2"/>
  <c r="H15" i="2"/>
  <c r="J19" i="2"/>
  <c r="H18" i="2"/>
  <c r="J17" i="2"/>
  <c r="R15" i="2"/>
  <c r="B15" i="3" s="1"/>
  <c r="I12" i="2"/>
  <c r="O20" i="2"/>
  <c r="I22" i="2"/>
  <c r="J12" i="2"/>
  <c r="K20" i="2"/>
  <c r="N13" i="2"/>
  <c r="K13" i="2"/>
  <c r="L14" i="2"/>
  <c r="I19" i="2"/>
  <c r="L16" i="2"/>
  <c r="K18" i="2"/>
  <c r="R22" i="2"/>
  <c r="B22" i="3" s="1"/>
  <c r="K17" i="2"/>
  <c r="I17" i="2"/>
  <c r="H12" i="2"/>
  <c r="P18" i="2"/>
  <c r="K8" i="3"/>
  <c r="G8" i="3" l="1"/>
  <c r="D8" i="3" s="1"/>
  <c r="G10" i="3"/>
  <c r="D10" i="3" s="1"/>
  <c r="G14" i="3"/>
  <c r="D14" i="3" s="1"/>
  <c r="G18" i="3"/>
  <c r="D18" i="3" s="1"/>
  <c r="G22" i="3"/>
  <c r="D22" i="3" s="1"/>
  <c r="G11" i="3"/>
  <c r="D11" i="3" s="1"/>
  <c r="G15" i="3"/>
  <c r="D15" i="3" s="1"/>
  <c r="G19" i="3"/>
  <c r="D19" i="3" s="1"/>
  <c r="G12" i="3"/>
  <c r="D12" i="3" s="1"/>
  <c r="G16" i="3"/>
  <c r="D16" i="3" s="1"/>
  <c r="G20" i="3"/>
  <c r="D20" i="3" s="1"/>
  <c r="G9" i="3"/>
  <c r="D9" i="3" s="1"/>
  <c r="G13" i="3"/>
  <c r="D13" i="3" s="1"/>
  <c r="G17" i="3"/>
  <c r="D17" i="3" s="1"/>
  <c r="G21" i="3"/>
  <c r="D21" i="3" s="1"/>
  <c r="B15" i="2"/>
  <c r="B16" i="2"/>
  <c r="B12" i="2"/>
  <c r="B13" i="2"/>
  <c r="B14" i="2"/>
  <c r="N8" i="2" a="1"/>
  <c r="N8" i="2" l="1"/>
  <c r="S8" i="2" s="1"/>
  <c r="U8" i="2" s="1"/>
  <c r="G8" i="2" a="1"/>
  <c r="H8" i="2" a="1"/>
  <c r="H8" i="2" l="1"/>
  <c r="G8" i="2"/>
  <c r="B47" i="6"/>
  <c r="B23" i="2"/>
  <c r="B8" i="3" l="1"/>
  <c r="T23" i="2" l="1"/>
  <c r="B8" i="2"/>
  <c r="B19" i="2" l="1"/>
  <c r="B20" i="2" l="1"/>
  <c r="B22" i="2"/>
  <c r="B21" i="2"/>
  <c r="B18" i="2"/>
  <c r="B17" i="2"/>
  <c r="B10" i="2"/>
  <c r="B9" i="2"/>
  <c r="B11" i="2"/>
  <c r="N23" i="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<sst xmlns="http://schemas.openxmlformats.org/spreadsheetml/2006/main" count="250" uniqueCount="143">
  <si>
    <t>DIRECCIÓN DE TELECOMUNICACIONES Y AYUDAS A LA NAVEGACIÓN  AÉREA</t>
  </si>
  <si>
    <t>N° PROCESO</t>
  </si>
  <si>
    <t>OBJETO</t>
  </si>
  <si>
    <t>REQUISITOS HABILITANTES</t>
  </si>
  <si>
    <t>PONDERACIÓN</t>
  </si>
  <si>
    <t>N°</t>
  </si>
  <si>
    <t>NOMBRE PROPONENTE</t>
  </si>
  <si>
    <t>TOTAL PUNTAJE</t>
  </si>
  <si>
    <t>UNIDAD ADMINISTRATIVA ESPECIAL DE AERONAUTICA CIVIL</t>
  </si>
  <si>
    <t>CONFORMACIÓN</t>
  </si>
  <si>
    <t>% PARTICIPACIÓN</t>
  </si>
  <si>
    <t>TOTAL</t>
  </si>
  <si>
    <t>PO SMMLV</t>
  </si>
  <si>
    <t>100% PO EN SMMLV</t>
  </si>
  <si>
    <t>REQUISITOS HABILITANTES (CUMPLE /NO CUMPLE)</t>
  </si>
  <si>
    <t>EVALUACIÓN</t>
  </si>
  <si>
    <t>CTO´S</t>
  </si>
  <si>
    <t>CONTRATANTE</t>
  </si>
  <si>
    <t>PRESENTA DOCUMENTOS EN LISTADOS</t>
  </si>
  <si>
    <t>CUMPLE EXPERIENCIA?</t>
  </si>
  <si>
    <t>QUIEN APORTA LA EXPERIENCIA?</t>
  </si>
  <si>
    <t>AÑO DE TERMINACION DEL CONTRATO</t>
  </si>
  <si>
    <t>VALOR TOTAL EN PESOS</t>
  </si>
  <si>
    <t>VALOR TOTAL SMMLV - RUP</t>
  </si>
  <si>
    <t>% PARTICIPACION</t>
  </si>
  <si>
    <t>VALOR TOTAL AFECTADO</t>
  </si>
  <si>
    <t>CUMPLE / NO CUMPLE</t>
  </si>
  <si>
    <t>CTO 1</t>
  </si>
  <si>
    <t>CTO 2</t>
  </si>
  <si>
    <t>CTO 3</t>
  </si>
  <si>
    <t>SUMATORIA CONTRATO EN SMMLV</t>
  </si>
  <si>
    <t xml:space="preserve">OBSERVACIONES: </t>
  </si>
  <si>
    <t>PRESENTA DOCUMENTOS ENLISTADOS</t>
  </si>
  <si>
    <t>OBJETO, ACTIVI U OBLIGACIONES RELACIONADAS CON ACTIVI REQUERIDAS</t>
  </si>
  <si>
    <t>PUNTAJE</t>
  </si>
  <si>
    <t>TOTAL PUNTAJE OBTENIDO</t>
  </si>
  <si>
    <t xml:space="preserve">TRM: </t>
  </si>
  <si>
    <t>Propuesta No.</t>
  </si>
  <si>
    <t>Menor Valor</t>
  </si>
  <si>
    <t>Salario mínimo legal en Colombia</t>
  </si>
  <si>
    <t>1.1.1. Serie histórica en pesos colombianos_periodicidad anual</t>
  </si>
  <si>
    <t/>
  </si>
  <si>
    <t>Información disponible desde el 1 de julio de 1984.</t>
  </si>
  <si>
    <t>Año (aaaa)</t>
  </si>
  <si>
    <t>Salario mínimo diario (COP)</t>
  </si>
  <si>
    <t>Salario mínimo mensual (COP)</t>
  </si>
  <si>
    <r>
      <rPr>
        <b/>
        <sz val="9"/>
        <color theme="1"/>
        <rFont val="Helvetica"/>
      </rPr>
      <t xml:space="preserve">Fuente: </t>
    </r>
    <r>
      <rPr>
        <sz val="9"/>
        <color theme="1"/>
        <rFont val="Helvetica"/>
      </rPr>
      <t>Ministerio del Trabajo (</t>
    </r>
    <r>
      <rPr>
        <u/>
        <sz val="9"/>
        <color rgb="FF0000FF"/>
        <rFont val="Helvetica"/>
      </rPr>
      <t>www.mintrabajo.gov.co</t>
    </r>
    <r>
      <rPr>
        <sz val="9"/>
        <color theme="1"/>
        <rFont val="Helvetica"/>
      </rPr>
      <t>) y decretos del Gobierno Nacional (</t>
    </r>
    <r>
      <rPr>
        <u/>
        <sz val="9"/>
        <color rgb="FF0000FF"/>
        <rFont val="Helvetica"/>
      </rPr>
      <t>www.presidencia.gov.co</t>
    </r>
    <r>
      <rPr>
        <sz val="9"/>
        <color theme="1"/>
        <rFont val="Helvetica"/>
      </rPr>
      <t>).</t>
    </r>
  </si>
  <si>
    <r>
      <rPr>
        <sz val="9"/>
        <color theme="1"/>
        <rFont val="Helvetica"/>
      </rPr>
      <t xml:space="preserve"> </t>
    </r>
    <r>
      <rPr>
        <b/>
        <sz val="9"/>
        <color theme="1"/>
        <rFont val="Helvetica"/>
      </rPr>
      <t xml:space="preserve">Notas: </t>
    </r>
  </si>
  <si>
    <t xml:space="preserve"> </t>
  </si>
  <si>
    <t xml:space="preserve">desde el 1 de julio de 1984 se unificó el salario mínimo para todos los sectores de la economía. En los años en que se decretó el salario mínimo diario, este se multiplica por 30 días y se redondea a la unidad para determinar el valor mensual. Cuando se decretó el salario mínimo mensual, se divide por 30 y se redondea a dos decimales para obtener el salario diario. </t>
  </si>
  <si>
    <t xml:space="preserve">Variación porcentual con respecto al dato del año inmediatamente anterior. </t>
  </si>
  <si>
    <r>
      <rPr>
        <b/>
        <sz val="9"/>
        <color theme="1"/>
        <rFont val="Helvetica"/>
      </rPr>
      <t xml:space="preserve">(N/A) </t>
    </r>
    <r>
      <rPr>
        <sz val="9"/>
        <color theme="1"/>
        <rFont val="Helvetica"/>
      </rPr>
      <t xml:space="preserve"> No aplica</t>
    </r>
  </si>
  <si>
    <r>
      <rPr>
        <sz val="9"/>
        <color theme="1"/>
        <rFont val="Helvetica"/>
      </rPr>
      <t xml:space="preserve"> </t>
    </r>
    <r>
      <rPr>
        <i/>
        <sz val="9"/>
        <color theme="1"/>
        <rFont val="Helvetica"/>
      </rPr>
      <t>Banco de la República - Gerencia Técnica - información extraída de la bodega de datos -Serankua- el 08/11/2023 14:22:43</t>
    </r>
  </si>
  <si>
    <t>VALOR TOTAL PESOS</t>
  </si>
  <si>
    <t>VALOR PRESUPUESTO OFICIAL:</t>
  </si>
  <si>
    <t>Orden elegib.</t>
  </si>
  <si>
    <t>PRESUPUESTO A EVALUAR  (P.O)</t>
  </si>
  <si>
    <t>EXPERIENCIA GENERAL PROPONENTE</t>
  </si>
  <si>
    <t>N° CONSECUTIVO EN EL RUP</t>
  </si>
  <si>
    <t>EVALUACION EXPERIENCIA ESPECIFICA PROPONENTE</t>
  </si>
  <si>
    <t>CUMPLE CODIGOS?</t>
  </si>
  <si>
    <t>CERTIFICACION No.</t>
  </si>
  <si>
    <t>OTROS ASPECTOS TÉCNICOS DE OBLIGATORIO CUMPLIMIENTO</t>
  </si>
  <si>
    <t>FORMATO No. 8</t>
  </si>
  <si>
    <t>CARTA DE COMPROMISO</t>
  </si>
  <si>
    <t xml:space="preserve">FACTOR DE CALIDAD (18,5 PUNTOS) </t>
  </si>
  <si>
    <t>APOYO A LA INDUSTRIA NACIONAL – LEY 816 DE 2003 (10 PUNTOS)</t>
  </si>
  <si>
    <t>PROPONENTES CON TRABAJADORES CON DISCAPACIDAD. (1 Punto)</t>
  </si>
  <si>
    <t>EMPRENDIMIENTO Y EMPRESAS DE MUJERES (0,25 PUNTOS)</t>
  </si>
  <si>
    <t>CÓDIGOS</t>
  </si>
  <si>
    <t>PUNTAJE OBTENIDO:</t>
  </si>
  <si>
    <t>MIPYME DOMICILIADA EN COLOMBIA (0,25 PUNTOS)</t>
  </si>
  <si>
    <t>PUNTAJE GANADOR</t>
  </si>
  <si>
    <t>PROPONENTES HABILITADOS</t>
  </si>
  <si>
    <t>Menor Valor:</t>
  </si>
  <si>
    <t>Máximo puntaje a asignar:</t>
  </si>
  <si>
    <t>Superintendencia Financiera de Colombia (superfinanciera.gov.co)</t>
  </si>
  <si>
    <t>Método de Ponderación:</t>
  </si>
  <si>
    <t>Fuente</t>
  </si>
  <si>
    <t>EVALUADOR TECNICO No. 1</t>
  </si>
  <si>
    <t>EVALUADOR TECNICO No. 2</t>
  </si>
  <si>
    <t>EVALUADOR TECNICO No. 3</t>
  </si>
  <si>
    <t>EVALUADOR TECNICO No. 4</t>
  </si>
  <si>
    <t>EVALUADOR TECNICO No. 5</t>
  </si>
  <si>
    <t>EVALUADOR TECNICO No. 6</t>
  </si>
  <si>
    <t>EVALUADOR TECNICO No. 7</t>
  </si>
  <si>
    <t>EVALUADOR TECNICO No. 8</t>
  </si>
  <si>
    <t>Centavos de la TRM:</t>
  </si>
  <si>
    <t>Número de método de ponderación:</t>
  </si>
  <si>
    <t>VALOR TOTAL FORMATO 7</t>
  </si>
  <si>
    <t>Certificado de Representación y Distribución Autorizada de los Bienes.</t>
  </si>
  <si>
    <t>Certificado de Garantía de los Bienes o Servicios.</t>
  </si>
  <si>
    <t>Fichas Técnicas</t>
  </si>
  <si>
    <t>Mediana con valor absoluto</t>
  </si>
  <si>
    <t>Media Geométrica</t>
  </si>
  <si>
    <t>Media Aritmética Baja</t>
  </si>
  <si>
    <t>Mediana con valor absoluto:</t>
  </si>
  <si>
    <t>Me (Referencia Mediana)</t>
  </si>
  <si>
    <t>Propuesta</t>
  </si>
  <si>
    <t>Valor Me o VMe (Central para impar o bajo para par):</t>
  </si>
  <si>
    <t>Media Geométrica:</t>
  </si>
  <si>
    <t>Ge (Referencia M. Geom.)</t>
  </si>
  <si>
    <t>Media Aritmetica Baja:</t>
  </si>
  <si>
    <t xml:space="preserve">Conforme a lo dispuesto en el Decreto 392 de 2018, se otorgará un punto a los proponentes que acrediten la vinculación de trabajadores con discapacidad en su planta de personal, de acuerdo con los siguientes requisitos: 
1.	La persona natural, el representante legal de la persona jurídica o el revisor fiscal, según corresponda. certificará el número total de trabajadores vinculados a la planta de personal del proponente o sus integrantes a la fecha de cierre del proceso de selección. 
2.	Acreditar el número mínimo de personas con discapacidad en su planta de personal, de conformidad con lo señalado en el certificado expedido por el Ministerio de Trabajo, el cual deberá estar vigente a la fecha de cierre del proceso de selección. 
Verificados los anteriores requisitos, se asignará un punto a quienes acrediten el número mínimo de trabajadores con discapacidad, señalados a continuación:
Nota 1. Si la oferta es presentada por un consorcio o unión temporal, se tendrá en cuenta la planta de personal del integrante del proponente plural que aporte como mínimo el cuarenta por ciento (40%) de la experiencia general y/o ponderable requerida para la respectiva contratación.
Nota 2. El proponente podrá allegar la certificación relacionada en el numeral 1 en el “Formato 22 Vinculación de Personas en Condición de Discapacidad” dispuesto por la entidad o en un formato diferente, no obstante, deberá contener la información mínima exigida por el Decreto 392 de 2018. </t>
  </si>
  <si>
    <t>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podrá presentar el “Formato 24 – Acreditación de emprendimiento y empresa de mujeres” o certificación con la información y documentación requeridas en  el artículo 2.2.1.2.4.2.4 del Decreto 1082 de 2015, o la norma que lo modifique, complemente o sustituya. Si el Proponente debió subsanar dicho formato y/o los documentos requeridos para acreditar esta condición será válido para los criterios diferenciales en cuanto a los requisitos habilitantes relacionados con el número de contratos aportados para acreditar la experiencia solicitada, pero no se tendrán en cuenta para la asignación de puntaje, por lo que obtendrá cero (0) puntos por este criterio de evaluación. Tratándose de Proponentes Plurales este puntaje solo se otorgará si por lo menos uno de los integrantes acredita la calidad de emprendimientos y empresas de mujeres y tiene una participación igual o superior al diez por ciento (10 %) en el Consorcio o en la Unión Temporal.
La asignación de este puntaje no excluye la aplicación del puntaje para Mipyme.</t>
  </si>
  <si>
    <t>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Para que el Proponente obtenga este puntaje podrá presentar el “Formato 23 - Acreditación de MiPymes” o certificación con la información y documentación requeridas en el artículo 2.2.1.2.4.2.4 del Decreto 1082 de 2015, o la norma que lo modifique, complemente o sustituya. Si el Proponente debió subsanar dicho formato y/o los documentos requeridos o el RUP para acreditar esta condición, será válido para los criterios diferenciales en cuanto a los requisitos habilitantes relacionados con el número de contratos aportados para acreditar la experiencia solicitada, pero no se tendrán en cuenta para la asignación de puntaje, por lo que obtendrá cero (0) puntos por este criterio de evaluación. En todo caso, las MiPymes también podrán acreditar esta condición con la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la unión temporal.</t>
  </si>
  <si>
    <t>24001025 H2 DE 2024</t>
  </si>
  <si>
    <t>ADQUIRIR, INSTALAR, COMISIONAR Y PONER EN FUNCIONAMIENTO LA RENOVACIÓN DE UN SISTEMA DE VIGILANCIA PSR /MSSR -MODO S ENHANCED Y ADSB INTEGRADO REDUNDANTE DE ÚLTIMA TECNOLOGÍA, UBICADO EN EL SECTOR DE PICACHO.</t>
  </si>
  <si>
    <t>La AEROCIVIL verificará la experiencia general del proponente con la información relacionada en el Formato No.19A –Experiencia General del Proponente, donde debe diligenciar la información de hasta tres (3) contratos registrados en el RUP e identificados en cualquiera de los códigos UNSPSC requeridos a continuación y que, sumados su valor total, expresado en SMMLV correspondiente a SMMLV, sea igual o mayor al cien por ciento (100%) del presupuesto oficial del presente procesopresente proceso.</t>
  </si>
  <si>
    <t>41115200
43221700
46171600</t>
  </si>
  <si>
    <t>La AEROCIVIL verificará la experiencia específica del proponente con hasta tres (3) certificaciones de contratos o actas de liquidación o actas de terminación de contratos celebrados con entidades públicas o privadas, ejecutados y terminados; debidamente registrados en el RUP e identificados en el código UNSPSC 41115200; con las siguientes condiciones:
A. Sumado el valor total de los contratos, expresado en SMMLV correspondiente a 32.951 sea igual o mayor al cien por ciento (100%) del presupuesto oficial.
B. El objeto de los contratos deberá contener alguna de las dos siguientes actividades:
i. Compraventa o suministro o fabricación (cualquiera de las tres), instalación y puesta en funcionamiento de sensores de vigilancia radar PSR.
ii. Compraventa o suministro o fabricación (cualquiera de las tres), instalación y puesta en funcionamiento de sensores de vigilancia radar MSSR.
C. Al menos uno (1) de los contratos acreditados deberá contener la siguiente actividad o experiencia:
• Compraventa o suministro o fabricación (cualquiera de las tres), instalación y puesta en funcionamiento de sensores de vigilancia radar integrado PSR/MSSR
Los contratos presentados en cualquiera de las alternativas deberán para cada caso acreditar como mínimo estar basados en tecnologías PSR estado sólido para los sistemas primarios y MSSR modo S para los relacionados con radar secundario.</t>
  </si>
  <si>
    <t>El proponente debe anexar junto con la propuesta documento suscrito por el Fabricante, mediante la cual se compromete, en caso de resultar adjudicatario, a otorgar un tiempo de garantía para los bienes y/o servicios de mínimo tres (3) años y bajo las condiciones descritas en el Formato 8 Especificaciones Técnicas.</t>
  </si>
  <si>
    <t xml:space="preserve">FACTOR DE CALIDAD (18,75 PUNTOS) </t>
  </si>
  <si>
    <t>ADQUISICIÓN, INSTALACIÓN Y PUESTA EN FUNCIONAMIENTO DE SISTEMA DE VIGILANCIA AERONÁUTICA CABEZA RADAR CERRO VERDE</t>
  </si>
  <si>
    <t>SI</t>
  </si>
  <si>
    <t>G &amp; C</t>
  </si>
  <si>
    <t>CUMPLE</t>
  </si>
  <si>
    <t>ADQUISICIÓN, INSTALACIÓN Y PUESTA EN FUNCIONAMIENTO DE SISTEMA DE VIGILANCIA AERONÁUTICA CONSISTENTE EN LA CABEZA RADAR PARA EL AEROPUERTO DE FLANDES INCLUYE OBRA CIVIL</t>
  </si>
  <si>
    <t>ACTUALIZACIÓN, INSTALACIÓN Y PUESTA EN FUNCIONAMIENTO DEL SISTEMA DE VIGILANCIA AERONÁUTICA CABEZA RADAR CARIMAGUA</t>
  </si>
  <si>
    <t>AIRAVATA</t>
  </si>
  <si>
    <t>ADQUIRIR, INSTALAR Y PONER EN FUNCIONAMIENTO SISTEMA RADAR SECUNDARIO MODO S PARA LA ESTACIÓN DE ARARACUARA EN EL CAQUETÁ</t>
  </si>
  <si>
    <t>UNIDAD ADMINISTRATIVA
ESPECIAL DE AERONAURICA CIVIL</t>
  </si>
  <si>
    <t>UNION TEMPORAL RADAR GEA 2024</t>
  </si>
  <si>
    <t>INGENIERIA Y TELEMATICA G &amp; C S A S</t>
  </si>
  <si>
    <t>ENERGIA INTEGRAL ANDINA</t>
  </si>
  <si>
    <t>Contiene la totalidad de condiciones y especificaciones técnicas de los bienes y/o servicios solicitados por la Entidad y que debe cumplir el contratista para el logro del objeto del presente proceso. Los requerimientos descritos en dicho formato técnico son los mínimos exigidos por la Entidad, de obligatorio cumplimiento y se constituirán en obligaciones para el contratista. Con la presentación y firma del Formato No. 14 Carta de Presentación de la Oferta, se entiende que el proponente conoce y acepta todos los requisitos allí establecidos. En tal sentido, no será necesario aportar el formato No. 8 con la propuesta y en consecuencia no será objeto de verificación del comité evaluador.  El formato No. 8, el formato No. 10, las fichas técnicas, junto con la oferta serán los documentos referencia para la presentación, análisis y aprobación del SDD del Sistema.</t>
  </si>
  <si>
    <t>El Proponente para cumplir con lo solicitado en las Fichas técnicas de la AEROCIVIL deberá aportar los catálogos del fabricante o la ficha del fabricante de los bienes ofertados, donde se pueda verificar el cumplimiento de cada uno de los requerimientos técnicos solicitados por la Entidad. El proponente deberá asegurarse de aportar dicho ofrecimiento técnico junto con la oferta. En el caso en que el catálogo o ficha técnica no contenga alguno de los requisitos solicitados, dicha verificación se podrá hacer contra certificación expedida por el fabricante de los bienes ofertados
Cada bien ofrecido en los catálogos aportados o las fichas técnicas del fabricante, se confrontará con el formato 10 de las Fichas técnicas publicado de la AEROCIVIL, en el cual deberá incluir la marca y el modelo del equipamiento ofrecido.
Nota 1: La oferta no puede estar condicionada. Si el proponente en propuesta presenta algún condicionamiento, este no será tenido en cuenta por la Entidad Nota 2: Los requerimientos técnicos descritos en el formato 10 de las Fichas Técnicas publicado por la AEROCIVIL no podrán ser modificados. En el evento que una o algunas de las características técnicas descritas en las fichas técnicas sean modificadas, se evaluará como no cumple.</t>
  </si>
  <si>
    <t>ADS-Bs REDUNDANTES INTEGRADOS DE ACUERDO CON TABLA DE PONDERACIÓN Y FORMATO 8. (8 PUNTOS).</t>
  </si>
  <si>
    <t>CANAL DE COMUNICACIONES POR UN (1) AÑO ADICIONAL CONFORME A LAS CONDICIONES REQUERIDAS EN EL FORMATO 8 COMUNICACIONES. (3.75 PUNTOS).</t>
  </si>
  <si>
    <t>MANTENIMIENTO POSTVENTA Y SET DE REPUESTOS PARA EL SENSOR (**). (4 PUNTOS.)</t>
  </si>
  <si>
    <t>AMPLIACION DE LA GARANTÍA POST VENTA DE TODOS LOS EQUIPOS Y SISTEMAS SUMINISTRADOS CON LA IMPLEMENTACION DE UNA MESA DE AYUDA – 2 años (por todo el tiempo de garantía del contrato es decir la inicial y adicional) (3 PUNTOS).</t>
  </si>
  <si>
    <t>Cuando se trata de servicios: Los Proponentes pueden obtener puntaje de apoyo a la industria nacional por: i) Servicios Nacionales o con Trato Nacional o por ii) la incorporación de componente nacional en servicios extranjeros. La Entidad en ningún caso otorgará simultáneamente el puntaje por ambos aspectos. Los puntajes para estimular a la industria nacional se relacionan en la siguiente tabla:
NOTA: A Las sucursales colombianas se les aplicará el mismo tratamiento que a las empresas extranjeras (Ver concepto C-571 de 2022 Colombia Compra Eficiente)</t>
  </si>
  <si>
    <t>NA</t>
  </si>
  <si>
    <t>INGENIERÍA Y TELEMÁTICA G&amp;C SAS</t>
  </si>
  <si>
    <t>ENERGÍA INTEGRAL ANDINA S.A</t>
  </si>
  <si>
    <t xml:space="preserve">INGENIERÍA Y TELEMÁTICA G&amp;C SAS </t>
  </si>
  <si>
    <t>INFORME EVALUACIÓN TÉCNICA GENERAL SUBSANACION</t>
  </si>
  <si>
    <t>|El proponente debe anexar junto con la propuesta el Certificado de Representación y/o Agenciamiento y/o Distribución y/o Comercializador Autorizado de los Bienes, expedido por el Fabricante o por el Distribuidor Autorizado por el Fabricante de los bienes ofrecidos, en el cual se indique que está autorizado para distribuir estos bienes objeto de la presente contratación. La fecha de expedición de la certificación debe ser de máximo tres (3) meses anteriores a la fecha de cierre del presente proceso de contratación. Este Certificado puede estar dirigido a cualquiera de los integrantes del Consorcio o Unión Temporal en caso de presentar la oferta bajo esta modalidad. En caso de que el proponente no sea fabricante y de presentarse más de un (1) distribuidor autorizado, el proponente deberá aportar toda la cadena de certificaciones que demuestren las autorizaciones iniciando desde el fabricante del bien, para cada uno de los bienes.</t>
  </si>
  <si>
    <t xml:space="preserve">De acuerdo con las aclaraciones presentadas por el proponente al formato No 10 fichas tecnicas, subsana acorde con lo solicitado por la entidad, asi mismo el proponente presenta certificado por parte del apoderado del fabricante con las aclaraciones respectivas. Adicional presenta certificado de cumplimiento de todos y cada uno de los requerimientos y especificaciones técnicas del  Formato 10 FICHA TECNICA.  </t>
  </si>
  <si>
    <t>De acuerdo con la revisión realizada al Poder presentado por el Fabricante THALES, quien otorga capacidad juridica para actuar en representación de la empresa THALES  al señor Fabio Bernardes , se evidencia que el proponente  cumple con la presentación del Certificado de Representación y Distribución Autorizada de los Bienes. Dicho poder  se encuentra legalizado conforme a la solicitado en el numeral 2.10 del formato 2a Pliego de Condiciones.</t>
  </si>
  <si>
    <t>De acuerdo con la revisión realizada al Poder presentado por el Fabricante THALES, quien otorga capacidad juridica para actuar en representación de la empresa THALES  al señor Fabio Bernardes , se evidencia que el proponente  cumple con la presentación del Certificado de Garantia de los Bienes y Servicios. Dicho poder  se encuentra legalizado conforme a la solicitado en el numeral 2.10 del formato 2a Pliego de Condiciones.</t>
  </si>
  <si>
    <t>PUNTAJE OFERTA ECONOMICA</t>
  </si>
  <si>
    <t>SUBTOTAL PUNTAJE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</si>
</sst>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quot;$&quot;\ #,##0;\-&quot;$&quot;\ #,##0"/>
    <numFmt numFmtId="165" formatCode="&quot;$&quot;\ #,##0.00;[Red]\-&quot;$&quot;\ #,##0.00"/>
    <numFmt numFmtId="166" formatCode="_-&quot;$&quot;\ * #,##0.00_-;\-&quot;$&quot;\ * #,##0.00_-;_-&quot;$&quot;\ * &quot;-&quot;??_-;_-@_-"/>
    <numFmt numFmtId="167" formatCode="#,##0.00_ ;\-#,##0.00\ "/>
    <numFmt numFmtId="168" formatCode="_-&quot;$&quot;\ * #,##0_-;\-&quot;$&quot;\ * #,##0_-;_-&quot;$&quot;\ * &quot;-&quot;??_-;_-@_-"/>
    <numFmt numFmtId="169" formatCode="0;0;&quot;SIN REVISAR&quot;"/>
    <numFmt numFmtId="170" formatCode="0.0%"/>
  </numFmts>
  <fonts count="60">
    <font>
      <sz val="11"/>
      <color theme="1"/>
      <name val="Calibri"/>
      <family val="2"/>
      <scheme val="minor"/>
    </font>
    <font>
      <sz val="12"/>
      <color theme="1"/>
      <name val="Arial"/>
      <family val="2"/>
    </font>
    <font>
      <b/>
      <sz val="12"/>
      <color theme="1"/>
      <name val="Arial"/>
      <family val="2"/>
    </font>
    <font>
      <sz val="12"/>
      <name val="Arial"/>
      <family val="2"/>
    </font>
    <font>
      <b/>
      <sz val="10"/>
      <color theme="1"/>
      <name val="Arial"/>
      <family val="2"/>
    </font>
    <font>
      <b/>
      <sz val="10"/>
      <name val="Arial"/>
      <family val="2"/>
    </font>
    <font>
      <sz val="10"/>
      <color theme="1"/>
      <name val="Arial"/>
      <family val="2"/>
    </font>
    <font>
      <sz val="10"/>
      <name val="Arial"/>
      <family val="2"/>
    </font>
    <font>
      <b/>
      <sz val="10"/>
      <color rgb="FFFF0000"/>
      <name val="Arial"/>
      <family val="2"/>
    </font>
    <font>
      <b/>
      <sz val="10"/>
      <color rgb="FF002060"/>
      <name val="Arial"/>
      <family val="2"/>
    </font>
    <font>
      <sz val="10"/>
      <color theme="0"/>
      <name val="Arial"/>
      <family val="2"/>
    </font>
    <font>
      <b/>
      <sz val="11"/>
      <color theme="1"/>
      <name val="Calibri"/>
      <family val="2"/>
      <scheme val="minor"/>
    </font>
    <font>
      <sz val="11"/>
      <color theme="1"/>
      <name val="Calibri"/>
      <family val="2"/>
      <scheme val="minor"/>
    </font>
    <font>
      <sz val="11"/>
      <color theme="1"/>
      <name val="Tahoma"/>
      <family val="2"/>
    </font>
    <font>
      <b/>
      <sz val="14"/>
      <color theme="1"/>
      <name val="Tahoma"/>
      <family val="2"/>
    </font>
    <font>
      <b/>
      <sz val="11"/>
      <color theme="1"/>
      <name val="Tahoma"/>
      <family val="2"/>
    </font>
    <font>
      <b/>
      <sz val="10"/>
      <color theme="1"/>
      <name val="Tahoma"/>
      <family val="2"/>
    </font>
    <font>
      <sz val="8"/>
      <color theme="1"/>
      <name val="Tahoma"/>
      <family val="2"/>
    </font>
    <font>
      <b/>
      <sz val="8"/>
      <color theme="1"/>
      <name val="Tahoma"/>
      <family val="2"/>
    </font>
    <font>
      <sz val="8"/>
      <name val="Tahoma"/>
      <family val="2"/>
    </font>
    <font>
      <b/>
      <sz val="8"/>
      <name val="Tahoma"/>
      <family val="2"/>
    </font>
    <font>
      <b/>
      <sz val="8"/>
      <color theme="0"/>
      <name val="Tahoma"/>
      <family val="2"/>
    </font>
    <font>
      <b/>
      <sz val="9"/>
      <color theme="0"/>
      <name val="Tahoma"/>
      <family val="2"/>
    </font>
    <font>
      <b/>
      <sz val="10"/>
      <color theme="0"/>
      <name val="Tahoma"/>
      <family val="2"/>
    </font>
    <font>
      <sz val="10"/>
      <color theme="1"/>
      <name val="Tahoma"/>
      <family val="2"/>
    </font>
    <font>
      <u/>
      <sz val="11"/>
      <color theme="10"/>
      <name val="Calibri"/>
      <family val="2"/>
      <scheme val="minor"/>
    </font>
    <font>
      <b/>
      <sz val="14"/>
      <name val="Arial"/>
      <family val="2"/>
    </font>
    <font>
      <b/>
      <sz val="11"/>
      <color theme="1"/>
      <name val="Arial"/>
      <family val="2"/>
    </font>
    <font>
      <sz val="11"/>
      <color theme="1"/>
      <name val="Calibri"/>
      <family val="2"/>
    </font>
    <font>
      <b/>
      <sz val="12"/>
      <color rgb="FF004677"/>
      <name val="Helvetica"/>
    </font>
    <font>
      <sz val="11"/>
      <color theme="1"/>
      <name val="Helvetica"/>
    </font>
    <font>
      <sz val="9"/>
      <color theme="1"/>
      <name val="Helvetica"/>
    </font>
    <font>
      <b/>
      <sz val="11"/>
      <color theme="1"/>
      <name val="Arial"/>
      <family val="2"/>
    </font>
    <font>
      <sz val="10"/>
      <color theme="1"/>
      <name val="Arial"/>
      <family val="2"/>
    </font>
    <font>
      <b/>
      <sz val="9"/>
      <color theme="1"/>
      <name val="Helvetica"/>
    </font>
    <font>
      <u/>
      <sz val="9"/>
      <color rgb="FF0000FF"/>
      <name val="Helvetica"/>
    </font>
    <font>
      <i/>
      <sz val="9"/>
      <color theme="1"/>
      <name val="Helvetica"/>
    </font>
    <font>
      <sz val="16"/>
      <color theme="1"/>
      <name val="Arial"/>
      <family val="2"/>
    </font>
    <font>
      <b/>
      <sz val="12"/>
      <color theme="1"/>
      <name val="Tahoma"/>
      <family val="2"/>
    </font>
    <font>
      <b/>
      <sz val="9"/>
      <name val="Tahoma"/>
      <family val="2"/>
    </font>
    <font>
      <b/>
      <sz val="20"/>
      <color theme="1"/>
      <name val="Arial"/>
      <family val="2"/>
    </font>
    <font>
      <sz val="11"/>
      <color rgb="FF000000"/>
      <name val="ArialNarrow"/>
    </font>
    <font>
      <sz val="14"/>
      <color theme="1"/>
      <name val="Arial"/>
      <family val="2"/>
    </font>
    <font>
      <b/>
      <sz val="14"/>
      <color rgb="FF002060"/>
      <name val="Arial"/>
      <family val="2"/>
    </font>
    <font>
      <b/>
      <sz val="20"/>
      <color rgb="FF002060"/>
      <name val="Arial"/>
      <family val="2"/>
    </font>
    <font>
      <sz val="14"/>
      <name val="Arial"/>
      <family val="2"/>
    </font>
    <font>
      <b/>
      <sz val="20"/>
      <color theme="0"/>
      <name val="Arial"/>
      <family val="2"/>
    </font>
    <font>
      <sz val="20"/>
      <name val="Arial"/>
      <family val="2"/>
    </font>
    <font>
      <sz val="20"/>
      <color rgb="FF002060"/>
      <name val="Arial"/>
      <family val="2"/>
    </font>
    <font>
      <b/>
      <sz val="20"/>
      <name val="Arial"/>
      <family val="2"/>
    </font>
    <font>
      <sz val="20"/>
      <color theme="1"/>
      <name val="Arial"/>
      <family val="2"/>
    </font>
    <font>
      <b/>
      <sz val="20"/>
      <color rgb="FFFF0000"/>
      <name val="Arial"/>
      <family val="2"/>
    </font>
    <font>
      <b/>
      <sz val="20"/>
      <color indexed="8"/>
      <name val="Arial"/>
      <family val="2"/>
    </font>
    <font>
      <sz val="11"/>
      <color rgb="FF000000"/>
      <name val="Calibri"/>
      <family val="2"/>
      <scheme val="minor"/>
    </font>
    <font>
      <b/>
      <sz val="11"/>
      <color rgb="FF000000"/>
      <name val="Calibri"/>
      <family val="2"/>
      <scheme val="minor"/>
    </font>
    <font>
      <b/>
      <sz val="14"/>
      <name val="Tahoma"/>
      <family val="2"/>
    </font>
    <font>
      <sz val="8"/>
      <name val="Calibri"/>
      <family val="2"/>
      <scheme val="minor"/>
    </font>
    <font>
      <b/>
      <sz val="11"/>
      <color rgb="FF000000"/>
      <name val="Calibri Light"/>
      <family val="2"/>
      <scheme val="major"/>
    </font>
    <font>
      <sz val="16"/>
      <name val="Arial"/>
      <family val="2"/>
    </font>
    <font>
      <sz val="9"/>
      <color rgb="FF000000"/>
      <name val="Arial"/>
      <family val="2"/>
    </font>
  </fonts>
  <fills count="24">
    <fill>
      <patternFill patternType="none"/>
    </fill>
    <fill>
      <patternFill patternType="gray125"/>
    </fill>
    <fill>
      <patternFill patternType="solid">
        <fgColor theme="0"/>
        <bgColor rgb="FF002060"/>
      </patternFill>
    </fill>
    <fill>
      <patternFill patternType="solid">
        <fgColor theme="0"/>
        <bgColor indexed="64"/>
      </patternFill>
    </fill>
    <fill>
      <patternFill patternType="solid">
        <fgColor theme="0"/>
        <bgColor theme="0"/>
      </patternFill>
    </fill>
    <fill>
      <patternFill patternType="solid">
        <fgColor theme="0"/>
        <bgColor rgb="FF50F828"/>
      </patternFill>
    </fill>
    <fill>
      <patternFill patternType="solid">
        <fgColor rgb="FFFFFF00"/>
        <bgColor indexed="64"/>
      </patternFill>
    </fill>
    <fill>
      <patternFill patternType="solid">
        <fgColor rgb="FF366092"/>
        <bgColor rgb="FF366092"/>
      </patternFill>
    </fill>
    <fill>
      <patternFill patternType="solid">
        <fgColor theme="4" tint="0.79998168889431442"/>
        <bgColor rgb="FFDBE5F1"/>
      </patternFill>
    </fill>
    <fill>
      <patternFill patternType="solid">
        <fgColor theme="1"/>
        <bgColor theme="0"/>
      </patternFill>
    </fill>
    <fill>
      <patternFill patternType="solid">
        <fgColor rgb="FFDBE5F1"/>
        <bgColor rgb="FFDBE5F1"/>
      </patternFill>
    </fill>
    <fill>
      <patternFill patternType="solid">
        <fgColor theme="4" tint="0.79998168889431442"/>
        <bgColor indexed="64"/>
      </patternFill>
    </fill>
    <fill>
      <patternFill patternType="solid">
        <fgColor theme="4" tint="0.79998168889431442"/>
        <bgColor rgb="FF366092"/>
      </patternFill>
    </fill>
    <fill>
      <patternFill patternType="solid">
        <fgColor theme="1"/>
        <bgColor indexed="64"/>
      </patternFill>
    </fill>
    <fill>
      <patternFill patternType="solid">
        <fgColor theme="4" tint="0.79998168889431442"/>
        <bgColor theme="0"/>
      </patternFill>
    </fill>
    <fill>
      <patternFill patternType="solid">
        <fgColor theme="0" tint="-0.14999847407452621"/>
        <bgColor indexed="64"/>
      </patternFill>
    </fill>
    <fill>
      <patternFill patternType="solid">
        <fgColor theme="4" tint="-0.249977111117893"/>
        <bgColor indexed="64"/>
      </patternFill>
    </fill>
    <fill>
      <patternFill patternType="solid">
        <fgColor theme="0"/>
        <bgColor rgb="FF366092"/>
      </patternFill>
    </fill>
    <fill>
      <patternFill patternType="solid">
        <fgColor rgb="FFF0F4FA"/>
      </patternFill>
    </fill>
    <fill>
      <patternFill patternType="solid">
        <fgColor rgb="FFFFFFFF"/>
      </patternFill>
    </fill>
    <fill>
      <patternFill patternType="solid">
        <fgColor rgb="FFD6EAF8"/>
      </patternFill>
    </fill>
    <fill>
      <patternFill patternType="solid">
        <fgColor theme="8" tint="0.79998168889431442"/>
        <bgColor indexed="64"/>
      </patternFill>
    </fill>
    <fill>
      <patternFill patternType="solid">
        <fgColor theme="0" tint="-0.14999847407452621"/>
        <bgColor theme="0"/>
      </patternFill>
    </fill>
    <fill>
      <patternFill patternType="solid">
        <fgColor theme="7" tint="0.79998168889431442"/>
        <bgColor indexed="64"/>
      </patternFill>
    </fill>
  </fills>
  <borders count="39">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medium">
        <color indexed="64"/>
      </left>
      <right style="thin">
        <color rgb="FF000000"/>
      </right>
      <top/>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top style="thin">
        <color rgb="FF000000"/>
      </top>
      <bottom/>
      <diagonal/>
    </border>
    <border>
      <left/>
      <right style="medium">
        <color indexed="64"/>
      </right>
      <top style="thin">
        <color rgb="FF000000"/>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top/>
      <bottom/>
      <diagonal/>
    </border>
    <border>
      <left style="thin">
        <color rgb="FF000000"/>
      </left>
      <right style="medium">
        <color indexed="64"/>
      </right>
      <top/>
      <bottom style="thin">
        <color rgb="FF000000"/>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medium">
        <color indexed="64"/>
      </bottom>
      <diagonal/>
    </border>
    <border>
      <left/>
      <right/>
      <top/>
      <bottom style="thick">
        <color rgb="FF910028"/>
      </bottom>
      <diagonal/>
    </border>
    <border>
      <left style="thin">
        <color rgb="FF979991"/>
      </left>
      <right/>
      <top style="thin">
        <color rgb="FF979991"/>
      </top>
      <bottom/>
      <diagonal/>
    </border>
    <border>
      <left style="thin">
        <color rgb="FF979991"/>
      </left>
      <right/>
      <top style="thin">
        <color rgb="FF979991"/>
      </top>
      <bottom style="thin">
        <color rgb="FF979991"/>
      </bottom>
      <diagonal/>
    </border>
    <border>
      <left/>
      <right style="thin">
        <color indexed="64"/>
      </right>
      <top/>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medium">
        <color indexed="64"/>
      </right>
      <top style="thin">
        <color rgb="FF000000"/>
      </top>
      <bottom/>
      <diagonal/>
    </border>
  </borders>
  <cellStyleXfs count="5">
    <xf numFmtId="0" fontId="0" fillId="0" borderId="0"/>
    <xf numFmtId="43" fontId="12" fillId="0" borderId="0" applyFont="0" applyFill="0" applyBorder="0" applyAlignment="0" applyProtection="0"/>
    <xf numFmtId="166" fontId="12" fillId="0" borderId="0" applyFont="0" applyFill="0" applyBorder="0" applyAlignment="0" applyProtection="0"/>
    <xf numFmtId="0" fontId="25" fillId="0" borderId="0" applyNumberFormat="0" applyFill="0" applyBorder="0" applyAlignment="0" applyProtection="0"/>
    <xf numFmtId="0" fontId="28" fillId="0" borderId="0"/>
  </cellStyleXfs>
  <cellXfs count="271">
    <xf numFmtId="0" fontId="0" fillId="0" borderId="0" xfId="0"/>
    <xf numFmtId="0" fontId="1" fillId="0" borderId="0" xfId="0" applyFont="1" applyAlignment="1">
      <alignment horizontal="center" vertical="center"/>
    </xf>
    <xf numFmtId="3" fontId="1" fillId="0" borderId="0" xfId="0" applyNumberFormat="1" applyFont="1" applyAlignment="1">
      <alignment vertical="center"/>
    </xf>
    <xf numFmtId="0" fontId="1" fillId="0" borderId="0" xfId="0" applyFont="1" applyAlignment="1">
      <alignment vertical="center"/>
    </xf>
    <xf numFmtId="0" fontId="6" fillId="0" borderId="0" xfId="0" applyFont="1" applyAlignment="1">
      <alignment horizontal="center" vertical="center"/>
    </xf>
    <xf numFmtId="3" fontId="6" fillId="0" borderId="0" xfId="0" applyNumberFormat="1" applyFont="1" applyAlignment="1">
      <alignment vertical="center"/>
    </xf>
    <xf numFmtId="0" fontId="6" fillId="0" borderId="0" xfId="0" applyFont="1" applyAlignment="1">
      <alignment vertical="center"/>
    </xf>
    <xf numFmtId="0" fontId="4"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horizontal="center" vertical="center" wrapText="1"/>
    </xf>
    <xf numFmtId="3" fontId="8" fillId="0" borderId="0" xfId="0" applyNumberFormat="1" applyFont="1" applyAlignment="1">
      <alignment horizontal="center" vertical="center"/>
    </xf>
    <xf numFmtId="0" fontId="7" fillId="0" borderId="0" xfId="0" applyFont="1" applyAlignment="1">
      <alignment horizontal="center" vertical="center" wrapText="1"/>
    </xf>
    <xf numFmtId="0" fontId="7" fillId="4" borderId="0" xfId="0" applyFont="1" applyFill="1" applyAlignment="1">
      <alignment horizontal="center" vertical="center"/>
    </xf>
    <xf numFmtId="0" fontId="4" fillId="4" borderId="0" xfId="0" applyFont="1" applyFill="1" applyAlignment="1">
      <alignment horizontal="center" vertical="center"/>
    </xf>
    <xf numFmtId="0" fontId="10" fillId="4" borderId="0" xfId="0" applyFont="1" applyFill="1" applyAlignment="1">
      <alignment horizontal="center" vertical="center"/>
    </xf>
    <xf numFmtId="0" fontId="10" fillId="0" borderId="0" xfId="0" applyFont="1" applyAlignment="1">
      <alignment horizontal="center" vertical="center"/>
    </xf>
    <xf numFmtId="4" fontId="13" fillId="0" borderId="0" xfId="0" applyNumberFormat="1" applyFont="1" applyAlignment="1">
      <alignment horizontal="center" vertical="center"/>
    </xf>
    <xf numFmtId="0" fontId="13" fillId="0" borderId="0" xfId="0" applyFont="1" applyAlignment="1">
      <alignment vertical="center"/>
    </xf>
    <xf numFmtId="4" fontId="13" fillId="0" borderId="0" xfId="0" applyNumberFormat="1" applyFont="1" applyAlignment="1">
      <alignment vertical="center"/>
    </xf>
    <xf numFmtId="4" fontId="17" fillId="0" borderId="0" xfId="0" applyNumberFormat="1" applyFont="1" applyAlignment="1">
      <alignment horizontal="center" vertical="center"/>
    </xf>
    <xf numFmtId="4" fontId="17" fillId="0" borderId="0" xfId="0" applyNumberFormat="1" applyFont="1" applyAlignment="1">
      <alignment vertical="center"/>
    </xf>
    <xf numFmtId="0" fontId="17" fillId="0" borderId="0" xfId="0" applyFont="1" applyAlignment="1">
      <alignment vertical="center"/>
    </xf>
    <xf numFmtId="4" fontId="18" fillId="0" borderId="0" xfId="0" applyNumberFormat="1" applyFont="1" applyAlignment="1">
      <alignment horizontal="center" vertical="center"/>
    </xf>
    <xf numFmtId="4" fontId="18" fillId="0" borderId="0" xfId="0" applyNumberFormat="1" applyFont="1" applyAlignment="1">
      <alignment vertical="center"/>
    </xf>
    <xf numFmtId="0" fontId="18" fillId="0" borderId="0" xfId="0" applyFont="1" applyAlignment="1">
      <alignment vertical="center"/>
    </xf>
    <xf numFmtId="0" fontId="17" fillId="0" borderId="0" xfId="0" applyFont="1" applyAlignment="1">
      <alignment horizontal="center" vertical="center"/>
    </xf>
    <xf numFmtId="4" fontId="5" fillId="11" borderId="14" xfId="0" applyNumberFormat="1" applyFont="1" applyFill="1" applyBorder="1" applyAlignment="1">
      <alignment horizontal="center" vertical="center"/>
    </xf>
    <xf numFmtId="0" fontId="6" fillId="0" borderId="0" xfId="0" applyFont="1" applyAlignment="1">
      <alignment horizontal="left" vertical="center" wrapText="1"/>
    </xf>
    <xf numFmtId="0" fontId="25" fillId="0" borderId="0" xfId="3"/>
    <xf numFmtId="0" fontId="11" fillId="0" borderId="0" xfId="0" applyFont="1"/>
    <xf numFmtId="43" fontId="0" fillId="0" borderId="0" xfId="1" applyFont="1"/>
    <xf numFmtId="0" fontId="0" fillId="0" borderId="0" xfId="0" applyAlignment="1">
      <alignment horizontal="center"/>
    </xf>
    <xf numFmtId="168" fontId="0" fillId="0" borderId="0" xfId="2" applyNumberFormat="1" applyFont="1" applyBorder="1" applyAlignment="1">
      <alignment horizontal="center"/>
    </xf>
    <xf numFmtId="0" fontId="4" fillId="0" borderId="0" xfId="0" applyFont="1" applyAlignment="1">
      <alignment horizontal="left" vertical="center" wrapText="1"/>
    </xf>
    <xf numFmtId="166" fontId="11" fillId="0" borderId="0" xfId="2" applyFont="1"/>
    <xf numFmtId="166" fontId="0" fillId="0" borderId="0" xfId="2" applyFont="1"/>
    <xf numFmtId="168" fontId="11" fillId="0" borderId="0" xfId="0" applyNumberFormat="1" applyFont="1"/>
    <xf numFmtId="0" fontId="7" fillId="0" borderId="14" xfId="0" applyFont="1" applyBorder="1" applyAlignment="1">
      <alignment horizontal="center" vertical="center" wrapText="1"/>
    </xf>
    <xf numFmtId="164" fontId="18" fillId="16" borderId="25" xfId="2" applyNumberFormat="1" applyFont="1" applyFill="1" applyBorder="1" applyAlignment="1" applyProtection="1">
      <alignment horizontal="center" vertical="center" wrapText="1"/>
    </xf>
    <xf numFmtId="164" fontId="18" fillId="16" borderId="24" xfId="2" applyNumberFormat="1" applyFont="1" applyFill="1" applyBorder="1" applyAlignment="1" applyProtection="1">
      <alignment horizontal="center" vertical="center" wrapText="1"/>
    </xf>
    <xf numFmtId="0" fontId="18" fillId="0" borderId="14" xfId="0" applyFont="1" applyBorder="1" applyAlignment="1">
      <alignment horizontal="center" vertical="center" wrapText="1"/>
    </xf>
    <xf numFmtId="0" fontId="17" fillId="0" borderId="14" xfId="0" applyFont="1" applyBorder="1" applyAlignment="1">
      <alignment horizontal="center" vertical="center"/>
    </xf>
    <xf numFmtId="4" fontId="17" fillId="0" borderId="14" xfId="0" applyNumberFormat="1" applyFont="1" applyBorder="1" applyAlignment="1" applyProtection="1">
      <alignment horizontal="center" vertical="center"/>
      <protection locked="0"/>
    </xf>
    <xf numFmtId="9" fontId="4" fillId="14" borderId="14" xfId="0" applyNumberFormat="1" applyFont="1" applyFill="1" applyBorder="1" applyAlignment="1">
      <alignment horizontal="center" vertical="center"/>
    </xf>
    <xf numFmtId="9" fontId="2" fillId="4" borderId="27" xfId="0" applyNumberFormat="1" applyFont="1" applyFill="1" applyBorder="1" applyAlignment="1">
      <alignment horizontal="center" vertical="center"/>
    </xf>
    <xf numFmtId="3" fontId="6" fillId="3" borderId="0" xfId="0" applyNumberFormat="1" applyFont="1" applyFill="1" applyAlignment="1">
      <alignment vertical="center"/>
    </xf>
    <xf numFmtId="0" fontId="6" fillId="3" borderId="0" xfId="0" applyFont="1" applyFill="1" applyAlignment="1">
      <alignment vertical="center"/>
    </xf>
    <xf numFmtId="0" fontId="28" fillId="0" borderId="0" xfId="4"/>
    <xf numFmtId="0" fontId="28" fillId="0" borderId="0" xfId="4" applyAlignment="1">
      <alignment horizontal="center" vertical="top" wrapText="1"/>
    </xf>
    <xf numFmtId="0" fontId="31" fillId="0" borderId="0" xfId="4" applyFont="1" applyAlignment="1">
      <alignment horizontal="left" wrapText="1"/>
    </xf>
    <xf numFmtId="0" fontId="32" fillId="18" borderId="32" xfId="4" applyFont="1" applyFill="1" applyBorder="1" applyAlignment="1">
      <alignment horizontal="center" vertical="center" wrapText="1"/>
    </xf>
    <xf numFmtId="0" fontId="32" fillId="18" borderId="33" xfId="4" applyFont="1" applyFill="1" applyBorder="1" applyAlignment="1">
      <alignment horizontal="center" vertical="center" wrapText="1"/>
    </xf>
    <xf numFmtId="1" fontId="33" fillId="18" borderId="33" xfId="4" applyNumberFormat="1" applyFont="1" applyFill="1" applyBorder="1" applyAlignment="1">
      <alignment horizontal="left" vertical="center" wrapText="1"/>
    </xf>
    <xf numFmtId="4" fontId="33" fillId="19" borderId="33" xfId="4" applyNumberFormat="1" applyFont="1" applyFill="1" applyBorder="1" applyAlignment="1">
      <alignment horizontal="right" vertical="center" wrapText="1"/>
    </xf>
    <xf numFmtId="1" fontId="33" fillId="20" borderId="33" xfId="4" applyNumberFormat="1" applyFont="1" applyFill="1" applyBorder="1" applyAlignment="1">
      <alignment horizontal="left" vertical="center" wrapText="1"/>
    </xf>
    <xf numFmtId="4" fontId="33" fillId="20" borderId="33" xfId="4" applyNumberFormat="1" applyFont="1" applyFill="1" applyBorder="1" applyAlignment="1">
      <alignment horizontal="right" vertical="center" wrapText="1"/>
    </xf>
    <xf numFmtId="0" fontId="31" fillId="0" borderId="0" xfId="4" applyFont="1" applyAlignment="1">
      <alignment horizontal="left" vertical="top"/>
    </xf>
    <xf numFmtId="0" fontId="7" fillId="3" borderId="0" xfId="0" applyFont="1" applyFill="1" applyAlignment="1">
      <alignment horizontal="center" vertical="center" wrapText="1"/>
    </xf>
    <xf numFmtId="0" fontId="7" fillId="3" borderId="14" xfId="0" applyFont="1" applyFill="1" applyBorder="1" applyAlignment="1">
      <alignment horizontal="center" vertical="center" wrapText="1"/>
    </xf>
    <xf numFmtId="167" fontId="7" fillId="0" borderId="14" xfId="0" applyNumberFormat="1" applyFont="1" applyBorder="1" applyAlignment="1">
      <alignment horizontal="center" vertical="center"/>
    </xf>
    <xf numFmtId="3" fontId="7" fillId="0" borderId="0" xfId="0" applyNumberFormat="1" applyFont="1" applyAlignment="1">
      <alignment vertical="center"/>
    </xf>
    <xf numFmtId="0" fontId="7" fillId="0" borderId="0" xfId="0" applyFont="1" applyAlignment="1">
      <alignment vertical="center"/>
    </xf>
    <xf numFmtId="3" fontId="7" fillId="3" borderId="0" xfId="0" applyNumberFormat="1" applyFont="1" applyFill="1" applyAlignment="1">
      <alignment vertical="center"/>
    </xf>
    <xf numFmtId="0" fontId="7" fillId="3" borderId="0" xfId="0" applyFont="1" applyFill="1" applyAlignment="1">
      <alignment vertical="center"/>
    </xf>
    <xf numFmtId="3" fontId="37" fillId="0" borderId="0" xfId="0" applyNumberFormat="1" applyFont="1" applyAlignment="1">
      <alignment vertical="center"/>
    </xf>
    <xf numFmtId="167" fontId="6" fillId="0" borderId="0" xfId="0" applyNumberFormat="1" applyFont="1" applyAlignment="1">
      <alignment vertical="center"/>
    </xf>
    <xf numFmtId="3" fontId="4" fillId="0" borderId="0" xfId="0" applyNumberFormat="1" applyFont="1" applyAlignment="1">
      <alignment vertical="center"/>
    </xf>
    <xf numFmtId="4" fontId="6" fillId="0" borderId="0" xfId="0" applyNumberFormat="1" applyFont="1" applyAlignment="1">
      <alignment vertical="center"/>
    </xf>
    <xf numFmtId="0" fontId="18" fillId="0" borderId="14" xfId="0" applyFont="1" applyBorder="1" applyAlignment="1">
      <alignment horizontal="center" vertical="center"/>
    </xf>
    <xf numFmtId="0" fontId="4" fillId="4" borderId="14" xfId="0" applyFont="1" applyFill="1" applyBorder="1" applyAlignment="1">
      <alignment horizontal="center" vertical="center" wrapText="1"/>
    </xf>
    <xf numFmtId="0" fontId="18" fillId="0" borderId="14" xfId="0" applyFont="1" applyBorder="1" applyAlignment="1">
      <alignment horizontal="center" vertical="center" wrapText="1"/>
    </xf>
    <xf numFmtId="4" fontId="20" fillId="0" borderId="14" xfId="0" applyNumberFormat="1" applyFont="1" applyFill="1" applyBorder="1" applyAlignment="1">
      <alignment horizontal="center" vertical="center"/>
    </xf>
    <xf numFmtId="4" fontId="19" fillId="0" borderId="14" xfId="0" applyNumberFormat="1" applyFont="1" applyFill="1" applyBorder="1" applyAlignment="1">
      <alignment horizontal="center" vertical="center"/>
    </xf>
    <xf numFmtId="3" fontId="17" fillId="0" borderId="14" xfId="0" applyNumberFormat="1" applyFont="1" applyBorder="1" applyAlignment="1">
      <alignment horizontal="center" vertical="center"/>
    </xf>
    <xf numFmtId="0" fontId="18" fillId="0" borderId="18" xfId="0" applyFont="1" applyBorder="1" applyAlignment="1">
      <alignment horizontal="center" vertical="center" wrapText="1"/>
    </xf>
    <xf numFmtId="4" fontId="19" fillId="0" borderId="18" xfId="0" applyNumberFormat="1" applyFont="1" applyFill="1" applyBorder="1" applyAlignment="1">
      <alignment horizontal="center" vertical="center"/>
    </xf>
    <xf numFmtId="0" fontId="21" fillId="16" borderId="0" xfId="0" applyFont="1" applyFill="1" applyBorder="1" applyAlignment="1">
      <alignment vertical="center" wrapText="1"/>
    </xf>
    <xf numFmtId="0" fontId="22" fillId="16" borderId="17" xfId="0" applyFont="1" applyFill="1" applyBorder="1" applyAlignment="1" applyProtection="1">
      <alignment horizontal="center" vertical="center" wrapText="1"/>
      <protection locked="0"/>
    </xf>
    <xf numFmtId="0" fontId="14" fillId="0" borderId="21" xfId="0" applyFont="1" applyBorder="1" applyAlignment="1">
      <alignment horizontal="center" vertical="center"/>
    </xf>
    <xf numFmtId="0" fontId="14" fillId="0" borderId="22" xfId="0" applyFont="1" applyBorder="1" applyAlignment="1">
      <alignment horizontal="center" vertical="center"/>
    </xf>
    <xf numFmtId="0" fontId="14" fillId="0" borderId="26" xfId="0" applyFont="1" applyBorder="1" applyAlignment="1">
      <alignment horizontal="center" vertical="center"/>
    </xf>
    <xf numFmtId="0" fontId="14" fillId="0" borderId="0" xfId="0" applyFont="1" applyBorder="1" applyAlignment="1">
      <alignment horizontal="center" vertical="center"/>
    </xf>
    <xf numFmtId="0" fontId="15" fillId="0" borderId="26" xfId="0" applyFont="1" applyBorder="1" applyAlignment="1">
      <alignment horizontal="center" vertical="center"/>
    </xf>
    <xf numFmtId="0" fontId="15" fillId="0" borderId="0" xfId="0" applyFont="1" applyBorder="1" applyAlignment="1">
      <alignment horizontal="center" vertical="center"/>
    </xf>
    <xf numFmtId="0" fontId="16" fillId="0" borderId="37" xfId="0" applyFont="1" applyBorder="1" applyAlignment="1">
      <alignment horizontal="center" vertical="center"/>
    </xf>
    <xf numFmtId="0" fontId="16" fillId="0" borderId="29" xfId="0" applyFont="1" applyBorder="1" applyAlignment="1">
      <alignment horizontal="center" vertical="center"/>
    </xf>
    <xf numFmtId="4" fontId="18" fillId="0" borderId="14" xfId="0" applyNumberFormat="1" applyFont="1" applyBorder="1" applyAlignment="1">
      <alignment horizontal="center" vertical="center" wrapText="1"/>
    </xf>
    <xf numFmtId="4" fontId="0" fillId="21" borderId="14" xfId="2" applyNumberFormat="1" applyFont="1" applyFill="1" applyBorder="1" applyAlignment="1">
      <alignment horizontal="center"/>
    </xf>
    <xf numFmtId="0" fontId="41" fillId="0" borderId="0" xfId="0" applyFont="1" applyAlignment="1">
      <alignment vertical="center" wrapText="1"/>
    </xf>
    <xf numFmtId="0" fontId="5" fillId="8" borderId="14" xfId="0" applyFont="1" applyFill="1" applyBorder="1" applyAlignment="1">
      <alignment horizontal="center" vertical="center" wrapText="1"/>
    </xf>
    <xf numFmtId="0" fontId="47" fillId="0" borderId="0" xfId="0" applyFont="1" applyAlignment="1">
      <alignment horizontal="center" vertical="center" wrapText="1"/>
    </xf>
    <xf numFmtId="3" fontId="50" fillId="0" borderId="0" xfId="0" applyNumberFormat="1" applyFont="1" applyAlignment="1">
      <alignment vertical="center"/>
    </xf>
    <xf numFmtId="0" fontId="50" fillId="0" borderId="0" xfId="0" applyFont="1" applyAlignment="1">
      <alignment vertical="center"/>
    </xf>
    <xf numFmtId="4" fontId="46" fillId="13" borderId="14" xfId="0" applyNumberFormat="1" applyFont="1" applyFill="1" applyBorder="1" applyAlignment="1">
      <alignment vertical="center"/>
    </xf>
    <xf numFmtId="4" fontId="44" fillId="22" borderId="14" xfId="0" applyNumberFormat="1" applyFont="1" applyFill="1" applyBorder="1" applyAlignment="1">
      <alignment horizontal="center" vertical="center" wrapText="1"/>
    </xf>
    <xf numFmtId="0" fontId="7" fillId="15" borderId="14" xfId="0" applyFont="1" applyFill="1" applyBorder="1" applyAlignment="1">
      <alignment horizontal="center" vertical="center"/>
    </xf>
    <xf numFmtId="0" fontId="7" fillId="15" borderId="14" xfId="0" applyFont="1" applyFill="1" applyBorder="1" applyAlignment="1">
      <alignment vertical="center" wrapText="1"/>
    </xf>
    <xf numFmtId="14" fontId="0" fillId="15" borderId="14" xfId="0" applyNumberFormat="1" applyFill="1" applyBorder="1" applyAlignment="1">
      <alignment horizontal="center" vertical="center"/>
    </xf>
    <xf numFmtId="165" fontId="7" fillId="15" borderId="14" xfId="0" applyNumberFormat="1" applyFont="1" applyFill="1" applyBorder="1" applyAlignment="1">
      <alignment horizontal="right" vertical="center"/>
    </xf>
    <xf numFmtId="4" fontId="7" fillId="15" borderId="14" xfId="0" applyNumberFormat="1" applyFont="1" applyFill="1" applyBorder="1" applyAlignment="1">
      <alignment horizontal="right" vertical="center"/>
    </xf>
    <xf numFmtId="9" fontId="7" fillId="15" borderId="14" xfId="0" applyNumberFormat="1" applyFont="1" applyFill="1" applyBorder="1" applyAlignment="1">
      <alignment horizontal="center" vertical="center"/>
    </xf>
    <xf numFmtId="0" fontId="6" fillId="15" borderId="14" xfId="0" applyFont="1" applyFill="1" applyBorder="1" applyAlignment="1">
      <alignment horizontal="center" vertical="center" wrapText="1"/>
    </xf>
    <xf numFmtId="0" fontId="7" fillId="15" borderId="14" xfId="0" applyFont="1" applyFill="1" applyBorder="1" applyAlignment="1">
      <alignment vertical="center"/>
    </xf>
    <xf numFmtId="4" fontId="43" fillId="22" borderId="14" xfId="0" applyNumberFormat="1" applyFont="1" applyFill="1" applyBorder="1" applyAlignment="1">
      <alignment horizontal="center" vertical="center" wrapText="1"/>
    </xf>
    <xf numFmtId="0" fontId="26" fillId="0" borderId="15" xfId="0" applyFont="1" applyBorder="1" applyAlignment="1">
      <alignment horizontal="center" vertical="center"/>
    </xf>
    <xf numFmtId="4" fontId="40" fillId="0" borderId="14" xfId="0" applyNumberFormat="1" applyFont="1" applyBorder="1" applyAlignment="1">
      <alignment horizontal="center" vertical="center"/>
    </xf>
    <xf numFmtId="4" fontId="40" fillId="0" borderId="14" xfId="0" applyNumberFormat="1" applyFont="1" applyBorder="1" applyAlignment="1">
      <alignment horizontal="center" vertical="center" wrapText="1"/>
    </xf>
    <xf numFmtId="4" fontId="51" fillId="6" borderId="38" xfId="0" applyNumberFormat="1" applyFont="1" applyFill="1" applyBorder="1" applyAlignment="1">
      <alignment horizontal="center" vertical="center"/>
    </xf>
    <xf numFmtId="0" fontId="6" fillId="15" borderId="14" xfId="0" applyFont="1" applyFill="1" applyBorder="1" applyAlignment="1">
      <alignment horizontal="center" vertical="center"/>
    </xf>
    <xf numFmtId="0" fontId="0" fillId="15" borderId="14" xfId="0" applyFill="1" applyBorder="1" applyAlignment="1">
      <alignment horizontal="center" vertical="center"/>
    </xf>
    <xf numFmtId="4" fontId="0" fillId="0" borderId="14" xfId="2" applyNumberFormat="1" applyFont="1" applyFill="1" applyBorder="1" applyAlignment="1">
      <alignment horizontal="center"/>
    </xf>
    <xf numFmtId="0" fontId="53" fillId="0" borderId="0" xfId="0" applyFont="1"/>
    <xf numFmtId="168" fontId="0" fillId="15" borderId="14" xfId="2" applyNumberFormat="1" applyFont="1" applyFill="1" applyBorder="1" applyAlignment="1">
      <alignment horizontal="center"/>
    </xf>
    <xf numFmtId="168" fontId="12" fillId="15" borderId="14" xfId="2" applyNumberFormat="1" applyFont="1" applyFill="1" applyBorder="1" applyAlignment="1">
      <alignment horizontal="center"/>
    </xf>
    <xf numFmtId="0" fontId="11" fillId="0" borderId="14" xfId="0" applyFont="1" applyBorder="1" applyAlignment="1">
      <alignment horizontal="center" vertical="center"/>
    </xf>
    <xf numFmtId="0" fontId="6" fillId="21"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11" fillId="0" borderId="14" xfId="0" applyFont="1" applyBorder="1" applyAlignment="1">
      <alignment horizontal="center" vertical="center" wrapText="1"/>
    </xf>
    <xf numFmtId="169" fontId="17" fillId="0" borderId="14" xfId="2" applyNumberFormat="1" applyFont="1" applyBorder="1" applyAlignment="1" applyProtection="1">
      <alignment horizontal="center" vertical="center"/>
      <protection locked="0"/>
    </xf>
    <xf numFmtId="9" fontId="6" fillId="22" borderId="14" xfId="0" applyNumberFormat="1" applyFont="1" applyFill="1" applyBorder="1" applyAlignment="1">
      <alignment horizontal="center" vertical="center"/>
    </xf>
    <xf numFmtId="0" fontId="54" fillId="0" borderId="14" xfId="0" applyFont="1" applyBorder="1"/>
    <xf numFmtId="4" fontId="53" fillId="0" borderId="14" xfId="0" applyNumberFormat="1" applyFont="1" applyBorder="1"/>
    <xf numFmtId="3" fontId="54" fillId="0" borderId="14" xfId="0" applyNumberFormat="1" applyFont="1" applyBorder="1" applyAlignment="1">
      <alignment horizontal="center" vertical="center"/>
    </xf>
    <xf numFmtId="0" fontId="18" fillId="0" borderId="14" xfId="0" applyFont="1" applyBorder="1" applyAlignment="1">
      <alignment horizontal="center" vertical="center" wrapText="1"/>
    </xf>
    <xf numFmtId="4" fontId="46" fillId="9" borderId="14" xfId="0" applyNumberFormat="1" applyFont="1" applyFill="1" applyBorder="1" applyAlignment="1">
      <alignment horizontal="center" vertical="center" wrapText="1"/>
    </xf>
    <xf numFmtId="4" fontId="44" fillId="4" borderId="14" xfId="0" applyNumberFormat="1" applyFont="1" applyFill="1" applyBorder="1" applyAlignment="1">
      <alignment horizontal="center" vertical="center" wrapText="1"/>
    </xf>
    <xf numFmtId="0" fontId="4" fillId="10" borderId="14" xfId="0" applyFont="1" applyFill="1" applyBorder="1" applyAlignment="1">
      <alignment horizontal="center" vertical="center" wrapText="1"/>
    </xf>
    <xf numFmtId="0" fontId="6" fillId="15" borderId="14" xfId="0" applyFont="1" applyFill="1" applyBorder="1" applyAlignment="1">
      <alignment horizontal="left" vertical="center" wrapText="1"/>
    </xf>
    <xf numFmtId="0" fontId="7" fillId="15" borderId="14" xfId="0" applyFont="1" applyFill="1" applyBorder="1" applyAlignment="1">
      <alignment horizontal="left" vertical="center" wrapText="1"/>
    </xf>
    <xf numFmtId="0" fontId="7" fillId="15" borderId="14" xfId="0" applyFont="1" applyFill="1" applyBorder="1" applyAlignment="1">
      <alignment horizontal="center" vertical="center" wrapText="1"/>
    </xf>
    <xf numFmtId="3" fontId="0" fillId="21" borderId="14" xfId="2" applyNumberFormat="1" applyFont="1" applyFill="1" applyBorder="1" applyAlignment="1">
      <alignment horizontal="center"/>
    </xf>
    <xf numFmtId="3" fontId="0" fillId="0" borderId="14" xfId="2" applyNumberFormat="1" applyFont="1" applyFill="1" applyBorder="1" applyAlignment="1">
      <alignment horizontal="center"/>
    </xf>
    <xf numFmtId="0" fontId="6" fillId="0" borderId="0" xfId="0" applyFont="1" applyFill="1" applyBorder="1" applyAlignment="1">
      <alignment horizontal="left" vertical="center" wrapText="1"/>
    </xf>
    <xf numFmtId="0" fontId="4" fillId="0" borderId="0" xfId="0" applyFont="1" applyFill="1" applyBorder="1" applyAlignment="1">
      <alignment horizontal="left" vertical="center" wrapText="1"/>
    </xf>
    <xf numFmtId="4" fontId="0" fillId="23" borderId="14" xfId="2" applyNumberFormat="1" applyFont="1" applyFill="1" applyBorder="1" applyAlignment="1">
      <alignment horizontal="center"/>
    </xf>
    <xf numFmtId="0" fontId="57" fillId="0" borderId="14" xfId="0" applyFont="1" applyFill="1" applyBorder="1" applyAlignment="1">
      <alignment horizontal="center" shrinkToFit="1"/>
    </xf>
    <xf numFmtId="0" fontId="7" fillId="15" borderId="14" xfId="0" applyFont="1" applyFill="1" applyBorder="1" applyAlignment="1">
      <alignment horizontal="center" vertical="center" wrapText="1"/>
    </xf>
    <xf numFmtId="0" fontId="7" fillId="15" borderId="14" xfId="0" applyFont="1" applyFill="1" applyBorder="1" applyAlignment="1">
      <alignment horizontal="center" vertical="center" wrapText="1"/>
    </xf>
    <xf numFmtId="170" fontId="7" fillId="15" borderId="14" xfId="0" applyNumberFormat="1" applyFont="1" applyFill="1" applyBorder="1" applyAlignment="1">
      <alignment horizontal="center" vertical="center"/>
    </xf>
    <xf numFmtId="4" fontId="0" fillId="0" borderId="0" xfId="0" applyNumberFormat="1"/>
    <xf numFmtId="4" fontId="59" fillId="0" borderId="0" xfId="0" applyNumberFormat="1" applyFont="1"/>
    <xf numFmtId="168" fontId="0" fillId="0" borderId="0" xfId="0" applyNumberFormat="1"/>
    <xf numFmtId="0" fontId="23" fillId="16" borderId="14" xfId="0" applyFont="1" applyFill="1" applyBorder="1" applyAlignment="1">
      <alignment horizontal="center" vertical="center"/>
    </xf>
    <xf numFmtId="0" fontId="23" fillId="16" borderId="23" xfId="0" applyFont="1" applyFill="1" applyBorder="1" applyAlignment="1">
      <alignment horizontal="center" vertical="center"/>
    </xf>
    <xf numFmtId="0" fontId="23" fillId="16" borderId="18" xfId="0" applyFont="1" applyFill="1" applyBorder="1" applyAlignment="1">
      <alignment horizontal="center" vertical="center"/>
    </xf>
    <xf numFmtId="0" fontId="23" fillId="16" borderId="19" xfId="0" applyFont="1" applyFill="1" applyBorder="1" applyAlignment="1">
      <alignment horizontal="center" vertical="center"/>
    </xf>
    <xf numFmtId="0" fontId="24" fillId="3" borderId="23" xfId="0" applyFont="1" applyFill="1" applyBorder="1" applyAlignment="1">
      <alignment horizontal="center" vertical="center"/>
    </xf>
    <xf numFmtId="0" fontId="24" fillId="3" borderId="18" xfId="0" applyFont="1" applyFill="1" applyBorder="1" applyAlignment="1">
      <alignment horizontal="center" vertical="center"/>
    </xf>
    <xf numFmtId="0" fontId="24" fillId="3" borderId="19" xfId="0" applyFont="1" applyFill="1" applyBorder="1" applyAlignment="1">
      <alignment horizontal="center" vertical="center"/>
    </xf>
    <xf numFmtId="0" fontId="24" fillId="3" borderId="23" xfId="0" applyFont="1" applyFill="1" applyBorder="1" applyAlignment="1">
      <alignment horizontal="center"/>
    </xf>
    <xf numFmtId="0" fontId="24" fillId="3" borderId="18" xfId="0" applyFont="1" applyFill="1" applyBorder="1" applyAlignment="1">
      <alignment horizontal="center"/>
    </xf>
    <xf numFmtId="0" fontId="24" fillId="3" borderId="19" xfId="0" applyFont="1" applyFill="1" applyBorder="1" applyAlignment="1">
      <alignment horizontal="center"/>
    </xf>
    <xf numFmtId="0" fontId="24" fillId="15" borderId="23" xfId="0" applyFont="1" applyFill="1" applyBorder="1" applyAlignment="1">
      <alignment horizontal="center"/>
    </xf>
    <xf numFmtId="0" fontId="24" fillId="15" borderId="18" xfId="0" applyFont="1" applyFill="1" applyBorder="1" applyAlignment="1">
      <alignment horizontal="center"/>
    </xf>
    <xf numFmtId="0" fontId="24" fillId="15" borderId="19" xfId="0" applyFont="1" applyFill="1" applyBorder="1" applyAlignment="1">
      <alignment horizontal="center"/>
    </xf>
    <xf numFmtId="0" fontId="21" fillId="16" borderId="14" xfId="0" applyFont="1" applyFill="1" applyBorder="1" applyAlignment="1">
      <alignment horizontal="center" vertical="center" wrapText="1"/>
    </xf>
    <xf numFmtId="0" fontId="14" fillId="0" borderId="22" xfId="0" applyFont="1" applyBorder="1" applyAlignment="1">
      <alignment horizontal="center" vertical="center"/>
    </xf>
    <xf numFmtId="0" fontId="14" fillId="0" borderId="36" xfId="0" applyFont="1" applyBorder="1" applyAlignment="1">
      <alignment horizontal="center" vertical="center"/>
    </xf>
    <xf numFmtId="0" fontId="39" fillId="15" borderId="17" xfId="0" applyFont="1" applyFill="1" applyBorder="1" applyAlignment="1">
      <alignment horizontal="center" vertical="center" wrapText="1"/>
    </xf>
    <xf numFmtId="164" fontId="55" fillId="15" borderId="30" xfId="2" applyNumberFormat="1" applyFont="1" applyFill="1" applyBorder="1" applyAlignment="1" applyProtection="1">
      <alignment horizontal="center" vertical="center" wrapText="1"/>
    </xf>
    <xf numFmtId="164" fontId="55" fillId="15" borderId="35" xfId="2" applyNumberFormat="1" applyFont="1" applyFill="1" applyBorder="1" applyAlignment="1" applyProtection="1">
      <alignment horizontal="center" vertical="center" wrapText="1"/>
    </xf>
    <xf numFmtId="0" fontId="14" fillId="0" borderId="29" xfId="0" applyFont="1" applyBorder="1" applyAlignment="1">
      <alignment horizontal="center" vertical="center"/>
    </xf>
    <xf numFmtId="0" fontId="14" fillId="0" borderId="28" xfId="0" applyFont="1" applyBorder="1" applyAlignment="1">
      <alignment horizontal="center" vertical="center"/>
    </xf>
    <xf numFmtId="0" fontId="14" fillId="0" borderId="0" xfId="0" applyFont="1" applyBorder="1" applyAlignment="1">
      <alignment horizontal="center" vertical="center"/>
    </xf>
    <xf numFmtId="0" fontId="14" fillId="0" borderId="34" xfId="0" applyFont="1" applyBorder="1" applyAlignment="1">
      <alignment horizontal="center" vertical="center"/>
    </xf>
    <xf numFmtId="0" fontId="18" fillId="0" borderId="17" xfId="0" applyFont="1" applyBorder="1" applyAlignment="1">
      <alignment horizontal="center" vertical="center"/>
    </xf>
    <xf numFmtId="0" fontId="18" fillId="0" borderId="14" xfId="0" applyFont="1" applyBorder="1" applyAlignment="1">
      <alignment horizontal="center" vertical="center"/>
    </xf>
    <xf numFmtId="0" fontId="20" fillId="15" borderId="17" xfId="0" applyFont="1" applyFill="1" applyBorder="1" applyAlignment="1">
      <alignment horizontal="center" vertical="center"/>
    </xf>
    <xf numFmtId="0" fontId="20" fillId="15" borderId="14" xfId="0" applyFont="1" applyFill="1" applyBorder="1" applyAlignment="1">
      <alignment horizontal="center" vertical="center"/>
    </xf>
    <xf numFmtId="0" fontId="18" fillId="0" borderId="17" xfId="0" applyFont="1" applyBorder="1" applyAlignment="1">
      <alignment horizontal="center" vertical="center" wrapText="1"/>
    </xf>
    <xf numFmtId="0" fontId="18" fillId="0" borderId="14" xfId="0" applyFont="1" applyBorder="1" applyAlignment="1">
      <alignment horizontal="center" vertical="center" wrapText="1"/>
    </xf>
    <xf numFmtId="0" fontId="24" fillId="15" borderId="23" xfId="0" applyFont="1" applyFill="1" applyBorder="1" applyAlignment="1" applyProtection="1">
      <alignment horizontal="center" vertical="center"/>
      <protection locked="0"/>
    </xf>
    <xf numFmtId="0" fontId="24" fillId="15" borderId="18" xfId="0" applyFont="1" applyFill="1" applyBorder="1" applyAlignment="1" applyProtection="1">
      <alignment horizontal="center" vertical="center"/>
      <protection locked="0"/>
    </xf>
    <xf numFmtId="0" fontId="24" fillId="15" borderId="19" xfId="0" applyFont="1" applyFill="1" applyBorder="1" applyAlignment="1" applyProtection="1">
      <alignment horizontal="center" vertical="center"/>
      <protection locked="0"/>
    </xf>
    <xf numFmtId="4" fontId="38" fillId="0" borderId="14" xfId="0" applyNumberFormat="1" applyFont="1" applyBorder="1" applyAlignment="1">
      <alignment horizontal="center" vertical="center"/>
    </xf>
    <xf numFmtId="0" fontId="38" fillId="0" borderId="14" xfId="0" applyFont="1" applyBorder="1" applyAlignment="1">
      <alignment horizontal="center" vertical="center"/>
    </xf>
    <xf numFmtId="0" fontId="18" fillId="0" borderId="23" xfId="0" applyFont="1" applyBorder="1" applyAlignment="1">
      <alignment horizontal="center" vertical="center"/>
    </xf>
    <xf numFmtId="0" fontId="18" fillId="0" borderId="18" xfId="0" applyFont="1" applyBorder="1" applyAlignment="1">
      <alignment horizontal="center" vertical="center"/>
    </xf>
    <xf numFmtId="0" fontId="18" fillId="0" borderId="19" xfId="0" applyFont="1" applyBorder="1" applyAlignment="1">
      <alignment horizontal="center" vertical="center"/>
    </xf>
    <xf numFmtId="0" fontId="38" fillId="0" borderId="22" xfId="0" applyFont="1" applyBorder="1" applyAlignment="1">
      <alignment horizontal="center" vertical="center"/>
    </xf>
    <xf numFmtId="0" fontId="38" fillId="0" borderId="36" xfId="0" applyFont="1" applyBorder="1" applyAlignment="1">
      <alignment horizontal="center" vertical="center"/>
    </xf>
    <xf numFmtId="0" fontId="38" fillId="0" borderId="23" xfId="0" applyFont="1" applyBorder="1" applyAlignment="1">
      <alignment horizontal="center" vertical="center" shrinkToFit="1"/>
    </xf>
    <xf numFmtId="0" fontId="38" fillId="0" borderId="18" xfId="0" applyFont="1" applyBorder="1" applyAlignment="1">
      <alignment horizontal="center" vertical="center" shrinkToFit="1"/>
    </xf>
    <xf numFmtId="0" fontId="16" fillId="0" borderId="14" xfId="0" applyFont="1" applyBorder="1" applyAlignment="1">
      <alignment horizontal="right" vertical="center"/>
    </xf>
    <xf numFmtId="0" fontId="6" fillId="15" borderId="14" xfId="0" applyFont="1" applyFill="1" applyBorder="1" applyAlignment="1">
      <alignment horizontal="left" vertical="center" wrapText="1"/>
    </xf>
    <xf numFmtId="0" fontId="40" fillId="14" borderId="14" xfId="0" applyFont="1" applyFill="1" applyBorder="1" applyAlignment="1">
      <alignment horizontal="center" vertical="center" wrapText="1"/>
    </xf>
    <xf numFmtId="0" fontId="5" fillId="11" borderId="14" xfId="0" applyFont="1" applyFill="1" applyBorder="1" applyAlignment="1">
      <alignment horizontal="center" vertical="center" wrapText="1"/>
    </xf>
    <xf numFmtId="0" fontId="7" fillId="0" borderId="14" xfId="0" applyFont="1" applyBorder="1" applyAlignment="1">
      <alignment horizontal="left" vertical="center" wrapText="1"/>
    </xf>
    <xf numFmtId="0" fontId="49" fillId="12" borderId="23" xfId="0" applyFont="1" applyFill="1" applyBorder="1" applyAlignment="1">
      <alignment horizontal="center" vertical="center"/>
    </xf>
    <xf numFmtId="0" fontId="49" fillId="12" borderId="18" xfId="0" applyFont="1" applyFill="1" applyBorder="1" applyAlignment="1">
      <alignment horizontal="center" vertical="center"/>
    </xf>
    <xf numFmtId="0" fontId="49" fillId="12" borderId="19" xfId="0" applyFont="1" applyFill="1" applyBorder="1" applyAlignment="1">
      <alignment horizontal="center" vertical="center"/>
    </xf>
    <xf numFmtId="0" fontId="45" fillId="3" borderId="14" xfId="0" applyFont="1" applyFill="1" applyBorder="1" applyAlignment="1">
      <alignment horizontal="left" vertical="center" wrapText="1"/>
    </xf>
    <xf numFmtId="0" fontId="42" fillId="4" borderId="14" xfId="0" applyFont="1" applyFill="1" applyBorder="1" applyAlignment="1">
      <alignment horizontal="left" vertical="center" wrapText="1"/>
    </xf>
    <xf numFmtId="0" fontId="49" fillId="12" borderId="14" xfId="0" applyFont="1" applyFill="1" applyBorder="1" applyAlignment="1">
      <alignment horizontal="center" vertical="center"/>
    </xf>
    <xf numFmtId="0" fontId="45" fillId="0" borderId="14" xfId="0" applyFont="1" applyBorder="1" applyAlignment="1">
      <alignment horizontal="left" vertical="top" wrapText="1"/>
    </xf>
    <xf numFmtId="0" fontId="49" fillId="11" borderId="14" xfId="0" applyFont="1" applyFill="1" applyBorder="1" applyAlignment="1">
      <alignment horizontal="center" vertical="center" wrapText="1"/>
    </xf>
    <xf numFmtId="0" fontId="45" fillId="0" borderId="14" xfId="0" applyFont="1" applyBorder="1" applyAlignment="1">
      <alignment horizontal="center" vertical="top" wrapText="1"/>
    </xf>
    <xf numFmtId="0" fontId="5" fillId="14" borderId="14" xfId="0" applyFont="1" applyFill="1" applyBorder="1" applyAlignment="1">
      <alignment horizontal="right" vertical="center" wrapText="1"/>
    </xf>
    <xf numFmtId="0" fontId="45" fillId="17" borderId="14" xfId="0" applyFont="1" applyFill="1" applyBorder="1" applyAlignment="1">
      <alignment horizontal="left" vertical="center" wrapText="1"/>
    </xf>
    <xf numFmtId="0" fontId="49" fillId="12" borderId="14" xfId="0" applyFont="1" applyFill="1" applyBorder="1" applyAlignment="1">
      <alignment horizontal="center" vertical="center" wrapText="1"/>
    </xf>
    <xf numFmtId="0" fontId="45" fillId="17" borderId="14" xfId="0" applyFont="1" applyFill="1" applyBorder="1" applyAlignment="1">
      <alignment horizontal="left" vertical="top" wrapText="1"/>
    </xf>
    <xf numFmtId="0" fontId="45" fillId="17" borderId="14" xfId="0" applyFont="1" applyFill="1" applyBorder="1" applyAlignment="1">
      <alignment horizontal="left" vertical="top"/>
    </xf>
    <xf numFmtId="0" fontId="0" fillId="0" borderId="14" xfId="0" applyBorder="1" applyAlignment="1">
      <alignment horizontal="center"/>
    </xf>
    <xf numFmtId="0" fontId="45" fillId="4" borderId="14" xfId="0" applyFont="1" applyFill="1" applyBorder="1" applyAlignment="1">
      <alignment horizontal="left" vertical="center" wrapText="1"/>
    </xf>
    <xf numFmtId="0" fontId="7" fillId="17" borderId="14" xfId="0" applyFont="1" applyFill="1" applyBorder="1" applyAlignment="1">
      <alignment horizontal="center" vertical="center" wrapText="1"/>
    </xf>
    <xf numFmtId="0" fontId="45" fillId="17" borderId="14" xfId="0" applyFont="1" applyFill="1" applyBorder="1" applyAlignment="1">
      <alignment horizontal="center" vertical="top" wrapText="1"/>
    </xf>
    <xf numFmtId="0" fontId="45" fillId="17" borderId="14" xfId="0" applyFont="1" applyFill="1" applyBorder="1" applyAlignment="1">
      <alignment horizontal="center" vertical="top"/>
    </xf>
    <xf numFmtId="0" fontId="58" fillId="17" borderId="14" xfId="0" applyFont="1" applyFill="1" applyBorder="1" applyAlignment="1">
      <alignment horizontal="left" vertical="center" wrapText="1"/>
    </xf>
    <xf numFmtId="0" fontId="7" fillId="15" borderId="14" xfId="0" applyFont="1" applyFill="1" applyBorder="1" applyAlignment="1">
      <alignment horizontal="left" vertical="center" wrapText="1"/>
    </xf>
    <xf numFmtId="0" fontId="7" fillId="0" borderId="2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4" fontId="40" fillId="11" borderId="23" xfId="0" applyNumberFormat="1" applyFont="1" applyFill="1" applyBorder="1" applyAlignment="1">
      <alignment horizontal="center" vertical="center"/>
    </xf>
    <xf numFmtId="4" fontId="40" fillId="11" borderId="18" xfId="0" applyNumberFormat="1" applyFont="1" applyFill="1" applyBorder="1" applyAlignment="1">
      <alignment horizontal="center" vertical="center"/>
    </xf>
    <xf numFmtId="4" fontId="40" fillId="11" borderId="19" xfId="0" applyNumberFormat="1" applyFont="1" applyFill="1" applyBorder="1" applyAlignment="1">
      <alignment horizontal="center" vertical="center"/>
    </xf>
    <xf numFmtId="167" fontId="40" fillId="0" borderId="14" xfId="0" applyNumberFormat="1" applyFont="1" applyBorder="1" applyAlignment="1">
      <alignment horizontal="center" vertical="center"/>
    </xf>
    <xf numFmtId="0" fontId="46" fillId="7" borderId="14" xfId="0" applyFont="1" applyFill="1" applyBorder="1" applyAlignment="1">
      <alignment horizontal="center" vertical="center"/>
    </xf>
    <xf numFmtId="0" fontId="47" fillId="0" borderId="14" xfId="0" applyFont="1" applyBorder="1" applyAlignment="1">
      <alignment vertical="center"/>
    </xf>
    <xf numFmtId="0" fontId="4" fillId="4" borderId="20"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47" fillId="11" borderId="14" xfId="0" applyFont="1" applyFill="1" applyBorder="1" applyAlignment="1">
      <alignment vertical="center"/>
    </xf>
    <xf numFmtId="0" fontId="6" fillId="4" borderId="14" xfId="0" applyFont="1" applyFill="1" applyBorder="1" applyAlignment="1">
      <alignment horizontal="left" vertical="top" wrapText="1"/>
    </xf>
    <xf numFmtId="0" fontId="40" fillId="8" borderId="14" xfId="0" applyFont="1" applyFill="1" applyBorder="1" applyAlignment="1">
      <alignment horizontal="center" vertical="center"/>
    </xf>
    <xf numFmtId="4" fontId="46" fillId="9" borderId="14" xfId="0" applyNumberFormat="1" applyFont="1" applyFill="1" applyBorder="1" applyAlignment="1">
      <alignment horizontal="center" vertical="center" wrapText="1"/>
    </xf>
    <xf numFmtId="0" fontId="42" fillId="4" borderId="14" xfId="0" applyFont="1" applyFill="1" applyBorder="1" applyAlignment="1">
      <alignment horizontal="center" vertical="center" wrapText="1"/>
    </xf>
    <xf numFmtId="4" fontId="44" fillId="4" borderId="14" xfId="0" applyNumberFormat="1" applyFont="1" applyFill="1" applyBorder="1" applyAlignment="1">
      <alignment horizontal="center" vertical="center" wrapText="1"/>
    </xf>
    <xf numFmtId="0" fontId="4" fillId="10" borderId="14" xfId="0" applyFont="1" applyFill="1" applyBorder="1" applyAlignment="1">
      <alignment horizontal="center" vertical="center" wrapText="1"/>
    </xf>
    <xf numFmtId="4" fontId="9" fillId="0" borderId="14" xfId="0" applyNumberFormat="1" applyFont="1" applyBorder="1" applyAlignment="1">
      <alignment horizontal="center" vertical="center" wrapText="1"/>
    </xf>
    <xf numFmtId="0" fontId="45" fillId="0" borderId="14" xfId="0" applyFont="1" applyBorder="1" applyAlignment="1">
      <alignment horizontal="left" vertical="center" wrapText="1"/>
    </xf>
    <xf numFmtId="0" fontId="7" fillId="0" borderId="20" xfId="0" applyFont="1" applyBorder="1" applyAlignment="1">
      <alignment horizontal="center" vertical="center" wrapText="1"/>
    </xf>
    <xf numFmtId="0" fontId="7" fillId="0" borderId="17" xfId="0" applyFont="1" applyBorder="1" applyAlignment="1">
      <alignment horizontal="center" vertical="center" wrapText="1"/>
    </xf>
    <xf numFmtId="0" fontId="44" fillId="2" borderId="1" xfId="0" applyFont="1" applyFill="1" applyBorder="1" applyAlignment="1">
      <alignment horizontal="center" vertical="center" wrapText="1"/>
    </xf>
    <xf numFmtId="0" fontId="48" fillId="3" borderId="2" xfId="0" applyFont="1" applyFill="1" applyBorder="1" applyAlignment="1">
      <alignment vertical="center" wrapText="1"/>
    </xf>
    <xf numFmtId="0" fontId="48" fillId="3" borderId="3" xfId="0" applyFont="1" applyFill="1" applyBorder="1" applyAlignment="1">
      <alignment vertical="center" wrapText="1"/>
    </xf>
    <xf numFmtId="0" fontId="44" fillId="2" borderId="4" xfId="0" applyFont="1" applyFill="1" applyBorder="1" applyAlignment="1">
      <alignment horizontal="center" vertical="center" wrapText="1"/>
    </xf>
    <xf numFmtId="0" fontId="48" fillId="3" borderId="5" xfId="0" applyFont="1" applyFill="1" applyBorder="1" applyAlignment="1">
      <alignment vertical="center" wrapText="1"/>
    </xf>
    <xf numFmtId="0" fontId="48" fillId="3" borderId="6" xfId="0" applyFont="1" applyFill="1" applyBorder="1" applyAlignment="1">
      <alignment vertical="center" wrapText="1"/>
    </xf>
    <xf numFmtId="0" fontId="40" fillId="0" borderId="4" xfId="0" applyFont="1" applyBorder="1" applyAlignment="1">
      <alignment horizontal="center" vertical="center" wrapText="1"/>
    </xf>
    <xf numFmtId="0" fontId="47" fillId="0" borderId="5" xfId="0" applyFont="1" applyBorder="1" applyAlignment="1">
      <alignment vertical="center"/>
    </xf>
    <xf numFmtId="0" fontId="47" fillId="0" borderId="9" xfId="0" applyFont="1" applyBorder="1" applyAlignment="1">
      <alignment vertical="center"/>
    </xf>
    <xf numFmtId="0" fontId="47" fillId="0" borderId="16" xfId="0" applyFont="1" applyBorder="1" applyAlignment="1">
      <alignment vertical="center"/>
    </xf>
    <xf numFmtId="0" fontId="52" fillId="4" borderId="7" xfId="0" applyFont="1" applyFill="1" applyBorder="1" applyAlignment="1">
      <alignment horizontal="center" vertical="center"/>
    </xf>
    <xf numFmtId="0" fontId="52" fillId="4" borderId="10" xfId="0" applyFont="1" applyFill="1" applyBorder="1" applyAlignment="1">
      <alignment horizontal="center" vertical="center"/>
    </xf>
    <xf numFmtId="0" fontId="52" fillId="4" borderId="13" xfId="0" applyFont="1" applyFill="1" applyBorder="1" applyAlignment="1">
      <alignment horizontal="center" vertical="center"/>
    </xf>
    <xf numFmtId="0" fontId="40" fillId="4" borderId="8" xfId="0" applyFont="1" applyFill="1" applyBorder="1" applyAlignment="1">
      <alignment horizontal="center" vertical="center" wrapText="1"/>
    </xf>
    <xf numFmtId="0" fontId="40" fillId="4" borderId="9" xfId="0" applyFont="1" applyFill="1" applyBorder="1" applyAlignment="1">
      <alignment horizontal="center" vertical="center" wrapText="1"/>
    </xf>
    <xf numFmtId="0" fontId="40" fillId="4" borderId="11" xfId="0" applyFont="1" applyFill="1" applyBorder="1" applyAlignment="1">
      <alignment horizontal="center" vertical="center" wrapText="1"/>
    </xf>
    <xf numFmtId="0" fontId="40" fillId="4" borderId="0" xfId="0" applyFont="1" applyFill="1" applyAlignment="1">
      <alignment horizontal="center" vertical="center" wrapText="1"/>
    </xf>
    <xf numFmtId="0" fontId="40" fillId="4" borderId="12" xfId="0" applyFont="1" applyFill="1" applyBorder="1" applyAlignment="1">
      <alignment horizontal="center" vertical="center" wrapText="1"/>
    </xf>
    <xf numFmtId="0" fontId="27" fillId="14" borderId="23" xfId="0" applyFont="1" applyFill="1" applyBorder="1" applyAlignment="1">
      <alignment horizontal="center" vertical="center" wrapText="1"/>
    </xf>
    <xf numFmtId="0" fontId="27" fillId="14" borderId="18" xfId="0" applyFont="1" applyFill="1" applyBorder="1" applyAlignment="1">
      <alignment horizontal="center" vertical="center" wrapText="1"/>
    </xf>
    <xf numFmtId="0" fontId="27" fillId="14" borderId="19" xfId="0" applyFont="1" applyFill="1" applyBorder="1" applyAlignment="1">
      <alignment horizontal="center" vertical="center" wrapText="1"/>
    </xf>
    <xf numFmtId="0" fontId="6" fillId="15" borderId="23" xfId="0" applyFont="1" applyFill="1" applyBorder="1" applyAlignment="1">
      <alignment horizontal="center" vertical="center"/>
    </xf>
    <xf numFmtId="0" fontId="6" fillId="15" borderId="18" xfId="0" applyFont="1" applyFill="1" applyBorder="1" applyAlignment="1">
      <alignment horizontal="center" vertical="center"/>
    </xf>
    <xf numFmtId="0" fontId="6" fillId="15" borderId="19" xfId="0" applyFont="1" applyFill="1" applyBorder="1" applyAlignment="1">
      <alignment horizontal="center" vertical="center"/>
    </xf>
    <xf numFmtId="0" fontId="2" fillId="4" borderId="11" xfId="0" applyFont="1" applyFill="1" applyBorder="1" applyAlignment="1">
      <alignment horizontal="center" vertical="center"/>
    </xf>
    <xf numFmtId="0" fontId="3" fillId="0" borderId="0" xfId="0" applyFont="1" applyBorder="1" applyAlignment="1">
      <alignment vertical="center"/>
    </xf>
    <xf numFmtId="0" fontId="3" fillId="0" borderId="12" xfId="0" applyFont="1" applyBorder="1" applyAlignment="1">
      <alignment vertical="center"/>
    </xf>
    <xf numFmtId="0" fontId="4" fillId="22" borderId="20" xfId="0" applyFont="1" applyFill="1" applyBorder="1" applyAlignment="1">
      <alignment horizontal="center" vertical="center" wrapText="1"/>
    </xf>
    <xf numFmtId="0" fontId="49" fillId="0" borderId="20" xfId="0" applyFont="1" applyBorder="1" applyAlignment="1">
      <alignment horizontal="right" vertical="center"/>
    </xf>
    <xf numFmtId="168" fontId="40" fillId="5" borderId="23" xfId="2" applyNumberFormat="1" applyFont="1" applyFill="1" applyBorder="1" applyAlignment="1">
      <alignment horizontal="center" vertical="center"/>
    </xf>
    <xf numFmtId="168" fontId="40" fillId="5" borderId="19" xfId="2" applyNumberFormat="1" applyFont="1" applyFill="1" applyBorder="1" applyAlignment="1">
      <alignment horizontal="center" vertical="center"/>
    </xf>
    <xf numFmtId="4" fontId="40" fillId="0" borderId="23" xfId="0" applyNumberFormat="1" applyFont="1" applyBorder="1" applyAlignment="1">
      <alignment horizontal="center" vertical="center"/>
    </xf>
    <xf numFmtId="4" fontId="40" fillId="0" borderId="19" xfId="0" applyNumberFormat="1" applyFont="1" applyBorder="1" applyAlignment="1">
      <alignment horizontal="center" vertical="center"/>
    </xf>
    <xf numFmtId="0" fontId="31" fillId="0" borderId="0" xfId="4" applyFont="1" applyAlignment="1">
      <alignment horizontal="left" vertical="top"/>
    </xf>
    <xf numFmtId="0" fontId="28" fillId="0" borderId="0" xfId="4" applyAlignment="1">
      <alignment horizontal="left" vertical="top"/>
    </xf>
    <xf numFmtId="0" fontId="31" fillId="0" borderId="0" xfId="4" applyFont="1" applyAlignment="1">
      <alignment horizontal="left" vertical="top" indent="4"/>
    </xf>
    <xf numFmtId="0" fontId="29" fillId="0" borderId="0" xfId="4" applyFont="1" applyAlignment="1">
      <alignment horizontal="left" vertical="top" wrapText="1"/>
    </xf>
    <xf numFmtId="0" fontId="30" fillId="0" borderId="31" xfId="4" applyFont="1" applyBorder="1" applyAlignment="1">
      <alignment horizontal="left" vertical="top" wrapText="1"/>
    </xf>
  </cellXfs>
  <cellStyles count="5">
    <cellStyle name="Hipervínculo" xfId="3" builtinId="8"/>
    <cellStyle name="Millares" xfId="1" builtinId="3"/>
    <cellStyle name="Moneda" xfId="2" builtinId="4"/>
    <cellStyle name="Normal" xfId="0" builtinId="0"/>
    <cellStyle name="Normal 2" xfId="4" xr:uid="{6F193B12-6741-4314-B7D4-B4FA8BA655B1}"/>
  </cellStyles>
  <dxfs count="7">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xdr:from>
      <xdr:col>1</xdr:col>
      <xdr:colOff>221194</xdr:colOff>
      <xdr:row>0</xdr:row>
      <xdr:rowOff>44981</xdr:rowOff>
    </xdr:from>
    <xdr:to>
      <xdr:col>5</xdr:col>
      <xdr:colOff>967997</xdr:colOff>
      <xdr:row>3</xdr:row>
      <xdr:rowOff>116417</xdr:rowOff>
    </xdr:to>
    <xdr:pic>
      <xdr:nvPicPr>
        <xdr:cNvPr id="2" name="Imagen 26" descr="Descripción: Marca Aerocivil">
          <a:extLst>
            <a:ext uri="{FF2B5EF4-FFF2-40B4-BE49-F238E27FC236}">
              <a16:creationId xmlns:a16="http://schemas.microsoft.com/office/drawing/2014/main" id="{9259F3AA-0C47-49CD-A8B1-B7B93AD53D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02" t="24124" r="3865" b="15251"/>
        <a:stretch>
          <a:fillRect/>
        </a:stretch>
      </xdr:blipFill>
      <xdr:spPr bwMode="auto">
        <a:xfrm>
          <a:off x="221194" y="44981"/>
          <a:ext cx="3646636" cy="706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0</xdr:colOff>
      <xdr:row>0</xdr:row>
      <xdr:rowOff>84667</xdr:rowOff>
    </xdr:from>
    <xdr:to>
      <xdr:col>20</xdr:col>
      <xdr:colOff>960428</xdr:colOff>
      <xdr:row>3</xdr:row>
      <xdr:rowOff>62442</xdr:rowOff>
    </xdr:to>
    <xdr:pic>
      <xdr:nvPicPr>
        <xdr:cNvPr id="3" name="image2.png">
          <a:extLst>
            <a:ext uri="{FF2B5EF4-FFF2-40B4-BE49-F238E27FC236}">
              <a16:creationId xmlns:a16="http://schemas.microsoft.com/office/drawing/2014/main" id="{7680AD76-C6EF-07DF-73E3-B2DBC4F860C9}"/>
            </a:ext>
          </a:extLst>
        </xdr:cNvPr>
        <xdr:cNvPicPr>
          <a:picLocks noChangeAspect="1"/>
        </xdr:cNvPicPr>
      </xdr:nvPicPr>
      <xdr:blipFill>
        <a:blip xmlns:r="http://schemas.openxmlformats.org/officeDocument/2006/relationships" r:embed="rId2" cstate="print"/>
        <a:stretch>
          <a:fillRect/>
        </a:stretch>
      </xdr:blipFill>
      <xdr:spPr>
        <a:xfrm>
          <a:off x="16245417" y="84667"/>
          <a:ext cx="1764030" cy="612775"/>
        </a:xfrm>
        <a:prstGeom prst="rect">
          <a:avLst/>
        </a:prstGeom>
      </xdr:spPr>
    </xdr:pic>
    <xdr:clientData/>
  </xdr:twoCellAnchor>
  <xdr:twoCellAnchor editAs="oneCell">
    <xdr:from>
      <xdr:col>8</xdr:col>
      <xdr:colOff>221226</xdr:colOff>
      <xdr:row>24</xdr:row>
      <xdr:rowOff>57354</xdr:rowOff>
    </xdr:from>
    <xdr:to>
      <xdr:col>10</xdr:col>
      <xdr:colOff>647251</xdr:colOff>
      <xdr:row>24</xdr:row>
      <xdr:rowOff>409677</xdr:rowOff>
    </xdr:to>
    <xdr:pic>
      <xdr:nvPicPr>
        <xdr:cNvPr id="4" name="Imagen 3">
          <a:extLst>
            <a:ext uri="{FF2B5EF4-FFF2-40B4-BE49-F238E27FC236}">
              <a16:creationId xmlns:a16="http://schemas.microsoft.com/office/drawing/2014/main" id="{CE128540-7BF9-1025-B74E-FA1F051F5E46}"/>
            </a:ext>
          </a:extLst>
        </xdr:cNvPr>
        <xdr:cNvPicPr>
          <a:picLocks noChangeAspect="1"/>
        </xdr:cNvPicPr>
      </xdr:nvPicPr>
      <xdr:blipFill>
        <a:blip xmlns:r="http://schemas.openxmlformats.org/officeDocument/2006/relationships" r:embed="rId3"/>
        <a:stretch>
          <a:fillRect/>
        </a:stretch>
      </xdr:blipFill>
      <xdr:spPr>
        <a:xfrm>
          <a:off x="6841613" y="6104193"/>
          <a:ext cx="2671057" cy="352323"/>
        </a:xfrm>
        <a:prstGeom prst="rect">
          <a:avLst/>
        </a:prstGeom>
      </xdr:spPr>
    </xdr:pic>
    <xdr:clientData/>
  </xdr:twoCellAnchor>
  <xdr:twoCellAnchor editAs="oneCell">
    <xdr:from>
      <xdr:col>18</xdr:col>
      <xdr:colOff>663677</xdr:colOff>
      <xdr:row>24</xdr:row>
      <xdr:rowOff>81935</xdr:rowOff>
    </xdr:from>
    <xdr:to>
      <xdr:col>20</xdr:col>
      <xdr:colOff>836393</xdr:colOff>
      <xdr:row>24</xdr:row>
      <xdr:rowOff>434258</xdr:rowOff>
    </xdr:to>
    <xdr:pic>
      <xdr:nvPicPr>
        <xdr:cNvPr id="5" name="Imagen 4">
          <a:extLst>
            <a:ext uri="{FF2B5EF4-FFF2-40B4-BE49-F238E27FC236}">
              <a16:creationId xmlns:a16="http://schemas.microsoft.com/office/drawing/2014/main" id="{D5EADE3F-42A8-B873-97F8-EAA709998FD7}"/>
            </a:ext>
          </a:extLst>
        </xdr:cNvPr>
        <xdr:cNvPicPr>
          <a:picLocks noChangeAspect="1"/>
        </xdr:cNvPicPr>
      </xdr:nvPicPr>
      <xdr:blipFill>
        <a:blip xmlns:r="http://schemas.openxmlformats.org/officeDocument/2006/relationships" r:embed="rId4"/>
        <a:stretch>
          <a:fillRect/>
        </a:stretch>
      </xdr:blipFill>
      <xdr:spPr>
        <a:xfrm>
          <a:off x="12896645" y="6128774"/>
          <a:ext cx="1844200" cy="352323"/>
        </a:xfrm>
        <a:prstGeom prst="rect">
          <a:avLst/>
        </a:prstGeom>
      </xdr:spPr>
    </xdr:pic>
    <xdr:clientData/>
  </xdr:twoCellAnchor>
  <xdr:twoCellAnchor editAs="oneCell">
    <xdr:from>
      <xdr:col>3</xdr:col>
      <xdr:colOff>270388</xdr:colOff>
      <xdr:row>24</xdr:row>
      <xdr:rowOff>24581</xdr:rowOff>
    </xdr:from>
    <xdr:to>
      <xdr:col>4</xdr:col>
      <xdr:colOff>123662</xdr:colOff>
      <xdr:row>24</xdr:row>
      <xdr:rowOff>451338</xdr:rowOff>
    </xdr:to>
    <xdr:pic>
      <xdr:nvPicPr>
        <xdr:cNvPr id="6" name="Imagen 5">
          <a:extLst>
            <a:ext uri="{FF2B5EF4-FFF2-40B4-BE49-F238E27FC236}">
              <a16:creationId xmlns:a16="http://schemas.microsoft.com/office/drawing/2014/main" id="{256F34D3-EE00-337D-732C-81F9FC333AA7}"/>
            </a:ext>
          </a:extLst>
        </xdr:cNvPr>
        <xdr:cNvPicPr>
          <a:picLocks noChangeAspect="1"/>
        </xdr:cNvPicPr>
      </xdr:nvPicPr>
      <xdr:blipFill>
        <a:blip xmlns:r="http://schemas.openxmlformats.org/officeDocument/2006/relationships" r:embed="rId5"/>
        <a:stretch>
          <a:fillRect/>
        </a:stretch>
      </xdr:blipFill>
      <xdr:spPr>
        <a:xfrm>
          <a:off x="1737033" y="6071420"/>
          <a:ext cx="1188823" cy="426757"/>
        </a:xfrm>
        <a:prstGeom prst="rect">
          <a:avLst/>
        </a:prstGeom>
      </xdr:spPr>
    </xdr:pic>
    <xdr:clientData/>
  </xdr:twoCellAnchor>
  <xdr:twoCellAnchor editAs="oneCell">
    <xdr:from>
      <xdr:col>1</xdr:col>
      <xdr:colOff>270387</xdr:colOff>
      <xdr:row>26</xdr:row>
      <xdr:rowOff>0</xdr:rowOff>
    </xdr:from>
    <xdr:to>
      <xdr:col>5</xdr:col>
      <xdr:colOff>860324</xdr:colOff>
      <xdr:row>26</xdr:row>
      <xdr:rowOff>401484</xdr:rowOff>
    </xdr:to>
    <xdr:pic>
      <xdr:nvPicPr>
        <xdr:cNvPr id="7" name="Imagen 6">
          <a:extLst>
            <a:ext uri="{FF2B5EF4-FFF2-40B4-BE49-F238E27FC236}">
              <a16:creationId xmlns:a16="http://schemas.microsoft.com/office/drawing/2014/main" id="{FC313F67-58CE-BC98-0E95-3801C205389F}"/>
            </a:ext>
          </a:extLst>
        </xdr:cNvPr>
        <xdr:cNvPicPr>
          <a:picLocks noChangeAspect="1"/>
        </xdr:cNvPicPr>
      </xdr:nvPicPr>
      <xdr:blipFill>
        <a:blip xmlns:r="http://schemas.openxmlformats.org/officeDocument/2006/relationships" r:embed="rId6"/>
        <a:stretch>
          <a:fillRect/>
        </a:stretch>
      </xdr:blipFill>
      <xdr:spPr>
        <a:xfrm>
          <a:off x="655484" y="6694129"/>
          <a:ext cx="3506840" cy="40148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5442</xdr:colOff>
      <xdr:row>0</xdr:row>
      <xdr:rowOff>87581</xdr:rowOff>
    </xdr:from>
    <xdr:to>
      <xdr:col>4</xdr:col>
      <xdr:colOff>899065</xdr:colOff>
      <xdr:row>5</xdr:row>
      <xdr:rowOff>144643</xdr:rowOff>
    </xdr:to>
    <xdr:pic>
      <xdr:nvPicPr>
        <xdr:cNvPr id="2" name="Imagen 1">
          <a:extLst>
            <a:ext uri="{FF2B5EF4-FFF2-40B4-BE49-F238E27FC236}">
              <a16:creationId xmlns:a16="http://schemas.microsoft.com/office/drawing/2014/main" id="{39B630E5-B093-458F-A6ED-6997B6BFAE7E}"/>
            </a:ext>
          </a:extLst>
        </xdr:cNvPr>
        <xdr:cNvPicPr>
          <a:picLocks noChangeAspect="1"/>
        </xdr:cNvPicPr>
      </xdr:nvPicPr>
      <xdr:blipFill>
        <a:blip xmlns:r="http://schemas.openxmlformats.org/officeDocument/2006/relationships" r:embed="rId1"/>
        <a:stretch>
          <a:fillRect/>
        </a:stretch>
      </xdr:blipFill>
      <xdr:spPr>
        <a:xfrm>
          <a:off x="6983185" y="87581"/>
          <a:ext cx="2401294" cy="98234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s://www.superfinanciera.gov.co/inicio/informes-y-cifras/cifras/establecimientos-de-credito/informacion-periodica/diaria/tasa-de-cambio-representativa-del-mercado-trm-60819"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http://www.presidencia.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7ECBE-E905-465A-9965-663068A913EE}">
  <dimension ref="A1:XEE27"/>
  <sheetViews>
    <sheetView topLeftCell="H1" zoomScale="93" zoomScaleNormal="60" workbookViewId="0">
      <selection activeCell="G5" sqref="G5:R5"/>
    </sheetView>
  </sheetViews>
  <sheetFormatPr baseColWidth="10" defaultColWidth="11.42578125" defaultRowHeight="10.5" outlineLevelRow="1"/>
  <cols>
    <col min="1" max="1" width="5.7109375" style="19" customWidth="1"/>
    <col min="2" max="2" width="7.85546875" style="25" customWidth="1"/>
    <col min="3" max="3" width="7.85546875" style="21" customWidth="1"/>
    <col min="4" max="4" width="19.42578125" style="21" bestFit="1" customWidth="1"/>
    <col min="5" max="5" width="7.28515625" style="21" customWidth="1"/>
    <col min="6" max="6" width="15.7109375" style="21" customWidth="1"/>
    <col min="7" max="8" width="16.28515625" style="25" customWidth="1"/>
    <col min="9" max="18" width="16.28515625" style="21" customWidth="1"/>
    <col min="19" max="19" width="12.7109375" style="21" customWidth="1"/>
    <col min="20" max="20" width="11.7109375" style="21" customWidth="1"/>
    <col min="21" max="21" width="20.42578125" style="21" customWidth="1"/>
    <col min="22" max="22" width="6.28515625" style="20" bestFit="1" customWidth="1"/>
    <col min="23" max="23" width="11.42578125" style="21"/>
    <col min="24" max="24" width="24.28515625" style="21" bestFit="1" customWidth="1"/>
    <col min="25" max="16384" width="11.42578125" style="21"/>
  </cols>
  <sheetData>
    <row r="1" spans="1:22" s="17" customFormat="1" ht="18">
      <c r="A1" s="16"/>
      <c r="B1" s="78"/>
      <c r="C1" s="79"/>
      <c r="D1" s="79"/>
      <c r="E1" s="79"/>
      <c r="F1" s="79"/>
      <c r="G1" s="156" t="s">
        <v>136</v>
      </c>
      <c r="H1" s="156"/>
      <c r="I1" s="156"/>
      <c r="J1" s="156"/>
      <c r="K1" s="156"/>
      <c r="L1" s="156"/>
      <c r="M1" s="156"/>
      <c r="N1" s="156"/>
      <c r="O1" s="156"/>
      <c r="P1" s="156"/>
      <c r="Q1" s="156"/>
      <c r="R1" s="156"/>
      <c r="S1" s="156"/>
      <c r="T1" s="156"/>
      <c r="U1" s="157"/>
      <c r="V1" s="16"/>
    </row>
    <row r="2" spans="1:22" s="17" customFormat="1" ht="18">
      <c r="A2" s="16"/>
      <c r="B2" s="80"/>
      <c r="C2" s="81"/>
      <c r="D2" s="81"/>
      <c r="E2" s="81"/>
      <c r="F2" s="81"/>
      <c r="G2" s="163" t="s">
        <v>0</v>
      </c>
      <c r="H2" s="163"/>
      <c r="I2" s="163"/>
      <c r="J2" s="163"/>
      <c r="K2" s="163"/>
      <c r="L2" s="163"/>
      <c r="M2" s="163"/>
      <c r="N2" s="163"/>
      <c r="O2" s="163"/>
      <c r="P2" s="163"/>
      <c r="Q2" s="163"/>
      <c r="R2" s="163"/>
      <c r="S2" s="163"/>
      <c r="T2" s="163"/>
      <c r="U2" s="164"/>
      <c r="V2" s="18"/>
    </row>
    <row r="3" spans="1:22" s="17" customFormat="1" ht="15" customHeight="1">
      <c r="A3" s="16"/>
      <c r="B3" s="82"/>
      <c r="C3" s="83"/>
      <c r="D3" s="83"/>
      <c r="E3" s="83"/>
      <c r="F3" s="83"/>
      <c r="G3" s="163"/>
      <c r="H3" s="163"/>
      <c r="I3" s="163"/>
      <c r="J3" s="163"/>
      <c r="K3" s="163"/>
      <c r="L3" s="163"/>
      <c r="M3" s="163"/>
      <c r="N3" s="163"/>
      <c r="O3" s="163"/>
      <c r="P3" s="163"/>
      <c r="Q3" s="163"/>
      <c r="R3" s="163"/>
      <c r="S3" s="163"/>
      <c r="T3" s="163"/>
      <c r="U3" s="164"/>
      <c r="V3" s="18"/>
    </row>
    <row r="4" spans="1:22" s="17" customFormat="1" ht="15" customHeight="1">
      <c r="A4" s="16"/>
      <c r="B4" s="84"/>
      <c r="C4" s="85"/>
      <c r="D4" s="85"/>
      <c r="E4" s="85"/>
      <c r="F4" s="85"/>
      <c r="G4" s="161">
        <v>2024</v>
      </c>
      <c r="H4" s="161"/>
      <c r="I4" s="161"/>
      <c r="J4" s="161"/>
      <c r="K4" s="161"/>
      <c r="L4" s="161"/>
      <c r="M4" s="161"/>
      <c r="N4" s="161"/>
      <c r="O4" s="161"/>
      <c r="P4" s="161"/>
      <c r="Q4" s="161"/>
      <c r="R4" s="161"/>
      <c r="S4" s="161"/>
      <c r="T4" s="161"/>
      <c r="U4" s="162"/>
      <c r="V4" s="18"/>
    </row>
    <row r="5" spans="1:22" ht="60" customHeight="1" thickBot="1">
      <c r="B5" s="165" t="s">
        <v>1</v>
      </c>
      <c r="C5" s="165"/>
      <c r="D5" s="167" t="s">
        <v>106</v>
      </c>
      <c r="E5" s="169" t="s">
        <v>2</v>
      </c>
      <c r="F5" s="169"/>
      <c r="G5" s="158" t="s">
        <v>107</v>
      </c>
      <c r="H5" s="158"/>
      <c r="I5" s="158"/>
      <c r="J5" s="158"/>
      <c r="K5" s="158"/>
      <c r="L5" s="158"/>
      <c r="M5" s="158"/>
      <c r="N5" s="158"/>
      <c r="O5" s="158"/>
      <c r="P5" s="158"/>
      <c r="Q5" s="158"/>
      <c r="R5" s="158"/>
      <c r="S5" s="77" t="s">
        <v>54</v>
      </c>
      <c r="T5" s="159">
        <v>42835765122</v>
      </c>
      <c r="U5" s="160"/>
    </row>
    <row r="6" spans="1:22" ht="15" customHeight="1">
      <c r="B6" s="166"/>
      <c r="C6" s="166"/>
      <c r="D6" s="168"/>
      <c r="E6" s="170"/>
      <c r="F6" s="170"/>
      <c r="G6" s="155" t="s">
        <v>3</v>
      </c>
      <c r="H6" s="155"/>
      <c r="I6" s="155"/>
      <c r="J6" s="155"/>
      <c r="K6" s="155"/>
      <c r="L6" s="155"/>
      <c r="M6" s="155"/>
      <c r="N6" s="155" t="s">
        <v>4</v>
      </c>
      <c r="O6" s="155"/>
      <c r="P6" s="155"/>
      <c r="Q6" s="155"/>
      <c r="R6" s="155"/>
      <c r="S6" s="76"/>
      <c r="T6" s="38"/>
      <c r="U6" s="39"/>
    </row>
    <row r="7" spans="1:22" ht="52.5">
      <c r="B7" s="86" t="s">
        <v>55</v>
      </c>
      <c r="C7" s="68" t="s">
        <v>5</v>
      </c>
      <c r="D7" s="176" t="s">
        <v>6</v>
      </c>
      <c r="E7" s="177"/>
      <c r="F7" s="178"/>
      <c r="G7" s="40" t="s">
        <v>57</v>
      </c>
      <c r="H7" s="40" t="s">
        <v>59</v>
      </c>
      <c r="I7" s="40" t="s">
        <v>63</v>
      </c>
      <c r="J7" s="123" t="s">
        <v>64</v>
      </c>
      <c r="K7" s="123" t="s">
        <v>90</v>
      </c>
      <c r="L7" s="123" t="s">
        <v>91</v>
      </c>
      <c r="M7" s="40" t="s">
        <v>92</v>
      </c>
      <c r="N7" s="40" t="s">
        <v>65</v>
      </c>
      <c r="O7" s="40" t="s">
        <v>66</v>
      </c>
      <c r="P7" s="40" t="s">
        <v>67</v>
      </c>
      <c r="Q7" s="40" t="s">
        <v>68</v>
      </c>
      <c r="R7" s="40" t="s">
        <v>71</v>
      </c>
      <c r="S7" s="74" t="s">
        <v>142</v>
      </c>
      <c r="T7" s="70" t="s">
        <v>141</v>
      </c>
      <c r="U7" s="40" t="s">
        <v>7</v>
      </c>
    </row>
    <row r="8" spans="1:22" ht="18" customHeight="1">
      <c r="B8" s="73">
        <f ca="1">IF(OR(U8=0,U8="NO CUMPLE"),"NA",_xlfn.RANK.EQ(U8,$U$8:$U$22,0))</f>
        <v>1</v>
      </c>
      <c r="C8" s="41">
        <v>1</v>
      </c>
      <c r="D8" s="171" t="s">
        <v>122</v>
      </c>
      <c r="E8" s="172"/>
      <c r="F8" s="173"/>
      <c r="G8" s="118" t="str" cm="1">
        <f t="array" aca="1" ref="G8" ca="1">IFERROR(INDIRECT("'"&amp;$C8&amp;"'!EXPGRAL",1),"-")</f>
        <v>CUMPLE</v>
      </c>
      <c r="H8" s="118" t="str" cm="1">
        <f t="array" aca="1" ref="H8" ca="1">IFERROR(INDIRECT("'"&amp;$C8&amp;"'!EXPESP",1),"-")</f>
        <v>CUMPLE</v>
      </c>
      <c r="I8" s="118" t="str" cm="1">
        <f t="array" aca="1" ref="I8" ca="1">IFERROR(INDIRECT("'"&amp;$C8&amp;"'!FORMATO8",1),"-")</f>
        <v>CUMPLE</v>
      </c>
      <c r="J8" s="118" t="s">
        <v>132</v>
      </c>
      <c r="K8" s="118" t="str" cm="1">
        <f t="array" aca="1" ref="K8" ca="1">IFERROR(INDIRECT("'"&amp;$C8&amp;"'!REPBIENES",1),"-")</f>
        <v>CUMPLE</v>
      </c>
      <c r="L8" s="118" t="str" cm="1">
        <f t="array" aca="1" ref="L8" ca="1">IFERROR(INDIRECT("'"&amp;$C8&amp;"'!GARANTIA",1),"-")</f>
        <v>CUMPLE</v>
      </c>
      <c r="M8" s="118" t="str" cm="1">
        <f t="array" aca="1" ref="M8" ca="1">IFERROR(INDIRECT("'"&amp;$C8&amp;"'!FTECNICAS",1),"-")</f>
        <v>CUMPLE</v>
      </c>
      <c r="N8" s="42" cm="1">
        <f t="array" aca="1" ref="N8" ca="1">IFERROR(INDIRECT("'"&amp;$C8&amp;"'!FCALIDAD",1),"-")</f>
        <v>18.75</v>
      </c>
      <c r="O8" s="42" cm="1">
        <f t="array" aca="1" ref="O8" ca="1">IFERROR(INDIRECT("'"&amp;$C8&amp;"'!INDNAL",1),"-")</f>
        <v>10</v>
      </c>
      <c r="P8" s="42" cm="1">
        <f t="array" aca="1" ref="P8" ca="1">IFERROR(INDIRECT("'"&amp;$C8&amp;"'!DISCAP",1),"-")</f>
        <v>1</v>
      </c>
      <c r="Q8" s="42" cm="1">
        <f t="array" aca="1" ref="Q8" ca="1">IFERROR(INDIRECT("'"&amp;$C8&amp;"'!MUJERES",1),"-")</f>
        <v>0.25</v>
      </c>
      <c r="R8" s="42" cm="1">
        <f t="array" aca="1" ref="R8" ca="1">IFERROR(INDIRECT("'"&amp;$C8&amp;"'!MIPYME",1),"-")</f>
        <v>0.25</v>
      </c>
      <c r="S8" s="75">
        <f ca="1">+SUM(N8:R8)</f>
        <v>30.25</v>
      </c>
      <c r="T8" s="72">
        <v>69.75</v>
      </c>
      <c r="U8" s="71">
        <f ca="1">S8+T8</f>
        <v>100</v>
      </c>
    </row>
    <row r="9" spans="1:22" ht="18" hidden="1" customHeight="1">
      <c r="B9" s="73" t="str">
        <f t="shared" ref="B9:B22" si="0">IF(OR(U9=0,U9="NO CUMPLE"),"NA",_xlfn.RANK.EQ(U9,$U$8:$U$22,0))</f>
        <v>NA</v>
      </c>
      <c r="C9" s="41">
        <v>2</v>
      </c>
      <c r="D9" s="171"/>
      <c r="E9" s="172"/>
      <c r="F9" s="173"/>
      <c r="G9" s="118"/>
      <c r="H9" s="118"/>
      <c r="I9" s="118"/>
      <c r="J9" s="118"/>
      <c r="K9" s="118"/>
      <c r="L9" s="118"/>
      <c r="M9" s="118"/>
      <c r="N9" s="42"/>
      <c r="O9" s="42"/>
      <c r="P9" s="42"/>
      <c r="Q9" s="42"/>
      <c r="R9" s="42"/>
      <c r="S9" s="75"/>
      <c r="T9" s="72"/>
      <c r="U9" s="71"/>
    </row>
    <row r="10" spans="1:22" ht="18" hidden="1" customHeight="1">
      <c r="B10" s="73" t="str">
        <f t="shared" si="0"/>
        <v>NA</v>
      </c>
      <c r="C10" s="41">
        <v>3</v>
      </c>
      <c r="D10" s="171"/>
      <c r="E10" s="172"/>
      <c r="F10" s="173"/>
      <c r="G10" s="118"/>
      <c r="H10" s="118"/>
      <c r="I10" s="118"/>
      <c r="J10" s="118"/>
      <c r="K10" s="118"/>
      <c r="L10" s="118"/>
      <c r="M10" s="118"/>
      <c r="N10" s="42"/>
      <c r="O10" s="42"/>
      <c r="P10" s="42"/>
      <c r="Q10" s="42"/>
      <c r="R10" s="42"/>
      <c r="S10" s="75"/>
      <c r="T10" s="72"/>
      <c r="U10" s="71"/>
    </row>
    <row r="11" spans="1:22" ht="18" hidden="1" customHeight="1">
      <c r="B11" s="73" t="str">
        <f t="shared" si="0"/>
        <v>NA</v>
      </c>
      <c r="C11" s="41">
        <v>4</v>
      </c>
      <c r="D11" s="171"/>
      <c r="E11" s="172"/>
      <c r="F11" s="173"/>
      <c r="G11" s="118"/>
      <c r="H11" s="118"/>
      <c r="I11" s="118"/>
      <c r="J11" s="118"/>
      <c r="K11" s="118"/>
      <c r="L11" s="118"/>
      <c r="M11" s="118"/>
      <c r="N11" s="42"/>
      <c r="O11" s="42"/>
      <c r="P11" s="42"/>
      <c r="Q11" s="42"/>
      <c r="R11" s="42"/>
      <c r="S11" s="75"/>
      <c r="T11" s="72"/>
      <c r="U11" s="71"/>
    </row>
    <row r="12" spans="1:22" ht="18" hidden="1" customHeight="1" outlineLevel="1">
      <c r="B12" s="73" t="str">
        <f t="shared" ref="B12:B16" si="1">IF(OR(U12=0,U12="NO CUMPLE"),"NA",_xlfn.RANK.EQ(U12,$U$8:$U$22,0))</f>
        <v>NA</v>
      </c>
      <c r="C12" s="41">
        <v>5</v>
      </c>
      <c r="D12" s="171"/>
      <c r="E12" s="172"/>
      <c r="F12" s="173"/>
      <c r="G12" s="118" t="str" cm="1">
        <f t="array" aca="1" ref="G12" ca="1">IFERROR(INDIRECT("'"&amp;$C12&amp;"'!EXPGRAL",1),"-")</f>
        <v>-</v>
      </c>
      <c r="H12" s="118" t="str" cm="1">
        <f t="array" aca="1" ref="H12" ca="1">IFERROR(INDIRECT("'"&amp;$C12&amp;"'!EXPESP",1),"-")</f>
        <v>-</v>
      </c>
      <c r="I12" s="118" t="str" cm="1">
        <f t="array" aca="1" ref="I12" ca="1">IFERROR(INDIRECT("'"&amp;$C12&amp;"'!FORMATO8",1),"-")</f>
        <v>-</v>
      </c>
      <c r="J12" s="118" t="str" cm="1">
        <f t="array" aca="1" ref="J12" ca="1">IFERROR(INDIRECT("'"&amp;$C12&amp;"'!CARTA",1),"-")</f>
        <v>-</v>
      </c>
      <c r="K12" s="118" t="str" cm="1">
        <f t="array" aca="1" ref="K12" ca="1">IFERROR(INDIRECT("'"&amp;$C12&amp;"'!REPBIENES",1),"-")</f>
        <v>-</v>
      </c>
      <c r="L12" s="118" t="str" cm="1">
        <f t="array" aca="1" ref="L12" ca="1">IFERROR(INDIRECT("'"&amp;$C12&amp;"'!GARANTIA",1),"-")</f>
        <v>-</v>
      </c>
      <c r="M12" s="118" t="str" cm="1">
        <f t="array" aca="1" ref="M12" ca="1">IFERROR(INDIRECT("'"&amp;$C12&amp;"'!FTECNICAS",1),"-")</f>
        <v>-</v>
      </c>
      <c r="N12" s="42" t="str" cm="1">
        <f t="array" aca="1" ref="N12" ca="1">IFERROR(INDIRECT("'"&amp;$C12&amp;"'!FCALIDAD",1),"-")</f>
        <v>-</v>
      </c>
      <c r="O12" s="42" t="str" cm="1">
        <f t="array" aca="1" ref="O12" ca="1">IFERROR(INDIRECT("'"&amp;$C12&amp;"'!INDNAL",1),"-")</f>
        <v>-</v>
      </c>
      <c r="P12" s="42" t="str" cm="1">
        <f t="array" aca="1" ref="P12" ca="1">IFERROR(INDIRECT("'"&amp;$C12&amp;"'!DISCAP",1),"-")</f>
        <v>-</v>
      </c>
      <c r="Q12" s="42" t="str" cm="1">
        <f t="array" aca="1" ref="Q12" ca="1">IFERROR(INDIRECT("'"&amp;$C12&amp;"'!MUJERES",1),"-")</f>
        <v>-</v>
      </c>
      <c r="R12" s="42" t="str" cm="1">
        <f t="array" aca="1" ref="R12" ca="1">IFERROR(INDIRECT("'"&amp;$C12&amp;"'!MIPYME",1),"-")</f>
        <v>-</v>
      </c>
      <c r="S12" s="75"/>
      <c r="T12" s="72"/>
      <c r="U12" s="71"/>
    </row>
    <row r="13" spans="1:22" ht="18" hidden="1" customHeight="1" outlineLevel="1">
      <c r="B13" s="73" t="str">
        <f t="shared" si="1"/>
        <v>NA</v>
      </c>
      <c r="C13" s="41">
        <v>6</v>
      </c>
      <c r="D13" s="171"/>
      <c r="E13" s="172"/>
      <c r="F13" s="173"/>
      <c r="G13" s="118" t="str" cm="1">
        <f t="array" aca="1" ref="G13" ca="1">IFERROR(INDIRECT("'"&amp;$C13&amp;"'!EXPGRAL",1),"-")</f>
        <v>-</v>
      </c>
      <c r="H13" s="118" t="str" cm="1">
        <f t="array" aca="1" ref="H13" ca="1">IFERROR(INDIRECT("'"&amp;$C13&amp;"'!EXPESP",1),"-")</f>
        <v>-</v>
      </c>
      <c r="I13" s="118" t="str" cm="1">
        <f t="array" aca="1" ref="I13" ca="1">IFERROR(INDIRECT("'"&amp;$C13&amp;"'!FORMATO8",1),"-")</f>
        <v>-</v>
      </c>
      <c r="J13" s="118" t="str" cm="1">
        <f t="array" aca="1" ref="J13" ca="1">IFERROR(INDIRECT("'"&amp;$C13&amp;"'!CARTA",1),"-")</f>
        <v>-</v>
      </c>
      <c r="K13" s="118" t="str" cm="1">
        <f t="array" aca="1" ref="K13" ca="1">IFERROR(INDIRECT("'"&amp;$C13&amp;"'!REPBIENES",1),"-")</f>
        <v>-</v>
      </c>
      <c r="L13" s="118" t="str" cm="1">
        <f t="array" aca="1" ref="L13" ca="1">IFERROR(INDIRECT("'"&amp;$C13&amp;"'!GARANTIA",1),"-")</f>
        <v>-</v>
      </c>
      <c r="M13" s="118" t="str" cm="1">
        <f t="array" aca="1" ref="M13" ca="1">IFERROR(INDIRECT("'"&amp;$C13&amp;"'!FTECNICAS",1),"-")</f>
        <v>-</v>
      </c>
      <c r="N13" s="42" t="str" cm="1">
        <f t="array" aca="1" ref="N13" ca="1">IFERROR(INDIRECT("'"&amp;$C13&amp;"'!FCALIDAD",1),"-")</f>
        <v>-</v>
      </c>
      <c r="O13" s="42" t="str" cm="1">
        <f t="array" aca="1" ref="O13" ca="1">IFERROR(INDIRECT("'"&amp;$C13&amp;"'!INDNAL",1),"-")</f>
        <v>-</v>
      </c>
      <c r="P13" s="42" t="str" cm="1">
        <f t="array" aca="1" ref="P13" ca="1">IFERROR(INDIRECT("'"&amp;$C13&amp;"'!DISCAP",1),"-")</f>
        <v>-</v>
      </c>
      <c r="Q13" s="42" t="str" cm="1">
        <f t="array" aca="1" ref="Q13" ca="1">IFERROR(INDIRECT("'"&amp;$C13&amp;"'!MUJERES",1),"-")</f>
        <v>-</v>
      </c>
      <c r="R13" s="42" t="str" cm="1">
        <f t="array" aca="1" ref="R13" ca="1">IFERROR(INDIRECT("'"&amp;$C13&amp;"'!MIPYME",1),"-")</f>
        <v>-</v>
      </c>
      <c r="S13" s="75"/>
      <c r="T13" s="72"/>
      <c r="U13" s="71"/>
    </row>
    <row r="14" spans="1:22" ht="18" hidden="1" customHeight="1" outlineLevel="1">
      <c r="B14" s="73" t="str">
        <f t="shared" si="1"/>
        <v>NA</v>
      </c>
      <c r="C14" s="41">
        <v>7</v>
      </c>
      <c r="D14" s="171"/>
      <c r="E14" s="172"/>
      <c r="F14" s="173"/>
      <c r="G14" s="118" t="str" cm="1">
        <f t="array" aca="1" ref="G14" ca="1">IFERROR(INDIRECT("'"&amp;$C14&amp;"'!EXPGRAL",1),"-")</f>
        <v>-</v>
      </c>
      <c r="H14" s="118" t="str" cm="1">
        <f t="array" aca="1" ref="H14" ca="1">IFERROR(INDIRECT("'"&amp;$C14&amp;"'!EXPESP",1),"-")</f>
        <v>-</v>
      </c>
      <c r="I14" s="118" t="str" cm="1">
        <f t="array" aca="1" ref="I14" ca="1">IFERROR(INDIRECT("'"&amp;$C14&amp;"'!FORMATO8",1),"-")</f>
        <v>-</v>
      </c>
      <c r="J14" s="118" t="str" cm="1">
        <f t="array" aca="1" ref="J14" ca="1">IFERROR(INDIRECT("'"&amp;$C14&amp;"'!CARTA",1),"-")</f>
        <v>-</v>
      </c>
      <c r="K14" s="118" t="str" cm="1">
        <f t="array" aca="1" ref="K14" ca="1">IFERROR(INDIRECT("'"&amp;$C14&amp;"'!REPBIENES",1),"-")</f>
        <v>-</v>
      </c>
      <c r="L14" s="118" t="str" cm="1">
        <f t="array" aca="1" ref="L14" ca="1">IFERROR(INDIRECT("'"&amp;$C14&amp;"'!GARANTIA",1),"-")</f>
        <v>-</v>
      </c>
      <c r="M14" s="118" t="str" cm="1">
        <f t="array" aca="1" ref="M14" ca="1">IFERROR(INDIRECT("'"&amp;$C14&amp;"'!FTECNICAS",1),"-")</f>
        <v>-</v>
      </c>
      <c r="N14" s="42" t="str" cm="1">
        <f t="array" aca="1" ref="N14" ca="1">IFERROR(INDIRECT("'"&amp;$C14&amp;"'!FCALIDAD",1),"-")</f>
        <v>-</v>
      </c>
      <c r="O14" s="42" t="str" cm="1">
        <f t="array" aca="1" ref="O14" ca="1">IFERROR(INDIRECT("'"&amp;$C14&amp;"'!INDNAL",1),"-")</f>
        <v>-</v>
      </c>
      <c r="P14" s="42" t="str" cm="1">
        <f t="array" aca="1" ref="P14" ca="1">IFERROR(INDIRECT("'"&amp;$C14&amp;"'!DISCAP",1),"-")</f>
        <v>-</v>
      </c>
      <c r="Q14" s="42" t="str" cm="1">
        <f t="array" aca="1" ref="Q14" ca="1">IFERROR(INDIRECT("'"&amp;$C14&amp;"'!MUJERES",1),"-")</f>
        <v>-</v>
      </c>
      <c r="R14" s="42" t="str" cm="1">
        <f t="array" aca="1" ref="R14" ca="1">IFERROR(INDIRECT("'"&amp;$C14&amp;"'!MIPYME",1),"-")</f>
        <v>-</v>
      </c>
      <c r="S14" s="75"/>
      <c r="T14" s="72"/>
      <c r="U14" s="71"/>
    </row>
    <row r="15" spans="1:22" ht="18" hidden="1" customHeight="1" outlineLevel="1">
      <c r="B15" s="73" t="str">
        <f t="shared" si="1"/>
        <v>NA</v>
      </c>
      <c r="C15" s="41">
        <v>8</v>
      </c>
      <c r="D15" s="171"/>
      <c r="E15" s="172"/>
      <c r="F15" s="173"/>
      <c r="G15" s="118" t="str" cm="1">
        <f t="array" aca="1" ref="G15" ca="1">IFERROR(INDIRECT("'"&amp;$C15&amp;"'!EXPGRAL",1),"-")</f>
        <v>-</v>
      </c>
      <c r="H15" s="118" t="str" cm="1">
        <f t="array" aca="1" ref="H15" ca="1">IFERROR(INDIRECT("'"&amp;$C15&amp;"'!EXPESP",1),"-")</f>
        <v>-</v>
      </c>
      <c r="I15" s="118" t="str" cm="1">
        <f t="array" aca="1" ref="I15" ca="1">IFERROR(INDIRECT("'"&amp;$C15&amp;"'!FORMATO8",1),"-")</f>
        <v>-</v>
      </c>
      <c r="J15" s="118" t="str" cm="1">
        <f t="array" aca="1" ref="J15" ca="1">IFERROR(INDIRECT("'"&amp;$C15&amp;"'!CARTA",1),"-")</f>
        <v>-</v>
      </c>
      <c r="K15" s="118" t="str" cm="1">
        <f t="array" aca="1" ref="K15" ca="1">IFERROR(INDIRECT("'"&amp;$C15&amp;"'!REPBIENES",1),"-")</f>
        <v>-</v>
      </c>
      <c r="L15" s="118" t="str" cm="1">
        <f t="array" aca="1" ref="L15" ca="1">IFERROR(INDIRECT("'"&amp;$C15&amp;"'!GARANTIA",1),"-")</f>
        <v>-</v>
      </c>
      <c r="M15" s="118" t="str" cm="1">
        <f t="array" aca="1" ref="M15" ca="1">IFERROR(INDIRECT("'"&amp;$C15&amp;"'!FTECNICAS",1),"-")</f>
        <v>-</v>
      </c>
      <c r="N15" s="42" t="str" cm="1">
        <f t="array" aca="1" ref="N15" ca="1">IFERROR(INDIRECT("'"&amp;$C15&amp;"'!FCALIDAD",1),"-")</f>
        <v>-</v>
      </c>
      <c r="O15" s="42" t="str" cm="1">
        <f t="array" aca="1" ref="O15" ca="1">IFERROR(INDIRECT("'"&amp;$C15&amp;"'!INDNAL",1),"-")</f>
        <v>-</v>
      </c>
      <c r="P15" s="42" t="str" cm="1">
        <f t="array" aca="1" ref="P15" ca="1">IFERROR(INDIRECT("'"&amp;$C15&amp;"'!DISCAP",1),"-")</f>
        <v>-</v>
      </c>
      <c r="Q15" s="42" t="str" cm="1">
        <f t="array" aca="1" ref="Q15" ca="1">IFERROR(INDIRECT("'"&amp;$C15&amp;"'!MUJERES",1),"-")</f>
        <v>-</v>
      </c>
      <c r="R15" s="42" t="str" cm="1">
        <f t="array" aca="1" ref="R15" ca="1">IFERROR(INDIRECT("'"&amp;$C15&amp;"'!MIPYME",1),"-")</f>
        <v>-</v>
      </c>
      <c r="S15" s="75"/>
      <c r="T15" s="72"/>
      <c r="U15" s="71"/>
    </row>
    <row r="16" spans="1:22" ht="18" hidden="1" customHeight="1" outlineLevel="1">
      <c r="B16" s="73" t="str">
        <f t="shared" si="1"/>
        <v>NA</v>
      </c>
      <c r="C16" s="41">
        <v>9</v>
      </c>
      <c r="D16" s="171"/>
      <c r="E16" s="172"/>
      <c r="F16" s="173"/>
      <c r="G16" s="118" t="str" cm="1">
        <f t="array" aca="1" ref="G16" ca="1">IFERROR(INDIRECT("'"&amp;$C16&amp;"'!EXPGRAL",1),"-")</f>
        <v>-</v>
      </c>
      <c r="H16" s="118" t="str" cm="1">
        <f t="array" aca="1" ref="H16" ca="1">IFERROR(INDIRECT("'"&amp;$C16&amp;"'!EXPESP",1),"-")</f>
        <v>-</v>
      </c>
      <c r="I16" s="118" t="str" cm="1">
        <f t="array" aca="1" ref="I16" ca="1">IFERROR(INDIRECT("'"&amp;$C16&amp;"'!FORMATO8",1),"-")</f>
        <v>-</v>
      </c>
      <c r="J16" s="118" t="str" cm="1">
        <f t="array" aca="1" ref="J16" ca="1">IFERROR(INDIRECT("'"&amp;$C16&amp;"'!CARTA",1),"-")</f>
        <v>-</v>
      </c>
      <c r="K16" s="118" t="str" cm="1">
        <f t="array" aca="1" ref="K16" ca="1">IFERROR(INDIRECT("'"&amp;$C16&amp;"'!REPBIENES",1),"-")</f>
        <v>-</v>
      </c>
      <c r="L16" s="118" t="str" cm="1">
        <f t="array" aca="1" ref="L16" ca="1">IFERROR(INDIRECT("'"&amp;$C16&amp;"'!GARANTIA",1),"-")</f>
        <v>-</v>
      </c>
      <c r="M16" s="118" t="str" cm="1">
        <f t="array" aca="1" ref="M16" ca="1">IFERROR(INDIRECT("'"&amp;$C16&amp;"'!FTECNICAS",1),"-")</f>
        <v>-</v>
      </c>
      <c r="N16" s="42" t="str" cm="1">
        <f t="array" aca="1" ref="N16" ca="1">IFERROR(INDIRECT("'"&amp;$C16&amp;"'!FCALIDAD",1),"-")</f>
        <v>-</v>
      </c>
      <c r="O16" s="42" t="str" cm="1">
        <f t="array" aca="1" ref="O16" ca="1">IFERROR(INDIRECT("'"&amp;$C16&amp;"'!INDNAL",1),"-")</f>
        <v>-</v>
      </c>
      <c r="P16" s="42" t="str" cm="1">
        <f t="array" aca="1" ref="P16" ca="1">IFERROR(INDIRECT("'"&amp;$C16&amp;"'!DISCAP",1),"-")</f>
        <v>-</v>
      </c>
      <c r="Q16" s="42" t="str" cm="1">
        <f t="array" aca="1" ref="Q16" ca="1">IFERROR(INDIRECT("'"&amp;$C16&amp;"'!MUJERES",1),"-")</f>
        <v>-</v>
      </c>
      <c r="R16" s="42" t="str" cm="1">
        <f t="array" aca="1" ref="R16" ca="1">IFERROR(INDIRECT("'"&amp;$C16&amp;"'!MIPYME",1),"-")</f>
        <v>-</v>
      </c>
      <c r="S16" s="75"/>
      <c r="T16" s="72"/>
      <c r="U16" s="71"/>
    </row>
    <row r="17" spans="1:1008 1029:2037 2058:3066 3087:4095 4116:5103 5124:6132 6153:7161 7182:8190 8211:9198 9219:10227 10248:11256 11277:12285 12306:13293 13314:14322 14343:15351 15372:16359" ht="18" hidden="1" customHeight="1" outlineLevel="1">
      <c r="B17" s="73" t="str">
        <f t="shared" si="0"/>
        <v>NA</v>
      </c>
      <c r="C17" s="41">
        <v>10</v>
      </c>
      <c r="D17" s="171"/>
      <c r="E17" s="172"/>
      <c r="F17" s="173"/>
      <c r="G17" s="118" t="str" cm="1">
        <f t="array" aca="1" ref="G17" ca="1">IFERROR(INDIRECT("'"&amp;$C17&amp;"'!EXPGRAL",1),"-")</f>
        <v>-</v>
      </c>
      <c r="H17" s="118" t="str" cm="1">
        <f t="array" aca="1" ref="H17" ca="1">IFERROR(INDIRECT("'"&amp;$C17&amp;"'!EXPESP",1),"-")</f>
        <v>-</v>
      </c>
      <c r="I17" s="118" t="str" cm="1">
        <f t="array" aca="1" ref="I17" ca="1">IFERROR(INDIRECT("'"&amp;$C17&amp;"'!FORMATO8",1),"-")</f>
        <v>-</v>
      </c>
      <c r="J17" s="118" t="str" cm="1">
        <f t="array" aca="1" ref="J17" ca="1">IFERROR(INDIRECT("'"&amp;$C17&amp;"'!CARTA",1),"-")</f>
        <v>-</v>
      </c>
      <c r="K17" s="118" t="str" cm="1">
        <f t="array" aca="1" ref="K17" ca="1">IFERROR(INDIRECT("'"&amp;$C17&amp;"'!REPBIENES",1),"-")</f>
        <v>-</v>
      </c>
      <c r="L17" s="118" t="str" cm="1">
        <f t="array" aca="1" ref="L17" ca="1">IFERROR(INDIRECT("'"&amp;$C17&amp;"'!GARANTIA",1),"-")</f>
        <v>-</v>
      </c>
      <c r="M17" s="118" t="str" cm="1">
        <f t="array" aca="1" ref="M17" ca="1">IFERROR(INDIRECT("'"&amp;$C17&amp;"'!FTECNICAS",1),"-")</f>
        <v>-</v>
      </c>
      <c r="N17" s="42" t="str" cm="1">
        <f t="array" aca="1" ref="N17" ca="1">IFERROR(INDIRECT("'"&amp;$C17&amp;"'!FCALIDAD",1),"-")</f>
        <v>-</v>
      </c>
      <c r="O17" s="42" t="str" cm="1">
        <f t="array" aca="1" ref="O17" ca="1">IFERROR(INDIRECT("'"&amp;$C17&amp;"'!INDNAL",1),"-")</f>
        <v>-</v>
      </c>
      <c r="P17" s="42" t="str" cm="1">
        <f t="array" aca="1" ref="P17" ca="1">IFERROR(INDIRECT("'"&amp;$C17&amp;"'!DISCAP",1),"-")</f>
        <v>-</v>
      </c>
      <c r="Q17" s="42" t="str" cm="1">
        <f t="array" aca="1" ref="Q17" ca="1">IFERROR(INDIRECT("'"&amp;$C17&amp;"'!MUJERES",1),"-")</f>
        <v>-</v>
      </c>
      <c r="R17" s="42" t="str" cm="1">
        <f t="array" aca="1" ref="R17" ca="1">IFERROR(INDIRECT("'"&amp;$C17&amp;"'!MIPYME",1),"-")</f>
        <v>-</v>
      </c>
      <c r="S17" s="75"/>
      <c r="T17" s="72"/>
      <c r="U17" s="71"/>
    </row>
    <row r="18" spans="1:1008 1029:2037 2058:3066 3087:4095 4116:5103 5124:6132 6153:7161 7182:8190 8211:9198 9219:10227 10248:11256 11277:12285 12306:13293 13314:14322 14343:15351 15372:16359" ht="18" hidden="1" customHeight="1" outlineLevel="1">
      <c r="B18" s="73" t="str">
        <f t="shared" si="0"/>
        <v>NA</v>
      </c>
      <c r="C18" s="41">
        <v>11</v>
      </c>
      <c r="D18" s="171"/>
      <c r="E18" s="172"/>
      <c r="F18" s="173"/>
      <c r="G18" s="118" t="str" cm="1">
        <f t="array" aca="1" ref="G18" ca="1">IFERROR(INDIRECT("'"&amp;$C18&amp;"'!EXPGRAL",1),"-")</f>
        <v>-</v>
      </c>
      <c r="H18" s="118" t="str" cm="1">
        <f t="array" aca="1" ref="H18" ca="1">IFERROR(INDIRECT("'"&amp;$C18&amp;"'!EXPESP",1),"-")</f>
        <v>-</v>
      </c>
      <c r="I18" s="118" t="str" cm="1">
        <f t="array" aca="1" ref="I18" ca="1">IFERROR(INDIRECT("'"&amp;$C18&amp;"'!FORMATO8",1),"-")</f>
        <v>-</v>
      </c>
      <c r="J18" s="118" t="str" cm="1">
        <f t="array" aca="1" ref="J18" ca="1">IFERROR(INDIRECT("'"&amp;$C18&amp;"'!CARTA",1),"-")</f>
        <v>-</v>
      </c>
      <c r="K18" s="118" t="str" cm="1">
        <f t="array" aca="1" ref="K18" ca="1">IFERROR(INDIRECT("'"&amp;$C18&amp;"'!REPBIENES",1),"-")</f>
        <v>-</v>
      </c>
      <c r="L18" s="118" t="str" cm="1">
        <f t="array" aca="1" ref="L18" ca="1">IFERROR(INDIRECT("'"&amp;$C18&amp;"'!GARANTIA",1),"-")</f>
        <v>-</v>
      </c>
      <c r="M18" s="118" t="str" cm="1">
        <f t="array" aca="1" ref="M18" ca="1">IFERROR(INDIRECT("'"&amp;$C18&amp;"'!FTECNICAS",1),"-")</f>
        <v>-</v>
      </c>
      <c r="N18" s="42" t="str" cm="1">
        <f t="array" aca="1" ref="N18" ca="1">IFERROR(INDIRECT("'"&amp;$C18&amp;"'!FCALIDAD",1),"-")</f>
        <v>-</v>
      </c>
      <c r="O18" s="42" t="str" cm="1">
        <f t="array" aca="1" ref="O18" ca="1">IFERROR(INDIRECT("'"&amp;$C18&amp;"'!INDNAL",1),"-")</f>
        <v>-</v>
      </c>
      <c r="P18" s="42" t="str" cm="1">
        <f t="array" aca="1" ref="P18" ca="1">IFERROR(INDIRECT("'"&amp;$C18&amp;"'!DISCAP",1),"-")</f>
        <v>-</v>
      </c>
      <c r="Q18" s="42" t="str" cm="1">
        <f t="array" aca="1" ref="Q18" ca="1">IFERROR(INDIRECT("'"&amp;$C18&amp;"'!MUJERES",1),"-")</f>
        <v>-</v>
      </c>
      <c r="R18" s="42" t="str" cm="1">
        <f t="array" aca="1" ref="R18" ca="1">IFERROR(INDIRECT("'"&amp;$C18&amp;"'!MIPYME",1),"-")</f>
        <v>-</v>
      </c>
      <c r="S18" s="75"/>
      <c r="T18" s="72"/>
      <c r="U18" s="71"/>
    </row>
    <row r="19" spans="1:1008 1029:2037 2058:3066 3087:4095 4116:5103 5124:6132 6153:7161 7182:8190 8211:9198 9219:10227 10248:11256 11277:12285 12306:13293 13314:14322 14343:15351 15372:16359" ht="18" hidden="1" customHeight="1" outlineLevel="1">
      <c r="B19" s="73" t="str">
        <f t="shared" si="0"/>
        <v>NA</v>
      </c>
      <c r="C19" s="41">
        <v>12</v>
      </c>
      <c r="D19" s="171"/>
      <c r="E19" s="172"/>
      <c r="F19" s="173"/>
      <c r="G19" s="118" t="str" cm="1">
        <f t="array" aca="1" ref="G19" ca="1">IFERROR(INDIRECT("'"&amp;$C19&amp;"'!EXPGRAL",1),"-")</f>
        <v>-</v>
      </c>
      <c r="H19" s="118" t="str" cm="1">
        <f t="array" aca="1" ref="H19" ca="1">IFERROR(INDIRECT("'"&amp;$C19&amp;"'!EXPESP",1),"-")</f>
        <v>-</v>
      </c>
      <c r="I19" s="118" t="str" cm="1">
        <f t="array" aca="1" ref="I19" ca="1">IFERROR(INDIRECT("'"&amp;$C19&amp;"'!FORMATO8",1),"-")</f>
        <v>-</v>
      </c>
      <c r="J19" s="118" t="str" cm="1">
        <f t="array" aca="1" ref="J19" ca="1">IFERROR(INDIRECT("'"&amp;$C19&amp;"'!CARTA",1),"-")</f>
        <v>-</v>
      </c>
      <c r="K19" s="118" t="str" cm="1">
        <f t="array" aca="1" ref="K19" ca="1">IFERROR(INDIRECT("'"&amp;$C19&amp;"'!REPBIENES",1),"-")</f>
        <v>-</v>
      </c>
      <c r="L19" s="118" t="str" cm="1">
        <f t="array" aca="1" ref="L19" ca="1">IFERROR(INDIRECT("'"&amp;$C19&amp;"'!GARANTIA",1),"-")</f>
        <v>-</v>
      </c>
      <c r="M19" s="118" t="str" cm="1">
        <f t="array" aca="1" ref="M19" ca="1">IFERROR(INDIRECT("'"&amp;$C19&amp;"'!FTECNICAS",1),"-")</f>
        <v>-</v>
      </c>
      <c r="N19" s="42" t="str" cm="1">
        <f t="array" aca="1" ref="N19" ca="1">IFERROR(INDIRECT("'"&amp;$C19&amp;"'!FCALIDAD",1),"-")</f>
        <v>-</v>
      </c>
      <c r="O19" s="42" t="str" cm="1">
        <f t="array" aca="1" ref="O19" ca="1">IFERROR(INDIRECT("'"&amp;$C19&amp;"'!INDNAL",1),"-")</f>
        <v>-</v>
      </c>
      <c r="P19" s="42" t="str" cm="1">
        <f t="array" aca="1" ref="P19" ca="1">IFERROR(INDIRECT("'"&amp;$C19&amp;"'!DISCAP",1),"-")</f>
        <v>-</v>
      </c>
      <c r="Q19" s="42" t="str" cm="1">
        <f t="array" aca="1" ref="Q19" ca="1">IFERROR(INDIRECT("'"&amp;$C19&amp;"'!MUJERES",1),"-")</f>
        <v>-</v>
      </c>
      <c r="R19" s="42" t="str" cm="1">
        <f t="array" aca="1" ref="R19" ca="1">IFERROR(INDIRECT("'"&amp;$C19&amp;"'!MIPYME",1),"-")</f>
        <v>-</v>
      </c>
      <c r="S19" s="75"/>
      <c r="T19" s="72"/>
      <c r="U19" s="71"/>
    </row>
    <row r="20" spans="1:1008 1029:2037 2058:3066 3087:4095 4116:5103 5124:6132 6153:7161 7182:8190 8211:9198 9219:10227 10248:11256 11277:12285 12306:13293 13314:14322 14343:15351 15372:16359" ht="18" hidden="1" customHeight="1" outlineLevel="1">
      <c r="B20" s="73" t="str">
        <f t="shared" si="0"/>
        <v>NA</v>
      </c>
      <c r="C20" s="41">
        <v>13</v>
      </c>
      <c r="D20" s="171"/>
      <c r="E20" s="172"/>
      <c r="F20" s="173"/>
      <c r="G20" s="118" t="str" cm="1">
        <f t="array" aca="1" ref="G20" ca="1">IFERROR(INDIRECT("'"&amp;$C20&amp;"'!EXPGRAL",1),"-")</f>
        <v>-</v>
      </c>
      <c r="H20" s="118" t="str" cm="1">
        <f t="array" aca="1" ref="H20" ca="1">IFERROR(INDIRECT("'"&amp;$C20&amp;"'!EXPESP",1),"-")</f>
        <v>-</v>
      </c>
      <c r="I20" s="118" t="str" cm="1">
        <f t="array" aca="1" ref="I20" ca="1">IFERROR(INDIRECT("'"&amp;$C20&amp;"'!FORMATO8",1),"-")</f>
        <v>-</v>
      </c>
      <c r="J20" s="118" t="str" cm="1">
        <f t="array" aca="1" ref="J20" ca="1">IFERROR(INDIRECT("'"&amp;$C20&amp;"'!CARTA",1),"-")</f>
        <v>-</v>
      </c>
      <c r="K20" s="118" t="str" cm="1">
        <f t="array" aca="1" ref="K20" ca="1">IFERROR(INDIRECT("'"&amp;$C20&amp;"'!REPBIENES",1),"-")</f>
        <v>-</v>
      </c>
      <c r="L20" s="118" t="str" cm="1">
        <f t="array" aca="1" ref="L20" ca="1">IFERROR(INDIRECT("'"&amp;$C20&amp;"'!GARANTIA",1),"-")</f>
        <v>-</v>
      </c>
      <c r="M20" s="118" t="str" cm="1">
        <f t="array" aca="1" ref="M20" ca="1">IFERROR(INDIRECT("'"&amp;$C20&amp;"'!FTECNICAS",1),"-")</f>
        <v>-</v>
      </c>
      <c r="N20" s="42" t="str" cm="1">
        <f t="array" aca="1" ref="N20" ca="1">IFERROR(INDIRECT("'"&amp;$C20&amp;"'!FCALIDAD",1),"-")</f>
        <v>-</v>
      </c>
      <c r="O20" s="42" t="str" cm="1">
        <f t="array" aca="1" ref="O20" ca="1">IFERROR(INDIRECT("'"&amp;$C20&amp;"'!INDNAL",1),"-")</f>
        <v>-</v>
      </c>
      <c r="P20" s="42" t="str" cm="1">
        <f t="array" aca="1" ref="P20" ca="1">IFERROR(INDIRECT("'"&amp;$C20&amp;"'!DISCAP",1),"-")</f>
        <v>-</v>
      </c>
      <c r="Q20" s="42" t="str" cm="1">
        <f t="array" aca="1" ref="Q20" ca="1">IFERROR(INDIRECT("'"&amp;$C20&amp;"'!MUJERES",1),"-")</f>
        <v>-</v>
      </c>
      <c r="R20" s="42" t="str" cm="1">
        <f t="array" aca="1" ref="R20" ca="1">IFERROR(INDIRECT("'"&amp;$C20&amp;"'!MIPYME",1),"-")</f>
        <v>-</v>
      </c>
      <c r="S20" s="75"/>
      <c r="T20" s="72"/>
      <c r="U20" s="71"/>
    </row>
    <row r="21" spans="1:1008 1029:2037 2058:3066 3087:4095 4116:5103 5124:6132 6153:7161 7182:8190 8211:9198 9219:10227 10248:11256 11277:12285 12306:13293 13314:14322 14343:15351 15372:16359" ht="18" hidden="1" customHeight="1" outlineLevel="1">
      <c r="B21" s="73" t="str">
        <f t="shared" si="0"/>
        <v>NA</v>
      </c>
      <c r="C21" s="41">
        <v>14</v>
      </c>
      <c r="D21" s="171"/>
      <c r="E21" s="172"/>
      <c r="F21" s="173"/>
      <c r="G21" s="118" t="str" cm="1">
        <f t="array" aca="1" ref="G21" ca="1">IFERROR(INDIRECT("'"&amp;$C21&amp;"'!EXPGRAL",1),"-")</f>
        <v>-</v>
      </c>
      <c r="H21" s="118" t="str" cm="1">
        <f t="array" aca="1" ref="H21" ca="1">IFERROR(INDIRECT("'"&amp;$C21&amp;"'!EXPESP",1),"-")</f>
        <v>-</v>
      </c>
      <c r="I21" s="118" t="str" cm="1">
        <f t="array" aca="1" ref="I21" ca="1">IFERROR(INDIRECT("'"&amp;$C21&amp;"'!FORMATO8",1),"-")</f>
        <v>-</v>
      </c>
      <c r="J21" s="118" t="str" cm="1">
        <f t="array" aca="1" ref="J21" ca="1">IFERROR(INDIRECT("'"&amp;$C21&amp;"'!CARTA",1),"-")</f>
        <v>-</v>
      </c>
      <c r="K21" s="118" t="str" cm="1">
        <f t="array" aca="1" ref="K21" ca="1">IFERROR(INDIRECT("'"&amp;$C21&amp;"'!REPBIENES",1),"-")</f>
        <v>-</v>
      </c>
      <c r="L21" s="118" t="str" cm="1">
        <f t="array" aca="1" ref="L21" ca="1">IFERROR(INDIRECT("'"&amp;$C21&amp;"'!GARANTIA",1),"-")</f>
        <v>-</v>
      </c>
      <c r="M21" s="118" t="str" cm="1">
        <f t="array" aca="1" ref="M21" ca="1">IFERROR(INDIRECT("'"&amp;$C21&amp;"'!FTECNICAS",1),"-")</f>
        <v>-</v>
      </c>
      <c r="N21" s="42" t="str" cm="1">
        <f t="array" aca="1" ref="N21" ca="1">IFERROR(INDIRECT("'"&amp;$C21&amp;"'!FCALIDAD",1),"-")</f>
        <v>-</v>
      </c>
      <c r="O21" s="42" t="str" cm="1">
        <f t="array" aca="1" ref="O21" ca="1">IFERROR(INDIRECT("'"&amp;$C21&amp;"'!INDNAL",1),"-")</f>
        <v>-</v>
      </c>
      <c r="P21" s="42" t="str" cm="1">
        <f t="array" aca="1" ref="P21" ca="1">IFERROR(INDIRECT("'"&amp;$C21&amp;"'!DISCAP",1),"-")</f>
        <v>-</v>
      </c>
      <c r="Q21" s="42" t="str" cm="1">
        <f t="array" aca="1" ref="Q21" ca="1">IFERROR(INDIRECT("'"&amp;$C21&amp;"'!MUJERES",1),"-")</f>
        <v>-</v>
      </c>
      <c r="R21" s="42" t="str" cm="1">
        <f t="array" aca="1" ref="R21" ca="1">IFERROR(INDIRECT("'"&amp;$C21&amp;"'!MIPYME",1),"-")</f>
        <v>-</v>
      </c>
      <c r="S21" s="75"/>
      <c r="T21" s="72"/>
      <c r="U21" s="71"/>
    </row>
    <row r="22" spans="1:1008 1029:2037 2058:3066 3087:4095 4116:5103 5124:6132 6153:7161 7182:8190 8211:9198 9219:10227 10248:11256 11277:12285 12306:13293 13314:14322 14343:15351 15372:16359" ht="18" hidden="1" customHeight="1" outlineLevel="1">
      <c r="B22" s="73" t="str">
        <f t="shared" si="0"/>
        <v>NA</v>
      </c>
      <c r="C22" s="41">
        <v>15</v>
      </c>
      <c r="D22" s="171"/>
      <c r="E22" s="172"/>
      <c r="F22" s="173"/>
      <c r="G22" s="118" t="str" cm="1">
        <f t="array" aca="1" ref="G22" ca="1">IFERROR(INDIRECT("'"&amp;$C22&amp;"'!EXPGRAL",1),"-")</f>
        <v>-</v>
      </c>
      <c r="H22" s="118" t="str" cm="1">
        <f t="array" aca="1" ref="H22" ca="1">IFERROR(INDIRECT("'"&amp;$C22&amp;"'!EXPESP",1),"-")</f>
        <v>-</v>
      </c>
      <c r="I22" s="118" t="str" cm="1">
        <f t="array" aca="1" ref="I22" ca="1">IFERROR(INDIRECT("'"&amp;$C22&amp;"'!FORMATO8",1),"-")</f>
        <v>-</v>
      </c>
      <c r="J22" s="118" t="str" cm="1">
        <f t="array" aca="1" ref="J22" ca="1">IFERROR(INDIRECT("'"&amp;$C22&amp;"'!CARTA",1),"-")</f>
        <v>-</v>
      </c>
      <c r="K22" s="118" t="str" cm="1">
        <f t="array" aca="1" ref="K22" ca="1">IFERROR(INDIRECT("'"&amp;$C22&amp;"'!REPBIENES",1),"-")</f>
        <v>-</v>
      </c>
      <c r="L22" s="118" t="str" cm="1">
        <f t="array" aca="1" ref="L22" ca="1">IFERROR(INDIRECT("'"&amp;$C22&amp;"'!GARANTIA",1),"-")</f>
        <v>-</v>
      </c>
      <c r="M22" s="118" t="str" cm="1">
        <f t="array" aca="1" ref="M22" ca="1">IFERROR(INDIRECT("'"&amp;$C22&amp;"'!FTECNICAS",1),"-")</f>
        <v>-</v>
      </c>
      <c r="N22" s="42" t="str" cm="1">
        <f t="array" aca="1" ref="N22" ca="1">IFERROR(INDIRECT("'"&amp;$C22&amp;"'!FCALIDAD",1),"-")</f>
        <v>-</v>
      </c>
      <c r="O22" s="42" t="str" cm="1">
        <f t="array" aca="1" ref="O22" ca="1">IFERROR(INDIRECT("'"&amp;$C22&amp;"'!INDNAL",1),"-")</f>
        <v>-</v>
      </c>
      <c r="P22" s="42" t="str" cm="1">
        <f t="array" aca="1" ref="P22" ca="1">IFERROR(INDIRECT("'"&amp;$C22&amp;"'!DISCAP",1),"-")</f>
        <v>-</v>
      </c>
      <c r="Q22" s="42" t="str" cm="1">
        <f t="array" aca="1" ref="Q22" ca="1">IFERROR(INDIRECT("'"&amp;$C22&amp;"'!MUJERES",1),"-")</f>
        <v>-</v>
      </c>
      <c r="R22" s="42" t="str" cm="1">
        <f t="array" aca="1" ref="R22" ca="1">IFERROR(INDIRECT("'"&amp;$C22&amp;"'!MIPYME",1),"-")</f>
        <v>-</v>
      </c>
      <c r="S22" s="75"/>
      <c r="T22" s="72"/>
      <c r="U22" s="71"/>
    </row>
    <row r="23" spans="1:1008 1029:2037 2058:3066 3087:4095 4116:5103 5124:6132 6153:7161 7182:8190 8211:9198 9219:10227 10248:11256 11277:12285 12306:13293 13314:14322 14343:15351 15372:16359" ht="27" hidden="1" customHeight="1" collapsed="1">
      <c r="B23" s="183" t="str">
        <f>"PROPONENTE SELECCIONADO DEL PROCESO N° " &amp; D5 &amp; ":  "</f>
        <v xml:space="preserve">PROPONENTE SELECCIONADO DEL PROCESO N° 24001025 H2 DE 2024:  </v>
      </c>
      <c r="C23" s="183"/>
      <c r="D23" s="183"/>
      <c r="E23" s="183"/>
      <c r="F23" s="183"/>
      <c r="G23" s="183"/>
      <c r="H23" s="183"/>
      <c r="I23" s="183"/>
      <c r="J23" s="183"/>
      <c r="K23" s="183"/>
      <c r="L23" s="183"/>
      <c r="M23" s="183"/>
      <c r="N23" s="181" t="str">
        <f ca="1">IFERROR(IF(COUNTIF($B$8:$B$22,1)&gt;1,"REVISAR EMPATE",VLOOKUP(1,$B$8:$F$22,3,0)),"PENDIENTE")</f>
        <v>UNION TEMPORAL RADAR GEA 2024</v>
      </c>
      <c r="O23" s="182"/>
      <c r="P23" s="182"/>
      <c r="Q23" s="182"/>
      <c r="R23" s="179" t="s">
        <v>72</v>
      </c>
      <c r="S23" s="180"/>
      <c r="T23" s="174">
        <f ca="1">_xlfn.MAXIFS(U8:U22,G8:G22,"CUMPLE",H8:H22,"CUMPLE",I8:I22,"CUMPLE",M8:M22,"CUMPLE")</f>
        <v>100</v>
      </c>
      <c r="U23" s="175"/>
    </row>
    <row r="24" spans="1:1008 1029:2037 2058:3066 3087:4095 4116:5103 5124:6132 6153:7161 7182:8190 8211:9198 9219:10227 10248:11256 11277:12285 12306:13293 13314:14322 14343:15351 15372:16359" s="24" customFormat="1" ht="15" customHeight="1">
      <c r="A24" s="22"/>
      <c r="B24" s="142" t="s">
        <v>79</v>
      </c>
      <c r="C24" s="142"/>
      <c r="D24" s="142"/>
      <c r="E24" s="142"/>
      <c r="F24" s="142"/>
      <c r="G24" s="143" t="s">
        <v>80</v>
      </c>
      <c r="H24" s="144"/>
      <c r="I24" s="144"/>
      <c r="J24" s="144"/>
      <c r="K24" s="144"/>
      <c r="L24" s="144"/>
      <c r="M24" s="145"/>
      <c r="N24" s="143" t="s">
        <v>81</v>
      </c>
      <c r="O24" s="144"/>
      <c r="P24" s="144"/>
      <c r="Q24" s="145"/>
      <c r="R24" s="143" t="s">
        <v>82</v>
      </c>
      <c r="S24" s="144"/>
      <c r="T24" s="144"/>
      <c r="U24" s="145"/>
      <c r="V24" s="23"/>
    </row>
    <row r="25" spans="1:1008 1029:2037 2058:3066 3087:4095 4116:5103 5124:6132 6153:7161 7182:8190 8211:9198 9219:10227 10248:11256 11277:12285 12306:13293 13314:14322 14343:15351 15372:16359" ht="37.9" customHeight="1">
      <c r="A25" s="25"/>
      <c r="B25" s="146"/>
      <c r="C25" s="147"/>
      <c r="D25" s="147"/>
      <c r="E25" s="147"/>
      <c r="F25" s="148"/>
      <c r="G25" s="149"/>
      <c r="H25" s="150"/>
      <c r="I25" s="150"/>
      <c r="J25" s="150"/>
      <c r="K25" s="150"/>
      <c r="L25" s="150"/>
      <c r="M25" s="151"/>
      <c r="N25" s="152"/>
      <c r="O25" s="153"/>
      <c r="P25" s="153"/>
      <c r="Q25" s="154"/>
      <c r="R25" s="149"/>
      <c r="S25" s="150"/>
      <c r="T25" s="150"/>
      <c r="U25" s="151"/>
      <c r="AP25" s="25"/>
      <c r="BK25" s="25"/>
      <c r="CF25" s="25"/>
      <c r="DA25" s="25"/>
      <c r="DV25" s="25"/>
      <c r="EQ25" s="25"/>
      <c r="FL25" s="25"/>
      <c r="GG25" s="25"/>
      <c r="HB25" s="25"/>
      <c r="HW25" s="25"/>
      <c r="IR25" s="25"/>
      <c r="JM25" s="25"/>
      <c r="KH25" s="25"/>
      <c r="LC25" s="25"/>
      <c r="LX25" s="25"/>
      <c r="MS25" s="25"/>
      <c r="NN25" s="25"/>
      <c r="OI25" s="25"/>
      <c r="PD25" s="25"/>
      <c r="PY25" s="25"/>
      <c r="QT25" s="25"/>
      <c r="RO25" s="25"/>
      <c r="SJ25" s="25"/>
      <c r="TE25" s="25"/>
      <c r="TZ25" s="25"/>
      <c r="UU25" s="25"/>
      <c r="VP25" s="25"/>
      <c r="WK25" s="25"/>
      <c r="XF25" s="25"/>
      <c r="YA25" s="25"/>
      <c r="YV25" s="25"/>
      <c r="ZQ25" s="25"/>
      <c r="AAL25" s="25"/>
      <c r="ABG25" s="25"/>
      <c r="ACB25" s="25"/>
      <c r="ACW25" s="25"/>
      <c r="ADR25" s="25"/>
      <c r="AEM25" s="25"/>
      <c r="AFH25" s="25"/>
      <c r="AGC25" s="25"/>
      <c r="AGX25" s="25"/>
      <c r="AHS25" s="25"/>
      <c r="AIN25" s="25"/>
      <c r="AJI25" s="25"/>
      <c r="AKD25" s="25"/>
      <c r="AKY25" s="25"/>
      <c r="ALT25" s="25"/>
      <c r="AMO25" s="25"/>
      <c r="ANJ25" s="25"/>
      <c r="AOE25" s="25"/>
      <c r="AOZ25" s="25"/>
      <c r="APU25" s="25"/>
      <c r="AQP25" s="25"/>
      <c r="ARK25" s="25"/>
      <c r="ASF25" s="25"/>
      <c r="ATA25" s="25"/>
      <c r="ATV25" s="25"/>
      <c r="AUQ25" s="25"/>
      <c r="AVL25" s="25"/>
      <c r="AWG25" s="25"/>
      <c r="AXB25" s="25"/>
      <c r="AXW25" s="25"/>
      <c r="AYR25" s="25"/>
      <c r="AZM25" s="25"/>
      <c r="BAH25" s="25"/>
      <c r="BBC25" s="25"/>
      <c r="BBX25" s="25"/>
      <c r="BCS25" s="25"/>
      <c r="BDN25" s="25"/>
      <c r="BEI25" s="25"/>
      <c r="BFD25" s="25"/>
      <c r="BFY25" s="25"/>
      <c r="BGT25" s="25"/>
      <c r="BHO25" s="25"/>
      <c r="BIJ25" s="25"/>
      <c r="BJE25" s="25"/>
      <c r="BJZ25" s="25"/>
      <c r="BKU25" s="25"/>
      <c r="BLP25" s="25"/>
      <c r="BMK25" s="25"/>
      <c r="BNF25" s="25"/>
      <c r="BOA25" s="25"/>
      <c r="BOV25" s="25"/>
      <c r="BPQ25" s="25"/>
      <c r="BQL25" s="25"/>
      <c r="BRG25" s="25"/>
      <c r="BSB25" s="25"/>
      <c r="BSW25" s="25"/>
      <c r="BTR25" s="25"/>
      <c r="BUM25" s="25"/>
      <c r="BVH25" s="25"/>
      <c r="BWC25" s="25"/>
      <c r="BWX25" s="25"/>
      <c r="BXS25" s="25"/>
      <c r="BYN25" s="25"/>
      <c r="BZI25" s="25"/>
      <c r="CAD25" s="25"/>
      <c r="CAY25" s="25"/>
      <c r="CBT25" s="25"/>
      <c r="CCO25" s="25"/>
      <c r="CDJ25" s="25"/>
      <c r="CEE25" s="25"/>
      <c r="CEZ25" s="25"/>
      <c r="CFU25" s="25"/>
      <c r="CGP25" s="25"/>
      <c r="CHK25" s="25"/>
      <c r="CIF25" s="25"/>
      <c r="CJA25" s="25"/>
      <c r="CJV25" s="25"/>
      <c r="CKQ25" s="25"/>
      <c r="CLL25" s="25"/>
      <c r="CMG25" s="25"/>
      <c r="CNB25" s="25"/>
      <c r="CNW25" s="25"/>
      <c r="COR25" s="25"/>
      <c r="CPM25" s="25"/>
      <c r="CQH25" s="25"/>
      <c r="CRC25" s="25"/>
      <c r="CRX25" s="25"/>
      <c r="CSS25" s="25"/>
      <c r="CTN25" s="25"/>
      <c r="CUI25" s="25"/>
      <c r="CVD25" s="25"/>
      <c r="CVY25" s="25"/>
      <c r="CWT25" s="25"/>
      <c r="CXO25" s="25"/>
      <c r="CYJ25" s="25"/>
      <c r="CZE25" s="25"/>
      <c r="CZZ25" s="25"/>
      <c r="DAU25" s="25"/>
      <c r="DBP25" s="25"/>
      <c r="DCK25" s="25"/>
      <c r="DDF25" s="25"/>
      <c r="DEA25" s="25"/>
      <c r="DEV25" s="25"/>
      <c r="DFQ25" s="25"/>
      <c r="DGL25" s="25"/>
      <c r="DHG25" s="25"/>
      <c r="DIB25" s="25"/>
      <c r="DIW25" s="25"/>
      <c r="DJR25" s="25"/>
      <c r="DKM25" s="25"/>
      <c r="DLH25" s="25"/>
      <c r="DMC25" s="25"/>
      <c r="DMX25" s="25"/>
      <c r="DNS25" s="25"/>
      <c r="DON25" s="25"/>
      <c r="DPI25" s="25"/>
      <c r="DQD25" s="25"/>
      <c r="DQY25" s="25"/>
      <c r="DRT25" s="25"/>
      <c r="DSO25" s="25"/>
      <c r="DTJ25" s="25"/>
      <c r="DUE25" s="25"/>
      <c r="DUZ25" s="25"/>
      <c r="DVU25" s="25"/>
      <c r="DWP25" s="25"/>
      <c r="DXK25" s="25"/>
      <c r="DYF25" s="25"/>
      <c r="DZA25" s="25"/>
      <c r="DZV25" s="25"/>
      <c r="EAQ25" s="25"/>
      <c r="EBL25" s="25"/>
      <c r="ECG25" s="25"/>
      <c r="EDB25" s="25"/>
      <c r="EDW25" s="25"/>
      <c r="EER25" s="25"/>
      <c r="EFM25" s="25"/>
      <c r="EGH25" s="25"/>
      <c r="EHC25" s="25"/>
      <c r="EHX25" s="25"/>
      <c r="EIS25" s="25"/>
      <c r="EJN25" s="25"/>
      <c r="EKI25" s="25"/>
      <c r="ELD25" s="25"/>
      <c r="ELY25" s="25"/>
      <c r="EMT25" s="25"/>
      <c r="ENO25" s="25"/>
      <c r="EOJ25" s="25"/>
      <c r="EPE25" s="25"/>
      <c r="EPZ25" s="25"/>
      <c r="EQU25" s="25"/>
      <c r="ERP25" s="25"/>
      <c r="ESK25" s="25"/>
      <c r="ETF25" s="25"/>
      <c r="EUA25" s="25"/>
      <c r="EUV25" s="25"/>
      <c r="EVQ25" s="25"/>
      <c r="EWL25" s="25"/>
      <c r="EXG25" s="25"/>
      <c r="EYB25" s="25"/>
      <c r="EYW25" s="25"/>
      <c r="EZR25" s="25"/>
      <c r="FAM25" s="25"/>
      <c r="FBH25" s="25"/>
      <c r="FCC25" s="25"/>
      <c r="FCX25" s="25"/>
      <c r="FDS25" s="25"/>
      <c r="FEN25" s="25"/>
      <c r="FFI25" s="25"/>
      <c r="FGD25" s="25"/>
      <c r="FGY25" s="25"/>
      <c r="FHT25" s="25"/>
      <c r="FIO25" s="25"/>
      <c r="FJJ25" s="25"/>
      <c r="FKE25" s="25"/>
      <c r="FKZ25" s="25"/>
      <c r="FLU25" s="25"/>
      <c r="FMP25" s="25"/>
      <c r="FNK25" s="25"/>
      <c r="FOF25" s="25"/>
      <c r="FPA25" s="25"/>
      <c r="FPV25" s="25"/>
      <c r="FQQ25" s="25"/>
      <c r="FRL25" s="25"/>
      <c r="FSG25" s="25"/>
      <c r="FTB25" s="25"/>
      <c r="FTW25" s="25"/>
      <c r="FUR25" s="25"/>
      <c r="FVM25" s="25"/>
      <c r="FWH25" s="25"/>
      <c r="FXC25" s="25"/>
      <c r="FXX25" s="25"/>
      <c r="FYS25" s="25"/>
      <c r="FZN25" s="25"/>
      <c r="GAI25" s="25"/>
      <c r="GBD25" s="25"/>
      <c r="GBY25" s="25"/>
      <c r="GCT25" s="25"/>
      <c r="GDO25" s="25"/>
      <c r="GEJ25" s="25"/>
      <c r="GFE25" s="25"/>
      <c r="GFZ25" s="25"/>
      <c r="GGU25" s="25"/>
      <c r="GHP25" s="25"/>
      <c r="GIK25" s="25"/>
      <c r="GJF25" s="25"/>
      <c r="GKA25" s="25"/>
      <c r="GKV25" s="25"/>
      <c r="GLQ25" s="25"/>
      <c r="GML25" s="25"/>
      <c r="GNG25" s="25"/>
      <c r="GOB25" s="25"/>
      <c r="GOW25" s="25"/>
      <c r="GPR25" s="25"/>
      <c r="GQM25" s="25"/>
      <c r="GRH25" s="25"/>
      <c r="GSC25" s="25"/>
      <c r="GSX25" s="25"/>
      <c r="GTS25" s="25"/>
      <c r="GUN25" s="25"/>
      <c r="GVI25" s="25"/>
      <c r="GWD25" s="25"/>
      <c r="GWY25" s="25"/>
      <c r="GXT25" s="25"/>
      <c r="GYO25" s="25"/>
      <c r="GZJ25" s="25"/>
      <c r="HAE25" s="25"/>
      <c r="HAZ25" s="25"/>
      <c r="HBU25" s="25"/>
      <c r="HCP25" s="25"/>
      <c r="HDK25" s="25"/>
      <c r="HEF25" s="25"/>
      <c r="HFA25" s="25"/>
      <c r="HFV25" s="25"/>
      <c r="HGQ25" s="25"/>
      <c r="HHL25" s="25"/>
      <c r="HIG25" s="25"/>
      <c r="HJB25" s="25"/>
      <c r="HJW25" s="25"/>
      <c r="HKR25" s="25"/>
      <c r="HLM25" s="25"/>
      <c r="HMH25" s="25"/>
      <c r="HNC25" s="25"/>
      <c r="HNX25" s="25"/>
      <c r="HOS25" s="25"/>
      <c r="HPN25" s="25"/>
      <c r="HQI25" s="25"/>
      <c r="HRD25" s="25"/>
      <c r="HRY25" s="25"/>
      <c r="HST25" s="25"/>
      <c r="HTO25" s="25"/>
      <c r="HUJ25" s="25"/>
      <c r="HVE25" s="25"/>
      <c r="HVZ25" s="25"/>
      <c r="HWU25" s="25"/>
      <c r="HXP25" s="25"/>
      <c r="HYK25" s="25"/>
      <c r="HZF25" s="25"/>
      <c r="IAA25" s="25"/>
      <c r="IAV25" s="25"/>
      <c r="IBQ25" s="25"/>
      <c r="ICL25" s="25"/>
      <c r="IDG25" s="25"/>
      <c r="IEB25" s="25"/>
      <c r="IEW25" s="25"/>
      <c r="IFR25" s="25"/>
      <c r="IGM25" s="25"/>
      <c r="IHH25" s="25"/>
      <c r="IIC25" s="25"/>
      <c r="IIX25" s="25"/>
      <c r="IJS25" s="25"/>
      <c r="IKN25" s="25"/>
      <c r="ILI25" s="25"/>
      <c r="IMD25" s="25"/>
      <c r="IMY25" s="25"/>
      <c r="INT25" s="25"/>
      <c r="IOO25" s="25"/>
      <c r="IPJ25" s="25"/>
      <c r="IQE25" s="25"/>
      <c r="IQZ25" s="25"/>
      <c r="IRU25" s="25"/>
      <c r="ISP25" s="25"/>
      <c r="ITK25" s="25"/>
      <c r="IUF25" s="25"/>
      <c r="IVA25" s="25"/>
      <c r="IVV25" s="25"/>
      <c r="IWQ25" s="25"/>
      <c r="IXL25" s="25"/>
      <c r="IYG25" s="25"/>
      <c r="IZB25" s="25"/>
      <c r="IZW25" s="25"/>
      <c r="JAR25" s="25"/>
      <c r="JBM25" s="25"/>
      <c r="JCH25" s="25"/>
      <c r="JDC25" s="25"/>
      <c r="JDX25" s="25"/>
      <c r="JES25" s="25"/>
      <c r="JFN25" s="25"/>
      <c r="JGI25" s="25"/>
      <c r="JHD25" s="25"/>
      <c r="JHY25" s="25"/>
      <c r="JIT25" s="25"/>
      <c r="JJO25" s="25"/>
      <c r="JKJ25" s="25"/>
      <c r="JLE25" s="25"/>
      <c r="JLZ25" s="25"/>
      <c r="JMU25" s="25"/>
      <c r="JNP25" s="25"/>
      <c r="JOK25" s="25"/>
      <c r="JPF25" s="25"/>
      <c r="JQA25" s="25"/>
      <c r="JQV25" s="25"/>
      <c r="JRQ25" s="25"/>
      <c r="JSL25" s="25"/>
      <c r="JTG25" s="25"/>
      <c r="JUB25" s="25"/>
      <c r="JUW25" s="25"/>
      <c r="JVR25" s="25"/>
      <c r="JWM25" s="25"/>
      <c r="JXH25" s="25"/>
      <c r="JYC25" s="25"/>
      <c r="JYX25" s="25"/>
      <c r="JZS25" s="25"/>
      <c r="KAN25" s="25"/>
      <c r="KBI25" s="25"/>
      <c r="KCD25" s="25"/>
      <c r="KCY25" s="25"/>
      <c r="KDT25" s="25"/>
      <c r="KEO25" s="25"/>
      <c r="KFJ25" s="25"/>
      <c r="KGE25" s="25"/>
      <c r="KGZ25" s="25"/>
      <c r="KHU25" s="25"/>
      <c r="KIP25" s="25"/>
      <c r="KJK25" s="25"/>
      <c r="KKF25" s="25"/>
      <c r="KLA25" s="25"/>
      <c r="KLV25" s="25"/>
      <c r="KMQ25" s="25"/>
      <c r="KNL25" s="25"/>
      <c r="KOG25" s="25"/>
      <c r="KPB25" s="25"/>
      <c r="KPW25" s="25"/>
      <c r="KQR25" s="25"/>
      <c r="KRM25" s="25"/>
      <c r="KSH25" s="25"/>
      <c r="KTC25" s="25"/>
      <c r="KTX25" s="25"/>
      <c r="KUS25" s="25"/>
      <c r="KVN25" s="25"/>
      <c r="KWI25" s="25"/>
      <c r="KXD25" s="25"/>
      <c r="KXY25" s="25"/>
      <c r="KYT25" s="25"/>
      <c r="KZO25" s="25"/>
      <c r="LAJ25" s="25"/>
      <c r="LBE25" s="25"/>
      <c r="LBZ25" s="25"/>
      <c r="LCU25" s="25"/>
      <c r="LDP25" s="25"/>
      <c r="LEK25" s="25"/>
      <c r="LFF25" s="25"/>
      <c r="LGA25" s="25"/>
      <c r="LGV25" s="25"/>
      <c r="LHQ25" s="25"/>
      <c r="LIL25" s="25"/>
      <c r="LJG25" s="25"/>
      <c r="LKB25" s="25"/>
      <c r="LKW25" s="25"/>
      <c r="LLR25" s="25"/>
      <c r="LMM25" s="25"/>
      <c r="LNH25" s="25"/>
      <c r="LOC25" s="25"/>
      <c r="LOX25" s="25"/>
      <c r="LPS25" s="25"/>
      <c r="LQN25" s="25"/>
      <c r="LRI25" s="25"/>
      <c r="LSD25" s="25"/>
      <c r="LSY25" s="25"/>
      <c r="LTT25" s="25"/>
      <c r="LUO25" s="25"/>
      <c r="LVJ25" s="25"/>
      <c r="LWE25" s="25"/>
      <c r="LWZ25" s="25"/>
      <c r="LXU25" s="25"/>
      <c r="LYP25" s="25"/>
      <c r="LZK25" s="25"/>
      <c r="MAF25" s="25"/>
      <c r="MBA25" s="25"/>
      <c r="MBV25" s="25"/>
      <c r="MCQ25" s="25"/>
      <c r="MDL25" s="25"/>
      <c r="MEG25" s="25"/>
      <c r="MFB25" s="25"/>
      <c r="MFW25" s="25"/>
      <c r="MGR25" s="25"/>
      <c r="MHM25" s="25"/>
      <c r="MIH25" s="25"/>
      <c r="MJC25" s="25"/>
      <c r="MJX25" s="25"/>
      <c r="MKS25" s="25"/>
      <c r="MLN25" s="25"/>
      <c r="MMI25" s="25"/>
      <c r="MND25" s="25"/>
      <c r="MNY25" s="25"/>
      <c r="MOT25" s="25"/>
      <c r="MPO25" s="25"/>
      <c r="MQJ25" s="25"/>
      <c r="MRE25" s="25"/>
      <c r="MRZ25" s="25"/>
      <c r="MSU25" s="25"/>
      <c r="MTP25" s="25"/>
      <c r="MUK25" s="25"/>
      <c r="MVF25" s="25"/>
      <c r="MWA25" s="25"/>
      <c r="MWV25" s="25"/>
      <c r="MXQ25" s="25"/>
      <c r="MYL25" s="25"/>
      <c r="MZG25" s="25"/>
      <c r="NAB25" s="25"/>
      <c r="NAW25" s="25"/>
      <c r="NBR25" s="25"/>
      <c r="NCM25" s="25"/>
      <c r="NDH25" s="25"/>
      <c r="NEC25" s="25"/>
      <c r="NEX25" s="25"/>
      <c r="NFS25" s="25"/>
      <c r="NGN25" s="25"/>
      <c r="NHI25" s="25"/>
      <c r="NID25" s="25"/>
      <c r="NIY25" s="25"/>
      <c r="NJT25" s="25"/>
      <c r="NKO25" s="25"/>
      <c r="NLJ25" s="25"/>
      <c r="NME25" s="25"/>
      <c r="NMZ25" s="25"/>
      <c r="NNU25" s="25"/>
      <c r="NOP25" s="25"/>
      <c r="NPK25" s="25"/>
      <c r="NQF25" s="25"/>
      <c r="NRA25" s="25"/>
      <c r="NRV25" s="25"/>
      <c r="NSQ25" s="25"/>
      <c r="NTL25" s="25"/>
      <c r="NUG25" s="25"/>
      <c r="NVB25" s="25"/>
      <c r="NVW25" s="25"/>
      <c r="NWR25" s="25"/>
      <c r="NXM25" s="25"/>
      <c r="NYH25" s="25"/>
      <c r="NZC25" s="25"/>
      <c r="NZX25" s="25"/>
      <c r="OAS25" s="25"/>
      <c r="OBN25" s="25"/>
      <c r="OCI25" s="25"/>
      <c r="ODD25" s="25"/>
      <c r="ODY25" s="25"/>
      <c r="OET25" s="25"/>
      <c r="OFO25" s="25"/>
      <c r="OGJ25" s="25"/>
      <c r="OHE25" s="25"/>
      <c r="OHZ25" s="25"/>
      <c r="OIU25" s="25"/>
      <c r="OJP25" s="25"/>
      <c r="OKK25" s="25"/>
      <c r="OLF25" s="25"/>
      <c r="OMA25" s="25"/>
      <c r="OMV25" s="25"/>
      <c r="ONQ25" s="25"/>
      <c r="OOL25" s="25"/>
      <c r="OPG25" s="25"/>
      <c r="OQB25" s="25"/>
      <c r="OQW25" s="25"/>
      <c r="ORR25" s="25"/>
      <c r="OSM25" s="25"/>
      <c r="OTH25" s="25"/>
      <c r="OUC25" s="25"/>
      <c r="OUX25" s="25"/>
      <c r="OVS25" s="25"/>
      <c r="OWN25" s="25"/>
      <c r="OXI25" s="25"/>
      <c r="OYD25" s="25"/>
      <c r="OYY25" s="25"/>
      <c r="OZT25" s="25"/>
      <c r="PAO25" s="25"/>
      <c r="PBJ25" s="25"/>
      <c r="PCE25" s="25"/>
      <c r="PCZ25" s="25"/>
      <c r="PDU25" s="25"/>
      <c r="PEP25" s="25"/>
      <c r="PFK25" s="25"/>
      <c r="PGF25" s="25"/>
      <c r="PHA25" s="25"/>
      <c r="PHV25" s="25"/>
      <c r="PIQ25" s="25"/>
      <c r="PJL25" s="25"/>
      <c r="PKG25" s="25"/>
      <c r="PLB25" s="25"/>
      <c r="PLW25" s="25"/>
      <c r="PMR25" s="25"/>
      <c r="PNM25" s="25"/>
      <c r="POH25" s="25"/>
      <c r="PPC25" s="25"/>
      <c r="PPX25" s="25"/>
      <c r="PQS25" s="25"/>
      <c r="PRN25" s="25"/>
      <c r="PSI25" s="25"/>
      <c r="PTD25" s="25"/>
      <c r="PTY25" s="25"/>
      <c r="PUT25" s="25"/>
      <c r="PVO25" s="25"/>
      <c r="PWJ25" s="25"/>
      <c r="PXE25" s="25"/>
      <c r="PXZ25" s="25"/>
      <c r="PYU25" s="25"/>
      <c r="PZP25" s="25"/>
      <c r="QAK25" s="25"/>
      <c r="QBF25" s="25"/>
      <c r="QCA25" s="25"/>
      <c r="QCV25" s="25"/>
      <c r="QDQ25" s="25"/>
      <c r="QEL25" s="25"/>
      <c r="QFG25" s="25"/>
      <c r="QGB25" s="25"/>
      <c r="QGW25" s="25"/>
      <c r="QHR25" s="25"/>
      <c r="QIM25" s="25"/>
      <c r="QJH25" s="25"/>
      <c r="QKC25" s="25"/>
      <c r="QKX25" s="25"/>
      <c r="QLS25" s="25"/>
      <c r="QMN25" s="25"/>
      <c r="QNI25" s="25"/>
      <c r="QOD25" s="25"/>
      <c r="QOY25" s="25"/>
      <c r="QPT25" s="25"/>
      <c r="QQO25" s="25"/>
      <c r="QRJ25" s="25"/>
      <c r="QSE25" s="25"/>
      <c r="QSZ25" s="25"/>
      <c r="QTU25" s="25"/>
      <c r="QUP25" s="25"/>
      <c r="QVK25" s="25"/>
      <c r="QWF25" s="25"/>
      <c r="QXA25" s="25"/>
      <c r="QXV25" s="25"/>
      <c r="QYQ25" s="25"/>
      <c r="QZL25" s="25"/>
      <c r="RAG25" s="25"/>
      <c r="RBB25" s="25"/>
      <c r="RBW25" s="25"/>
      <c r="RCR25" s="25"/>
      <c r="RDM25" s="25"/>
      <c r="REH25" s="25"/>
      <c r="RFC25" s="25"/>
      <c r="RFX25" s="25"/>
      <c r="RGS25" s="25"/>
      <c r="RHN25" s="25"/>
      <c r="RII25" s="25"/>
      <c r="RJD25" s="25"/>
      <c r="RJY25" s="25"/>
      <c r="RKT25" s="25"/>
      <c r="RLO25" s="25"/>
      <c r="RMJ25" s="25"/>
      <c r="RNE25" s="25"/>
      <c r="RNZ25" s="25"/>
      <c r="ROU25" s="25"/>
      <c r="RPP25" s="25"/>
      <c r="RQK25" s="25"/>
      <c r="RRF25" s="25"/>
      <c r="RSA25" s="25"/>
      <c r="RSV25" s="25"/>
      <c r="RTQ25" s="25"/>
      <c r="RUL25" s="25"/>
      <c r="RVG25" s="25"/>
      <c r="RWB25" s="25"/>
      <c r="RWW25" s="25"/>
      <c r="RXR25" s="25"/>
      <c r="RYM25" s="25"/>
      <c r="RZH25" s="25"/>
      <c r="SAC25" s="25"/>
      <c r="SAX25" s="25"/>
      <c r="SBS25" s="25"/>
      <c r="SCN25" s="25"/>
      <c r="SDI25" s="25"/>
      <c r="SED25" s="25"/>
      <c r="SEY25" s="25"/>
      <c r="SFT25" s="25"/>
      <c r="SGO25" s="25"/>
      <c r="SHJ25" s="25"/>
      <c r="SIE25" s="25"/>
      <c r="SIZ25" s="25"/>
      <c r="SJU25" s="25"/>
      <c r="SKP25" s="25"/>
      <c r="SLK25" s="25"/>
      <c r="SMF25" s="25"/>
      <c r="SNA25" s="25"/>
      <c r="SNV25" s="25"/>
      <c r="SOQ25" s="25"/>
      <c r="SPL25" s="25"/>
      <c r="SQG25" s="25"/>
      <c r="SRB25" s="25"/>
      <c r="SRW25" s="25"/>
      <c r="SSR25" s="25"/>
      <c r="STM25" s="25"/>
      <c r="SUH25" s="25"/>
      <c r="SVC25" s="25"/>
      <c r="SVX25" s="25"/>
      <c r="SWS25" s="25"/>
      <c r="SXN25" s="25"/>
      <c r="SYI25" s="25"/>
      <c r="SZD25" s="25"/>
      <c r="SZY25" s="25"/>
      <c r="TAT25" s="25"/>
      <c r="TBO25" s="25"/>
      <c r="TCJ25" s="25"/>
      <c r="TDE25" s="25"/>
      <c r="TDZ25" s="25"/>
      <c r="TEU25" s="25"/>
      <c r="TFP25" s="25"/>
      <c r="TGK25" s="25"/>
      <c r="THF25" s="25"/>
      <c r="TIA25" s="25"/>
      <c r="TIV25" s="25"/>
      <c r="TJQ25" s="25"/>
      <c r="TKL25" s="25"/>
      <c r="TLG25" s="25"/>
      <c r="TMB25" s="25"/>
      <c r="TMW25" s="25"/>
      <c r="TNR25" s="25"/>
      <c r="TOM25" s="25"/>
      <c r="TPH25" s="25"/>
      <c r="TQC25" s="25"/>
      <c r="TQX25" s="25"/>
      <c r="TRS25" s="25"/>
      <c r="TSN25" s="25"/>
      <c r="TTI25" s="25"/>
      <c r="TUD25" s="25"/>
      <c r="TUY25" s="25"/>
      <c r="TVT25" s="25"/>
      <c r="TWO25" s="25"/>
      <c r="TXJ25" s="25"/>
      <c r="TYE25" s="25"/>
      <c r="TYZ25" s="25"/>
      <c r="TZU25" s="25"/>
      <c r="UAP25" s="25"/>
      <c r="UBK25" s="25"/>
      <c r="UCF25" s="25"/>
      <c r="UDA25" s="25"/>
      <c r="UDV25" s="25"/>
      <c r="UEQ25" s="25"/>
      <c r="UFL25" s="25"/>
      <c r="UGG25" s="25"/>
      <c r="UHB25" s="25"/>
      <c r="UHW25" s="25"/>
      <c r="UIR25" s="25"/>
      <c r="UJM25" s="25"/>
      <c r="UKH25" s="25"/>
      <c r="ULC25" s="25"/>
      <c r="ULX25" s="25"/>
      <c r="UMS25" s="25"/>
      <c r="UNN25" s="25"/>
      <c r="UOI25" s="25"/>
      <c r="UPD25" s="25"/>
      <c r="UPY25" s="25"/>
      <c r="UQT25" s="25"/>
      <c r="URO25" s="25"/>
      <c r="USJ25" s="25"/>
      <c r="UTE25" s="25"/>
      <c r="UTZ25" s="25"/>
      <c r="UUU25" s="25"/>
      <c r="UVP25" s="25"/>
      <c r="UWK25" s="25"/>
      <c r="UXF25" s="25"/>
      <c r="UYA25" s="25"/>
      <c r="UYV25" s="25"/>
      <c r="UZQ25" s="25"/>
      <c r="VAL25" s="25"/>
      <c r="VBG25" s="25"/>
      <c r="VCB25" s="25"/>
      <c r="VCW25" s="25"/>
      <c r="VDR25" s="25"/>
      <c r="VEM25" s="25"/>
      <c r="VFH25" s="25"/>
      <c r="VGC25" s="25"/>
      <c r="VGX25" s="25"/>
      <c r="VHS25" s="25"/>
      <c r="VIN25" s="25"/>
      <c r="VJI25" s="25"/>
      <c r="VKD25" s="25"/>
      <c r="VKY25" s="25"/>
      <c r="VLT25" s="25"/>
      <c r="VMO25" s="25"/>
      <c r="VNJ25" s="25"/>
      <c r="VOE25" s="25"/>
      <c r="VOZ25" s="25"/>
      <c r="VPU25" s="25"/>
      <c r="VQP25" s="25"/>
      <c r="VRK25" s="25"/>
      <c r="VSF25" s="25"/>
      <c r="VTA25" s="25"/>
      <c r="VTV25" s="25"/>
      <c r="VUQ25" s="25"/>
      <c r="VVL25" s="25"/>
      <c r="VWG25" s="25"/>
      <c r="VXB25" s="25"/>
      <c r="VXW25" s="25"/>
      <c r="VYR25" s="25"/>
      <c r="VZM25" s="25"/>
      <c r="WAH25" s="25"/>
      <c r="WBC25" s="25"/>
      <c r="WBX25" s="25"/>
      <c r="WCS25" s="25"/>
      <c r="WDN25" s="25"/>
      <c r="WEI25" s="25"/>
      <c r="WFD25" s="25"/>
      <c r="WFY25" s="25"/>
      <c r="WGT25" s="25"/>
      <c r="WHO25" s="25"/>
      <c r="WIJ25" s="25"/>
      <c r="WJE25" s="25"/>
      <c r="WJZ25" s="25"/>
      <c r="WKU25" s="25"/>
      <c r="WLP25" s="25"/>
      <c r="WMK25" s="25"/>
      <c r="WNF25" s="25"/>
      <c r="WOA25" s="25"/>
      <c r="WOV25" s="25"/>
      <c r="WPQ25" s="25"/>
      <c r="WQL25" s="25"/>
      <c r="WRG25" s="25"/>
      <c r="WSB25" s="25"/>
      <c r="WSW25" s="25"/>
      <c r="WTR25" s="25"/>
      <c r="WUM25" s="25"/>
      <c r="WVH25" s="25"/>
      <c r="WWC25" s="25"/>
      <c r="WWX25" s="25"/>
      <c r="WXS25" s="25"/>
      <c r="WYN25" s="25"/>
      <c r="WZI25" s="25"/>
      <c r="XAD25" s="25"/>
      <c r="XAY25" s="25"/>
      <c r="XBT25" s="25"/>
      <c r="XCO25" s="25"/>
      <c r="XDJ25" s="25"/>
      <c r="XEE25" s="25"/>
    </row>
    <row r="26" spans="1:1008 1029:2037 2058:3066 3087:4095 4116:5103 5124:6132 6153:7161 7182:8190 8211:9198 9219:10227 10248:11256 11277:12285 12306:13293 13314:14322 14343:15351 15372:16359" ht="12.75">
      <c r="B26" s="142" t="s">
        <v>83</v>
      </c>
      <c r="C26" s="142"/>
      <c r="D26" s="142"/>
      <c r="E26" s="142"/>
      <c r="F26" s="142"/>
      <c r="G26" s="143" t="s">
        <v>84</v>
      </c>
      <c r="H26" s="144"/>
      <c r="I26" s="144"/>
      <c r="J26" s="144"/>
      <c r="K26" s="144"/>
      <c r="L26" s="144"/>
      <c r="M26" s="145"/>
      <c r="N26" s="143" t="s">
        <v>85</v>
      </c>
      <c r="O26" s="144"/>
      <c r="P26" s="144"/>
      <c r="Q26" s="145"/>
      <c r="R26" s="143" t="s">
        <v>86</v>
      </c>
      <c r="S26" s="144"/>
      <c r="T26" s="144"/>
      <c r="U26" s="145"/>
    </row>
    <row r="27" spans="1:1008 1029:2037 2058:3066 3087:4095 4116:5103 5124:6132 6153:7161 7182:8190 8211:9198 9219:10227 10248:11256 11277:12285 12306:13293 13314:14322 14343:15351 15372:16359" ht="37.9" customHeight="1">
      <c r="B27" s="146"/>
      <c r="C27" s="147"/>
      <c r="D27" s="147"/>
      <c r="E27" s="147"/>
      <c r="F27" s="148"/>
      <c r="G27" s="149"/>
      <c r="H27" s="150"/>
      <c r="I27" s="150"/>
      <c r="J27" s="150"/>
      <c r="K27" s="150"/>
      <c r="L27" s="150"/>
      <c r="M27" s="151"/>
      <c r="N27" s="152"/>
      <c r="O27" s="153"/>
      <c r="P27" s="153"/>
      <c r="Q27" s="154"/>
      <c r="R27" s="149"/>
      <c r="S27" s="150"/>
      <c r="T27" s="150"/>
      <c r="U27" s="151"/>
    </row>
  </sheetData>
  <mergeCells count="46">
    <mergeCell ref="T23:U23"/>
    <mergeCell ref="D7:F7"/>
    <mergeCell ref="D8:F8"/>
    <mergeCell ref="D18:F18"/>
    <mergeCell ref="D19:F19"/>
    <mergeCell ref="D20:F20"/>
    <mergeCell ref="D21:F21"/>
    <mergeCell ref="D22:F22"/>
    <mergeCell ref="D9:F9"/>
    <mergeCell ref="D10:F10"/>
    <mergeCell ref="D11:F11"/>
    <mergeCell ref="R23:S23"/>
    <mergeCell ref="N23:Q23"/>
    <mergeCell ref="B23:M23"/>
    <mergeCell ref="B5:C6"/>
    <mergeCell ref="D5:D6"/>
    <mergeCell ref="E5:F6"/>
    <mergeCell ref="D17:F17"/>
    <mergeCell ref="D12:F12"/>
    <mergeCell ref="D13:F13"/>
    <mergeCell ref="D14:F14"/>
    <mergeCell ref="D15:F15"/>
    <mergeCell ref="D16:F16"/>
    <mergeCell ref="N6:R6"/>
    <mergeCell ref="G1:U1"/>
    <mergeCell ref="G5:R5"/>
    <mergeCell ref="T5:U5"/>
    <mergeCell ref="G4:U4"/>
    <mergeCell ref="G2:U3"/>
    <mergeCell ref="G6:M6"/>
    <mergeCell ref="B25:F25"/>
    <mergeCell ref="G25:M25"/>
    <mergeCell ref="N25:Q25"/>
    <mergeCell ref="R25:U25"/>
    <mergeCell ref="N24:Q24"/>
    <mergeCell ref="R24:U24"/>
    <mergeCell ref="B24:F24"/>
    <mergeCell ref="G24:M24"/>
    <mergeCell ref="B26:F26"/>
    <mergeCell ref="G26:M26"/>
    <mergeCell ref="N26:Q26"/>
    <mergeCell ref="R26:U26"/>
    <mergeCell ref="B27:F27"/>
    <mergeCell ref="G27:M27"/>
    <mergeCell ref="N27:Q27"/>
    <mergeCell ref="R27:U27"/>
  </mergeCells>
  <phoneticPr fontId="56" type="noConversion"/>
  <pageMargins left="0.7" right="0.7" top="0.75" bottom="0.75" header="0.3" footer="0.3"/>
  <pageSetup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8D7DC-5049-42D9-8F13-D46FE133AE05}">
  <sheetPr>
    <tabColor rgb="FF50F828"/>
  </sheetPr>
  <dimension ref="A1:U997"/>
  <sheetViews>
    <sheetView topLeftCell="A45" zoomScale="55" zoomScaleNormal="55" workbookViewId="0">
      <selection activeCell="A64" sqref="A64:O64"/>
    </sheetView>
  </sheetViews>
  <sheetFormatPr baseColWidth="10" defaultColWidth="14.42578125" defaultRowHeight="15" customHeight="1"/>
  <cols>
    <col min="1" max="1" width="17.5703125" style="3" customWidth="1"/>
    <col min="2" max="2" width="12.7109375" style="3" customWidth="1"/>
    <col min="3" max="3" width="15.7109375" style="3" customWidth="1"/>
    <col min="4" max="4" width="24.28515625" style="3" customWidth="1"/>
    <col min="5" max="5" width="52.28515625" style="3" customWidth="1"/>
    <col min="6" max="6" width="49.28515625" style="3" customWidth="1"/>
    <col min="7" max="7" width="15.28515625" style="3" customWidth="1"/>
    <col min="8" max="8" width="13.28515625" style="3" customWidth="1"/>
    <col min="9" max="9" width="15.7109375" style="3" customWidth="1"/>
    <col min="10" max="10" width="27.42578125" style="3" customWidth="1"/>
    <col min="11" max="11" width="19.28515625" style="3" customWidth="1"/>
    <col min="12" max="12" width="20.28515625" style="3" bestFit="1" customWidth="1"/>
    <col min="13" max="13" width="23.42578125" style="3" bestFit="1" customWidth="1"/>
    <col min="14" max="14" width="15.7109375" style="3" customWidth="1"/>
    <col min="15" max="15" width="14.7109375" style="3" customWidth="1"/>
    <col min="16" max="16" width="26" style="3" customWidth="1"/>
    <col min="17" max="17" width="6.28515625" style="1" bestFit="1" customWidth="1"/>
    <col min="18" max="18" width="10" style="2" bestFit="1" customWidth="1"/>
    <col min="19" max="16384" width="14.42578125" style="3"/>
  </cols>
  <sheetData>
    <row r="1" spans="1:21" ht="25.5">
      <c r="A1" s="233" t="s">
        <v>8</v>
      </c>
      <c r="B1" s="234"/>
      <c r="C1" s="234"/>
      <c r="D1" s="234"/>
      <c r="E1" s="234"/>
      <c r="F1" s="234"/>
      <c r="G1" s="234"/>
      <c r="H1" s="234"/>
      <c r="I1" s="234"/>
      <c r="J1" s="234"/>
      <c r="K1" s="234"/>
      <c r="L1" s="234"/>
      <c r="M1" s="234"/>
      <c r="N1" s="234"/>
      <c r="O1" s="234"/>
      <c r="P1" s="235"/>
    </row>
    <row r="2" spans="1:21" ht="25.5">
      <c r="A2" s="236" t="str">
        <f>+RESUMEN!D5</f>
        <v>24001025 H2 DE 2024</v>
      </c>
      <c r="B2" s="237"/>
      <c r="C2" s="237"/>
      <c r="D2" s="237"/>
      <c r="E2" s="237"/>
      <c r="F2" s="237"/>
      <c r="G2" s="237"/>
      <c r="H2" s="237"/>
      <c r="I2" s="237"/>
      <c r="J2" s="237"/>
      <c r="K2" s="237"/>
      <c r="L2" s="237"/>
      <c r="M2" s="237"/>
      <c r="N2" s="237"/>
      <c r="O2" s="237"/>
      <c r="P2" s="238"/>
    </row>
    <row r="3" spans="1:21" ht="60" customHeight="1">
      <c r="A3" s="239" t="str">
        <f>+RESUMEN!G5</f>
        <v>ADQUIRIR, INSTALAR, COMISIONAR Y PONER EN FUNCIONAMIENTO LA RENOVACIÓN DE UN SISTEMA DE VIGILANCIA PSR /MSSR -MODO S ENHANCED Y ADSB INTEGRADO REDUNDANTE DE ÚLTIMA TECNOLOGÍA, UBICADO EN EL SECTOR DE PICACHO.</v>
      </c>
      <c r="B3" s="240"/>
      <c r="C3" s="240"/>
      <c r="D3" s="240"/>
      <c r="E3" s="240"/>
      <c r="F3" s="240"/>
      <c r="G3" s="240"/>
      <c r="H3" s="240"/>
      <c r="I3" s="240"/>
      <c r="J3" s="241"/>
      <c r="K3" s="241"/>
      <c r="L3" s="241"/>
      <c r="M3" s="241"/>
      <c r="N3" s="241"/>
      <c r="O3" s="241"/>
      <c r="P3" s="242"/>
    </row>
    <row r="4" spans="1:21" s="6" customFormat="1" ht="19.5" customHeight="1">
      <c r="A4" s="243">
        <v>1</v>
      </c>
      <c r="B4" s="246" t="str">
        <f>VLOOKUP(A4,RESUMEN!$C$8:$F$22,2)</f>
        <v>UNION TEMPORAL RADAR GEA 2024</v>
      </c>
      <c r="C4" s="247"/>
      <c r="D4" s="247"/>
      <c r="E4" s="247"/>
      <c r="F4" s="247"/>
      <c r="G4" s="247"/>
      <c r="H4" s="247"/>
      <c r="I4" s="247"/>
      <c r="J4" s="251" t="s">
        <v>9</v>
      </c>
      <c r="K4" s="252"/>
      <c r="L4" s="252"/>
      <c r="M4" s="252"/>
      <c r="N4" s="252"/>
      <c r="O4" s="253"/>
      <c r="P4" s="43" t="s">
        <v>10</v>
      </c>
      <c r="Q4" s="4"/>
      <c r="R4" s="5"/>
    </row>
    <row r="5" spans="1:21" s="6" customFormat="1" ht="19.5" customHeight="1">
      <c r="A5" s="244"/>
      <c r="B5" s="248"/>
      <c r="C5" s="249"/>
      <c r="D5" s="249"/>
      <c r="E5" s="249"/>
      <c r="F5" s="249"/>
      <c r="G5" s="249"/>
      <c r="H5" s="249"/>
      <c r="I5" s="249"/>
      <c r="J5" s="254" t="s">
        <v>123</v>
      </c>
      <c r="K5" s="255"/>
      <c r="L5" s="255"/>
      <c r="M5" s="255"/>
      <c r="N5" s="255"/>
      <c r="O5" s="256"/>
      <c r="P5" s="119">
        <v>0.4</v>
      </c>
      <c r="Q5" s="4"/>
      <c r="R5" s="5"/>
      <c r="S5" s="88"/>
      <c r="T5" s="88"/>
      <c r="U5" s="88"/>
    </row>
    <row r="6" spans="1:21" s="6" customFormat="1" ht="19.5" customHeight="1">
      <c r="A6" s="244"/>
      <c r="B6" s="248"/>
      <c r="C6" s="249"/>
      <c r="D6" s="249"/>
      <c r="E6" s="249"/>
      <c r="F6" s="249"/>
      <c r="G6" s="249"/>
      <c r="H6" s="249"/>
      <c r="I6" s="249"/>
      <c r="J6" s="254" t="s">
        <v>119</v>
      </c>
      <c r="K6" s="255"/>
      <c r="L6" s="255"/>
      <c r="M6" s="255"/>
      <c r="N6" s="255"/>
      <c r="O6" s="256"/>
      <c r="P6" s="119">
        <v>0.35</v>
      </c>
      <c r="Q6" s="4"/>
      <c r="R6" s="5"/>
      <c r="S6" s="88"/>
      <c r="T6" s="88"/>
      <c r="U6" s="88"/>
    </row>
    <row r="7" spans="1:21" s="6" customFormat="1" ht="19.5" customHeight="1">
      <c r="A7" s="244"/>
      <c r="B7" s="248"/>
      <c r="C7" s="249"/>
      <c r="D7" s="249"/>
      <c r="E7" s="249"/>
      <c r="F7" s="249"/>
      <c r="G7" s="249"/>
      <c r="H7" s="249"/>
      <c r="I7" s="249"/>
      <c r="J7" s="254" t="s">
        <v>124</v>
      </c>
      <c r="K7" s="255"/>
      <c r="L7" s="255"/>
      <c r="M7" s="255"/>
      <c r="N7" s="255"/>
      <c r="O7" s="256"/>
      <c r="P7" s="119">
        <v>0.25</v>
      </c>
      <c r="Q7" s="4"/>
      <c r="R7" s="5"/>
      <c r="S7" s="88"/>
      <c r="T7" s="88"/>
      <c r="U7" s="88"/>
    </row>
    <row r="8" spans="1:21" s="6" customFormat="1" ht="19.5" customHeight="1">
      <c r="A8" s="244"/>
      <c r="B8" s="248"/>
      <c r="C8" s="249"/>
      <c r="D8" s="249"/>
      <c r="E8" s="249"/>
      <c r="F8" s="249"/>
      <c r="G8" s="249"/>
      <c r="H8" s="249"/>
      <c r="I8" s="249"/>
      <c r="J8" s="254"/>
      <c r="K8" s="255"/>
      <c r="L8" s="255"/>
      <c r="M8" s="255"/>
      <c r="N8" s="255"/>
      <c r="O8" s="256"/>
      <c r="P8" s="119"/>
      <c r="Q8" s="4"/>
      <c r="R8" s="5"/>
    </row>
    <row r="9" spans="1:21" s="6" customFormat="1" ht="21" customHeight="1">
      <c r="A9" s="245"/>
      <c r="B9" s="248"/>
      <c r="C9" s="249"/>
      <c r="D9" s="249"/>
      <c r="E9" s="249"/>
      <c r="F9" s="249"/>
      <c r="G9" s="249"/>
      <c r="H9" s="249"/>
      <c r="I9" s="250"/>
      <c r="J9" s="257" t="s">
        <v>11</v>
      </c>
      <c r="K9" s="258"/>
      <c r="L9" s="258"/>
      <c r="M9" s="258"/>
      <c r="N9" s="258"/>
      <c r="O9" s="259"/>
      <c r="P9" s="44">
        <f>SUM(P5:P8)</f>
        <v>1</v>
      </c>
      <c r="Q9" s="7"/>
      <c r="R9" s="5"/>
    </row>
    <row r="10" spans="1:21" s="6" customFormat="1" ht="65.099999999999994" customHeight="1">
      <c r="A10" s="104" t="s">
        <v>69</v>
      </c>
      <c r="B10" s="260" t="s">
        <v>109</v>
      </c>
      <c r="C10" s="260"/>
      <c r="D10" s="261" t="s">
        <v>56</v>
      </c>
      <c r="E10" s="261"/>
      <c r="F10" s="261"/>
      <c r="G10" s="261"/>
      <c r="H10" s="261"/>
      <c r="I10" s="261"/>
      <c r="J10" s="262">
        <f>RESUMEN!T5</f>
        <v>42835765122</v>
      </c>
      <c r="K10" s="263"/>
      <c r="L10" s="264" t="s">
        <v>70</v>
      </c>
      <c r="M10" s="265"/>
      <c r="N10" s="105">
        <f>P72</f>
        <v>30.25</v>
      </c>
      <c r="O10" s="106" t="s">
        <v>12</v>
      </c>
      <c r="P10" s="107">
        <f>N10*100%</f>
        <v>30.25</v>
      </c>
      <c r="Q10" s="8"/>
      <c r="R10" s="5"/>
      <c r="T10" s="64"/>
    </row>
    <row r="11" spans="1:21" s="6" customFormat="1" ht="26.25">
      <c r="A11" s="216" t="s">
        <v>14</v>
      </c>
      <c r="B11" s="217"/>
      <c r="C11" s="217"/>
      <c r="D11" s="217"/>
      <c r="E11" s="217"/>
      <c r="F11" s="217"/>
      <c r="G11" s="217"/>
      <c r="H11" s="217"/>
      <c r="I11" s="217"/>
      <c r="J11" s="217"/>
      <c r="K11" s="217"/>
      <c r="L11" s="217"/>
      <c r="M11" s="217"/>
      <c r="N11" s="217"/>
      <c r="O11" s="217"/>
      <c r="P11" s="217"/>
      <c r="Q11" s="4"/>
      <c r="R11" s="5"/>
    </row>
    <row r="12" spans="1:21" s="6" customFormat="1" ht="26.25">
      <c r="A12" s="224" t="s">
        <v>57</v>
      </c>
      <c r="B12" s="224"/>
      <c r="C12" s="224"/>
      <c r="D12" s="224"/>
      <c r="E12" s="224"/>
      <c r="F12" s="224"/>
      <c r="G12" s="224"/>
      <c r="H12" s="224"/>
      <c r="I12" s="224"/>
      <c r="J12" s="224"/>
      <c r="K12" s="224"/>
      <c r="L12" s="224"/>
      <c r="M12" s="224"/>
      <c r="N12" s="224"/>
      <c r="O12" s="225" t="s">
        <v>15</v>
      </c>
      <c r="P12" s="225"/>
      <c r="Q12" s="4"/>
      <c r="R12" s="5"/>
    </row>
    <row r="13" spans="1:21" s="6" customFormat="1" ht="115.9" customHeight="1">
      <c r="A13" s="226" t="s">
        <v>108</v>
      </c>
      <c r="B13" s="226"/>
      <c r="C13" s="226"/>
      <c r="D13" s="226"/>
      <c r="E13" s="226"/>
      <c r="F13" s="226"/>
      <c r="G13" s="226"/>
      <c r="H13" s="226"/>
      <c r="I13" s="226"/>
      <c r="J13" s="226"/>
      <c r="K13" s="226"/>
      <c r="L13" s="226"/>
      <c r="M13" s="226"/>
      <c r="N13" s="226"/>
      <c r="O13" s="227" t="str">
        <f>IF(AND(O21&gt;=$P$10,O21&lt;&gt;0),"CUMPLE", "NO CUMPLE")</f>
        <v>CUMPLE</v>
      </c>
      <c r="P13" s="227"/>
      <c r="Q13" s="4"/>
      <c r="R13" s="5"/>
    </row>
    <row r="14" spans="1:21" s="6" customFormat="1" ht="102" customHeight="1">
      <c r="A14" s="126" t="s">
        <v>13</v>
      </c>
      <c r="B14" s="126" t="s">
        <v>16</v>
      </c>
      <c r="C14" s="126" t="s">
        <v>58</v>
      </c>
      <c r="D14" s="126" t="s">
        <v>17</v>
      </c>
      <c r="E14" s="228" t="s">
        <v>2</v>
      </c>
      <c r="F14" s="228"/>
      <c r="G14" s="126" t="s">
        <v>18</v>
      </c>
      <c r="H14" s="126" t="str">
        <f>"CUMPLE CODIGOS?
"&amp;B10</f>
        <v>CUMPLE CODIGOS?
41115200
43221700
46171600</v>
      </c>
      <c r="I14" s="126" t="s">
        <v>19</v>
      </c>
      <c r="J14" s="126" t="s">
        <v>20</v>
      </c>
      <c r="K14" s="126" t="s">
        <v>21</v>
      </c>
      <c r="L14" s="126" t="s">
        <v>22</v>
      </c>
      <c r="M14" s="126" t="s">
        <v>23</v>
      </c>
      <c r="N14" s="126" t="s">
        <v>24</v>
      </c>
      <c r="O14" s="126" t="s">
        <v>25</v>
      </c>
      <c r="P14" s="126" t="s">
        <v>26</v>
      </c>
      <c r="Q14" s="9"/>
      <c r="R14" s="10"/>
    </row>
    <row r="15" spans="1:21" s="6" customFormat="1" ht="27" customHeight="1">
      <c r="A15" s="229">
        <f>+P10</f>
        <v>30.25</v>
      </c>
      <c r="B15" s="69" t="s">
        <v>27</v>
      </c>
      <c r="C15" s="101">
        <v>13</v>
      </c>
      <c r="D15" s="101" t="s">
        <v>121</v>
      </c>
      <c r="E15" s="184" t="s">
        <v>113</v>
      </c>
      <c r="F15" s="184"/>
      <c r="G15" s="108" t="s">
        <v>114</v>
      </c>
      <c r="H15" s="108" t="s">
        <v>114</v>
      </c>
      <c r="I15" s="108" t="s">
        <v>114</v>
      </c>
      <c r="J15" s="109" t="s">
        <v>115</v>
      </c>
      <c r="K15" s="97">
        <v>41255</v>
      </c>
      <c r="L15" s="98">
        <v>11252522217</v>
      </c>
      <c r="M15" s="99">
        <v>19856.22</v>
      </c>
      <c r="N15" s="138">
        <v>0.749</v>
      </c>
      <c r="O15" s="59">
        <f>IF(AND(H15="SI",I15="SI")=TRUE,M15*N15,"")</f>
        <v>14872.308780000001</v>
      </c>
      <c r="P15" s="103" t="s">
        <v>116</v>
      </c>
      <c r="Q15" s="11"/>
      <c r="R15" s="5"/>
    </row>
    <row r="16" spans="1:21" s="46" customFormat="1" ht="27" customHeight="1">
      <c r="A16" s="229"/>
      <c r="B16" s="69" t="s">
        <v>28</v>
      </c>
      <c r="C16" s="101">
        <v>17</v>
      </c>
      <c r="D16" s="101" t="s">
        <v>121</v>
      </c>
      <c r="E16" s="184" t="s">
        <v>117</v>
      </c>
      <c r="F16" s="184"/>
      <c r="G16" s="108" t="s">
        <v>114</v>
      </c>
      <c r="H16" s="108" t="s">
        <v>114</v>
      </c>
      <c r="I16" s="108" t="s">
        <v>114</v>
      </c>
      <c r="J16" s="109" t="s">
        <v>115</v>
      </c>
      <c r="K16" s="97">
        <v>41273</v>
      </c>
      <c r="L16" s="98">
        <v>7204684577</v>
      </c>
      <c r="M16" s="99">
        <v>12713.4</v>
      </c>
      <c r="N16" s="138">
        <v>0.749</v>
      </c>
      <c r="O16" s="59">
        <f t="shared" ref="O16:O20" si="0">IF(AND(H16="SI",I16="SI")=TRUE,M16*N16,"")</f>
        <v>9522.3366000000005</v>
      </c>
      <c r="P16" s="103" t="s">
        <v>116</v>
      </c>
      <c r="Q16" s="57"/>
      <c r="R16" s="45"/>
    </row>
    <row r="17" spans="1:19" s="6" customFormat="1" ht="27" customHeight="1">
      <c r="A17" s="229"/>
      <c r="B17" s="69" t="s">
        <v>29</v>
      </c>
      <c r="C17" s="101">
        <v>34</v>
      </c>
      <c r="D17" s="101" t="s">
        <v>121</v>
      </c>
      <c r="E17" s="184" t="s">
        <v>118</v>
      </c>
      <c r="F17" s="184"/>
      <c r="G17" s="108" t="s">
        <v>114</v>
      </c>
      <c r="H17" s="108" t="s">
        <v>114</v>
      </c>
      <c r="I17" s="108" t="s">
        <v>114</v>
      </c>
      <c r="J17" s="109" t="s">
        <v>115</v>
      </c>
      <c r="K17" s="97">
        <v>43069</v>
      </c>
      <c r="L17" s="98">
        <v>19035632059</v>
      </c>
      <c r="M17" s="99">
        <v>25803.43</v>
      </c>
      <c r="N17" s="138">
        <v>1</v>
      </c>
      <c r="O17" s="59">
        <f t="shared" si="0"/>
        <v>25803.43</v>
      </c>
      <c r="P17" s="103" t="s">
        <v>116</v>
      </c>
      <c r="Q17" s="11"/>
      <c r="R17" s="5"/>
    </row>
    <row r="18" spans="1:19" s="6" customFormat="1" ht="35.65" customHeight="1">
      <c r="A18" s="229"/>
      <c r="B18" s="69"/>
      <c r="C18" s="108"/>
      <c r="D18" s="101"/>
      <c r="E18" s="208"/>
      <c r="F18" s="208"/>
      <c r="G18" s="95"/>
      <c r="H18" s="108"/>
      <c r="I18" s="95"/>
      <c r="J18" s="129"/>
      <c r="K18" s="97"/>
      <c r="L18" s="98"/>
      <c r="M18" s="99"/>
      <c r="N18" s="100"/>
      <c r="O18" s="59"/>
      <c r="P18" s="103"/>
      <c r="Q18" s="11"/>
      <c r="R18" s="5"/>
    </row>
    <row r="19" spans="1:19" s="6" customFormat="1" ht="28.15" customHeight="1">
      <c r="A19" s="229"/>
      <c r="B19" s="69"/>
      <c r="C19" s="108"/>
      <c r="D19" s="101"/>
      <c r="E19" s="208"/>
      <c r="F19" s="208"/>
      <c r="G19" s="95"/>
      <c r="H19" s="108"/>
      <c r="I19" s="95"/>
      <c r="J19" s="129"/>
      <c r="K19" s="97"/>
      <c r="L19" s="98"/>
      <c r="M19" s="99"/>
      <c r="N19" s="100"/>
      <c r="O19" s="59"/>
      <c r="P19" s="103"/>
      <c r="Q19" s="11"/>
      <c r="R19" s="5"/>
    </row>
    <row r="20" spans="1:19" s="6" customFormat="1" ht="18">
      <c r="A20" s="229"/>
      <c r="B20" s="69"/>
      <c r="C20" s="108"/>
      <c r="D20" s="127"/>
      <c r="E20" s="208"/>
      <c r="F20" s="208"/>
      <c r="G20" s="95"/>
      <c r="H20" s="95"/>
      <c r="I20" s="95"/>
      <c r="J20" s="129"/>
      <c r="K20" s="97"/>
      <c r="L20" s="98"/>
      <c r="M20" s="99"/>
      <c r="N20" s="100"/>
      <c r="O20" s="59" t="str">
        <f t="shared" si="0"/>
        <v/>
      </c>
      <c r="P20" s="103"/>
      <c r="Q20" s="11"/>
      <c r="R20" s="5"/>
    </row>
    <row r="21" spans="1:19" s="6" customFormat="1" ht="26.25">
      <c r="A21" s="209"/>
      <c r="B21" s="210"/>
      <c r="C21" s="210"/>
      <c r="D21" s="210"/>
      <c r="E21" s="210"/>
      <c r="F21" s="210"/>
      <c r="G21" s="210"/>
      <c r="H21" s="210"/>
      <c r="I21" s="210"/>
      <c r="J21" s="211"/>
      <c r="K21" s="212" t="s">
        <v>30</v>
      </c>
      <c r="L21" s="213"/>
      <c r="M21" s="213"/>
      <c r="N21" s="214"/>
      <c r="O21" s="215">
        <f>SUMIF(P15:P20,"CUMPLE",O15:O20)</f>
        <v>50198.075380000002</v>
      </c>
      <c r="P21" s="215"/>
      <c r="Q21" s="11"/>
      <c r="R21" s="5"/>
      <c r="S21" s="65"/>
    </row>
    <row r="22" spans="1:19" s="6" customFormat="1" ht="93" customHeight="1">
      <c r="A22" s="26" t="s">
        <v>31</v>
      </c>
      <c r="B22" s="223"/>
      <c r="C22" s="223"/>
      <c r="D22" s="223"/>
      <c r="E22" s="223"/>
      <c r="F22" s="223"/>
      <c r="G22" s="223"/>
      <c r="H22" s="223"/>
      <c r="I22" s="223"/>
      <c r="J22" s="223"/>
      <c r="K22" s="223"/>
      <c r="L22" s="223"/>
      <c r="M22" s="223"/>
      <c r="N22" s="223"/>
      <c r="O22" s="223"/>
      <c r="P22" s="223"/>
      <c r="Q22" s="11"/>
      <c r="R22" s="5"/>
    </row>
    <row r="23" spans="1:19" s="92" customFormat="1" ht="26.25">
      <c r="A23" s="193" t="s">
        <v>59</v>
      </c>
      <c r="B23" s="222"/>
      <c r="C23" s="222"/>
      <c r="D23" s="222"/>
      <c r="E23" s="222"/>
      <c r="F23" s="222"/>
      <c r="G23" s="222"/>
      <c r="H23" s="222"/>
      <c r="I23" s="222"/>
      <c r="J23" s="222"/>
      <c r="K23" s="222"/>
      <c r="L23" s="222"/>
      <c r="M23" s="222"/>
      <c r="N23" s="222"/>
      <c r="O23" s="225" t="s">
        <v>15</v>
      </c>
      <c r="P23" s="225"/>
      <c r="Q23" s="90"/>
      <c r="R23" s="91"/>
    </row>
    <row r="24" spans="1:19" s="6" customFormat="1" ht="183" customHeight="1">
      <c r="A24" s="230" t="s">
        <v>110</v>
      </c>
      <c r="B24" s="230"/>
      <c r="C24" s="230"/>
      <c r="D24" s="230"/>
      <c r="E24" s="230"/>
      <c r="F24" s="230"/>
      <c r="G24" s="230"/>
      <c r="H24" s="230"/>
      <c r="I24" s="230"/>
      <c r="J24" s="230"/>
      <c r="K24" s="230"/>
      <c r="L24" s="230"/>
      <c r="M24" s="230"/>
      <c r="N24" s="230"/>
      <c r="O24" s="227" t="str">
        <f>IF(AND(O34&gt;=$P$10,O34&lt;&gt;0),"CUMPLE","NO CUMPLE")</f>
        <v>CUMPLE</v>
      </c>
      <c r="P24" s="227"/>
      <c r="Q24" s="12"/>
      <c r="R24" s="5"/>
    </row>
    <row r="25" spans="1:19" s="6" customFormat="1" ht="76.5">
      <c r="A25" s="89" t="s">
        <v>61</v>
      </c>
      <c r="B25" s="126" t="s">
        <v>16</v>
      </c>
      <c r="C25" s="126" t="s">
        <v>58</v>
      </c>
      <c r="D25" s="126" t="s">
        <v>17</v>
      </c>
      <c r="E25" s="228" t="s">
        <v>2</v>
      </c>
      <c r="F25" s="228"/>
      <c r="G25" s="126" t="s">
        <v>32</v>
      </c>
      <c r="H25" s="126" t="s">
        <v>60</v>
      </c>
      <c r="I25" s="126" t="s">
        <v>33</v>
      </c>
      <c r="J25" s="126" t="s">
        <v>20</v>
      </c>
      <c r="K25" s="126" t="s">
        <v>21</v>
      </c>
      <c r="L25" s="126" t="s">
        <v>53</v>
      </c>
      <c r="M25" s="126" t="s">
        <v>23</v>
      </c>
      <c r="N25" s="126" t="s">
        <v>24</v>
      </c>
      <c r="O25" s="126" t="s">
        <v>25</v>
      </c>
      <c r="P25" s="126" t="s">
        <v>26</v>
      </c>
      <c r="Q25" s="9"/>
      <c r="R25" s="10"/>
    </row>
    <row r="26" spans="1:19" s="6" customFormat="1" ht="52.9" customHeight="1">
      <c r="A26" s="231">
        <v>1</v>
      </c>
      <c r="B26" s="218" t="s">
        <v>27</v>
      </c>
      <c r="C26" s="101">
        <v>13</v>
      </c>
      <c r="D26" s="101" t="s">
        <v>121</v>
      </c>
      <c r="E26" s="184" t="s">
        <v>113</v>
      </c>
      <c r="F26" s="184"/>
      <c r="G26" s="95" t="s">
        <v>114</v>
      </c>
      <c r="H26" s="95" t="s">
        <v>114</v>
      </c>
      <c r="I26" s="95" t="s">
        <v>114</v>
      </c>
      <c r="J26" s="96" t="s">
        <v>133</v>
      </c>
      <c r="K26" s="97">
        <v>41255</v>
      </c>
      <c r="L26" s="98">
        <v>11252522217</v>
      </c>
      <c r="M26" s="99">
        <v>19856.22</v>
      </c>
      <c r="N26" s="138">
        <v>0.749</v>
      </c>
      <c r="O26" s="59">
        <f t="shared" ref="O26:O33" si="1">IF(AND(H26="SI",I26="SI")=TRUE,M26*N26,"")</f>
        <v>14872.308780000001</v>
      </c>
      <c r="P26" s="103" t="s">
        <v>116</v>
      </c>
      <c r="Q26" s="11"/>
      <c r="R26" s="5"/>
    </row>
    <row r="27" spans="1:19" s="6" customFormat="1" ht="52.9" customHeight="1">
      <c r="A27" s="232"/>
      <c r="B27" s="219"/>
      <c r="C27" s="101">
        <v>129</v>
      </c>
      <c r="D27" s="101" t="s">
        <v>121</v>
      </c>
      <c r="E27" s="184" t="s">
        <v>113</v>
      </c>
      <c r="F27" s="184"/>
      <c r="G27" s="95" t="s">
        <v>114</v>
      </c>
      <c r="H27" s="95" t="s">
        <v>114</v>
      </c>
      <c r="I27" s="95" t="s">
        <v>114</v>
      </c>
      <c r="J27" s="96" t="s">
        <v>134</v>
      </c>
      <c r="K27" s="97">
        <v>41255</v>
      </c>
      <c r="L27" s="98">
        <v>11252522217</v>
      </c>
      <c r="M27" s="99">
        <v>19856.22</v>
      </c>
      <c r="N27" s="138">
        <v>0.25</v>
      </c>
      <c r="O27" s="59">
        <f t="shared" ref="O27" si="2">IF(AND(H27="SI",I27="SI")=TRUE,M27*N27,"")</f>
        <v>4964.0550000000003</v>
      </c>
      <c r="P27" s="103" t="s">
        <v>116</v>
      </c>
      <c r="Q27" s="11"/>
      <c r="R27" s="5"/>
    </row>
    <row r="28" spans="1:19" s="46" customFormat="1" ht="52.9" customHeight="1">
      <c r="A28" s="220">
        <v>2</v>
      </c>
      <c r="B28" s="218" t="s">
        <v>28</v>
      </c>
      <c r="C28" s="101">
        <v>17</v>
      </c>
      <c r="D28" s="101" t="s">
        <v>121</v>
      </c>
      <c r="E28" s="184" t="s">
        <v>117</v>
      </c>
      <c r="F28" s="184"/>
      <c r="G28" s="129" t="s">
        <v>114</v>
      </c>
      <c r="H28" s="95" t="s">
        <v>114</v>
      </c>
      <c r="I28" s="129" t="s">
        <v>114</v>
      </c>
      <c r="J28" s="96" t="s">
        <v>135</v>
      </c>
      <c r="K28" s="97">
        <v>41273</v>
      </c>
      <c r="L28" s="98">
        <v>7204684577</v>
      </c>
      <c r="M28" s="99">
        <v>12713.4</v>
      </c>
      <c r="N28" s="138">
        <v>0.749</v>
      </c>
      <c r="O28" s="59">
        <f t="shared" si="1"/>
        <v>9522.3366000000005</v>
      </c>
      <c r="P28" s="103" t="s">
        <v>116</v>
      </c>
      <c r="Q28" s="57"/>
      <c r="R28" s="45"/>
    </row>
    <row r="29" spans="1:19" s="46" customFormat="1" ht="52.9" customHeight="1">
      <c r="A29" s="221"/>
      <c r="B29" s="219"/>
      <c r="C29" s="101">
        <v>46</v>
      </c>
      <c r="D29" s="101" t="s">
        <v>121</v>
      </c>
      <c r="E29" s="184" t="s">
        <v>117</v>
      </c>
      <c r="F29" s="184"/>
      <c r="G29" s="137" t="s">
        <v>114</v>
      </c>
      <c r="H29" s="95" t="s">
        <v>114</v>
      </c>
      <c r="I29" s="137" t="s">
        <v>114</v>
      </c>
      <c r="J29" s="96" t="s">
        <v>134</v>
      </c>
      <c r="K29" s="97">
        <v>41273</v>
      </c>
      <c r="L29" s="98">
        <v>7204684577</v>
      </c>
      <c r="M29" s="99">
        <v>12713.4</v>
      </c>
      <c r="N29" s="138">
        <v>0.25</v>
      </c>
      <c r="O29" s="59">
        <f t="shared" ref="O29" si="3">IF(AND(H29="SI",I29="SI")=TRUE,M29*N29,"")</f>
        <v>3178.35</v>
      </c>
      <c r="P29" s="103" t="s">
        <v>116</v>
      </c>
      <c r="Q29" s="57"/>
      <c r="R29" s="45"/>
    </row>
    <row r="30" spans="1:19" s="61" customFormat="1" ht="52.9" customHeight="1">
      <c r="A30" s="37">
        <v>3</v>
      </c>
      <c r="B30" s="69" t="s">
        <v>29</v>
      </c>
      <c r="C30" s="101">
        <v>40</v>
      </c>
      <c r="D30" s="101" t="s">
        <v>121</v>
      </c>
      <c r="E30" s="184" t="s">
        <v>120</v>
      </c>
      <c r="F30" s="184"/>
      <c r="G30" s="95" t="s">
        <v>114</v>
      </c>
      <c r="H30" s="95" t="s">
        <v>114</v>
      </c>
      <c r="I30" s="95" t="s">
        <v>114</v>
      </c>
      <c r="J30" s="136" t="s">
        <v>119</v>
      </c>
      <c r="K30" s="97">
        <v>44757</v>
      </c>
      <c r="L30" s="98">
        <v>6536693800</v>
      </c>
      <c r="M30" s="99">
        <v>6536.69</v>
      </c>
      <c r="N30" s="138">
        <v>0.9</v>
      </c>
      <c r="O30" s="59">
        <f t="shared" si="1"/>
        <v>5883.0209999999997</v>
      </c>
      <c r="P30" s="103" t="s">
        <v>116</v>
      </c>
      <c r="Q30" s="11"/>
      <c r="R30" s="60"/>
    </row>
    <row r="31" spans="1:19" s="63" customFormat="1" ht="18">
      <c r="A31" s="58">
        <v>4</v>
      </c>
      <c r="B31" s="69"/>
      <c r="C31" s="95"/>
      <c r="D31" s="128"/>
      <c r="E31" s="208"/>
      <c r="F31" s="208"/>
      <c r="G31" s="95"/>
      <c r="H31" s="129"/>
      <c r="I31" s="95"/>
      <c r="J31" s="129"/>
      <c r="K31" s="97"/>
      <c r="L31" s="98"/>
      <c r="M31" s="99"/>
      <c r="N31" s="100"/>
      <c r="O31" s="59" t="str">
        <f t="shared" si="1"/>
        <v/>
      </c>
      <c r="P31" s="103"/>
      <c r="Q31" s="57"/>
      <c r="R31" s="62"/>
    </row>
    <row r="32" spans="1:19" s="61" customFormat="1" ht="18">
      <c r="A32" s="37">
        <v>5</v>
      </c>
      <c r="B32" s="69"/>
      <c r="C32" s="129"/>
      <c r="D32" s="102"/>
      <c r="E32" s="208"/>
      <c r="F32" s="208"/>
      <c r="G32" s="129"/>
      <c r="H32" s="129"/>
      <c r="I32" s="129"/>
      <c r="J32" s="129"/>
      <c r="K32" s="97"/>
      <c r="L32" s="98"/>
      <c r="M32" s="99"/>
      <c r="N32" s="100"/>
      <c r="O32" s="59" t="str">
        <f t="shared" si="1"/>
        <v/>
      </c>
      <c r="P32" s="103"/>
      <c r="Q32" s="11"/>
      <c r="R32" s="60"/>
    </row>
    <row r="33" spans="1:18" s="6" customFormat="1" ht="18">
      <c r="A33" s="58">
        <v>6</v>
      </c>
      <c r="B33" s="69"/>
      <c r="C33" s="129"/>
      <c r="D33" s="127"/>
      <c r="E33" s="184"/>
      <c r="F33" s="184"/>
      <c r="G33" s="129"/>
      <c r="H33" s="129"/>
      <c r="I33" s="129"/>
      <c r="J33" s="101"/>
      <c r="K33" s="97"/>
      <c r="L33" s="98"/>
      <c r="M33" s="99"/>
      <c r="N33" s="100"/>
      <c r="O33" s="59" t="str">
        <f t="shared" si="1"/>
        <v/>
      </c>
      <c r="P33" s="103"/>
      <c r="Q33" s="11"/>
      <c r="R33" s="67"/>
    </row>
    <row r="34" spans="1:18" s="6" customFormat="1" ht="26.25">
      <c r="A34" s="209"/>
      <c r="B34" s="210"/>
      <c r="C34" s="210"/>
      <c r="D34" s="210"/>
      <c r="E34" s="210"/>
      <c r="F34" s="210"/>
      <c r="G34" s="210"/>
      <c r="H34" s="210"/>
      <c r="I34" s="210"/>
      <c r="J34" s="211"/>
      <c r="K34" s="212" t="s">
        <v>30</v>
      </c>
      <c r="L34" s="213"/>
      <c r="M34" s="213"/>
      <c r="N34" s="214"/>
      <c r="O34" s="215">
        <f>SUMIF(P26:P33,"CUMPLE",O26:O33)</f>
        <v>38420.071380000001</v>
      </c>
      <c r="P34" s="215"/>
      <c r="Q34" s="13"/>
      <c r="R34" s="5"/>
    </row>
    <row r="35" spans="1:18" s="6" customFormat="1" ht="87" customHeight="1">
      <c r="A35" s="186" t="s">
        <v>31</v>
      </c>
      <c r="B35" s="186"/>
      <c r="C35" s="187"/>
      <c r="D35" s="187"/>
      <c r="E35" s="187"/>
      <c r="F35" s="187"/>
      <c r="G35" s="187"/>
      <c r="H35" s="187"/>
      <c r="I35" s="187"/>
      <c r="J35" s="187"/>
      <c r="K35" s="187"/>
      <c r="L35" s="187"/>
      <c r="M35" s="187"/>
      <c r="N35" s="187"/>
      <c r="O35" s="187"/>
      <c r="P35" s="187"/>
      <c r="Q35" s="7"/>
      <c r="R35" s="66"/>
    </row>
    <row r="36" spans="1:18" s="6" customFormat="1" ht="26.25">
      <c r="A36" s="216" t="s">
        <v>62</v>
      </c>
      <c r="B36" s="217"/>
      <c r="C36" s="217"/>
      <c r="D36" s="217"/>
      <c r="E36" s="217"/>
      <c r="F36" s="217"/>
      <c r="G36" s="217"/>
      <c r="H36" s="217"/>
      <c r="I36" s="217"/>
      <c r="J36" s="217"/>
      <c r="K36" s="217"/>
      <c r="L36" s="217"/>
      <c r="M36" s="217"/>
      <c r="N36" s="217"/>
      <c r="O36" s="217"/>
      <c r="P36" s="217"/>
      <c r="Q36" s="13"/>
      <c r="R36" s="5"/>
    </row>
    <row r="37" spans="1:18" s="6" customFormat="1" ht="52.5">
      <c r="A37" s="193" t="s">
        <v>63</v>
      </c>
      <c r="B37" s="193"/>
      <c r="C37" s="193"/>
      <c r="D37" s="193"/>
      <c r="E37" s="193"/>
      <c r="F37" s="193"/>
      <c r="G37" s="193"/>
      <c r="H37" s="193"/>
      <c r="I37" s="193"/>
      <c r="J37" s="193"/>
      <c r="K37" s="193"/>
      <c r="L37" s="193"/>
      <c r="M37" s="193"/>
      <c r="N37" s="193"/>
      <c r="O37" s="193"/>
      <c r="P37" s="124" t="s">
        <v>15</v>
      </c>
      <c r="Q37" s="13"/>
      <c r="R37" s="5"/>
    </row>
    <row r="38" spans="1:18" s="6" customFormat="1" ht="97.9" customHeight="1">
      <c r="A38" s="198" t="s">
        <v>125</v>
      </c>
      <c r="B38" s="198"/>
      <c r="C38" s="198"/>
      <c r="D38" s="198"/>
      <c r="E38" s="198"/>
      <c r="F38" s="198"/>
      <c r="G38" s="198"/>
      <c r="H38" s="198"/>
      <c r="I38" s="198"/>
      <c r="J38" s="198"/>
      <c r="K38" s="198"/>
      <c r="L38" s="198"/>
      <c r="M38" s="198"/>
      <c r="N38" s="198"/>
      <c r="O38" s="198"/>
      <c r="P38" s="94" t="s">
        <v>116</v>
      </c>
      <c r="Q38" s="13"/>
      <c r="R38" s="5"/>
    </row>
    <row r="39" spans="1:18" s="6" customFormat="1" ht="35.65" customHeight="1">
      <c r="A39" s="186" t="s">
        <v>31</v>
      </c>
      <c r="B39" s="186"/>
      <c r="C39" s="204"/>
      <c r="D39" s="204"/>
      <c r="E39" s="204"/>
      <c r="F39" s="204"/>
      <c r="G39" s="204"/>
      <c r="H39" s="204"/>
      <c r="I39" s="204"/>
      <c r="J39" s="204"/>
      <c r="K39" s="204"/>
      <c r="L39" s="204"/>
      <c r="M39" s="204"/>
      <c r="N39" s="204"/>
      <c r="O39" s="204"/>
      <c r="P39" s="204"/>
      <c r="Q39" s="13"/>
      <c r="R39" s="5"/>
    </row>
    <row r="40" spans="1:18" s="6" customFormat="1" ht="52.5">
      <c r="A40" s="199" t="s">
        <v>64</v>
      </c>
      <c r="B40" s="193"/>
      <c r="C40" s="193"/>
      <c r="D40" s="193"/>
      <c r="E40" s="193"/>
      <c r="F40" s="193"/>
      <c r="G40" s="193"/>
      <c r="H40" s="193"/>
      <c r="I40" s="193"/>
      <c r="J40" s="193"/>
      <c r="K40" s="193"/>
      <c r="L40" s="193"/>
      <c r="M40" s="193"/>
      <c r="N40" s="193"/>
      <c r="O40" s="193"/>
      <c r="P40" s="124" t="s">
        <v>15</v>
      </c>
      <c r="Q40" s="13"/>
      <c r="R40" s="5"/>
    </row>
    <row r="41" spans="1:18" s="6" customFormat="1" ht="74.650000000000006" customHeight="1">
      <c r="A41" s="205" t="s">
        <v>132</v>
      </c>
      <c r="B41" s="206"/>
      <c r="C41" s="206"/>
      <c r="D41" s="206"/>
      <c r="E41" s="206"/>
      <c r="F41" s="206"/>
      <c r="G41" s="206"/>
      <c r="H41" s="206"/>
      <c r="I41" s="206"/>
      <c r="J41" s="206"/>
      <c r="K41" s="206"/>
      <c r="L41" s="206"/>
      <c r="M41" s="206"/>
      <c r="N41" s="206"/>
      <c r="O41" s="206"/>
      <c r="P41" s="94"/>
      <c r="Q41" s="13"/>
      <c r="R41" s="5"/>
    </row>
    <row r="42" spans="1:18" s="6" customFormat="1" ht="37.15" customHeight="1">
      <c r="A42" s="186" t="s">
        <v>31</v>
      </c>
      <c r="B42" s="186"/>
      <c r="C42" s="207"/>
      <c r="D42" s="207"/>
      <c r="E42" s="207"/>
      <c r="F42" s="207"/>
      <c r="G42" s="207"/>
      <c r="H42" s="207"/>
      <c r="I42" s="207"/>
      <c r="J42" s="207"/>
      <c r="K42" s="207"/>
      <c r="L42" s="207"/>
      <c r="M42" s="207"/>
      <c r="N42" s="207"/>
      <c r="O42" s="207"/>
      <c r="P42" s="207"/>
      <c r="Q42" s="13"/>
      <c r="R42" s="5"/>
    </row>
    <row r="43" spans="1:18" s="6" customFormat="1" ht="52.5">
      <c r="A43" s="199" t="s">
        <v>90</v>
      </c>
      <c r="B43" s="193"/>
      <c r="C43" s="193"/>
      <c r="D43" s="193"/>
      <c r="E43" s="193"/>
      <c r="F43" s="193"/>
      <c r="G43" s="193"/>
      <c r="H43" s="193"/>
      <c r="I43" s="193"/>
      <c r="J43" s="193"/>
      <c r="K43" s="193"/>
      <c r="L43" s="193"/>
      <c r="M43" s="193"/>
      <c r="N43" s="193"/>
      <c r="O43" s="193"/>
      <c r="P43" s="124" t="s">
        <v>15</v>
      </c>
      <c r="Q43" s="13"/>
      <c r="R43" s="5"/>
    </row>
    <row r="44" spans="1:18" s="6" customFormat="1" ht="90" customHeight="1">
      <c r="A44" s="200" t="s">
        <v>137</v>
      </c>
      <c r="B44" s="201"/>
      <c r="C44" s="201"/>
      <c r="D44" s="201"/>
      <c r="E44" s="201"/>
      <c r="F44" s="201"/>
      <c r="G44" s="201"/>
      <c r="H44" s="201"/>
      <c r="I44" s="201"/>
      <c r="J44" s="201"/>
      <c r="K44" s="201"/>
      <c r="L44" s="201"/>
      <c r="M44" s="201"/>
      <c r="N44" s="201"/>
      <c r="O44" s="201"/>
      <c r="P44" s="94" t="s">
        <v>116</v>
      </c>
      <c r="Q44" s="13"/>
      <c r="R44" s="5"/>
    </row>
    <row r="45" spans="1:18" s="6" customFormat="1" ht="37.15" customHeight="1">
      <c r="A45" s="186" t="s">
        <v>31</v>
      </c>
      <c r="B45" s="186"/>
      <c r="C45" s="198" t="s">
        <v>139</v>
      </c>
      <c r="D45" s="198"/>
      <c r="E45" s="198"/>
      <c r="F45" s="198"/>
      <c r="G45" s="198"/>
      <c r="H45" s="198"/>
      <c r="I45" s="198"/>
      <c r="J45" s="198"/>
      <c r="K45" s="198"/>
      <c r="L45" s="198"/>
      <c r="M45" s="198"/>
      <c r="N45" s="198"/>
      <c r="O45" s="198"/>
      <c r="P45" s="198"/>
      <c r="Q45" s="13"/>
      <c r="R45" s="5"/>
    </row>
    <row r="46" spans="1:18" s="6" customFormat="1" ht="52.5">
      <c r="A46" s="199" t="s">
        <v>91</v>
      </c>
      <c r="B46" s="193"/>
      <c r="C46" s="193"/>
      <c r="D46" s="193"/>
      <c r="E46" s="193"/>
      <c r="F46" s="193"/>
      <c r="G46" s="193"/>
      <c r="H46" s="193"/>
      <c r="I46" s="193"/>
      <c r="J46" s="193"/>
      <c r="K46" s="193"/>
      <c r="L46" s="193"/>
      <c r="M46" s="193"/>
      <c r="N46" s="193"/>
      <c r="O46" s="193"/>
      <c r="P46" s="124" t="s">
        <v>15</v>
      </c>
      <c r="Q46" s="13"/>
      <c r="R46" s="5"/>
    </row>
    <row r="47" spans="1:18" s="6" customFormat="1" ht="64.150000000000006" customHeight="1">
      <c r="A47" s="200" t="s">
        <v>111</v>
      </c>
      <c r="B47" s="201"/>
      <c r="C47" s="201"/>
      <c r="D47" s="201"/>
      <c r="E47" s="201"/>
      <c r="F47" s="201"/>
      <c r="G47" s="201"/>
      <c r="H47" s="201"/>
      <c r="I47" s="201"/>
      <c r="J47" s="201"/>
      <c r="K47" s="201"/>
      <c r="L47" s="201"/>
      <c r="M47" s="201"/>
      <c r="N47" s="201"/>
      <c r="O47" s="201"/>
      <c r="P47" s="94" t="s">
        <v>116</v>
      </c>
      <c r="Q47" s="13"/>
      <c r="R47" s="5"/>
    </row>
    <row r="48" spans="1:18" s="6" customFormat="1" ht="37.15" customHeight="1">
      <c r="A48" s="186" t="s">
        <v>31</v>
      </c>
      <c r="B48" s="186"/>
      <c r="C48" s="198" t="s">
        <v>140</v>
      </c>
      <c r="D48" s="198"/>
      <c r="E48" s="198"/>
      <c r="F48" s="198"/>
      <c r="G48" s="198"/>
      <c r="H48" s="198"/>
      <c r="I48" s="198"/>
      <c r="J48" s="198"/>
      <c r="K48" s="198"/>
      <c r="L48" s="198"/>
      <c r="M48" s="198"/>
      <c r="N48" s="198"/>
      <c r="O48" s="198"/>
      <c r="P48" s="198"/>
      <c r="Q48" s="13"/>
      <c r="R48" s="5"/>
    </row>
    <row r="49" spans="1:18" s="6" customFormat="1" ht="52.5">
      <c r="A49" s="199" t="s">
        <v>92</v>
      </c>
      <c r="B49" s="193"/>
      <c r="C49" s="193"/>
      <c r="D49" s="193"/>
      <c r="E49" s="193"/>
      <c r="F49" s="193"/>
      <c r="G49" s="193"/>
      <c r="H49" s="193"/>
      <c r="I49" s="193"/>
      <c r="J49" s="193"/>
      <c r="K49" s="193"/>
      <c r="L49" s="193"/>
      <c r="M49" s="193"/>
      <c r="N49" s="193"/>
      <c r="O49" s="193"/>
      <c r="P49" s="124" t="s">
        <v>15</v>
      </c>
      <c r="Q49" s="13"/>
      <c r="R49" s="5"/>
    </row>
    <row r="50" spans="1:18" s="6" customFormat="1" ht="133.15" customHeight="1">
      <c r="A50" s="200" t="s">
        <v>126</v>
      </c>
      <c r="B50" s="201"/>
      <c r="C50" s="201"/>
      <c r="D50" s="201"/>
      <c r="E50" s="201"/>
      <c r="F50" s="201"/>
      <c r="G50" s="201"/>
      <c r="H50" s="201"/>
      <c r="I50" s="201"/>
      <c r="J50" s="201"/>
      <c r="K50" s="201"/>
      <c r="L50" s="201"/>
      <c r="M50" s="201"/>
      <c r="N50" s="201"/>
      <c r="O50" s="201"/>
      <c r="P50" s="94" t="s">
        <v>116</v>
      </c>
      <c r="Q50" s="13"/>
      <c r="R50" s="5"/>
    </row>
    <row r="51" spans="1:18" s="6" customFormat="1" ht="43.15" customHeight="1">
      <c r="A51" s="186" t="s">
        <v>31</v>
      </c>
      <c r="B51" s="186"/>
      <c r="C51" s="198" t="s">
        <v>138</v>
      </c>
      <c r="D51" s="198"/>
      <c r="E51" s="198"/>
      <c r="F51" s="198"/>
      <c r="G51" s="198"/>
      <c r="H51" s="198"/>
      <c r="I51" s="198"/>
      <c r="J51" s="198"/>
      <c r="K51" s="198"/>
      <c r="L51" s="198"/>
      <c r="M51" s="198"/>
      <c r="N51" s="198"/>
      <c r="O51" s="198"/>
      <c r="P51" s="198"/>
      <c r="Q51" s="13"/>
      <c r="R51" s="5"/>
    </row>
    <row r="52" spans="1:18" customFormat="1" ht="206.65" customHeight="1">
      <c r="A52" s="202"/>
      <c r="B52" s="202"/>
      <c r="C52" s="202"/>
      <c r="D52" s="202"/>
      <c r="E52" s="202"/>
      <c r="F52" s="202"/>
      <c r="G52" s="202"/>
      <c r="H52" s="202"/>
      <c r="I52" s="202"/>
      <c r="J52" s="202"/>
      <c r="K52" s="202"/>
      <c r="L52" s="202"/>
      <c r="M52" s="202"/>
      <c r="N52" s="202"/>
      <c r="O52" s="202"/>
      <c r="P52" s="202"/>
    </row>
    <row r="53" spans="1:18" s="6" customFormat="1" ht="26.25">
      <c r="A53" s="193" t="s">
        <v>112</v>
      </c>
      <c r="B53" s="193"/>
      <c r="C53" s="193"/>
      <c r="D53" s="193"/>
      <c r="E53" s="193"/>
      <c r="F53" s="193"/>
      <c r="G53" s="193"/>
      <c r="H53" s="193"/>
      <c r="I53" s="193"/>
      <c r="J53" s="193"/>
      <c r="K53" s="193"/>
      <c r="L53" s="193"/>
      <c r="M53" s="193"/>
      <c r="N53" s="193"/>
      <c r="O53" s="193"/>
      <c r="P53" s="124" t="s">
        <v>34</v>
      </c>
      <c r="Q53" s="13"/>
      <c r="R53" s="5"/>
    </row>
    <row r="54" spans="1:18" s="6" customFormat="1" ht="31.9" customHeight="1">
      <c r="A54" s="203" t="s">
        <v>130</v>
      </c>
      <c r="B54" s="203"/>
      <c r="C54" s="203"/>
      <c r="D54" s="203"/>
      <c r="E54" s="203"/>
      <c r="F54" s="203"/>
      <c r="G54" s="203"/>
      <c r="H54" s="203"/>
      <c r="I54" s="203"/>
      <c r="J54" s="203"/>
      <c r="K54" s="203"/>
      <c r="L54" s="203"/>
      <c r="M54" s="203"/>
      <c r="N54" s="203"/>
      <c r="O54" s="203"/>
      <c r="P54" s="94">
        <v>3</v>
      </c>
      <c r="Q54" s="13"/>
      <c r="R54" s="5"/>
    </row>
    <row r="55" spans="1:18" s="6" customFormat="1" ht="31.9" customHeight="1">
      <c r="A55" s="203" t="s">
        <v>129</v>
      </c>
      <c r="B55" s="203"/>
      <c r="C55" s="203"/>
      <c r="D55" s="203"/>
      <c r="E55" s="203"/>
      <c r="F55" s="203"/>
      <c r="G55" s="203"/>
      <c r="H55" s="203"/>
      <c r="I55" s="203"/>
      <c r="J55" s="203"/>
      <c r="K55" s="203"/>
      <c r="L55" s="203"/>
      <c r="M55" s="203"/>
      <c r="N55" s="203"/>
      <c r="O55" s="203"/>
      <c r="P55" s="94">
        <v>4</v>
      </c>
      <c r="Q55" s="13"/>
      <c r="R55" s="5"/>
    </row>
    <row r="56" spans="1:18" s="6" customFormat="1" ht="31.9" customHeight="1">
      <c r="A56" s="203" t="s">
        <v>128</v>
      </c>
      <c r="B56" s="203"/>
      <c r="C56" s="203"/>
      <c r="D56" s="203"/>
      <c r="E56" s="203"/>
      <c r="F56" s="203"/>
      <c r="G56" s="203"/>
      <c r="H56" s="203"/>
      <c r="I56" s="203"/>
      <c r="J56" s="203"/>
      <c r="K56" s="203"/>
      <c r="L56" s="203"/>
      <c r="M56" s="203"/>
      <c r="N56" s="203"/>
      <c r="O56" s="203"/>
      <c r="P56" s="94">
        <v>3.75</v>
      </c>
      <c r="Q56" s="13"/>
      <c r="R56" s="5"/>
    </row>
    <row r="57" spans="1:18" s="6" customFormat="1" ht="31.9" customHeight="1">
      <c r="A57" s="203" t="s">
        <v>127</v>
      </c>
      <c r="B57" s="203"/>
      <c r="C57" s="203"/>
      <c r="D57" s="203"/>
      <c r="E57" s="203"/>
      <c r="F57" s="203"/>
      <c r="G57" s="203"/>
      <c r="H57" s="203"/>
      <c r="I57" s="203"/>
      <c r="J57" s="203"/>
      <c r="K57" s="203"/>
      <c r="L57" s="203"/>
      <c r="M57" s="203"/>
      <c r="N57" s="203"/>
      <c r="O57" s="203"/>
      <c r="P57" s="94">
        <v>8</v>
      </c>
      <c r="Q57" s="13"/>
      <c r="R57" s="5"/>
    </row>
    <row r="58" spans="1:18" s="6" customFormat="1" ht="26.25">
      <c r="A58" s="197" t="s">
        <v>35</v>
      </c>
      <c r="B58" s="197"/>
      <c r="C58" s="197"/>
      <c r="D58" s="197"/>
      <c r="E58" s="197"/>
      <c r="F58" s="197"/>
      <c r="G58" s="197"/>
      <c r="H58" s="197"/>
      <c r="I58" s="197"/>
      <c r="J58" s="197"/>
      <c r="K58" s="197"/>
      <c r="L58" s="197"/>
      <c r="M58" s="197"/>
      <c r="N58" s="197"/>
      <c r="O58" s="197"/>
      <c r="P58" s="125">
        <f>SUM(P54:P57)</f>
        <v>18.75</v>
      </c>
      <c r="Q58" s="13"/>
      <c r="R58" s="5"/>
    </row>
    <row r="59" spans="1:18" s="6" customFormat="1" ht="48" customHeight="1">
      <c r="A59" s="186" t="s">
        <v>31</v>
      </c>
      <c r="B59" s="186"/>
      <c r="C59" s="187"/>
      <c r="D59" s="187"/>
      <c r="E59" s="187"/>
      <c r="F59" s="187"/>
      <c r="G59" s="187"/>
      <c r="H59" s="187"/>
      <c r="I59" s="187"/>
      <c r="J59" s="187"/>
      <c r="K59" s="187"/>
      <c r="L59" s="187"/>
      <c r="M59" s="187"/>
      <c r="N59" s="187"/>
      <c r="O59" s="187"/>
      <c r="P59" s="187"/>
      <c r="Q59" s="7"/>
      <c r="R59" s="5"/>
    </row>
    <row r="60" spans="1:18" s="6" customFormat="1" ht="26.25">
      <c r="A60" s="193" t="s">
        <v>66</v>
      </c>
      <c r="B60" s="193"/>
      <c r="C60" s="193"/>
      <c r="D60" s="193"/>
      <c r="E60" s="193"/>
      <c r="F60" s="193"/>
      <c r="G60" s="193"/>
      <c r="H60" s="193"/>
      <c r="I60" s="193"/>
      <c r="J60" s="193"/>
      <c r="K60" s="193"/>
      <c r="L60" s="193"/>
      <c r="M60" s="193"/>
      <c r="N60" s="193"/>
      <c r="O60" s="193"/>
      <c r="P60" s="124" t="s">
        <v>34</v>
      </c>
      <c r="Q60" s="7"/>
      <c r="R60" s="5"/>
    </row>
    <row r="61" spans="1:18" s="6" customFormat="1" ht="104.65" customHeight="1">
      <c r="A61" s="194" t="s">
        <v>131</v>
      </c>
      <c r="B61" s="194"/>
      <c r="C61" s="194"/>
      <c r="D61" s="194"/>
      <c r="E61" s="194"/>
      <c r="F61" s="194"/>
      <c r="G61" s="194"/>
      <c r="H61" s="194"/>
      <c r="I61" s="194"/>
      <c r="J61" s="194"/>
      <c r="K61" s="194"/>
      <c r="L61" s="194"/>
      <c r="M61" s="194"/>
      <c r="N61" s="194"/>
      <c r="O61" s="194"/>
      <c r="P61" s="94">
        <v>10</v>
      </c>
      <c r="Q61" s="7"/>
      <c r="R61" s="5"/>
    </row>
    <row r="62" spans="1:18" s="6" customFormat="1" ht="48" customHeight="1">
      <c r="A62" s="186" t="s">
        <v>31</v>
      </c>
      <c r="B62" s="186"/>
      <c r="C62" s="187"/>
      <c r="D62" s="187"/>
      <c r="E62" s="187"/>
      <c r="F62" s="187"/>
      <c r="G62" s="187"/>
      <c r="H62" s="187"/>
      <c r="I62" s="187"/>
      <c r="J62" s="187"/>
      <c r="K62" s="187"/>
      <c r="L62" s="187"/>
      <c r="M62" s="187"/>
      <c r="N62" s="187"/>
      <c r="O62" s="187"/>
      <c r="P62" s="187"/>
      <c r="Q62" s="7"/>
      <c r="R62" s="5"/>
    </row>
    <row r="63" spans="1:18" s="6" customFormat="1" ht="44.1" customHeight="1">
      <c r="A63" s="195" t="s">
        <v>67</v>
      </c>
      <c r="B63" s="195"/>
      <c r="C63" s="195"/>
      <c r="D63" s="195"/>
      <c r="E63" s="195"/>
      <c r="F63" s="195"/>
      <c r="G63" s="195"/>
      <c r="H63" s="195"/>
      <c r="I63" s="195"/>
      <c r="J63" s="195"/>
      <c r="K63" s="195"/>
      <c r="L63" s="195"/>
      <c r="M63" s="195"/>
      <c r="N63" s="195"/>
      <c r="O63" s="195"/>
      <c r="P63" s="124" t="s">
        <v>34</v>
      </c>
      <c r="Q63" s="14"/>
      <c r="R63" s="5"/>
    </row>
    <row r="64" spans="1:18" s="6" customFormat="1" ht="270" customHeight="1">
      <c r="A64" s="196" t="s">
        <v>103</v>
      </c>
      <c r="B64" s="196"/>
      <c r="C64" s="196"/>
      <c r="D64" s="196"/>
      <c r="E64" s="196"/>
      <c r="F64" s="196"/>
      <c r="G64" s="196"/>
      <c r="H64" s="196"/>
      <c r="I64" s="196"/>
      <c r="J64" s="196"/>
      <c r="K64" s="196"/>
      <c r="L64" s="196"/>
      <c r="M64" s="196"/>
      <c r="N64" s="196"/>
      <c r="O64" s="196"/>
      <c r="P64" s="94">
        <v>1</v>
      </c>
      <c r="Q64" s="15"/>
      <c r="R64" s="5"/>
    </row>
    <row r="65" spans="1:18" s="6" customFormat="1" ht="65.650000000000006" customHeight="1">
      <c r="A65" s="186" t="s">
        <v>31</v>
      </c>
      <c r="B65" s="186"/>
      <c r="C65" s="187"/>
      <c r="D65" s="187"/>
      <c r="E65" s="187"/>
      <c r="F65" s="187"/>
      <c r="G65" s="187"/>
      <c r="H65" s="187"/>
      <c r="I65" s="187"/>
      <c r="J65" s="187"/>
      <c r="K65" s="187"/>
      <c r="L65" s="187"/>
      <c r="M65" s="187"/>
      <c r="N65" s="187"/>
      <c r="O65" s="187"/>
      <c r="P65" s="187"/>
      <c r="Q65" s="7"/>
      <c r="R65" s="5"/>
    </row>
    <row r="66" spans="1:18" s="6" customFormat="1" ht="26.25">
      <c r="A66" s="193" t="s">
        <v>68</v>
      </c>
      <c r="B66" s="193"/>
      <c r="C66" s="193"/>
      <c r="D66" s="193"/>
      <c r="E66" s="193"/>
      <c r="F66" s="193"/>
      <c r="G66" s="193"/>
      <c r="H66" s="193"/>
      <c r="I66" s="193"/>
      <c r="J66" s="193"/>
      <c r="K66" s="193"/>
      <c r="L66" s="193"/>
      <c r="M66" s="193"/>
      <c r="N66" s="193"/>
      <c r="O66" s="193"/>
      <c r="P66" s="124" t="s">
        <v>34</v>
      </c>
      <c r="Q66" s="4"/>
      <c r="R66" s="5"/>
    </row>
    <row r="67" spans="1:18" s="6" customFormat="1" ht="166.9" customHeight="1">
      <c r="A67" s="192" t="s">
        <v>104</v>
      </c>
      <c r="B67" s="192"/>
      <c r="C67" s="192"/>
      <c r="D67" s="192"/>
      <c r="E67" s="192"/>
      <c r="F67" s="192"/>
      <c r="G67" s="192"/>
      <c r="H67" s="192"/>
      <c r="I67" s="192"/>
      <c r="J67" s="192"/>
      <c r="K67" s="192"/>
      <c r="L67" s="192"/>
      <c r="M67" s="192"/>
      <c r="N67" s="192"/>
      <c r="O67" s="192"/>
      <c r="P67" s="94">
        <v>0.25</v>
      </c>
      <c r="Q67" s="14"/>
      <c r="R67" s="5"/>
    </row>
    <row r="68" spans="1:18" s="6" customFormat="1" ht="56.65" customHeight="1">
      <c r="A68" s="186" t="s">
        <v>31</v>
      </c>
      <c r="B68" s="186"/>
      <c r="C68" s="187"/>
      <c r="D68" s="187"/>
      <c r="E68" s="187"/>
      <c r="F68" s="187"/>
      <c r="G68" s="187"/>
      <c r="H68" s="187"/>
      <c r="I68" s="187"/>
      <c r="J68" s="187"/>
      <c r="K68" s="187"/>
      <c r="L68" s="187"/>
      <c r="M68" s="187"/>
      <c r="N68" s="187"/>
      <c r="O68" s="187"/>
      <c r="P68" s="187"/>
      <c r="Q68" s="14"/>
      <c r="R68" s="5"/>
    </row>
    <row r="69" spans="1:18" s="46" customFormat="1" ht="26.25">
      <c r="A69" s="188" t="s">
        <v>71</v>
      </c>
      <c r="B69" s="189"/>
      <c r="C69" s="189"/>
      <c r="D69" s="189"/>
      <c r="E69" s="189"/>
      <c r="F69" s="189"/>
      <c r="G69" s="189"/>
      <c r="H69" s="189"/>
      <c r="I69" s="189"/>
      <c r="J69" s="189"/>
      <c r="K69" s="189"/>
      <c r="L69" s="189"/>
      <c r="M69" s="189"/>
      <c r="N69" s="189"/>
      <c r="O69" s="190"/>
      <c r="P69" s="124" t="s">
        <v>34</v>
      </c>
      <c r="Q69" s="14"/>
      <c r="R69" s="45"/>
    </row>
    <row r="70" spans="1:18" s="46" customFormat="1" ht="186" customHeight="1">
      <c r="A70" s="191" t="s">
        <v>105</v>
      </c>
      <c r="B70" s="191"/>
      <c r="C70" s="191"/>
      <c r="D70" s="191"/>
      <c r="E70" s="191"/>
      <c r="F70" s="191"/>
      <c r="G70" s="191"/>
      <c r="H70" s="191"/>
      <c r="I70" s="191"/>
      <c r="J70" s="191"/>
      <c r="K70" s="191"/>
      <c r="L70" s="191"/>
      <c r="M70" s="191"/>
      <c r="N70" s="191"/>
      <c r="O70" s="191"/>
      <c r="P70" s="94">
        <v>0.25</v>
      </c>
      <c r="Q70" s="14"/>
      <c r="R70" s="45"/>
    </row>
    <row r="71" spans="1:18" s="6" customFormat="1" ht="64.5" customHeight="1">
      <c r="A71" s="186" t="s">
        <v>31</v>
      </c>
      <c r="B71" s="186"/>
      <c r="C71" s="187"/>
      <c r="D71" s="187"/>
      <c r="E71" s="187"/>
      <c r="F71" s="187"/>
      <c r="G71" s="187"/>
      <c r="H71" s="187"/>
      <c r="I71" s="187"/>
      <c r="J71" s="187"/>
      <c r="K71" s="187"/>
      <c r="L71" s="187"/>
      <c r="M71" s="187"/>
      <c r="N71" s="187"/>
      <c r="O71" s="187"/>
      <c r="P71" s="187"/>
      <c r="Q71" s="14"/>
      <c r="R71" s="5"/>
    </row>
    <row r="72" spans="1:18" s="6" customFormat="1" ht="26.25">
      <c r="A72" s="185" t="s">
        <v>35</v>
      </c>
      <c r="B72" s="185"/>
      <c r="C72" s="185"/>
      <c r="D72" s="185"/>
      <c r="E72" s="185"/>
      <c r="F72" s="185"/>
      <c r="G72" s="185"/>
      <c r="H72" s="185"/>
      <c r="I72" s="185"/>
      <c r="J72" s="185"/>
      <c r="K72" s="185"/>
      <c r="L72" s="185"/>
      <c r="M72" s="185"/>
      <c r="N72" s="185"/>
      <c r="O72" s="185"/>
      <c r="P72" s="93">
        <f>SUM(P58,P61,P64,P67,P70)</f>
        <v>30.25</v>
      </c>
      <c r="Q72" s="14"/>
      <c r="R72" s="5"/>
    </row>
    <row r="73" spans="1:18" s="6" customFormat="1" ht="14.25" customHeight="1">
      <c r="Q73" s="4"/>
      <c r="R73" s="5"/>
    </row>
    <row r="74" spans="1:18" s="6" customFormat="1" ht="14.25" customHeight="1">
      <c r="Q74" s="4"/>
      <c r="R74" s="5"/>
    </row>
    <row r="75" spans="1:18" s="6" customFormat="1" ht="14.25" customHeight="1">
      <c r="Q75" s="4"/>
      <c r="R75" s="5"/>
    </row>
    <row r="76" spans="1:18" s="6" customFormat="1" ht="14.25" customHeight="1">
      <c r="Q76" s="4"/>
      <c r="R76" s="5"/>
    </row>
    <row r="77" spans="1:18" s="6" customFormat="1" ht="14.25" customHeight="1">
      <c r="C77" s="5"/>
      <c r="Q77" s="4"/>
      <c r="R77" s="5"/>
    </row>
    <row r="78" spans="1:18" s="6" customFormat="1" ht="14.25" customHeight="1">
      <c r="C78" s="5"/>
      <c r="Q78" s="4"/>
      <c r="R78" s="5"/>
    </row>
    <row r="79" spans="1:18" s="6" customFormat="1" ht="14.25" customHeight="1">
      <c r="Q79" s="4"/>
      <c r="R79" s="5"/>
    </row>
    <row r="80" spans="1:18" s="6" customFormat="1" ht="14.25" customHeight="1">
      <c r="C80" s="5"/>
      <c r="Q80" s="4"/>
      <c r="R80" s="5"/>
    </row>
    <row r="81" spans="3:18" s="6" customFormat="1" ht="14.25" customHeight="1">
      <c r="Q81" s="4"/>
      <c r="R81" s="5"/>
    </row>
    <row r="82" spans="3:18" s="6" customFormat="1" ht="14.25" customHeight="1">
      <c r="C82" s="5"/>
      <c r="Q82" s="4"/>
      <c r="R82" s="5"/>
    </row>
    <row r="83" spans="3:18" s="6" customFormat="1" ht="14.25" customHeight="1">
      <c r="Q83" s="4"/>
      <c r="R83" s="5"/>
    </row>
    <row r="84" spans="3:18" s="6" customFormat="1" ht="14.25" customHeight="1">
      <c r="Q84" s="4"/>
      <c r="R84" s="5"/>
    </row>
    <row r="85" spans="3:18" s="6" customFormat="1" ht="14.25" customHeight="1">
      <c r="Q85" s="4"/>
      <c r="R85" s="5"/>
    </row>
    <row r="86" spans="3:18" s="6" customFormat="1" ht="14.25" customHeight="1">
      <c r="Q86" s="4"/>
      <c r="R86" s="5"/>
    </row>
    <row r="87" spans="3:18" s="6" customFormat="1" ht="14.25" customHeight="1">
      <c r="Q87" s="4"/>
      <c r="R87" s="5"/>
    </row>
    <row r="88" spans="3:18" s="6" customFormat="1" ht="14.25" customHeight="1">
      <c r="E88" s="88"/>
      <c r="F88" s="88"/>
      <c r="Q88" s="4"/>
      <c r="R88" s="5"/>
    </row>
    <row r="89" spans="3:18" s="6" customFormat="1" ht="14.25" customHeight="1">
      <c r="E89" s="88"/>
      <c r="F89" s="88"/>
      <c r="Q89" s="4"/>
      <c r="R89" s="5"/>
    </row>
    <row r="90" spans="3:18" ht="14.25" customHeight="1">
      <c r="E90" s="88"/>
      <c r="F90" s="88"/>
    </row>
    <row r="91" spans="3:18" ht="14.25" customHeight="1">
      <c r="E91" s="88"/>
      <c r="F91" s="88"/>
    </row>
    <row r="92" spans="3:18" ht="14.25" customHeight="1"/>
    <row r="93" spans="3:18" ht="14.25" customHeight="1"/>
    <row r="94" spans="3:18" ht="14.25" customHeight="1"/>
    <row r="95" spans="3:18" ht="14.25" customHeight="1"/>
    <row r="96" spans="3:18"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sheetData>
  <mergeCells count="101">
    <mergeCell ref="A11:P11"/>
    <mergeCell ref="A1:P1"/>
    <mergeCell ref="A2:P2"/>
    <mergeCell ref="A3:P3"/>
    <mergeCell ref="A4:A9"/>
    <mergeCell ref="B4:I9"/>
    <mergeCell ref="J4:O4"/>
    <mergeCell ref="J5:O5"/>
    <mergeCell ref="J6:O6"/>
    <mergeCell ref="J7:O7"/>
    <mergeCell ref="J8:O8"/>
    <mergeCell ref="J9:O9"/>
    <mergeCell ref="B10:C10"/>
    <mergeCell ref="D10:I10"/>
    <mergeCell ref="J10:K10"/>
    <mergeCell ref="L10:M10"/>
    <mergeCell ref="E19:F19"/>
    <mergeCell ref="E20:F20"/>
    <mergeCell ref="A21:J21"/>
    <mergeCell ref="K21:N21"/>
    <mergeCell ref="A23:N23"/>
    <mergeCell ref="B26:B27"/>
    <mergeCell ref="O21:P21"/>
    <mergeCell ref="B22:P22"/>
    <mergeCell ref="A12:N12"/>
    <mergeCell ref="O12:P12"/>
    <mergeCell ref="A13:N13"/>
    <mergeCell ref="O13:P13"/>
    <mergeCell ref="E14:F14"/>
    <mergeCell ref="A15:A20"/>
    <mergeCell ref="E15:F15"/>
    <mergeCell ref="E16:F16"/>
    <mergeCell ref="E17:F17"/>
    <mergeCell ref="E18:F18"/>
    <mergeCell ref="O23:P23"/>
    <mergeCell ref="A24:N24"/>
    <mergeCell ref="O24:P24"/>
    <mergeCell ref="E25:F25"/>
    <mergeCell ref="E26:F26"/>
    <mergeCell ref="A26:A27"/>
    <mergeCell ref="A37:O37"/>
    <mergeCell ref="E28:F28"/>
    <mergeCell ref="E30:F30"/>
    <mergeCell ref="E31:F31"/>
    <mergeCell ref="E32:F32"/>
    <mergeCell ref="E33:F33"/>
    <mergeCell ref="A34:J34"/>
    <mergeCell ref="K34:N34"/>
    <mergeCell ref="O34:P34"/>
    <mergeCell ref="A35:B35"/>
    <mergeCell ref="C35:P35"/>
    <mergeCell ref="A36:P36"/>
    <mergeCell ref="B28:B29"/>
    <mergeCell ref="A28:A29"/>
    <mergeCell ref="A47:O47"/>
    <mergeCell ref="A38:O38"/>
    <mergeCell ref="A39:B39"/>
    <mergeCell ref="C39:P39"/>
    <mergeCell ref="A40:O40"/>
    <mergeCell ref="A41:O41"/>
    <mergeCell ref="A42:B42"/>
    <mergeCell ref="C42:P42"/>
    <mergeCell ref="A43:O43"/>
    <mergeCell ref="A44:O44"/>
    <mergeCell ref="A45:B45"/>
    <mergeCell ref="C45:P45"/>
    <mergeCell ref="A46:O46"/>
    <mergeCell ref="A49:O49"/>
    <mergeCell ref="A50:O50"/>
    <mergeCell ref="A51:B51"/>
    <mergeCell ref="C51:P51"/>
    <mergeCell ref="A52:P52"/>
    <mergeCell ref="A53:O53"/>
    <mergeCell ref="A54:O54"/>
    <mergeCell ref="A56:O56"/>
    <mergeCell ref="A57:O57"/>
    <mergeCell ref="A55:O55"/>
    <mergeCell ref="E27:F27"/>
    <mergeCell ref="E29:F29"/>
    <mergeCell ref="A72:O72"/>
    <mergeCell ref="A68:B68"/>
    <mergeCell ref="C68:P68"/>
    <mergeCell ref="A69:O69"/>
    <mergeCell ref="A70:O70"/>
    <mergeCell ref="A71:B71"/>
    <mergeCell ref="C71:P71"/>
    <mergeCell ref="A67:O67"/>
    <mergeCell ref="A59:B59"/>
    <mergeCell ref="C59:P59"/>
    <mergeCell ref="A60:O60"/>
    <mergeCell ref="A61:O61"/>
    <mergeCell ref="A62:B62"/>
    <mergeCell ref="C62:P62"/>
    <mergeCell ref="A63:O63"/>
    <mergeCell ref="A64:O64"/>
    <mergeCell ref="A65:B65"/>
    <mergeCell ref="C65:P65"/>
    <mergeCell ref="A66:O66"/>
    <mergeCell ref="A58:O58"/>
    <mergeCell ref="A48:B48"/>
    <mergeCell ref="C48:P48"/>
  </mergeCells>
  <conditionalFormatting sqref="P38">
    <cfRule type="expression" dxfId="6" priority="7">
      <formula>$P38="NO CUMPLE"</formula>
    </cfRule>
  </conditionalFormatting>
  <conditionalFormatting sqref="P41">
    <cfRule type="expression" dxfId="5" priority="6">
      <formula>$P41="NO CUMPLE"</formula>
    </cfRule>
  </conditionalFormatting>
  <conditionalFormatting sqref="P26:P33">
    <cfRule type="expression" dxfId="4" priority="5">
      <formula>$P26="NO CUMPLE"</formula>
    </cfRule>
  </conditionalFormatting>
  <conditionalFormatting sqref="P15:P20">
    <cfRule type="expression" dxfId="3" priority="4">
      <formula>$P15="NO CUMPLE"</formula>
    </cfRule>
  </conditionalFormatting>
  <conditionalFormatting sqref="P44">
    <cfRule type="expression" dxfId="2" priority="3">
      <formula>$P44="NO CUMPLE"</formula>
    </cfRule>
  </conditionalFormatting>
  <conditionalFormatting sqref="P47">
    <cfRule type="expression" dxfId="1" priority="2">
      <formula>$P47="NO CUMPLE"</formula>
    </cfRule>
  </conditionalFormatting>
  <conditionalFormatting sqref="P50">
    <cfRule type="expression" dxfId="0" priority="1">
      <formula>$P50="NO CUMPLE"</formula>
    </cfRule>
  </conditionalFormatting>
  <dataValidations count="2">
    <dataValidation type="list" allowBlank="1" showInputMessage="1" showErrorMessage="1" sqref="P38 P41 P50 P15:P20 P44 P47 P26:P33" xr:uid="{9710F566-03E8-4DBE-AE78-6AD0C056A8FC}">
      <formula1>"CUMPLE,NO CUMPLE"</formula1>
    </dataValidation>
    <dataValidation type="list" allowBlank="1" showInputMessage="1" showErrorMessage="1" sqref="I18:I20 G18:G20 G15:I17 G26:I27 H18:H19 G28:G33 I28:I33 H28:H30" xr:uid="{B5867D06-C33F-490B-B97A-4600F245D387}">
      <formula1>"SI,NO"</formula1>
    </dataValidation>
  </dataValidations>
  <pageMargins left="0.11811023622047245" right="0.11811023622047245" top="0.27559055118110237" bottom="0.23622047244094491" header="0" footer="0"/>
  <pageSetup paperSize="9" scale="4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5F98D-4377-4B23-A41C-FA0579F821A2}">
  <dimension ref="A1:U33"/>
  <sheetViews>
    <sheetView tabSelected="1" workbookViewId="0">
      <selection activeCell="F29" sqref="F29"/>
    </sheetView>
  </sheetViews>
  <sheetFormatPr baseColWidth="10" defaultColWidth="11.42578125" defaultRowHeight="15"/>
  <cols>
    <col min="1" max="1" width="12.5703125" bestFit="1" customWidth="1"/>
    <col min="2" max="2" width="64.7109375" customWidth="1"/>
    <col min="3" max="3" width="21.42578125" customWidth="1"/>
    <col min="4" max="4" width="21.28515625" customWidth="1"/>
    <col min="5" max="5" width="25.7109375" customWidth="1"/>
    <col min="6" max="11" width="10.42578125" customWidth="1"/>
    <col min="12" max="12" width="9.42578125" customWidth="1"/>
    <col min="21" max="21" width="20.7109375" bestFit="1" customWidth="1"/>
  </cols>
  <sheetData>
    <row r="1" spans="1:21">
      <c r="T1">
        <v>1</v>
      </c>
      <c r="U1" t="s">
        <v>93</v>
      </c>
    </row>
    <row r="2" spans="1:21">
      <c r="A2" s="111" t="s">
        <v>78</v>
      </c>
      <c r="B2" s="28" t="s">
        <v>76</v>
      </c>
      <c r="T2">
        <v>2</v>
      </c>
      <c r="U2" t="s">
        <v>94</v>
      </c>
    </row>
    <row r="3" spans="1:21">
      <c r="B3" s="120" t="s">
        <v>36</v>
      </c>
      <c r="C3" s="140">
        <v>4407.13</v>
      </c>
      <c r="I3" s="30"/>
      <c r="T3">
        <v>3</v>
      </c>
      <c r="U3" t="s">
        <v>95</v>
      </c>
    </row>
    <row r="4" spans="1:21">
      <c r="B4" s="120" t="s">
        <v>87</v>
      </c>
      <c r="C4" s="121">
        <f>C3-TRUNC(C3,0)</f>
        <v>0.13000000000010914</v>
      </c>
      <c r="I4" s="30"/>
      <c r="T4">
        <v>4</v>
      </c>
      <c r="U4" t="s">
        <v>38</v>
      </c>
    </row>
    <row r="5" spans="1:21">
      <c r="B5" s="120" t="s">
        <v>88</v>
      </c>
      <c r="C5" s="122" cm="1">
        <f t="array" ref="C5">_xlfn.IFS(C4&lt;0.25,1,C4&lt;0.5,2,C4&lt;0.75,3,C4&lt;1,4)</f>
        <v>1</v>
      </c>
      <c r="I5" s="30"/>
    </row>
    <row r="6" spans="1:21">
      <c r="B6" s="120" t="s">
        <v>77</v>
      </c>
      <c r="C6" s="135" t="str">
        <f>VLOOKUP(C5,$T$1:$U$4,2,0)</f>
        <v>Mediana con valor absoluto</v>
      </c>
      <c r="I6" s="30"/>
    </row>
    <row r="7" spans="1:21" ht="60">
      <c r="A7" s="114" t="s">
        <v>37</v>
      </c>
      <c r="B7" s="114" t="s">
        <v>73</v>
      </c>
      <c r="C7" s="117" t="s">
        <v>89</v>
      </c>
      <c r="D7" s="117" t="str">
        <f>"Método de Ponderación final: "&amp;C6</f>
        <v>Método de Ponderación final: Mediana con valor absoluto</v>
      </c>
      <c r="F7" s="117" t="s">
        <v>97</v>
      </c>
      <c r="G7" s="117" t="s">
        <v>93</v>
      </c>
      <c r="H7" s="117" t="s">
        <v>101</v>
      </c>
      <c r="I7" s="117" t="s">
        <v>94</v>
      </c>
      <c r="J7" s="117" t="s">
        <v>95</v>
      </c>
      <c r="K7" s="117" t="s">
        <v>38</v>
      </c>
      <c r="L7" s="117" t="s">
        <v>98</v>
      </c>
    </row>
    <row r="8" spans="1:21">
      <c r="A8" s="115">
        <v>1</v>
      </c>
      <c r="B8" s="115" t="str">
        <f ca="1">IF(VLOOKUP(A8,RESUMEN!$C$8:$U$22,16,0)="NO CUMPLE","-",IFERROR(IF(VLOOKUP(A8,RESUMEN!$C$8:$F$22,2,0)=0,"",VLOOKUP(A8,RESUMEN!$C$8:$F$22,2,0)),""))</f>
        <v>UNION TEMPORAL RADAR GEA 2024</v>
      </c>
      <c r="C8" s="112">
        <v>42814347240</v>
      </c>
      <c r="D8" s="87">
        <f>HLOOKUP($C$6,$G$7:$K$22,A8+1,0)</f>
        <v>69.75</v>
      </c>
      <c r="F8" s="134">
        <f>IF(C8&lt;&gt;"",IF(C8-$C$24&gt;0,ABS(C8-$C$24)+0.00000000001,ABS(C8-$C$24)),"")</f>
        <v>0</v>
      </c>
      <c r="G8" s="87">
        <f>IFERROR($C$33*(1-ABS(($C$25-C8)/$C$25)),0)</f>
        <v>69.75</v>
      </c>
      <c r="H8" s="134">
        <f>IF(C8&lt;&gt;"",ABS($C$27-C8),"")</f>
        <v>0</v>
      </c>
      <c r="I8" s="87">
        <f>IFERROR(IF(H8=MIN($H$8:$H$22),$C$33,$C$33*(1-ABS($C$27-C8)/$C$27)),0)</f>
        <v>69.75</v>
      </c>
      <c r="J8" s="87">
        <f>IFERROR($C$33*IF(C8&lt;=$C$29,(1-($C$29-C8)/$C$29),(1-ABS($C$29-C8)/$C$29)),0)</f>
        <v>46.500000000000007</v>
      </c>
      <c r="K8" s="87">
        <f>IFERROR($C$33*$C$31/C8,0)</f>
        <v>69.75</v>
      </c>
      <c r="L8" s="130">
        <f>A8</f>
        <v>1</v>
      </c>
    </row>
    <row r="9" spans="1:21">
      <c r="A9" s="116">
        <v>2</v>
      </c>
      <c r="B9" s="116" t="str">
        <f>IF(VLOOKUP(A9,RESUMEN!$C$8:$U$22,16,0)="NO CUMPLE","-",IFERROR(IF(VLOOKUP(A9,RESUMEN!$C$8:$F$22,2,0)=0,"",VLOOKUP(A9,RESUMEN!$C$8:$F$22,2,0)),""))</f>
        <v/>
      </c>
      <c r="C9" s="112"/>
      <c r="D9" s="110">
        <f t="shared" ref="D9:D22" si="0">HLOOKUP($C$6,$G$7:$K$22,A9+1,0)</f>
        <v>0</v>
      </c>
      <c r="F9" s="110" t="str">
        <f t="shared" ref="F9:F22" si="1">IF(C9&lt;&gt;"",IF($C$24-C9&lt;0,ABS($C$24-C9)+0.00000000001,ABS($C$24-C9)-0.00000000001),"")</f>
        <v/>
      </c>
      <c r="G9" s="110">
        <f t="shared" ref="G9:G22" si="2">IFERROR($C$33*(1-ABS(($C$25-C9)/$C$25)),0)</f>
        <v>0</v>
      </c>
      <c r="H9" s="110" t="str">
        <f t="shared" ref="H9:H22" si="3">IF(C9&lt;&gt;"",ABS($C$27-C9),"")</f>
        <v/>
      </c>
      <c r="I9" s="110">
        <f t="shared" ref="I9:I22" si="4">IFERROR(IF(H9=MIN($H$8:$H$22),$C$33,$C$33*(1-ABS($C$27-C9)/$C$27)),0)</f>
        <v>0</v>
      </c>
      <c r="J9" s="110">
        <f t="shared" ref="J9:J22" si="5">IFERROR($C$33*IF(C9&lt;=$C$29,(1-($C$29-C9)/$C$29),(1-ABS($C$29-C9)/$C$29)),0)</f>
        <v>0</v>
      </c>
      <c r="K9" s="110">
        <f t="shared" ref="K9:K22" si="6">IFERROR($C$33*$C$31/C9,0)</f>
        <v>0</v>
      </c>
      <c r="L9" s="131">
        <f t="shared" ref="L9:L22" si="7">A9</f>
        <v>2</v>
      </c>
    </row>
    <row r="10" spans="1:21">
      <c r="A10" s="115">
        <v>3</v>
      </c>
      <c r="B10" s="115" t="str">
        <f>IF(VLOOKUP(A10,RESUMEN!$C$8:$U$22,16,0)="NO CUMPLE","-",IFERROR(IF(VLOOKUP(A10,RESUMEN!$C$8:$F$22,2,0)=0,"",VLOOKUP(A10,RESUMEN!$C$8:$F$22,2,0)),""))</f>
        <v/>
      </c>
      <c r="C10" s="113"/>
      <c r="D10" s="87">
        <f t="shared" si="0"/>
        <v>0</v>
      </c>
      <c r="F10" s="134" t="str">
        <f t="shared" si="1"/>
        <v/>
      </c>
      <c r="G10" s="87">
        <f t="shared" si="2"/>
        <v>0</v>
      </c>
      <c r="H10" s="134" t="str">
        <f t="shared" si="3"/>
        <v/>
      </c>
      <c r="I10" s="87">
        <f t="shared" si="4"/>
        <v>0</v>
      </c>
      <c r="J10" s="87">
        <f t="shared" si="5"/>
        <v>0</v>
      </c>
      <c r="K10" s="87">
        <f t="shared" si="6"/>
        <v>0</v>
      </c>
      <c r="L10" s="130">
        <f t="shared" si="7"/>
        <v>3</v>
      </c>
    </row>
    <row r="11" spans="1:21">
      <c r="A11" s="116">
        <v>4</v>
      </c>
      <c r="B11" s="116" t="str">
        <f>IF(VLOOKUP(A11,RESUMEN!$C$8:$U$22,16,0)="NO CUMPLE","-",IFERROR(IF(VLOOKUP(A11,RESUMEN!$C$8:$F$22,2,0)=0,"",VLOOKUP(A11,RESUMEN!$C$8:$F$22,2,0)),""))</f>
        <v/>
      </c>
      <c r="C11" s="112"/>
      <c r="D11" s="110">
        <f t="shared" si="0"/>
        <v>0</v>
      </c>
      <c r="F11" s="110" t="str">
        <f t="shared" si="1"/>
        <v/>
      </c>
      <c r="G11" s="110">
        <f t="shared" si="2"/>
        <v>0</v>
      </c>
      <c r="H11" s="110" t="str">
        <f t="shared" si="3"/>
        <v/>
      </c>
      <c r="I11" s="110">
        <f t="shared" si="4"/>
        <v>0</v>
      </c>
      <c r="J11" s="110">
        <f t="shared" si="5"/>
        <v>0</v>
      </c>
      <c r="K11" s="110">
        <f t="shared" si="6"/>
        <v>0</v>
      </c>
      <c r="L11" s="131">
        <f t="shared" si="7"/>
        <v>4</v>
      </c>
    </row>
    <row r="12" spans="1:21">
      <c r="A12" s="115">
        <v>5</v>
      </c>
      <c r="B12" s="115" t="str">
        <f ca="1">IF(VLOOKUP(A12,RESUMEN!$C$8:$U$22,16,0)="NO CUMPLE","-",IFERROR(IF(VLOOKUP(A12,RESUMEN!$C$8:$F$22,2,0)=0,"",VLOOKUP(A12,RESUMEN!$C$8:$F$22,2,0)),""))</f>
        <v/>
      </c>
      <c r="C12" s="113"/>
      <c r="D12" s="87">
        <f t="shared" si="0"/>
        <v>0</v>
      </c>
      <c r="F12" s="134" t="str">
        <f t="shared" si="1"/>
        <v/>
      </c>
      <c r="G12" s="87">
        <f t="shared" si="2"/>
        <v>0</v>
      </c>
      <c r="H12" s="134" t="str">
        <f t="shared" si="3"/>
        <v/>
      </c>
      <c r="I12" s="87">
        <f t="shared" si="4"/>
        <v>0</v>
      </c>
      <c r="J12" s="87">
        <f t="shared" si="5"/>
        <v>0</v>
      </c>
      <c r="K12" s="87">
        <f t="shared" si="6"/>
        <v>0</v>
      </c>
      <c r="L12" s="130">
        <f t="shared" si="7"/>
        <v>5</v>
      </c>
    </row>
    <row r="13" spans="1:21">
      <c r="A13" s="116">
        <v>6</v>
      </c>
      <c r="B13" s="116" t="str">
        <f ca="1">IF(VLOOKUP(A13,RESUMEN!$C$8:$U$22,16,0)="NO CUMPLE","-",IFERROR(IF(VLOOKUP(A13,RESUMEN!$C$8:$F$22,2,0)=0,"",VLOOKUP(A13,RESUMEN!$C$8:$F$22,2,0)),""))</f>
        <v/>
      </c>
      <c r="C13" s="112"/>
      <c r="D13" s="110">
        <f t="shared" si="0"/>
        <v>0</v>
      </c>
      <c r="F13" s="110" t="str">
        <f t="shared" si="1"/>
        <v/>
      </c>
      <c r="G13" s="110">
        <f t="shared" si="2"/>
        <v>0</v>
      </c>
      <c r="H13" s="110" t="str">
        <f t="shared" si="3"/>
        <v/>
      </c>
      <c r="I13" s="110">
        <f t="shared" si="4"/>
        <v>0</v>
      </c>
      <c r="J13" s="110">
        <f t="shared" si="5"/>
        <v>0</v>
      </c>
      <c r="K13" s="110">
        <f t="shared" si="6"/>
        <v>0</v>
      </c>
      <c r="L13" s="131">
        <f t="shared" si="7"/>
        <v>6</v>
      </c>
    </row>
    <row r="14" spans="1:21">
      <c r="A14" s="115">
        <v>7</v>
      </c>
      <c r="B14" s="115" t="str">
        <f ca="1">IF(VLOOKUP(A14,RESUMEN!$C$8:$U$22,16,0)="NO CUMPLE","-",IFERROR(IF(VLOOKUP(A14,RESUMEN!$C$8:$F$22,2,0)=0,"",VLOOKUP(A14,RESUMEN!$C$8:$F$22,2,0)),""))</f>
        <v/>
      </c>
      <c r="C14" s="113"/>
      <c r="D14" s="87">
        <f t="shared" si="0"/>
        <v>0</v>
      </c>
      <c r="F14" s="134" t="str">
        <f t="shared" si="1"/>
        <v/>
      </c>
      <c r="G14" s="87">
        <f t="shared" si="2"/>
        <v>0</v>
      </c>
      <c r="H14" s="134" t="str">
        <f t="shared" si="3"/>
        <v/>
      </c>
      <c r="I14" s="87">
        <f t="shared" si="4"/>
        <v>0</v>
      </c>
      <c r="J14" s="87">
        <f t="shared" si="5"/>
        <v>0</v>
      </c>
      <c r="K14" s="87">
        <f t="shared" si="6"/>
        <v>0</v>
      </c>
      <c r="L14" s="130">
        <f t="shared" si="7"/>
        <v>7</v>
      </c>
    </row>
    <row r="15" spans="1:21">
      <c r="A15" s="116">
        <v>8</v>
      </c>
      <c r="B15" s="116" t="str">
        <f ca="1">IF(VLOOKUP(A15,RESUMEN!$C$8:$U$22,16,0)="NO CUMPLE","-",IFERROR(IF(VLOOKUP(A15,RESUMEN!$C$8:$F$22,2,0)=0,"",VLOOKUP(A15,RESUMEN!$C$8:$F$22,2,0)),""))</f>
        <v/>
      </c>
      <c r="C15" s="112"/>
      <c r="D15" s="110">
        <f t="shared" si="0"/>
        <v>0</v>
      </c>
      <c r="F15" s="110" t="str">
        <f t="shared" si="1"/>
        <v/>
      </c>
      <c r="G15" s="110">
        <f t="shared" si="2"/>
        <v>0</v>
      </c>
      <c r="H15" s="110" t="str">
        <f t="shared" si="3"/>
        <v/>
      </c>
      <c r="I15" s="110">
        <f t="shared" si="4"/>
        <v>0</v>
      </c>
      <c r="J15" s="110">
        <f t="shared" si="5"/>
        <v>0</v>
      </c>
      <c r="K15" s="110">
        <f t="shared" si="6"/>
        <v>0</v>
      </c>
      <c r="L15" s="131">
        <f t="shared" si="7"/>
        <v>8</v>
      </c>
    </row>
    <row r="16" spans="1:21">
      <c r="A16" s="115">
        <v>9</v>
      </c>
      <c r="B16" s="115" t="str">
        <f ca="1">IF(VLOOKUP(A16,RESUMEN!$C$8:$U$22,16,0)="NO CUMPLE","-",IFERROR(IF(VLOOKUP(A16,RESUMEN!$C$8:$F$22,2,0)=0,"",VLOOKUP(A16,RESUMEN!$C$8:$F$22,2,0)),""))</f>
        <v/>
      </c>
      <c r="C16" s="113"/>
      <c r="D16" s="87">
        <f t="shared" si="0"/>
        <v>0</v>
      </c>
      <c r="F16" s="134" t="str">
        <f t="shared" si="1"/>
        <v/>
      </c>
      <c r="G16" s="87">
        <f t="shared" si="2"/>
        <v>0</v>
      </c>
      <c r="H16" s="134" t="str">
        <f t="shared" si="3"/>
        <v/>
      </c>
      <c r="I16" s="87">
        <f t="shared" si="4"/>
        <v>0</v>
      </c>
      <c r="J16" s="87">
        <f t="shared" si="5"/>
        <v>0</v>
      </c>
      <c r="K16" s="87">
        <f t="shared" si="6"/>
        <v>0</v>
      </c>
      <c r="L16" s="130">
        <f t="shared" si="7"/>
        <v>9</v>
      </c>
    </row>
    <row r="17" spans="1:12">
      <c r="A17" s="116">
        <v>10</v>
      </c>
      <c r="B17" s="116" t="str">
        <f ca="1">IF(VLOOKUP(A17,RESUMEN!$C$8:$U$22,16,0)="NO CUMPLE","-",IFERROR(IF(VLOOKUP(A17,RESUMEN!$C$8:$F$22,2,0)=0,"",VLOOKUP(A17,RESUMEN!$C$8:$F$22,2,0)),""))</f>
        <v/>
      </c>
      <c r="C17" s="112"/>
      <c r="D17" s="110">
        <f t="shared" si="0"/>
        <v>0</v>
      </c>
      <c r="F17" s="110" t="str">
        <f t="shared" si="1"/>
        <v/>
      </c>
      <c r="G17" s="110">
        <f t="shared" si="2"/>
        <v>0</v>
      </c>
      <c r="H17" s="110" t="str">
        <f t="shared" si="3"/>
        <v/>
      </c>
      <c r="I17" s="110">
        <f t="shared" si="4"/>
        <v>0</v>
      </c>
      <c r="J17" s="110">
        <f t="shared" si="5"/>
        <v>0</v>
      </c>
      <c r="K17" s="110">
        <f t="shared" si="6"/>
        <v>0</v>
      </c>
      <c r="L17" s="131">
        <f t="shared" si="7"/>
        <v>10</v>
      </c>
    </row>
    <row r="18" spans="1:12">
      <c r="A18" s="115">
        <v>11</v>
      </c>
      <c r="B18" s="115" t="str">
        <f ca="1">IF(VLOOKUP(A18,RESUMEN!$C$8:$U$22,16,0)="NO CUMPLE","-",IFERROR(IF(VLOOKUP(A18,RESUMEN!$C$8:$F$22,2,0)=0,"",VLOOKUP(A18,RESUMEN!$C$8:$F$22,2,0)),""))</f>
        <v/>
      </c>
      <c r="C18" s="113"/>
      <c r="D18" s="87">
        <f t="shared" si="0"/>
        <v>0</v>
      </c>
      <c r="F18" s="134" t="str">
        <f t="shared" si="1"/>
        <v/>
      </c>
      <c r="G18" s="87">
        <f t="shared" si="2"/>
        <v>0</v>
      </c>
      <c r="H18" s="134" t="str">
        <f t="shared" si="3"/>
        <v/>
      </c>
      <c r="I18" s="87">
        <f t="shared" si="4"/>
        <v>0</v>
      </c>
      <c r="J18" s="87">
        <f t="shared" si="5"/>
        <v>0</v>
      </c>
      <c r="K18" s="87">
        <f t="shared" si="6"/>
        <v>0</v>
      </c>
      <c r="L18" s="130">
        <f t="shared" si="7"/>
        <v>11</v>
      </c>
    </row>
    <row r="19" spans="1:12">
      <c r="A19" s="116">
        <v>12</v>
      </c>
      <c r="B19" s="116" t="str">
        <f ca="1">IF(VLOOKUP(A19,RESUMEN!$C$8:$U$22,16,0)="NO CUMPLE","-",IFERROR(IF(VLOOKUP(A19,RESUMEN!$C$8:$F$22,2,0)=0,"",VLOOKUP(A19,RESUMEN!$C$8:$F$22,2,0)),""))</f>
        <v/>
      </c>
      <c r="C19" s="112"/>
      <c r="D19" s="110">
        <f t="shared" si="0"/>
        <v>0</v>
      </c>
      <c r="F19" s="110" t="str">
        <f t="shared" si="1"/>
        <v/>
      </c>
      <c r="G19" s="110">
        <f t="shared" si="2"/>
        <v>0</v>
      </c>
      <c r="H19" s="110" t="str">
        <f t="shared" si="3"/>
        <v/>
      </c>
      <c r="I19" s="110">
        <f t="shared" si="4"/>
        <v>0</v>
      </c>
      <c r="J19" s="110">
        <f t="shared" si="5"/>
        <v>0</v>
      </c>
      <c r="K19" s="110">
        <f t="shared" si="6"/>
        <v>0</v>
      </c>
      <c r="L19" s="131">
        <f t="shared" si="7"/>
        <v>12</v>
      </c>
    </row>
    <row r="20" spans="1:12">
      <c r="A20" s="115">
        <v>13</v>
      </c>
      <c r="B20" s="115" t="str">
        <f ca="1">IF(VLOOKUP(A20,RESUMEN!$C$8:$U$22,16,0)="NO CUMPLE","-",IFERROR(IF(VLOOKUP(A20,RESUMEN!$C$8:$F$22,2,0)=0,"",VLOOKUP(A20,RESUMEN!$C$8:$F$22,2,0)),""))</f>
        <v/>
      </c>
      <c r="C20" s="113"/>
      <c r="D20" s="87">
        <f t="shared" si="0"/>
        <v>0</v>
      </c>
      <c r="F20" s="134" t="str">
        <f t="shared" si="1"/>
        <v/>
      </c>
      <c r="G20" s="87">
        <f t="shared" si="2"/>
        <v>0</v>
      </c>
      <c r="H20" s="134" t="str">
        <f t="shared" si="3"/>
        <v/>
      </c>
      <c r="I20" s="87">
        <f t="shared" si="4"/>
        <v>0</v>
      </c>
      <c r="J20" s="87">
        <f t="shared" si="5"/>
        <v>0</v>
      </c>
      <c r="K20" s="87">
        <f t="shared" si="6"/>
        <v>0</v>
      </c>
      <c r="L20" s="130">
        <f t="shared" si="7"/>
        <v>13</v>
      </c>
    </row>
    <row r="21" spans="1:12">
      <c r="A21" s="116">
        <v>14</v>
      </c>
      <c r="B21" s="116" t="str">
        <f ca="1">IF(VLOOKUP(A21,RESUMEN!$C$8:$U$22,16,0)="NO CUMPLE","-",IFERROR(IF(VLOOKUP(A21,RESUMEN!$C$8:$F$22,2,0)=0,"",VLOOKUP(A21,RESUMEN!$C$8:$F$22,2,0)),""))</f>
        <v/>
      </c>
      <c r="C21" s="112"/>
      <c r="D21" s="110">
        <f t="shared" si="0"/>
        <v>0</v>
      </c>
      <c r="F21" s="110" t="str">
        <f t="shared" si="1"/>
        <v/>
      </c>
      <c r="G21" s="110">
        <f t="shared" si="2"/>
        <v>0</v>
      </c>
      <c r="H21" s="110" t="str">
        <f t="shared" si="3"/>
        <v/>
      </c>
      <c r="I21" s="110">
        <f t="shared" si="4"/>
        <v>0</v>
      </c>
      <c r="J21" s="110">
        <f t="shared" si="5"/>
        <v>0</v>
      </c>
      <c r="K21" s="110">
        <f t="shared" si="6"/>
        <v>0</v>
      </c>
      <c r="L21" s="131">
        <f t="shared" si="7"/>
        <v>14</v>
      </c>
    </row>
    <row r="22" spans="1:12">
      <c r="A22" s="115">
        <v>15</v>
      </c>
      <c r="B22" s="115" t="str">
        <f ca="1">IF(VLOOKUP(A22,RESUMEN!$C$8:$U$22,16,0)="NO CUMPLE","-",IFERROR(IF(VLOOKUP(A22,RESUMEN!$C$8:$F$22,2,0)=0,"",VLOOKUP(A22,RESUMEN!$C$8:$F$22,2,0)),""))</f>
        <v/>
      </c>
      <c r="C22" s="113"/>
      <c r="D22" s="87">
        <f t="shared" si="0"/>
        <v>0</v>
      </c>
      <c r="F22" s="134" t="str">
        <f t="shared" si="1"/>
        <v/>
      </c>
      <c r="G22" s="87">
        <f t="shared" si="2"/>
        <v>0</v>
      </c>
      <c r="H22" s="134" t="str">
        <f t="shared" si="3"/>
        <v/>
      </c>
      <c r="I22" s="87">
        <f t="shared" si="4"/>
        <v>0</v>
      </c>
      <c r="J22" s="87">
        <f t="shared" si="5"/>
        <v>0</v>
      </c>
      <c r="K22" s="87">
        <f t="shared" si="6"/>
        <v>0</v>
      </c>
      <c r="L22" s="130">
        <f t="shared" si="7"/>
        <v>15</v>
      </c>
    </row>
    <row r="23" spans="1:12">
      <c r="B23" s="27"/>
      <c r="C23" s="32"/>
      <c r="D23" s="31"/>
      <c r="G23" s="31"/>
      <c r="I23" s="31"/>
    </row>
    <row r="24" spans="1:12">
      <c r="B24" s="33" t="s">
        <v>96</v>
      </c>
      <c r="C24" s="34">
        <f>IFERROR(MEDIAN(C8:C22),0)</f>
        <v>42814347240</v>
      </c>
      <c r="D24" s="35"/>
      <c r="E24" s="141"/>
      <c r="G24" s="35"/>
    </row>
    <row r="25" spans="1:12">
      <c r="B25" s="133" t="s">
        <v>99</v>
      </c>
      <c r="C25" s="34">
        <f>IFERROR(VLOOKUP(VLOOKUP(MIN($F$8:$F$22),$F$8:$L$22,7,0),$A$8:$C$22,3,0),0)</f>
        <v>42814347240</v>
      </c>
      <c r="F25" s="139"/>
    </row>
    <row r="26" spans="1:12">
      <c r="B26" s="132"/>
    </row>
    <row r="27" spans="1:12">
      <c r="B27" s="29" t="s">
        <v>100</v>
      </c>
      <c r="C27" s="34">
        <f>IFERROR(GEOMEAN(C8:C22),0)</f>
        <v>42814347240</v>
      </c>
      <c r="D27" s="34"/>
      <c r="G27" s="34"/>
    </row>
    <row r="29" spans="1:12">
      <c r="B29" s="33" t="s">
        <v>102</v>
      </c>
      <c r="C29" s="34">
        <f>IFERROR((MIN(C8:C22)+AVERAGE(C8:C22)/2),0)</f>
        <v>64221520860</v>
      </c>
    </row>
    <row r="31" spans="1:12">
      <c r="B31" s="29" t="s">
        <v>74</v>
      </c>
      <c r="C31" s="36">
        <f>MIN(C8:C22)</f>
        <v>42814347240</v>
      </c>
    </row>
    <row r="33" spans="2:3">
      <c r="B33" s="29" t="s">
        <v>75</v>
      </c>
      <c r="C33" s="29">
        <v>69.75</v>
      </c>
    </row>
  </sheetData>
  <dataValidations count="1">
    <dataValidation type="list" allowBlank="1" showInputMessage="1" showErrorMessage="1" sqref="C6" xr:uid="{18A88B64-3873-4010-B7B9-D0DA3B9C544B}">
      <formula1>METODOS</formula1>
    </dataValidation>
  </dataValidations>
  <hyperlinks>
    <hyperlink ref="B2" r:id="rId1" display="https://www.superfinanciera.gov.co/inicio/informes-y-cifras/cifras/establecimientos-de-credito/informacion-periodica/diaria/tasa-de-cambio-representativa-del-mercado-trm-60819" xr:uid="{C07F2DD4-7B6C-4C0A-9A0D-78E459831F6A}"/>
  </hyperlinks>
  <pageMargins left="0.7" right="0.7" top="0.75" bottom="0.75" header="0.3" footer="0.3"/>
  <pageSetup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A9D50-0298-4C1B-9B3F-4F96DA68E89F}">
  <sheetPr>
    <tabColor theme="0"/>
  </sheetPr>
  <dimension ref="A1:F59"/>
  <sheetViews>
    <sheetView topLeftCell="A5" workbookViewId="0">
      <selection activeCell="D47" sqref="D47"/>
    </sheetView>
  </sheetViews>
  <sheetFormatPr baseColWidth="10" defaultRowHeight="15"/>
  <cols>
    <col min="2" max="2" width="16.28515625" customWidth="1"/>
    <col min="3" max="3" width="20.28515625" customWidth="1"/>
  </cols>
  <sheetData>
    <row r="1" spans="1:6" ht="15.75">
      <c r="A1" s="269" t="s">
        <v>39</v>
      </c>
      <c r="B1" s="269"/>
      <c r="C1" s="269"/>
      <c r="D1" s="269"/>
      <c r="E1" s="269"/>
      <c r="F1" s="269"/>
    </row>
    <row r="2" spans="1:6" ht="15.75" thickBot="1">
      <c r="A2" s="270" t="s">
        <v>40</v>
      </c>
      <c r="B2" s="270"/>
      <c r="C2" s="270"/>
      <c r="D2" s="270"/>
      <c r="E2" s="270"/>
      <c r="F2" s="270"/>
    </row>
    <row r="3" spans="1:6" ht="15.75" thickTop="1">
      <c r="A3" s="48" t="s">
        <v>41</v>
      </c>
      <c r="B3" s="47"/>
      <c r="C3" s="47"/>
      <c r="D3" s="47"/>
      <c r="E3" s="47"/>
      <c r="F3" s="47"/>
    </row>
    <row r="4" spans="1:6" ht="60.75">
      <c r="A4" s="49" t="s">
        <v>42</v>
      </c>
      <c r="B4" s="47"/>
      <c r="C4" s="47"/>
      <c r="D4" s="47"/>
      <c r="E4" s="47"/>
      <c r="F4" s="47"/>
    </row>
    <row r="6" spans="1:6" ht="30">
      <c r="A6" s="50" t="s">
        <v>43</v>
      </c>
      <c r="B6" s="51" t="s">
        <v>44</v>
      </c>
      <c r="C6" s="51" t="s">
        <v>45</v>
      </c>
      <c r="D6" s="47"/>
      <c r="E6" s="47"/>
      <c r="F6" s="47"/>
    </row>
    <row r="7" spans="1:6">
      <c r="A7" s="52">
        <v>1984</v>
      </c>
      <c r="B7" s="53">
        <v>376.6</v>
      </c>
      <c r="C7" s="53">
        <v>11298</v>
      </c>
      <c r="D7" s="47"/>
      <c r="E7" s="47"/>
      <c r="F7" s="47"/>
    </row>
    <row r="8" spans="1:6">
      <c r="A8" s="54">
        <v>1985</v>
      </c>
      <c r="B8" s="55">
        <v>451.92</v>
      </c>
      <c r="C8" s="55">
        <v>13558</v>
      </c>
      <c r="D8" s="47"/>
      <c r="E8" s="47"/>
      <c r="F8" s="47"/>
    </row>
    <row r="9" spans="1:6">
      <c r="A9" s="52">
        <v>1986</v>
      </c>
      <c r="B9" s="53">
        <v>560.38</v>
      </c>
      <c r="C9" s="53">
        <v>16811</v>
      </c>
      <c r="D9" s="47"/>
      <c r="E9" s="47"/>
      <c r="F9" s="47"/>
    </row>
    <row r="10" spans="1:6">
      <c r="A10" s="54">
        <v>1987</v>
      </c>
      <c r="B10" s="55">
        <v>683.66</v>
      </c>
      <c r="C10" s="55">
        <v>20510</v>
      </c>
      <c r="D10" s="47"/>
      <c r="E10" s="47"/>
      <c r="F10" s="47"/>
    </row>
    <row r="11" spans="1:6">
      <c r="A11" s="52">
        <v>1988</v>
      </c>
      <c r="B11" s="53">
        <v>854.58</v>
      </c>
      <c r="C11" s="53">
        <v>25637</v>
      </c>
      <c r="D11" s="47"/>
      <c r="E11" s="47"/>
      <c r="F11" s="47"/>
    </row>
    <row r="12" spans="1:6">
      <c r="A12" s="54">
        <v>1989</v>
      </c>
      <c r="B12" s="55">
        <v>1085.32</v>
      </c>
      <c r="C12" s="55">
        <v>32560</v>
      </c>
      <c r="D12" s="47"/>
      <c r="E12" s="47"/>
      <c r="F12" s="47"/>
    </row>
    <row r="13" spans="1:6">
      <c r="A13" s="52">
        <v>1990</v>
      </c>
      <c r="B13" s="53">
        <v>1367.5</v>
      </c>
      <c r="C13" s="53">
        <v>41025</v>
      </c>
      <c r="D13" s="47"/>
      <c r="E13" s="47"/>
      <c r="F13" s="47"/>
    </row>
    <row r="14" spans="1:6">
      <c r="A14" s="54">
        <v>1991</v>
      </c>
      <c r="B14" s="55">
        <v>1724</v>
      </c>
      <c r="C14" s="55">
        <v>51720</v>
      </c>
      <c r="D14" s="47"/>
      <c r="E14" s="47"/>
      <c r="F14" s="47"/>
    </row>
    <row r="15" spans="1:6">
      <c r="A15" s="52">
        <v>1992</v>
      </c>
      <c r="B15" s="53">
        <v>2173</v>
      </c>
      <c r="C15" s="53">
        <v>65190</v>
      </c>
      <c r="D15" s="47"/>
      <c r="E15" s="47"/>
      <c r="F15" s="47"/>
    </row>
    <row r="16" spans="1:6">
      <c r="A16" s="54">
        <v>1993</v>
      </c>
      <c r="B16" s="55">
        <v>2717</v>
      </c>
      <c r="C16" s="55">
        <v>81510</v>
      </c>
      <c r="D16" s="47"/>
      <c r="E16" s="47"/>
      <c r="F16" s="47"/>
    </row>
    <row r="17" spans="1:3">
      <c r="A17" s="52">
        <v>1994</v>
      </c>
      <c r="B17" s="53">
        <v>3290</v>
      </c>
      <c r="C17" s="53">
        <v>98700</v>
      </c>
    </row>
    <row r="18" spans="1:3">
      <c r="A18" s="54">
        <v>1995</v>
      </c>
      <c r="B18" s="55">
        <v>3964.45</v>
      </c>
      <c r="C18" s="55">
        <v>118934</v>
      </c>
    </row>
    <row r="19" spans="1:3">
      <c r="A19" s="52">
        <v>1996</v>
      </c>
      <c r="B19" s="53">
        <v>4737.5</v>
      </c>
      <c r="C19" s="53">
        <v>142125</v>
      </c>
    </row>
    <row r="20" spans="1:3">
      <c r="A20" s="54">
        <v>1997</v>
      </c>
      <c r="B20" s="55">
        <v>5733.5</v>
      </c>
      <c r="C20" s="55">
        <v>172005</v>
      </c>
    </row>
    <row r="21" spans="1:3">
      <c r="A21" s="52">
        <v>1998</v>
      </c>
      <c r="B21" s="53">
        <v>6794.2</v>
      </c>
      <c r="C21" s="53">
        <v>203826</v>
      </c>
    </row>
    <row r="22" spans="1:3">
      <c r="A22" s="54">
        <v>1999</v>
      </c>
      <c r="B22" s="55">
        <v>7882</v>
      </c>
      <c r="C22" s="55">
        <v>236460</v>
      </c>
    </row>
    <row r="23" spans="1:3">
      <c r="A23" s="52">
        <v>2000</v>
      </c>
      <c r="B23" s="53">
        <v>8670</v>
      </c>
      <c r="C23" s="53">
        <v>260100</v>
      </c>
    </row>
    <row r="24" spans="1:3">
      <c r="A24" s="54">
        <v>2001</v>
      </c>
      <c r="B24" s="55">
        <v>9533.33</v>
      </c>
      <c r="C24" s="55">
        <v>286000</v>
      </c>
    </row>
    <row r="25" spans="1:3">
      <c r="A25" s="52">
        <v>2002</v>
      </c>
      <c r="B25" s="53">
        <v>10300</v>
      </c>
      <c r="C25" s="53">
        <v>309000</v>
      </c>
    </row>
    <row r="26" spans="1:3">
      <c r="A26" s="54">
        <v>2003</v>
      </c>
      <c r="B26" s="55">
        <v>11066.67</v>
      </c>
      <c r="C26" s="55">
        <v>332000</v>
      </c>
    </row>
    <row r="27" spans="1:3">
      <c r="A27" s="52">
        <v>2004</v>
      </c>
      <c r="B27" s="53">
        <v>11933.33</v>
      </c>
      <c r="C27" s="53">
        <v>358000</v>
      </c>
    </row>
    <row r="28" spans="1:3">
      <c r="A28" s="54">
        <v>2005</v>
      </c>
      <c r="B28" s="55">
        <v>12716.67</v>
      </c>
      <c r="C28" s="55">
        <v>381500</v>
      </c>
    </row>
    <row r="29" spans="1:3">
      <c r="A29" s="52">
        <v>2006</v>
      </c>
      <c r="B29" s="53">
        <v>13600</v>
      </c>
      <c r="C29" s="53">
        <v>408000</v>
      </c>
    </row>
    <row r="30" spans="1:3">
      <c r="A30" s="54">
        <v>2007</v>
      </c>
      <c r="B30" s="55">
        <v>14456.67</v>
      </c>
      <c r="C30" s="55">
        <v>433700</v>
      </c>
    </row>
    <row r="31" spans="1:3">
      <c r="A31" s="52">
        <v>2008</v>
      </c>
      <c r="B31" s="53">
        <v>15383.33</v>
      </c>
      <c r="C31" s="53">
        <v>461500</v>
      </c>
    </row>
    <row r="32" spans="1:3">
      <c r="A32" s="54">
        <v>2009</v>
      </c>
      <c r="B32" s="55">
        <v>16563.330000000002</v>
      </c>
      <c r="C32" s="55">
        <v>496900</v>
      </c>
    </row>
    <row r="33" spans="1:5">
      <c r="A33" s="52">
        <v>2010</v>
      </c>
      <c r="B33" s="53">
        <v>17166.669999999998</v>
      </c>
      <c r="C33" s="53">
        <v>515000</v>
      </c>
    </row>
    <row r="34" spans="1:5">
      <c r="A34" s="54">
        <v>2011</v>
      </c>
      <c r="B34" s="55">
        <v>17853.330000000002</v>
      </c>
      <c r="C34" s="55">
        <v>535600</v>
      </c>
    </row>
    <row r="35" spans="1:5">
      <c r="A35" s="52">
        <v>2012</v>
      </c>
      <c r="B35" s="53">
        <v>18890</v>
      </c>
      <c r="C35" s="53">
        <v>566700</v>
      </c>
    </row>
    <row r="36" spans="1:5">
      <c r="A36" s="54">
        <v>2013</v>
      </c>
      <c r="B36" s="55">
        <v>19650</v>
      </c>
      <c r="C36" s="55">
        <v>589500</v>
      </c>
    </row>
    <row r="37" spans="1:5">
      <c r="A37" s="52">
        <v>2014</v>
      </c>
      <c r="B37" s="53">
        <v>20533.330000000002</v>
      </c>
      <c r="C37" s="53">
        <v>616000</v>
      </c>
    </row>
    <row r="38" spans="1:5">
      <c r="A38" s="54">
        <v>2015</v>
      </c>
      <c r="B38" s="55">
        <v>21478.33</v>
      </c>
      <c r="C38" s="55">
        <v>644350</v>
      </c>
    </row>
    <row r="39" spans="1:5">
      <c r="A39" s="52">
        <v>2016</v>
      </c>
      <c r="B39" s="53">
        <v>22981.83</v>
      </c>
      <c r="C39" s="53">
        <v>689455</v>
      </c>
    </row>
    <row r="40" spans="1:5">
      <c r="A40" s="54">
        <v>2017</v>
      </c>
      <c r="B40" s="55">
        <v>24590.57</v>
      </c>
      <c r="C40" s="55">
        <v>737717</v>
      </c>
    </row>
    <row r="41" spans="1:5">
      <c r="A41" s="52">
        <v>2018</v>
      </c>
      <c r="B41" s="53">
        <v>26041.4</v>
      </c>
      <c r="C41" s="53">
        <v>781242</v>
      </c>
    </row>
    <row r="42" spans="1:5">
      <c r="A42" s="54">
        <v>2019</v>
      </c>
      <c r="B42" s="55">
        <v>27603.87</v>
      </c>
      <c r="C42" s="55">
        <v>828116</v>
      </c>
    </row>
    <row r="43" spans="1:5">
      <c r="A43" s="52">
        <v>2020</v>
      </c>
      <c r="B43" s="53">
        <v>29260.1</v>
      </c>
      <c r="C43" s="53">
        <v>877803</v>
      </c>
    </row>
    <row r="44" spans="1:5">
      <c r="A44" s="54">
        <v>2021</v>
      </c>
      <c r="B44" s="55">
        <v>30284.2</v>
      </c>
      <c r="C44" s="55">
        <v>908526</v>
      </c>
    </row>
    <row r="45" spans="1:5">
      <c r="A45" s="52">
        <v>2022</v>
      </c>
      <c r="B45" s="53">
        <v>33333.33</v>
      </c>
      <c r="C45" s="53">
        <v>1000000</v>
      </c>
    </row>
    <row r="46" spans="1:5">
      <c r="A46" s="54">
        <v>2023</v>
      </c>
      <c r="B46" s="55">
        <v>38666.67</v>
      </c>
      <c r="C46" s="55">
        <v>1160000</v>
      </c>
    </row>
    <row r="47" spans="1:5">
      <c r="A47" s="52">
        <v>2022</v>
      </c>
      <c r="B47" s="53">
        <f>C47/30</f>
        <v>43333.333333333336</v>
      </c>
      <c r="C47" s="53">
        <v>1300000</v>
      </c>
    </row>
    <row r="48" spans="1:5">
      <c r="A48" s="267" t="s">
        <v>41</v>
      </c>
      <c r="B48" s="267"/>
      <c r="C48" s="267"/>
      <c r="D48" s="267"/>
      <c r="E48" s="267"/>
    </row>
    <row r="49" spans="1:5">
      <c r="A49" s="267" t="s">
        <v>46</v>
      </c>
      <c r="B49" s="267"/>
      <c r="C49" s="267"/>
      <c r="D49" s="267"/>
      <c r="E49" s="267"/>
    </row>
    <row r="50" spans="1:5">
      <c r="A50" s="267" t="s">
        <v>41</v>
      </c>
      <c r="B50" s="267"/>
      <c r="C50" s="267"/>
      <c r="D50" s="267"/>
      <c r="E50" s="267"/>
    </row>
    <row r="51" spans="1:5">
      <c r="A51" s="267" t="s">
        <v>47</v>
      </c>
      <c r="B51" s="267"/>
      <c r="C51" s="267"/>
      <c r="D51" s="267"/>
      <c r="E51" s="267"/>
    </row>
    <row r="52" spans="1:5">
      <c r="A52" s="266" t="s">
        <v>48</v>
      </c>
      <c r="B52" s="266"/>
      <c r="C52" s="266"/>
      <c r="D52" s="266"/>
      <c r="E52" s="266"/>
    </row>
    <row r="53" spans="1:5">
      <c r="A53" s="268" t="s">
        <v>49</v>
      </c>
      <c r="B53" s="268"/>
      <c r="C53" s="268"/>
      <c r="D53" s="268"/>
      <c r="E53" s="268"/>
    </row>
    <row r="54" spans="1:5">
      <c r="A54" s="268" t="s">
        <v>48</v>
      </c>
      <c r="B54" s="268"/>
      <c r="C54" s="268"/>
      <c r="D54" s="268"/>
      <c r="E54" s="268"/>
    </row>
    <row r="55" spans="1:5">
      <c r="A55" s="268" t="s">
        <v>50</v>
      </c>
      <c r="B55" s="268"/>
      <c r="C55" s="268"/>
      <c r="D55" s="268"/>
      <c r="E55" s="268"/>
    </row>
    <row r="56" spans="1:5">
      <c r="A56" s="266" t="s">
        <v>51</v>
      </c>
      <c r="B56" s="266"/>
      <c r="C56" s="266"/>
      <c r="D56" s="266"/>
      <c r="E56" s="266"/>
    </row>
    <row r="57" spans="1:5">
      <c r="A57" s="266" t="s">
        <v>41</v>
      </c>
      <c r="B57" s="266"/>
      <c r="C57" s="266"/>
      <c r="D57" s="266"/>
      <c r="E57" s="266"/>
    </row>
    <row r="58" spans="1:5">
      <c r="A58" s="266" t="s">
        <v>52</v>
      </c>
      <c r="B58" s="266"/>
      <c r="C58" s="266"/>
      <c r="D58" s="266"/>
      <c r="E58" s="266"/>
    </row>
    <row r="59" spans="1:5">
      <c r="A59" s="56" t="s">
        <v>41</v>
      </c>
      <c r="B59" s="47"/>
      <c r="C59" s="47"/>
      <c r="D59" s="47"/>
      <c r="E59" s="47"/>
    </row>
  </sheetData>
  <mergeCells count="13">
    <mergeCell ref="A1:F1"/>
    <mergeCell ref="A2:F2"/>
    <mergeCell ref="A48:E48"/>
    <mergeCell ref="A49:E49"/>
    <mergeCell ref="A50:E50"/>
    <mergeCell ref="A56:E56"/>
    <mergeCell ref="A57:E57"/>
    <mergeCell ref="A58:E58"/>
    <mergeCell ref="A51:E51"/>
    <mergeCell ref="A52:E52"/>
    <mergeCell ref="A53:E53"/>
    <mergeCell ref="A54:E54"/>
    <mergeCell ref="A55:E55"/>
  </mergeCells>
  <hyperlinks>
    <hyperlink ref="A49" r:id="rId1" xr:uid="{00000000-0004-0000-0000-000000000000}"/>
  </hyperlinks>
  <pageMargins left="0.7" right="0.7" top="0.75" bottom="0.75" header="0.3" footer="0.3"/>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18</vt:i4>
      </vt:variant>
    </vt:vector>
  </HeadingPairs>
  <TitlesOfParts>
    <vt:vector size="22" baseType="lpstr">
      <vt:lpstr>RESUMEN</vt:lpstr>
      <vt:lpstr>1</vt:lpstr>
      <vt:lpstr>F7 PROPUESTA ECONOMICA</vt:lpstr>
      <vt:lpstr>Serie Historica SMMLV</vt:lpstr>
      <vt:lpstr>'1'!Área_de_impresión</vt:lpstr>
      <vt:lpstr>'1'!CARTA</vt:lpstr>
      <vt:lpstr>'1'!DISCAP</vt:lpstr>
      <vt:lpstr>'1'!EXPESP</vt:lpstr>
      <vt:lpstr>'1'!EXPGRAL</vt:lpstr>
      <vt:lpstr>'1'!FCALIDAD</vt:lpstr>
      <vt:lpstr>'1'!FORMATO8</vt:lpstr>
      <vt:lpstr>'1'!FTECNICAS</vt:lpstr>
      <vt:lpstr>'1'!GARANTIA</vt:lpstr>
      <vt:lpstr>'1'!INDNAL</vt:lpstr>
      <vt:lpstr>METODOS</vt:lpstr>
      <vt:lpstr>'1'!MIPYME</vt:lpstr>
      <vt:lpstr>'1'!MUJERES</vt:lpstr>
      <vt:lpstr>PPTOOFICIAL</vt:lpstr>
      <vt:lpstr>'1'!PTOTAL</vt:lpstr>
      <vt:lpstr>'1'!REPBIENES</vt:lpstr>
      <vt:lpstr>'1'!SUMEXPESP</vt:lpstr>
      <vt:lpstr>'1'!SUMEXPGRAL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DTANA</dc:creator>
  <cp:keywords/>
  <dc:description/>
  <cp:lastModifiedBy>Vianney Viviana Carrillo Delgado</cp:lastModifiedBy>
  <cp:revision/>
  <dcterms:created xsi:type="dcterms:W3CDTF">2023-10-27T23:00:45Z</dcterms:created>
  <dcterms:modified xsi:type="dcterms:W3CDTF">2024-12-05T21:22:33Z</dcterms:modified>
  <cp:category/>
  <cp:contentStatus/>
</cp:coreProperties>
</file>