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autoCompressPictures="0"/>
  <mc:AlternateContent xmlns:mc="http://schemas.openxmlformats.org/markup-compatibility/2006">
    <mc:Choice Requires="x15">
      <x15ac:absPath xmlns:x15ac="http://schemas.microsoft.com/office/spreadsheetml/2010/11/ac" url="F:\ENGATIVA\ENGATIVA 2024\VICTOR HUGO HUERTAS 2024\CONCURSO DE MERITOS\INTERV PARQUES\EVALUACION DEFINITIVA\evaluacion definitiva\"/>
    </mc:Choice>
  </mc:AlternateContent>
  <xr:revisionPtr revIDLastSave="0" documentId="8_{73112AF7-BA66-4FF0-8551-96150DABB8FF}" xr6:coauthVersionLast="47" xr6:coauthVersionMax="47" xr10:uidLastSave="{00000000-0000-0000-0000-000000000000}"/>
  <workbookProtection workbookAlgorithmName="SHA-512" workbookHashValue="59srGdkJAZmPYV7/zgVNwe8w4LUvi2pX/PGOOLs38VJFZwb/moSKbOxjkzsN4MdeXht/YIJYadjGLGMCQLoiIA==" workbookSaltValue="c8TJvwdW2IGKrdHjl72RBQ==" workbookSpinCount="100000" lockStructure="1"/>
  <bookViews>
    <workbookView xWindow="-120" yWindow="-120" windowWidth="20730" windowHeight="11160" tabRatio="746" activeTab="8" xr2:uid="{00000000-000D-0000-FFFF-FFFF00000000}"/>
  </bookViews>
  <sheets>
    <sheet name="LISTA DE OFERENTES" sheetId="63" r:id="rId1"/>
    <sheet name="EXPERIENCIA DEL PROPONENTE" sheetId="58" r:id="rId2"/>
    <sheet name="CONDICIONES GENERALES" sheetId="61" r:id="rId3"/>
    <sheet name="REQUISITOS HAB. TECNICOS" sheetId="60" r:id="rId4"/>
    <sheet name="RESUMEN EVALUACIÓN" sheetId="53" r:id="rId5"/>
    <sheet name="MEDIA ARITMETICA ALTA" sheetId="66" r:id="rId6"/>
    <sheet name="OBRAS INCONCLUSAS" sheetId="67" r:id="rId7"/>
    <sheet name="F. PONDERABLES" sheetId="64" r:id="rId8"/>
    <sheet name="ORDEN ELEGIBILIDAD" sheetId="68" r:id="rId9"/>
  </sheets>
  <definedNames>
    <definedName name="_Fill" localSheetId="1" hidden="1">#REF!</definedName>
    <definedName name="_Fill" localSheetId="7" hidden="1">#REF!</definedName>
    <definedName name="_Fill" localSheetId="5" hidden="1">#REF!</definedName>
    <definedName name="_Fill" localSheetId="8" hidden="1">#REF!</definedName>
    <definedName name="_Fill" hidden="1">#REF!</definedName>
    <definedName name="_xlnm._FilterDatabase" localSheetId="7" hidden="1">'F. PONDERABLES'!$A$7:$L$13</definedName>
    <definedName name="_xlnm._FilterDatabase" localSheetId="0" hidden="1">'LISTA DE OFERENTES'!$A$3:$J$12</definedName>
    <definedName name="_xlnm._FilterDatabase" localSheetId="5" hidden="1">'MEDIA ARITMETICA ALTA'!$A$10:$I$10</definedName>
    <definedName name="_xlnm._FilterDatabase" localSheetId="6" hidden="1">'OBRAS INCONCLUSAS'!$A$5:$H$14</definedName>
    <definedName name="_xlnm._FilterDatabase" localSheetId="8" hidden="1">'ORDEN ELEGIBILIDAD'!$A$7:$D$7</definedName>
    <definedName name="_xlnm._FilterDatabase" localSheetId="3" hidden="1">'REQUISITOS HAB. TECNICOS'!$A$4:$G$50</definedName>
    <definedName name="_xlnm._FilterDatabase" localSheetId="4" hidden="1">'RESUMEN EVALUACIÓN'!$A$5:$L$14</definedName>
    <definedName name="_xlnm.Print_Area" localSheetId="7">'F. PONDERABLES'!$A$1:$L$44</definedName>
    <definedName name="_xlnm.Print_Area" localSheetId="8">'ORDEN ELEGIBILIDAD'!$A$1:$D$43</definedName>
    <definedName name="_xlnm.Print_Area" localSheetId="3">'REQUISITOS HAB. TECNICOS'!$A$1:$G$52</definedName>
    <definedName name="_xlnm.Print_Area">#REF!</definedName>
    <definedName name="PRINT_AREA">#N/A</definedName>
    <definedName name="PRINT_AREA_MI" localSheetId="5">#N/A</definedName>
    <definedName name="PRINT_AREA_MI">#N/A</definedName>
    <definedName name="PRINT_TITLES">#N/A</definedName>
    <definedName name="PRINT_TITLES_MI" localSheetId="5">#N/A</definedName>
    <definedName name="PRINT_TITLES_MI">#N/A</definedName>
    <definedName name="_xlnm.Print_Titles" localSheetId="8">#REF!</definedName>
    <definedName name="_xlnm.Print_Titl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2" i="68" l="1"/>
  <c r="A13" i="68"/>
  <c r="A14" i="68" s="1"/>
  <c r="A15" i="68" s="1"/>
  <c r="A16" i="68" s="1"/>
  <c r="A17" i="68" s="1"/>
  <c r="A18" i="68" s="1"/>
  <c r="A19" i="68" s="1"/>
  <c r="A20" i="68" s="1"/>
  <c r="A21" i="68" s="1"/>
  <c r="A22" i="68" s="1"/>
  <c r="A23" i="68" s="1"/>
  <c r="A24" i="68" s="1"/>
  <c r="A25" i="68" s="1"/>
  <c r="A26" i="68" s="1"/>
  <c r="A27" i="68" s="1"/>
  <c r="A28" i="68" s="1"/>
  <c r="A29" i="68" s="1"/>
  <c r="A30" i="68" s="1"/>
  <c r="A31" i="68" s="1"/>
  <c r="A32" i="68" s="1"/>
  <c r="A33" i="68" s="1"/>
  <c r="A34" i="68" s="1"/>
  <c r="A35" i="68" s="1"/>
  <c r="A36" i="68" s="1"/>
  <c r="A37" i="68" s="1"/>
  <c r="A38" i="68" s="1"/>
  <c r="A39" i="68" s="1"/>
  <c r="A40" i="68" s="1"/>
  <c r="A41" i="68" s="1"/>
  <c r="A42" i="68" s="1"/>
  <c r="K23" i="64"/>
  <c r="B42" i="64"/>
  <c r="B41" i="64"/>
  <c r="B40" i="64"/>
  <c r="B39" i="64"/>
  <c r="B38" i="64"/>
  <c r="B37" i="64"/>
  <c r="B36" i="64"/>
  <c r="B35" i="64"/>
  <c r="B34" i="64"/>
  <c r="B33" i="64"/>
  <c r="B32" i="64"/>
  <c r="B31" i="64"/>
  <c r="B30" i="64"/>
  <c r="B29" i="64"/>
  <c r="B28" i="64"/>
  <c r="B27" i="64"/>
  <c r="B26" i="64"/>
  <c r="B25" i="64"/>
  <c r="B24" i="64"/>
  <c r="B23" i="64"/>
  <c r="B22" i="64"/>
  <c r="B21" i="64"/>
  <c r="B20" i="64"/>
  <c r="B19" i="64"/>
  <c r="B18" i="64"/>
  <c r="B17" i="64"/>
  <c r="B16" i="64"/>
  <c r="B15" i="64"/>
  <c r="B14" i="64"/>
  <c r="B13" i="64"/>
  <c r="B12" i="64"/>
  <c r="B11" i="64"/>
  <c r="B10" i="64"/>
  <c r="B9" i="64"/>
  <c r="B8" i="64"/>
  <c r="C41" i="68"/>
  <c r="D41" i="68"/>
  <c r="C29" i="68"/>
  <c r="D29" i="68"/>
  <c r="C20" i="68"/>
  <c r="D20" i="68"/>
  <c r="P291" i="58"/>
  <c r="F31" i="53"/>
  <c r="C337" i="58"/>
  <c r="F39" i="53"/>
  <c r="F38" i="60"/>
  <c r="C30" i="66"/>
  <c r="C37" i="66"/>
  <c r="C21" i="66"/>
  <c r="C11" i="66"/>
  <c r="B75" i="66"/>
  <c r="C75" i="66"/>
  <c r="B37" i="66"/>
  <c r="B64" i="66"/>
  <c r="B26" i="66"/>
  <c r="H291" i="58"/>
  <c r="B68" i="66"/>
  <c r="C68" i="66"/>
  <c r="B30" i="66"/>
  <c r="F38" i="53" l="1"/>
  <c r="B81" i="66"/>
  <c r="B82" i="66"/>
  <c r="B83" i="66"/>
  <c r="P578" i="58"/>
  <c r="R579" i="58"/>
  <c r="R70" i="58"/>
  <c r="H344" i="58"/>
  <c r="H33" i="58"/>
  <c r="H31" i="58"/>
  <c r="H345" i="58" l="1"/>
  <c r="F26" i="60" l="1"/>
  <c r="R175" i="58"/>
  <c r="H579" i="58"/>
  <c r="C569" i="58" s="1"/>
  <c r="B14" i="66" l="1"/>
  <c r="C14" i="66"/>
  <c r="B16" i="66"/>
  <c r="C16" i="66"/>
  <c r="B17" i="66"/>
  <c r="C17" i="66"/>
  <c r="C55" i="66" s="1"/>
  <c r="B18" i="66"/>
  <c r="C18" i="66"/>
  <c r="B19" i="66"/>
  <c r="B34" i="66"/>
  <c r="C34" i="66"/>
  <c r="B42" i="66"/>
  <c r="C42" i="66"/>
  <c r="B52" i="66"/>
  <c r="B54" i="66"/>
  <c r="B55" i="66"/>
  <c r="B56" i="66"/>
  <c r="B57" i="66"/>
  <c r="B72" i="66"/>
  <c r="B80" i="66"/>
  <c r="B22" i="66"/>
  <c r="C54" i="66" l="1"/>
  <c r="F433" i="58"/>
  <c r="F484" i="58"/>
  <c r="H484" i="58" s="1"/>
  <c r="F6" i="60"/>
  <c r="F7" i="60"/>
  <c r="F8" i="53" s="1"/>
  <c r="F8" i="60"/>
  <c r="F9" i="60"/>
  <c r="F10" i="53" s="1"/>
  <c r="F10" i="60"/>
  <c r="F11" i="53" s="1"/>
  <c r="F11" i="60"/>
  <c r="F12" i="53" s="1"/>
  <c r="F12" i="60"/>
  <c r="F13" i="53" s="1"/>
  <c r="F13" i="60"/>
  <c r="F14" i="53"/>
  <c r="F14" i="60"/>
  <c r="F15" i="60"/>
  <c r="F16" i="53" s="1"/>
  <c r="F16" i="60"/>
  <c r="F17" i="53" s="1"/>
  <c r="F17" i="60"/>
  <c r="F18" i="53" s="1"/>
  <c r="F18" i="60"/>
  <c r="F19" i="53" s="1"/>
  <c r="F19" i="60"/>
  <c r="F20" i="53" s="1"/>
  <c r="F20" i="60"/>
  <c r="F21" i="53" s="1"/>
  <c r="F21" i="60"/>
  <c r="F22" i="53" s="1"/>
  <c r="F22" i="60"/>
  <c r="F23" i="53" s="1"/>
  <c r="F23" i="60"/>
  <c r="F24" i="53" s="1"/>
  <c r="F24" i="60"/>
  <c r="F25" i="60"/>
  <c r="F27" i="60"/>
  <c r="F28" i="53" s="1"/>
  <c r="F28" i="60"/>
  <c r="F29" i="53" s="1"/>
  <c r="F29" i="60"/>
  <c r="F30" i="53" s="1"/>
  <c r="F30" i="60"/>
  <c r="F31" i="60"/>
  <c r="F32" i="53" s="1"/>
  <c r="F32" i="60"/>
  <c r="F33" i="53" s="1"/>
  <c r="F33" i="60"/>
  <c r="F34" i="53" s="1"/>
  <c r="F34" i="60"/>
  <c r="F35" i="60"/>
  <c r="F36" i="53" s="1"/>
  <c r="F36" i="60"/>
  <c r="F37" i="53" s="1"/>
  <c r="F37" i="60"/>
  <c r="F39" i="60"/>
  <c r="F40" i="60"/>
  <c r="F41" i="53" s="1"/>
  <c r="F41" i="60"/>
  <c r="F42" i="60"/>
  <c r="F43" i="53" s="1"/>
  <c r="F43" i="60"/>
  <c r="F45" i="60"/>
  <c r="F46" i="53" s="1"/>
  <c r="F46" i="60"/>
  <c r="F47" i="53" s="1"/>
  <c r="F47" i="60"/>
  <c r="F48" i="53" s="1"/>
  <c r="F48" i="60"/>
  <c r="F49" i="53" s="1"/>
  <c r="F49" i="60"/>
  <c r="F50" i="53"/>
  <c r="F50" i="60"/>
  <c r="F51" i="53" s="1"/>
  <c r="F5" i="60"/>
  <c r="F226" i="58"/>
  <c r="H226" i="58" s="1"/>
  <c r="L226" i="58" s="1"/>
  <c r="F606" i="58"/>
  <c r="H606" i="58"/>
  <c r="L606" i="58" s="1"/>
  <c r="P606" i="58" s="1"/>
  <c r="F107" i="58"/>
  <c r="L593" i="58"/>
  <c r="F590" i="58"/>
  <c r="H590" i="58"/>
  <c r="L590" i="58"/>
  <c r="F591" i="58"/>
  <c r="F592" i="58"/>
  <c r="H592" i="58" s="1"/>
  <c r="L592" i="58" s="1"/>
  <c r="F224" i="58"/>
  <c r="H224" i="58"/>
  <c r="L224" i="58" s="1"/>
  <c r="P224" i="58" s="1"/>
  <c r="F223" i="58"/>
  <c r="H223" i="58"/>
  <c r="L223" i="58" s="1"/>
  <c r="F211" i="58"/>
  <c r="H211" i="58"/>
  <c r="L211" i="58"/>
  <c r="P211" i="58" s="1"/>
  <c r="F208" i="58"/>
  <c r="F316" i="58"/>
  <c r="H316" i="58"/>
  <c r="L316" i="58" s="1"/>
  <c r="D470" i="58"/>
  <c r="F470" i="58"/>
  <c r="F422" i="58"/>
  <c r="H445" i="58"/>
  <c r="L445" i="58"/>
  <c r="P445" i="58" s="1"/>
  <c r="P409" i="58"/>
  <c r="P410" i="58"/>
  <c r="F94" i="58"/>
  <c r="F96" i="58"/>
  <c r="H96" i="58" s="1"/>
  <c r="L96" i="58" s="1"/>
  <c r="P96" i="58" s="1"/>
  <c r="D31" i="58"/>
  <c r="F31" i="58"/>
  <c r="L31" i="58"/>
  <c r="F32" i="58"/>
  <c r="H32" i="58" s="1"/>
  <c r="L32" i="58" s="1"/>
  <c r="D173" i="58"/>
  <c r="F157" i="58"/>
  <c r="F16" i="58"/>
  <c r="F345" i="58"/>
  <c r="L345" i="58" s="1"/>
  <c r="F607" i="58"/>
  <c r="H607" i="58"/>
  <c r="L607" i="58" s="1"/>
  <c r="P607" i="58" s="1"/>
  <c r="F605" i="58"/>
  <c r="F594" i="58"/>
  <c r="H594" i="58" s="1"/>
  <c r="L594" i="58" s="1"/>
  <c r="F589" i="58"/>
  <c r="F578" i="58"/>
  <c r="H578" i="58" s="1"/>
  <c r="F576" i="58"/>
  <c r="H576" i="58"/>
  <c r="L576" i="58" s="1"/>
  <c r="F575" i="58"/>
  <c r="H575" i="58"/>
  <c r="F564" i="58"/>
  <c r="H564" i="58"/>
  <c r="L564" i="58"/>
  <c r="P564" i="58"/>
  <c r="F563" i="58"/>
  <c r="H563" i="58" s="1"/>
  <c r="L563" i="58" s="1"/>
  <c r="P563" i="58" s="1"/>
  <c r="F561" i="58"/>
  <c r="H561" i="58" s="1"/>
  <c r="L561" i="58" s="1"/>
  <c r="P561" i="58" s="1"/>
  <c r="F560" i="58"/>
  <c r="H560" i="58" s="1"/>
  <c r="H549" i="58"/>
  <c r="L549" i="58"/>
  <c r="P549" i="58"/>
  <c r="F548" i="58"/>
  <c r="H548" i="58"/>
  <c r="L548" i="58"/>
  <c r="P548" i="58" s="1"/>
  <c r="P550" i="58" s="1"/>
  <c r="F535" i="58"/>
  <c r="F537" i="58" s="1"/>
  <c r="F524" i="58"/>
  <c r="F525" i="58"/>
  <c r="P514" i="58"/>
  <c r="F513" i="58"/>
  <c r="H513" i="58"/>
  <c r="L513" i="58" s="1"/>
  <c r="F512" i="58"/>
  <c r="H512" i="58" s="1"/>
  <c r="L512" i="58" s="1"/>
  <c r="F510" i="58"/>
  <c r="H510" i="58" s="1"/>
  <c r="L510" i="58" s="1"/>
  <c r="F509" i="58"/>
  <c r="F514" i="58" s="1"/>
  <c r="F498" i="58"/>
  <c r="H498" i="58" s="1"/>
  <c r="F497" i="58"/>
  <c r="H497" i="58"/>
  <c r="F496" i="58"/>
  <c r="F485" i="58"/>
  <c r="F473" i="58"/>
  <c r="H473" i="58" s="1"/>
  <c r="L473" i="58" s="1"/>
  <c r="P473" i="58" s="1"/>
  <c r="F472" i="58"/>
  <c r="H472" i="58"/>
  <c r="L472" i="58" s="1"/>
  <c r="P472" i="58" s="1"/>
  <c r="P474" i="58"/>
  <c r="H459" i="58"/>
  <c r="P460" i="58"/>
  <c r="F446" i="58"/>
  <c r="H446" i="58" s="1"/>
  <c r="L446" i="58" s="1"/>
  <c r="F444" i="58"/>
  <c r="F421" i="58"/>
  <c r="H421" i="58" s="1"/>
  <c r="L421" i="58" s="1"/>
  <c r="P421" i="58" s="1"/>
  <c r="F420" i="58"/>
  <c r="F409" i="58"/>
  <c r="P399" i="58"/>
  <c r="F398" i="58"/>
  <c r="H398" i="58" s="1"/>
  <c r="L398" i="58" s="1"/>
  <c r="F397" i="58"/>
  <c r="H397" i="58" s="1"/>
  <c r="L397" i="58"/>
  <c r="F395" i="58"/>
  <c r="H395" i="58" s="1"/>
  <c r="L395" i="58"/>
  <c r="F394" i="58"/>
  <c r="F383" i="58"/>
  <c r="H383" i="58"/>
  <c r="L383" i="58" s="1"/>
  <c r="P383" i="58"/>
  <c r="P384" i="58" s="1"/>
  <c r="O384" i="58" s="1"/>
  <c r="Q379" i="58" s="1"/>
  <c r="F381" i="58"/>
  <c r="H381" i="58" s="1"/>
  <c r="L381" i="58"/>
  <c r="F380" i="58"/>
  <c r="F368" i="58"/>
  <c r="F370" i="58" s="1"/>
  <c r="F357" i="58"/>
  <c r="F358" i="58" s="1"/>
  <c r="H357" i="58"/>
  <c r="L357" i="58" s="1"/>
  <c r="P357" i="58"/>
  <c r="F356" i="58"/>
  <c r="F344" i="58"/>
  <c r="L344" i="58"/>
  <c r="P344" i="58" s="1"/>
  <c r="F343" i="58"/>
  <c r="F332" i="58"/>
  <c r="F320" i="58"/>
  <c r="H319" i="58"/>
  <c r="L319" i="58" s="1"/>
  <c r="P319" i="58" s="1"/>
  <c r="H317" i="58"/>
  <c r="L317" i="58" s="1"/>
  <c r="F315" i="58"/>
  <c r="F303" i="58"/>
  <c r="H303" i="58" s="1"/>
  <c r="L303" i="58"/>
  <c r="P303" i="58" s="1"/>
  <c r="F302" i="58"/>
  <c r="F291" i="58"/>
  <c r="L291" i="58" s="1"/>
  <c r="F290" i="58"/>
  <c r="F279" i="58"/>
  <c r="H279" i="58" s="1"/>
  <c r="L279" i="58" s="1"/>
  <c r="P279" i="58" s="1"/>
  <c r="F277" i="58"/>
  <c r="F280" i="58" s="1"/>
  <c r="F265" i="58"/>
  <c r="H265" i="58"/>
  <c r="L265" i="58" s="1"/>
  <c r="P265" i="58" s="1"/>
  <c r="F264" i="58"/>
  <c r="H264" i="58" s="1"/>
  <c r="F253" i="58"/>
  <c r="F242" i="58"/>
  <c r="H242" i="58" s="1"/>
  <c r="L242" i="58" s="1"/>
  <c r="P242" i="58" s="1"/>
  <c r="F241" i="58"/>
  <c r="H241" i="58"/>
  <c r="L241" i="58" s="1"/>
  <c r="F239" i="58"/>
  <c r="H239" i="58" s="1"/>
  <c r="F228" i="58"/>
  <c r="H228" i="58" s="1"/>
  <c r="L228" i="58" s="1"/>
  <c r="P228" i="58" s="1"/>
  <c r="F225" i="58"/>
  <c r="H225" i="58" s="1"/>
  <c r="L225" i="58" s="1"/>
  <c r="F222" i="58"/>
  <c r="F209" i="58"/>
  <c r="H209" i="58" s="1"/>
  <c r="L209" i="58" s="1"/>
  <c r="P209" i="58" s="1"/>
  <c r="F186" i="58"/>
  <c r="F187" i="58" s="1"/>
  <c r="F185" i="58"/>
  <c r="F174" i="58"/>
  <c r="H174" i="58" s="1"/>
  <c r="L174" i="58" s="1"/>
  <c r="F173" i="58"/>
  <c r="H173" i="58" s="1"/>
  <c r="L173" i="58" s="1"/>
  <c r="F171" i="58"/>
  <c r="H171" i="58" s="1"/>
  <c r="H175" i="58" s="1"/>
  <c r="F160" i="58"/>
  <c r="H160" i="58"/>
  <c r="F159" i="58"/>
  <c r="H159" i="58"/>
  <c r="L159" i="58" s="1"/>
  <c r="F158" i="58"/>
  <c r="H158" i="58"/>
  <c r="L158" i="58" s="1"/>
  <c r="F145" i="58"/>
  <c r="P135" i="58"/>
  <c r="L134" i="58"/>
  <c r="F135" i="58"/>
  <c r="H121" i="58"/>
  <c r="L121" i="58"/>
  <c r="P121" i="58" s="1"/>
  <c r="P123" i="58" s="1"/>
  <c r="O123" i="58" s="1"/>
  <c r="Q117" i="58" s="1"/>
  <c r="F119" i="58"/>
  <c r="F118" i="58"/>
  <c r="F95" i="58"/>
  <c r="H95" i="58"/>
  <c r="L95" i="58" s="1"/>
  <c r="F83" i="58"/>
  <c r="H83" i="58"/>
  <c r="L83" i="58" s="1"/>
  <c r="F82" i="58"/>
  <c r="H82" i="58"/>
  <c r="L82" i="58" s="1"/>
  <c r="P82" i="58"/>
  <c r="F80" i="58"/>
  <c r="F84" i="58" s="1"/>
  <c r="F69" i="58"/>
  <c r="L69" i="58"/>
  <c r="F68" i="58"/>
  <c r="F57" i="58"/>
  <c r="F46" i="58"/>
  <c r="A22" i="58"/>
  <c r="F35" i="58"/>
  <c r="H35" i="58" s="1"/>
  <c r="L35" i="58" s="1"/>
  <c r="P35" i="58" s="1"/>
  <c r="F33" i="58"/>
  <c r="L33" i="58"/>
  <c r="F30" i="58"/>
  <c r="F36" i="58" s="1"/>
  <c r="F9" i="53"/>
  <c r="F25" i="53"/>
  <c r="F27" i="53"/>
  <c r="F42" i="53"/>
  <c r="F7" i="53"/>
  <c r="C21" i="68"/>
  <c r="C23" i="68"/>
  <c r="C16" i="68"/>
  <c r="C18" i="68"/>
  <c r="C40" i="68"/>
  <c r="C31" i="68"/>
  <c r="C24" i="68"/>
  <c r="C11" i="68"/>
  <c r="C36" i="68"/>
  <c r="C33" i="68"/>
  <c r="C14" i="68"/>
  <c r="C10" i="68"/>
  <c r="C12" i="68"/>
  <c r="C37" i="68"/>
  <c r="C30" i="68"/>
  <c r="C8" i="68"/>
  <c r="C35" i="68"/>
  <c r="C13" i="68"/>
  <c r="C26" i="68"/>
  <c r="C32" i="68"/>
  <c r="C42" i="68"/>
  <c r="C28" i="68"/>
  <c r="C38" i="68"/>
  <c r="C15" i="68"/>
  <c r="C25" i="68"/>
  <c r="C27" i="68"/>
  <c r="C19" i="68"/>
  <c r="C17" i="68"/>
  <c r="C22" i="68"/>
  <c r="C39" i="68"/>
  <c r="C9" i="68"/>
  <c r="B25" i="67"/>
  <c r="B26" i="67"/>
  <c r="B27" i="67"/>
  <c r="B28" i="67"/>
  <c r="B29" i="67"/>
  <c r="B30" i="67"/>
  <c r="B6" i="60"/>
  <c r="B7" i="60"/>
  <c r="B8" i="60"/>
  <c r="B9" i="60"/>
  <c r="B10" i="60"/>
  <c r="B11" i="60"/>
  <c r="B12" i="60"/>
  <c r="B13" i="60"/>
  <c r="B14" i="60"/>
  <c r="B15" i="60"/>
  <c r="B16" i="60"/>
  <c r="B17" i="60"/>
  <c r="B18" i="60"/>
  <c r="B19" i="60"/>
  <c r="B20" i="60"/>
  <c r="B21" i="60"/>
  <c r="B22" i="60"/>
  <c r="B23" i="60"/>
  <c r="B24" i="60"/>
  <c r="B25" i="60"/>
  <c r="B26" i="60"/>
  <c r="B27" i="60"/>
  <c r="B28" i="60"/>
  <c r="B29" i="60"/>
  <c r="B30" i="60"/>
  <c r="B31" i="60"/>
  <c r="B32" i="60"/>
  <c r="B33" i="60"/>
  <c r="B34" i="60"/>
  <c r="B35" i="60"/>
  <c r="B36" i="60"/>
  <c r="B37" i="60"/>
  <c r="B38" i="60"/>
  <c r="B39" i="60"/>
  <c r="B40" i="60"/>
  <c r="B41" i="60"/>
  <c r="B42" i="60"/>
  <c r="B43" i="60"/>
  <c r="B44" i="60"/>
  <c r="B45" i="60"/>
  <c r="B46" i="60"/>
  <c r="B47" i="60"/>
  <c r="B48" i="60"/>
  <c r="B49" i="60"/>
  <c r="B50" i="60"/>
  <c r="B7" i="53"/>
  <c r="B8" i="53"/>
  <c r="B9" i="53"/>
  <c r="B10" i="53"/>
  <c r="B11" i="53"/>
  <c r="B12" i="53"/>
  <c r="B13" i="53"/>
  <c r="B14" i="53"/>
  <c r="B15" i="53"/>
  <c r="B16" i="53"/>
  <c r="B17" i="53"/>
  <c r="B18" i="53"/>
  <c r="B19" i="53"/>
  <c r="B20" i="53"/>
  <c r="B21" i="53"/>
  <c r="B22" i="53"/>
  <c r="B23" i="53"/>
  <c r="B24" i="53"/>
  <c r="B25" i="53"/>
  <c r="B26" i="53"/>
  <c r="B27" i="53"/>
  <c r="B28" i="53"/>
  <c r="B29" i="53"/>
  <c r="B30" i="53"/>
  <c r="B31" i="53"/>
  <c r="B32" i="53"/>
  <c r="B33" i="53"/>
  <c r="B34" i="53"/>
  <c r="B35" i="53"/>
  <c r="B36" i="53"/>
  <c r="B37" i="53"/>
  <c r="B38" i="53"/>
  <c r="B39" i="53"/>
  <c r="B40" i="53"/>
  <c r="B41" i="53"/>
  <c r="B42" i="53"/>
  <c r="B43" i="53"/>
  <c r="B44" i="53"/>
  <c r="B45" i="53"/>
  <c r="B46" i="53"/>
  <c r="B47" i="53"/>
  <c r="B48" i="53"/>
  <c r="B49" i="53"/>
  <c r="B50" i="53"/>
  <c r="B51" i="53"/>
  <c r="A5" i="63"/>
  <c r="P20" i="58"/>
  <c r="O20" i="58" s="1"/>
  <c r="Q14" i="58" s="1"/>
  <c r="F212" i="58"/>
  <c r="F70" i="58"/>
  <c r="P229" i="58"/>
  <c r="F292" i="58"/>
  <c r="F384" i="58"/>
  <c r="F448" i="58"/>
  <c r="F499" i="58"/>
  <c r="F175" i="58"/>
  <c r="F460" i="58"/>
  <c r="F474" i="58"/>
  <c r="L497" i="58"/>
  <c r="L485" i="58"/>
  <c r="P173" i="58"/>
  <c r="H30" i="58"/>
  <c r="L30" i="58" s="1"/>
  <c r="P30" i="58" s="1"/>
  <c r="P36" i="58" s="1"/>
  <c r="O36" i="58" s="1"/>
  <c r="Q29" i="58" s="1"/>
  <c r="H57" i="58"/>
  <c r="H58" i="58" s="1"/>
  <c r="C51" i="58" s="1"/>
  <c r="C12" i="66" s="1"/>
  <c r="C50" i="66" s="1"/>
  <c r="F58" i="58"/>
  <c r="H94" i="58"/>
  <c r="F97" i="58"/>
  <c r="H107" i="58"/>
  <c r="H108" i="58" s="1"/>
  <c r="F108" i="58"/>
  <c r="H157" i="58"/>
  <c r="F161" i="58"/>
  <c r="H185" i="58"/>
  <c r="L185" i="58" s="1"/>
  <c r="H197" i="58"/>
  <c r="L197" i="58" s="1"/>
  <c r="F198" i="58"/>
  <c r="F243" i="58"/>
  <c r="H253" i="58"/>
  <c r="H254" i="58" s="1"/>
  <c r="C247" i="58" s="1"/>
  <c r="C24" i="66" s="1"/>
  <c r="F254" i="58"/>
  <c r="H267" i="58"/>
  <c r="F267" i="58"/>
  <c r="H302" i="58"/>
  <c r="H305" i="58" s="1"/>
  <c r="F305" i="58"/>
  <c r="H332" i="58"/>
  <c r="H333" i="58"/>
  <c r="F333" i="58"/>
  <c r="H343" i="58"/>
  <c r="H346" i="58" s="1"/>
  <c r="F346" i="58"/>
  <c r="H356" i="58"/>
  <c r="H358" i="58" s="1"/>
  <c r="C350" i="58" s="1"/>
  <c r="C31" i="66" s="1"/>
  <c r="H394" i="58"/>
  <c r="H399" i="58" s="1"/>
  <c r="C390" i="58" s="1"/>
  <c r="C388" i="58"/>
  <c r="F399" i="58"/>
  <c r="H409" i="58"/>
  <c r="L409" i="58" s="1"/>
  <c r="F410" i="58"/>
  <c r="H433" i="58"/>
  <c r="H434" i="58"/>
  <c r="F434" i="58"/>
  <c r="H486" i="58"/>
  <c r="F486" i="58"/>
  <c r="H496" i="58"/>
  <c r="L496" i="58" s="1"/>
  <c r="H509" i="58"/>
  <c r="H550" i="58"/>
  <c r="F550" i="58"/>
  <c r="H589" i="58"/>
  <c r="L589" i="58" s="1"/>
  <c r="P589" i="58" s="1"/>
  <c r="L575" i="58"/>
  <c r="P579" i="58" s="1"/>
  <c r="O579" i="58" s="1"/>
  <c r="Q574" i="58" s="1"/>
  <c r="H470" i="58"/>
  <c r="L470" i="58" s="1"/>
  <c r="H535" i="58"/>
  <c r="F565" i="58"/>
  <c r="H524" i="58"/>
  <c r="H525" i="58"/>
  <c r="H420" i="58"/>
  <c r="L484" i="58"/>
  <c r="P484" i="58" s="1"/>
  <c r="P486" i="58" s="1"/>
  <c r="H315" i="58"/>
  <c r="L315" i="58" s="1"/>
  <c r="P315" i="58" s="1"/>
  <c r="H444" i="58"/>
  <c r="H448" i="58" s="1"/>
  <c r="H368" i="58"/>
  <c r="L356" i="58"/>
  <c r="P356" i="58" s="1"/>
  <c r="H380" i="58"/>
  <c r="L380" i="58" s="1"/>
  <c r="A34" i="58"/>
  <c r="H277" i="58"/>
  <c r="L277" i="58" s="1"/>
  <c r="P277" i="58" s="1"/>
  <c r="P280" i="58" s="1"/>
  <c r="O280" i="58" s="1"/>
  <c r="L332" i="58"/>
  <c r="P332" i="58" s="1"/>
  <c r="P333" i="58" s="1"/>
  <c r="O333" i="58" s="1"/>
  <c r="L290" i="58"/>
  <c r="H80" i="58"/>
  <c r="H84" i="58" s="1"/>
  <c r="H208" i="58"/>
  <c r="H212" i="58" s="1"/>
  <c r="C202" i="58" s="1"/>
  <c r="H118" i="58"/>
  <c r="H135" i="58"/>
  <c r="C129" i="58" s="1"/>
  <c r="A38" i="58"/>
  <c r="H68" i="58"/>
  <c r="L57" i="58"/>
  <c r="P57" i="58"/>
  <c r="P58" i="58" s="1"/>
  <c r="O58" i="58" s="1"/>
  <c r="Q56" i="58" s="1"/>
  <c r="A29" i="58"/>
  <c r="F15" i="58"/>
  <c r="A17" i="58"/>
  <c r="A14" i="58"/>
  <c r="F19" i="58"/>
  <c r="H19" i="58"/>
  <c r="L19" i="58"/>
  <c r="F18" i="58"/>
  <c r="H18" i="58" s="1"/>
  <c r="L18" i="58"/>
  <c r="H16" i="58"/>
  <c r="L16" i="58"/>
  <c r="D628" i="58"/>
  <c r="L264" i="58"/>
  <c r="P264" i="58" s="1"/>
  <c r="P267" i="58" s="1"/>
  <c r="O267" i="58" s="1"/>
  <c r="L394" i="58"/>
  <c r="L302" i="58"/>
  <c r="P302" i="58"/>
  <c r="L107" i="58"/>
  <c r="P107" i="58"/>
  <c r="P108" i="58" s="1"/>
  <c r="O108" i="58" s="1"/>
  <c r="Q106" i="58" s="1"/>
  <c r="R108" i="58" s="1"/>
  <c r="L343" i="58"/>
  <c r="P343" i="58" s="1"/>
  <c r="P346" i="58" s="1"/>
  <c r="O346" i="58" s="1"/>
  <c r="L157" i="58"/>
  <c r="L433" i="58"/>
  <c r="P433" i="58" s="1"/>
  <c r="P434" i="58" s="1"/>
  <c r="O434" i="58" s="1"/>
  <c r="Q432" i="58" s="1"/>
  <c r="R434" i="58" s="1"/>
  <c r="P496" i="58"/>
  <c r="O458" i="58"/>
  <c r="O460" i="58"/>
  <c r="Q457" i="58" s="1"/>
  <c r="O444" i="58"/>
  <c r="P171" i="58"/>
  <c r="P175" i="58"/>
  <c r="H198" i="58"/>
  <c r="P197" i="58"/>
  <c r="P198" i="58" s="1"/>
  <c r="P185" i="58"/>
  <c r="C165" i="58"/>
  <c r="H370" i="58"/>
  <c r="C364" i="58" s="1"/>
  <c r="R370" i="58" s="1"/>
  <c r="O575" i="58"/>
  <c r="K604" i="58"/>
  <c r="D568" i="58"/>
  <c r="K588" i="58"/>
  <c r="O605" i="58"/>
  <c r="O589" i="58"/>
  <c r="D582" i="58"/>
  <c r="D598" i="58"/>
  <c r="K574" i="58"/>
  <c r="L368" i="58"/>
  <c r="P368" i="58" s="1"/>
  <c r="P370" i="58" s="1"/>
  <c r="L420" i="58"/>
  <c r="P420" i="58" s="1"/>
  <c r="P423" i="58" s="1"/>
  <c r="O423" i="58" s="1"/>
  <c r="Q419" i="58" s="1"/>
  <c r="L524" i="58"/>
  <c r="P524" i="58" s="1"/>
  <c r="P525" i="58" s="1"/>
  <c r="O525" i="58" s="1"/>
  <c r="O496" i="58"/>
  <c r="O560" i="58"/>
  <c r="D540" i="58"/>
  <c r="C543" i="58"/>
  <c r="K523" i="58"/>
  <c r="D489" i="58"/>
  <c r="D553" i="58"/>
  <c r="D502" i="58"/>
  <c r="O535" i="58"/>
  <c r="K559" i="58"/>
  <c r="D528" i="58"/>
  <c r="K508" i="58"/>
  <c r="K534" i="58"/>
  <c r="O524" i="58"/>
  <c r="K546" i="58"/>
  <c r="D517" i="58"/>
  <c r="C520" i="58" s="1"/>
  <c r="R525" i="58" s="1"/>
  <c r="K495" i="58"/>
  <c r="O509" i="58"/>
  <c r="O514" i="58" s="1"/>
  <c r="Q508" i="58" s="1"/>
  <c r="C541" i="58"/>
  <c r="C427" i="58"/>
  <c r="C36" i="66" s="1"/>
  <c r="O470" i="58"/>
  <c r="O474" i="58"/>
  <c r="Q469" i="58" s="1"/>
  <c r="O420" i="58"/>
  <c r="K469" i="58"/>
  <c r="D437" i="58"/>
  <c r="K419" i="58"/>
  <c r="D463" i="58"/>
  <c r="K443" i="58"/>
  <c r="D413" i="58"/>
  <c r="O484" i="58"/>
  <c r="O433" i="58"/>
  <c r="K457" i="58"/>
  <c r="K483" i="58"/>
  <c r="D451" i="58"/>
  <c r="K432" i="58"/>
  <c r="D477" i="58"/>
  <c r="D426" i="58"/>
  <c r="C429" i="58"/>
  <c r="P380" i="58"/>
  <c r="O394" i="58"/>
  <c r="O399" i="58"/>
  <c r="Q393" i="58"/>
  <c r="O343" i="58"/>
  <c r="D387" i="58"/>
  <c r="K367" i="58"/>
  <c r="D336" i="58"/>
  <c r="O380" i="58"/>
  <c r="K393" i="58"/>
  <c r="D361" i="58"/>
  <c r="K408" i="58"/>
  <c r="D373" i="58"/>
  <c r="K355" i="58"/>
  <c r="O409" i="58"/>
  <c r="Q408" i="58"/>
  <c r="O356" i="58"/>
  <c r="O368" i="58"/>
  <c r="Q367" i="58"/>
  <c r="D402" i="58"/>
  <c r="K379" i="58"/>
  <c r="D349" i="58"/>
  <c r="K342" i="58"/>
  <c r="C258" i="58"/>
  <c r="C25" i="66" s="1"/>
  <c r="L171" i="58"/>
  <c r="C326" i="58"/>
  <c r="C29" i="66" s="1"/>
  <c r="O315" i="58"/>
  <c r="O264" i="58"/>
  <c r="D308" i="58"/>
  <c r="K289" i="58"/>
  <c r="D257" i="58"/>
  <c r="C260" i="58"/>
  <c r="R267" i="58" s="1"/>
  <c r="O277" i="58"/>
  <c r="O302" i="58"/>
  <c r="K331" i="58"/>
  <c r="D295" i="58"/>
  <c r="K276" i="58"/>
  <c r="D325" i="58"/>
  <c r="C328" i="58"/>
  <c r="R333" i="58" s="1"/>
  <c r="O290" i="58"/>
  <c r="O332" i="58"/>
  <c r="K301" i="58"/>
  <c r="D270" i="58"/>
  <c r="K314" i="58"/>
  <c r="D283" i="58"/>
  <c r="K263" i="58"/>
  <c r="L118" i="58"/>
  <c r="P118" i="58"/>
  <c r="L208" i="58"/>
  <c r="P212" i="58"/>
  <c r="O212" i="58" s="1"/>
  <c r="C191" i="58"/>
  <c r="C20" i="66" s="1"/>
  <c r="C56" i="66" s="1"/>
  <c r="O239" i="58"/>
  <c r="O185" i="58"/>
  <c r="D190" i="58"/>
  <c r="D232" i="58"/>
  <c r="K207" i="58"/>
  <c r="D178" i="58"/>
  <c r="O222" i="58"/>
  <c r="O229" i="58" s="1"/>
  <c r="K221" i="58"/>
  <c r="K252" i="58"/>
  <c r="D215" i="58"/>
  <c r="K196" i="58"/>
  <c r="O208" i="58"/>
  <c r="K238" i="58"/>
  <c r="D201" i="58"/>
  <c r="K184" i="58"/>
  <c r="O253" i="58"/>
  <c r="O197" i="58"/>
  <c r="D246" i="58"/>
  <c r="C249" i="58"/>
  <c r="R254" i="58" s="1"/>
  <c r="L80" i="58"/>
  <c r="P80" i="58" s="1"/>
  <c r="P84" i="58"/>
  <c r="O84" i="58" s="1"/>
  <c r="Q79" i="58" s="1"/>
  <c r="L133" i="58"/>
  <c r="C101" i="58"/>
  <c r="C15" i="66" s="1"/>
  <c r="C53" i="66" s="1"/>
  <c r="O157" i="58"/>
  <c r="O107" i="58"/>
  <c r="D150" i="58"/>
  <c r="K132" i="58"/>
  <c r="D100" i="58"/>
  <c r="C103" i="58"/>
  <c r="K117" i="58"/>
  <c r="K170" i="58"/>
  <c r="D138" i="58"/>
  <c r="O133" i="58"/>
  <c r="O135" i="58" s="1"/>
  <c r="Q132" i="58" s="1"/>
  <c r="R135" i="58" s="1"/>
  <c r="K144" i="58"/>
  <c r="D111" i="58"/>
  <c r="K156" i="58"/>
  <c r="D126" i="58"/>
  <c r="K106" i="58"/>
  <c r="D164" i="58"/>
  <c r="C167" i="58" s="1"/>
  <c r="O171" i="58"/>
  <c r="O175" i="58" s="1"/>
  <c r="Q170" i="58" s="1"/>
  <c r="O118" i="58"/>
  <c r="A49" i="58"/>
  <c r="O80" i="58"/>
  <c r="D87" i="58"/>
  <c r="D73" i="58"/>
  <c r="O68" i="58"/>
  <c r="K93" i="58"/>
  <c r="D61" i="58"/>
  <c r="K67" i="58"/>
  <c r="K79" i="58"/>
  <c r="O94" i="58"/>
  <c r="O46" i="58"/>
  <c r="D39" i="58"/>
  <c r="D50" i="58"/>
  <c r="K56" i="58"/>
  <c r="K45" i="58"/>
  <c r="O57" i="58"/>
  <c r="D8" i="58"/>
  <c r="O15" i="58"/>
  <c r="K29" i="58"/>
  <c r="D23" i="58"/>
  <c r="O30" i="58"/>
  <c r="K14" i="58"/>
  <c r="C193" i="58"/>
  <c r="O198" i="58"/>
  <c r="C518" i="58"/>
  <c r="R550" i="58"/>
  <c r="R198" i="58"/>
  <c r="C34" i="68"/>
  <c r="A6" i="60"/>
  <c r="A7" i="60" s="1"/>
  <c r="A8" i="60" s="1"/>
  <c r="A9" i="60" s="1"/>
  <c r="A10" i="60" s="1"/>
  <c r="A11" i="60" s="1"/>
  <c r="A12" i="60" s="1"/>
  <c r="A13" i="60" s="1"/>
  <c r="A14" i="60" s="1"/>
  <c r="A15" i="60" s="1"/>
  <c r="A16" i="60" s="1"/>
  <c r="A17" i="60" s="1"/>
  <c r="A18" i="60" s="1"/>
  <c r="A19" i="60" s="1"/>
  <c r="A20" i="60" s="1"/>
  <c r="A21" i="60" s="1"/>
  <c r="A22" i="60" s="1"/>
  <c r="A23" i="60" s="1"/>
  <c r="A24" i="60" s="1"/>
  <c r="A25" i="60" s="1"/>
  <c r="A26" i="60" s="1"/>
  <c r="A27" i="60" s="1"/>
  <c r="A28" i="60" s="1"/>
  <c r="A29" i="60" s="1"/>
  <c r="A30" i="60" s="1"/>
  <c r="A31" i="60" s="1"/>
  <c r="A32" i="60" s="1"/>
  <c r="A33" i="60" s="1"/>
  <c r="A34" i="60" s="1"/>
  <c r="A35" i="60" s="1"/>
  <c r="A36" i="60" s="1"/>
  <c r="A37" i="60" s="1"/>
  <c r="A38" i="60" s="1"/>
  <c r="A39" i="60" s="1"/>
  <c r="A40" i="60" s="1"/>
  <c r="A41" i="60" s="1"/>
  <c r="A42" i="60" s="1"/>
  <c r="A43" i="60" s="1"/>
  <c r="A44" i="60" s="1"/>
  <c r="A45" i="60" s="1"/>
  <c r="A46" i="60" s="1"/>
  <c r="A47" i="60" s="1"/>
  <c r="A48" i="60" s="1"/>
  <c r="A49" i="60" s="1"/>
  <c r="A50" i="60" s="1"/>
  <c r="B6" i="53"/>
  <c r="B5" i="60"/>
  <c r="E7" i="58" s="1"/>
  <c r="E22" i="58" l="1"/>
  <c r="C52" i="66"/>
  <c r="P292" i="58"/>
  <c r="O292" i="58" s="1"/>
  <c r="P305" i="58"/>
  <c r="O305" i="58" s="1"/>
  <c r="L498" i="58"/>
  <c r="P498" i="58"/>
  <c r="H565" i="58"/>
  <c r="L560" i="58"/>
  <c r="P560" i="58" s="1"/>
  <c r="P565" i="58" s="1"/>
  <c r="O565" i="58" s="1"/>
  <c r="P187" i="58"/>
  <c r="O187" i="58" s="1"/>
  <c r="H591" i="58"/>
  <c r="L591" i="58" s="1"/>
  <c r="P591" i="58" s="1"/>
  <c r="F595" i="58"/>
  <c r="C53" i="58"/>
  <c r="R58" i="58" s="1"/>
  <c r="H15" i="58"/>
  <c r="F20" i="58"/>
  <c r="F47" i="58"/>
  <c r="P499" i="58"/>
  <c r="O499" i="58" s="1"/>
  <c r="C74" i="58"/>
  <c r="C13" i="66" s="1"/>
  <c r="C51" i="66" s="1"/>
  <c r="C76" i="58"/>
  <c r="R84" i="58" s="1"/>
  <c r="L444" i="58"/>
  <c r="P444" i="58" s="1"/>
  <c r="P448" i="58" s="1"/>
  <c r="O448" i="58" s="1"/>
  <c r="Q443" i="58" s="1"/>
  <c r="C362" i="58"/>
  <c r="C32" i="66" s="1"/>
  <c r="C70" i="66" s="1"/>
  <c r="L253" i="58"/>
  <c r="P253" i="58" s="1"/>
  <c r="P254" i="58" s="1"/>
  <c r="O254" i="58" s="1"/>
  <c r="H320" i="58"/>
  <c r="L320" i="58" s="1"/>
  <c r="F322" i="58"/>
  <c r="P595" i="58"/>
  <c r="O595" i="58" s="1"/>
  <c r="F609" i="58"/>
  <c r="H605" i="58"/>
  <c r="C352" i="58"/>
  <c r="C339" i="58"/>
  <c r="H70" i="58"/>
  <c r="L68" i="58"/>
  <c r="P68" i="58" s="1"/>
  <c r="P70" i="58" s="1"/>
  <c r="O70" i="58" s="1"/>
  <c r="Q67" i="58" s="1"/>
  <c r="C440" i="58"/>
  <c r="C438" i="58"/>
  <c r="H537" i="58"/>
  <c r="L535" i="58"/>
  <c r="P535" i="58" s="1"/>
  <c r="P537" i="58" s="1"/>
  <c r="O537" i="58" s="1"/>
  <c r="H187" i="58"/>
  <c r="H460" i="58"/>
  <c r="L459" i="58"/>
  <c r="A45" i="58"/>
  <c r="E38" i="58"/>
  <c r="H97" i="58"/>
  <c r="L94" i="58"/>
  <c r="P94" i="58" s="1"/>
  <c r="P97" i="58" s="1"/>
  <c r="O97" i="58" s="1"/>
  <c r="Q93" i="58" s="1"/>
  <c r="L239" i="58"/>
  <c r="P239" i="58" s="1"/>
  <c r="P243" i="58" s="1"/>
  <c r="O243" i="58" s="1"/>
  <c r="H243" i="58"/>
  <c r="O486" i="58"/>
  <c r="E49" i="58"/>
  <c r="A60" i="58"/>
  <c r="H161" i="58"/>
  <c r="P161" i="58"/>
  <c r="O161" i="58" s="1"/>
  <c r="Q156" i="58" s="1"/>
  <c r="L160" i="58"/>
  <c r="H422" i="58"/>
  <c r="F423" i="58"/>
  <c r="C204" i="58"/>
  <c r="R212" i="58" s="1"/>
  <c r="H280" i="58"/>
  <c r="P322" i="58"/>
  <c r="O322" i="58" s="1"/>
  <c r="C480" i="58"/>
  <c r="R486" i="58" s="1"/>
  <c r="C478" i="58"/>
  <c r="C296" i="58"/>
  <c r="C27" i="66" s="1"/>
  <c r="C65" i="66" s="1"/>
  <c r="C298" i="58"/>
  <c r="R305" i="58" s="1"/>
  <c r="H292" i="58"/>
  <c r="H384" i="58"/>
  <c r="H474" i="58"/>
  <c r="H36" i="58"/>
  <c r="H222" i="58"/>
  <c r="F229" i="58"/>
  <c r="P358" i="58"/>
  <c r="O358" i="58" s="1"/>
  <c r="Q355" i="58" s="1"/>
  <c r="R358" i="58" s="1"/>
  <c r="H514" i="58"/>
  <c r="L509" i="58"/>
  <c r="H145" i="58"/>
  <c r="F147" i="58"/>
  <c r="H499" i="58"/>
  <c r="H410" i="58"/>
  <c r="P609" i="58"/>
  <c r="O609" i="58" s="1"/>
  <c r="H119" i="58"/>
  <c r="F123" i="58"/>
  <c r="B33" i="66"/>
  <c r="B59" i="66"/>
  <c r="B53" i="66"/>
  <c r="B45" i="66"/>
  <c r="B39" i="66"/>
  <c r="B25" i="66"/>
  <c r="B73" i="66"/>
  <c r="B65" i="66"/>
  <c r="B58" i="66"/>
  <c r="A6" i="63"/>
  <c r="A7" i="63" s="1"/>
  <c r="A8" i="63" s="1"/>
  <c r="A9" i="63" s="1"/>
  <c r="A10" i="63" s="1"/>
  <c r="A11" i="63" s="1"/>
  <c r="A12" i="63" s="1"/>
  <c r="A13" i="63" s="1"/>
  <c r="A14" i="63" s="1"/>
  <c r="A15" i="63" s="1"/>
  <c r="A16" i="63" s="1"/>
  <c r="A17" i="63" s="1"/>
  <c r="A18" i="63" s="1"/>
  <c r="A19" i="63" s="1"/>
  <c r="A20" i="63" s="1"/>
  <c r="A21" i="63" s="1"/>
  <c r="A22" i="63" s="1"/>
  <c r="A23" i="63" s="1"/>
  <c r="A24" i="63" s="1"/>
  <c r="A25" i="63" s="1"/>
  <c r="A26" i="63" s="1"/>
  <c r="A27" i="63" s="1"/>
  <c r="A28" i="63" s="1"/>
  <c r="A29" i="63" s="1"/>
  <c r="A30" i="63" s="1"/>
  <c r="A31" i="63" s="1"/>
  <c r="A32" i="63" s="1"/>
  <c r="A33" i="63" s="1"/>
  <c r="A34" i="63" s="1"/>
  <c r="A35" i="63" s="1"/>
  <c r="A36" i="63" s="1"/>
  <c r="A37" i="63" s="1"/>
  <c r="A38" i="63" s="1"/>
  <c r="A39" i="63" s="1"/>
  <c r="A40" i="63" s="1"/>
  <c r="A41" i="63" s="1"/>
  <c r="A42" i="63" s="1"/>
  <c r="A43" i="63" s="1"/>
  <c r="A44" i="63" s="1"/>
  <c r="A45" i="63" s="1"/>
  <c r="A46" i="63" s="1"/>
  <c r="A47" i="63" s="1"/>
  <c r="A48" i="63" s="1"/>
  <c r="A49" i="63" s="1"/>
  <c r="B31" i="66"/>
  <c r="B24" i="66"/>
  <c r="B51" i="66"/>
  <c r="B23" i="66"/>
  <c r="B11" i="66"/>
  <c r="B78" i="66"/>
  <c r="B71" i="66"/>
  <c r="B43" i="66"/>
  <c r="B77" i="66"/>
  <c r="B70" i="66"/>
  <c r="B63" i="66"/>
  <c r="B36" i="66"/>
  <c r="B28" i="66"/>
  <c r="B21" i="66"/>
  <c r="B15" i="66"/>
  <c r="B76" i="66"/>
  <c r="B62" i="66"/>
  <c r="B41" i="66"/>
  <c r="B35" i="66"/>
  <c r="B27" i="66"/>
  <c r="B20" i="66"/>
  <c r="B61" i="66"/>
  <c r="B49" i="66"/>
  <c r="B13" i="66"/>
  <c r="B67" i="66"/>
  <c r="B60" i="66"/>
  <c r="L578" i="58"/>
  <c r="F579" i="58"/>
  <c r="C62" i="66" l="1"/>
  <c r="C39" i="66"/>
  <c r="C153" i="58"/>
  <c r="R161" i="58" s="1"/>
  <c r="C151" i="58"/>
  <c r="C490" i="58"/>
  <c r="C40" i="66" s="1"/>
  <c r="C78" i="66" s="1"/>
  <c r="C492" i="58"/>
  <c r="R499" i="58" s="1"/>
  <c r="A67" i="58"/>
  <c r="E60" i="58"/>
  <c r="A72" i="58"/>
  <c r="C464" i="58"/>
  <c r="C38" i="66" s="1"/>
  <c r="C76" i="66" s="1"/>
  <c r="C466" i="58"/>
  <c r="R474" i="58" s="1"/>
  <c r="C271" i="58"/>
  <c r="C273" i="58"/>
  <c r="R280" i="58" s="1"/>
  <c r="B38" i="66"/>
  <c r="B40" i="66"/>
  <c r="H147" i="58"/>
  <c r="L145" i="58"/>
  <c r="P145" i="58"/>
  <c r="P147" i="58" s="1"/>
  <c r="C376" i="58"/>
  <c r="R384" i="58" s="1"/>
  <c r="C374" i="58"/>
  <c r="C33" i="66" s="1"/>
  <c r="C452" i="58"/>
  <c r="C454" i="58"/>
  <c r="L15" i="58"/>
  <c r="H20" i="58"/>
  <c r="C554" i="58"/>
  <c r="C43" i="66" s="1"/>
  <c r="C81" i="66" s="1"/>
  <c r="C556" i="58"/>
  <c r="R565" i="58" s="1"/>
  <c r="C26" i="58"/>
  <c r="R36" i="58" s="1"/>
  <c r="C24" i="58"/>
  <c r="C64" i="58"/>
  <c r="C62" i="58"/>
  <c r="B79" i="66"/>
  <c r="B69" i="66"/>
  <c r="B50" i="66"/>
  <c r="B29" i="66"/>
  <c r="B44" i="66"/>
  <c r="B12" i="66"/>
  <c r="B66" i="66"/>
  <c r="C284" i="58"/>
  <c r="C26" i="66" s="1"/>
  <c r="C64" i="66" s="1"/>
  <c r="C286" i="58"/>
  <c r="R292" i="58" s="1"/>
  <c r="C233" i="58"/>
  <c r="C23" i="66" s="1"/>
  <c r="C235" i="58"/>
  <c r="R243" i="58" s="1"/>
  <c r="C179" i="58"/>
  <c r="C181" i="58"/>
  <c r="R187" i="58" s="1"/>
  <c r="R448" i="58"/>
  <c r="B74" i="66"/>
  <c r="L119" i="58"/>
  <c r="H123" i="58"/>
  <c r="C503" i="58"/>
  <c r="C505" i="58"/>
  <c r="L422" i="58"/>
  <c r="H423" i="58"/>
  <c r="L605" i="58"/>
  <c r="H609" i="58"/>
  <c r="H229" i="58"/>
  <c r="L222" i="58"/>
  <c r="H47" i="58"/>
  <c r="L46" i="58"/>
  <c r="P47" i="58" s="1"/>
  <c r="O47" i="58" s="1"/>
  <c r="Q45" i="58" s="1"/>
  <c r="H322" i="58"/>
  <c r="R97" i="58"/>
  <c r="C531" i="58"/>
  <c r="R537" i="58" s="1"/>
  <c r="C529" i="58"/>
  <c r="C41" i="66" s="1"/>
  <c r="C405" i="58"/>
  <c r="R410" i="58" s="1"/>
  <c r="C403" i="58"/>
  <c r="B32" i="66"/>
  <c r="C90" i="58"/>
  <c r="C88" i="58"/>
  <c r="H595" i="58"/>
  <c r="A56" i="58"/>
  <c r="C571" i="58"/>
  <c r="C57" i="66" l="1"/>
  <c r="C19" i="66"/>
  <c r="C74" i="66"/>
  <c r="C71" i="66"/>
  <c r="C67" i="66"/>
  <c r="C77" i="66"/>
  <c r="C72" i="66"/>
  <c r="C61" i="66"/>
  <c r="C59" i="66"/>
  <c r="C42" i="58"/>
  <c r="C40" i="58"/>
  <c r="C601" i="58"/>
  <c r="R609" i="58" s="1"/>
  <c r="C599" i="58"/>
  <c r="C45" i="66" s="1"/>
  <c r="C9" i="58"/>
  <c r="C11" i="58"/>
  <c r="C141" i="58"/>
  <c r="R147" i="58" s="1"/>
  <c r="C139" i="58"/>
  <c r="C311" i="58"/>
  <c r="R322" i="58" s="1"/>
  <c r="C309" i="58"/>
  <c r="C28" i="66" s="1"/>
  <c r="R47" i="58"/>
  <c r="A81" i="58"/>
  <c r="A79" i="58"/>
  <c r="E72" i="58"/>
  <c r="A86" i="58"/>
  <c r="C585" i="58"/>
  <c r="R595" i="58" s="1"/>
  <c r="C583" i="58"/>
  <c r="C44" i="66" s="1"/>
  <c r="C82" i="66" s="1"/>
  <c r="C114" i="58"/>
  <c r="R123" i="58" s="1"/>
  <c r="C112" i="58"/>
  <c r="C414" i="58"/>
  <c r="C35" i="66" s="1"/>
  <c r="C416" i="58"/>
  <c r="R423" i="58" s="1"/>
  <c r="C218" i="58"/>
  <c r="R229" i="58" s="1"/>
  <c r="C216" i="58"/>
  <c r="C80" i="66" l="1"/>
  <c r="C83" i="66"/>
  <c r="C79" i="66"/>
  <c r="C49" i="66"/>
  <c r="C66" i="66"/>
  <c r="C63" i="66"/>
  <c r="C73" i="66"/>
  <c r="C69" i="66"/>
  <c r="C22" i="66"/>
  <c r="E11" i="66" s="1"/>
  <c r="E86" i="58"/>
  <c r="A99" i="58"/>
  <c r="A93" i="58"/>
  <c r="D11" i="66" l="1"/>
  <c r="F11" i="66" s="1"/>
  <c r="C60" i="66"/>
  <c r="C58" i="66"/>
  <c r="E99" i="58"/>
  <c r="A110" i="58"/>
  <c r="A106" i="58"/>
  <c r="D49" i="66" l="1"/>
  <c r="E55" i="66" s="1"/>
  <c r="A120" i="58"/>
  <c r="A122" i="58"/>
  <c r="A117" i="58"/>
  <c r="A125" i="58"/>
  <c r="E110" i="58"/>
  <c r="E75" i="66" l="1"/>
  <c r="C34" i="64" s="1"/>
  <c r="K34" i="64" s="1"/>
  <c r="E64" i="66"/>
  <c r="C23" i="64" s="1"/>
  <c r="E68" i="66"/>
  <c r="C27" i="64" s="1"/>
  <c r="K27" i="64" s="1"/>
  <c r="E83" i="66"/>
  <c r="E82" i="66"/>
  <c r="E81" i="66"/>
  <c r="C14" i="64"/>
  <c r="K14" i="64" s="1"/>
  <c r="D31" i="68" s="1"/>
  <c r="E78" i="66"/>
  <c r="E73" i="66"/>
  <c r="E56" i="66"/>
  <c r="C15" i="64" s="1"/>
  <c r="K15" i="64" s="1"/>
  <c r="D24" i="68" s="1"/>
  <c r="E61" i="66"/>
  <c r="C20" i="64" s="1"/>
  <c r="K20" i="64" s="1"/>
  <c r="D10" i="68" s="1"/>
  <c r="E69" i="66"/>
  <c r="E54" i="66"/>
  <c r="E74" i="66"/>
  <c r="E65" i="66"/>
  <c r="C24" i="64" s="1"/>
  <c r="K24" i="64" s="1"/>
  <c r="D30" i="68" s="1"/>
  <c r="E70" i="66"/>
  <c r="E76" i="66"/>
  <c r="E53" i="66"/>
  <c r="E57" i="66"/>
  <c r="C16" i="64" s="1"/>
  <c r="K16" i="64" s="1"/>
  <c r="D11" i="68" s="1"/>
  <c r="E67" i="66"/>
  <c r="E72" i="66"/>
  <c r="E50" i="66"/>
  <c r="C9" i="64" s="1"/>
  <c r="K9" i="64" s="1"/>
  <c r="D21" i="68" s="1"/>
  <c r="E49" i="66"/>
  <c r="E79" i="66"/>
  <c r="E63" i="66"/>
  <c r="E66" i="66"/>
  <c r="C25" i="64" s="1"/>
  <c r="K25" i="64" s="1"/>
  <c r="D8" i="68" s="1"/>
  <c r="E59" i="66"/>
  <c r="E52" i="66"/>
  <c r="C11" i="64" s="1"/>
  <c r="K11" i="64" s="1"/>
  <c r="D16" i="68" s="1"/>
  <c r="E77" i="66"/>
  <c r="C36" i="64" s="1"/>
  <c r="K36" i="64" s="1"/>
  <c r="D25" i="68" s="1"/>
  <c r="E58" i="66"/>
  <c r="E80" i="66"/>
  <c r="C39" i="64" s="1"/>
  <c r="K39" i="64" s="1"/>
  <c r="D17" i="68" s="1"/>
  <c r="E60" i="66"/>
  <c r="E71" i="66"/>
  <c r="C30" i="64" s="1"/>
  <c r="K30" i="64" s="1"/>
  <c r="D32" i="68" s="1"/>
  <c r="E51" i="66"/>
  <c r="C10" i="64" s="1"/>
  <c r="K10" i="64" s="1"/>
  <c r="D23" i="68" s="1"/>
  <c r="E62" i="66"/>
  <c r="A137" i="58"/>
  <c r="E125" i="58"/>
  <c r="A132" i="58"/>
  <c r="C12" i="64" l="1"/>
  <c r="K12" i="64" s="1"/>
  <c r="D18" i="68" s="1"/>
  <c r="C38" i="64"/>
  <c r="K38" i="64" s="1"/>
  <c r="D19" i="68" s="1"/>
  <c r="C42" i="64"/>
  <c r="K42" i="64" s="1"/>
  <c r="D9" i="68" s="1"/>
  <c r="C29" i="64"/>
  <c r="K29" i="64" s="1"/>
  <c r="D26" i="68" s="1"/>
  <c r="C17" i="64"/>
  <c r="K17" i="64" s="1"/>
  <c r="D36" i="68" s="1"/>
  <c r="C28" i="64"/>
  <c r="K28" i="64" s="1"/>
  <c r="D13" i="68" s="1"/>
  <c r="C37" i="64"/>
  <c r="K37" i="64" s="1"/>
  <c r="D27" i="68" s="1"/>
  <c r="C21" i="64"/>
  <c r="K21" i="64" s="1"/>
  <c r="D12" i="68" s="1"/>
  <c r="C33" i="64"/>
  <c r="K33" i="64" s="1"/>
  <c r="D38" i="68" s="1"/>
  <c r="C18" i="64"/>
  <c r="K18" i="64" s="1"/>
  <c r="D33" i="68" s="1"/>
  <c r="C31" i="64"/>
  <c r="K31" i="64" s="1"/>
  <c r="D42" i="68" s="1"/>
  <c r="C13" i="64"/>
  <c r="K13" i="64" s="1"/>
  <c r="D40" i="68" s="1"/>
  <c r="C26" i="64"/>
  <c r="K26" i="64" s="1"/>
  <c r="D35" i="68" s="1"/>
  <c r="C19" i="64"/>
  <c r="K19" i="64" s="1"/>
  <c r="D14" i="68" s="1"/>
  <c r="C40" i="64"/>
  <c r="K40" i="64" s="1"/>
  <c r="D22" i="68" s="1"/>
  <c r="C41" i="64"/>
  <c r="K41" i="64" s="1"/>
  <c r="D39" i="68" s="1"/>
  <c r="C22" i="64"/>
  <c r="K22" i="64" s="1"/>
  <c r="D37" i="68" s="1"/>
  <c r="C35" i="64"/>
  <c r="K35" i="64" s="1"/>
  <c r="D15" i="68" s="1"/>
  <c r="C32" i="64"/>
  <c r="K32" i="64" s="1"/>
  <c r="D28" i="68" s="1"/>
  <c r="C8" i="64"/>
  <c r="K8" i="64" s="1"/>
  <c r="A144" i="58"/>
  <c r="A149" i="58"/>
  <c r="E137" i="58"/>
  <c r="A146" i="58"/>
  <c r="D34" i="68" l="1"/>
  <c r="A163" i="58"/>
  <c r="E149" i="58"/>
  <c r="A156" i="58"/>
  <c r="E163" i="58" l="1"/>
  <c r="A172" i="58"/>
  <c r="A177" i="58"/>
  <c r="A170" i="58"/>
  <c r="A189" i="58" l="1"/>
  <c r="E177" i="58"/>
  <c r="A184" i="58"/>
  <c r="E189" i="58" l="1"/>
  <c r="A200" i="58"/>
  <c r="A196" i="58"/>
  <c r="A214" i="58" l="1"/>
  <c r="E200" i="58"/>
  <c r="A207" i="58"/>
  <c r="A210" i="58"/>
  <c r="A231" i="58" l="1"/>
  <c r="E214" i="58"/>
  <c r="A221" i="58"/>
  <c r="A227" i="58"/>
  <c r="E231" i="58" l="1"/>
  <c r="A240" i="58"/>
  <c r="A238" i="58"/>
  <c r="A245" i="58"/>
  <c r="A252" i="58" l="1"/>
  <c r="E245" i="58"/>
  <c r="A256" i="58"/>
  <c r="A269" i="58" l="1"/>
  <c r="E256" i="58"/>
  <c r="A263" i="58"/>
  <c r="A266" i="58"/>
  <c r="E269" i="58" l="1"/>
  <c r="A278" i="58"/>
  <c r="A276" i="58"/>
  <c r="A282" i="58"/>
  <c r="A289" i="58" l="1"/>
  <c r="E282" i="58"/>
  <c r="A294" i="58"/>
  <c r="A301" i="58" l="1"/>
  <c r="A307" i="58"/>
  <c r="A304" i="58"/>
  <c r="E294" i="58"/>
  <c r="A321" i="58" l="1"/>
  <c r="A314" i="58"/>
  <c r="A324" i="58"/>
  <c r="A318" i="58"/>
  <c r="E307" i="58"/>
  <c r="A335" i="58" l="1"/>
  <c r="E324" i="58"/>
  <c r="A331" i="58"/>
  <c r="E335" i="58" l="1"/>
  <c r="A348" i="58"/>
  <c r="A342" i="58"/>
  <c r="A355" i="58" l="1"/>
  <c r="A360" i="58"/>
  <c r="E348" i="58"/>
  <c r="A367" i="58" l="1"/>
  <c r="E360" i="58"/>
  <c r="A372" i="58"/>
  <c r="A369" i="58"/>
  <c r="A386" i="58" l="1"/>
  <c r="E372" i="58"/>
  <c r="A379" i="58"/>
  <c r="A382" i="58"/>
  <c r="A401" i="58" l="1"/>
  <c r="A393" i="58"/>
  <c r="E386" i="58"/>
  <c r="A396" i="58"/>
  <c r="E401" i="58" l="1"/>
  <c r="A412" i="58"/>
  <c r="E412" i="58" l="1"/>
  <c r="A425" i="58"/>
  <c r="A432" i="58" l="1"/>
  <c r="E425" i="58"/>
  <c r="A436" i="58"/>
  <c r="A450" i="58" l="1"/>
  <c r="A447" i="58"/>
  <c r="E436" i="58"/>
  <c r="A443" i="58"/>
  <c r="A457" i="58" l="1"/>
  <c r="A462" i="58"/>
  <c r="E450" i="58"/>
  <c r="A458" i="58"/>
  <c r="A469" i="58" l="1"/>
  <c r="A471" i="58"/>
  <c r="E462" i="58"/>
  <c r="A476" i="58"/>
  <c r="A488" i="58" l="1"/>
  <c r="E476" i="58"/>
  <c r="A483" i="58"/>
  <c r="A501" i="58" l="1"/>
  <c r="E488" i="58"/>
  <c r="A495" i="58"/>
  <c r="A511" i="58" l="1"/>
  <c r="A516" i="58"/>
  <c r="A508" i="58"/>
  <c r="E501" i="58"/>
  <c r="A523" i="58" l="1"/>
  <c r="E516" i="58"/>
  <c r="A527" i="58"/>
  <c r="A539" i="58" l="1"/>
  <c r="E527" i="58"/>
  <c r="A536" i="58"/>
  <c r="A534" i="58"/>
  <c r="E539" i="58" l="1"/>
  <c r="A547" i="58"/>
  <c r="A552" i="58"/>
  <c r="A546" i="58"/>
  <c r="A559" i="58" l="1"/>
  <c r="A562" i="58"/>
  <c r="A567" i="58"/>
  <c r="E552" i="58"/>
  <c r="E567" i="58" l="1"/>
  <c r="A581" i="58"/>
  <c r="A577" i="58"/>
  <c r="A574" i="58"/>
  <c r="A593" i="58" l="1"/>
  <c r="A597" i="58"/>
  <c r="A588" i="58"/>
  <c r="E581" i="58"/>
  <c r="E597" i="58" l="1"/>
  <c r="A608" i="58"/>
  <c r="A604" i="58"/>
  <c r="A9" i="68"/>
  <c r="A10" i="68" s="1"/>
  <c r="A11" i="68" s="1"/>
</calcChain>
</file>

<file path=xl/sharedStrings.xml><?xml version="1.0" encoding="utf-8"?>
<sst xmlns="http://schemas.openxmlformats.org/spreadsheetml/2006/main" count="2546" uniqueCount="507">
  <si>
    <t>FONDO DE DESARROLLO LOCAL DE ENGATIVÁ</t>
  </si>
  <si>
    <t>FDLE-CMA-795-2024</t>
  </si>
  <si>
    <t xml:space="preserve">No. </t>
  </si>
  <si>
    <t>NOMBRE</t>
  </si>
  <si>
    <t>REPRESENTANTE LEGAL</t>
  </si>
  <si>
    <t>TIPO DE OFERENTE</t>
  </si>
  <si>
    <t>CONSORCIADO 1</t>
  </si>
  <si>
    <t>CONSORCIADO 2</t>
  </si>
  <si>
    <t>CONSORCIADO 3</t>
  </si>
  <si>
    <t>CONSORCIADO 4</t>
  </si>
  <si>
    <t>OBSERVACIONES</t>
  </si>
  <si>
    <t>CONSORCIO PARQUES IA</t>
  </si>
  <si>
    <t>ISABEL VICTORIA LEON REYES</t>
  </si>
  <si>
    <t>CONSORCIO</t>
  </si>
  <si>
    <t>INTERSA S.A - 95%</t>
  </si>
  <si>
    <t>A &amp; L INGENIEROS CONSULTORES S.A.S. - 5%</t>
  </si>
  <si>
    <t>EL OFERENTE NO CUMPLE YA QUE EL CONSORCIADO A&amp;L INGENIEROS CONSULTORES S.A.S. SU DOMICILIO ES DEL MUNICIPIO DE LA CALERA-RUP  (NO CUMPLE CON LO ESTABLECIDO EN EL ARTICULO  ARTÍCULO 2.2.1.2.4.2.3 Y ARTÍCULO 2.2.1.2.4.2.4., del Dcreto 1860 de 2021, Así mismo dando aplicabilidad a la resolución de apertura No. 297 del 5 de noviembre de 2024, la cual indica que se limitara a mipymes terriotiales Bogotá.)</t>
  </si>
  <si>
    <t>CONSORCIO METRO CINCO</t>
  </si>
  <si>
    <t>OSCAR ALFREDO MONTOYA</t>
  </si>
  <si>
    <t>GRUPO METRO COLOMBIA S.A.S - 90%</t>
  </si>
  <si>
    <t>OSCAR ALFREDO MONTOYA - 10%</t>
  </si>
  <si>
    <t xml:space="preserve"> HR INGENIERIA SAS</t>
  </si>
  <si>
    <t xml:space="preserve">YELMAN YOHANI HERNÁNDEZ </t>
  </si>
  <si>
    <t>EMPRESA</t>
  </si>
  <si>
    <t xml:space="preserve"> HR INGENIERIA SAS - 100%</t>
  </si>
  <si>
    <t xml:space="preserve"> INGECO INGENIERIA DE CONSTRUCCIONES S.A.S</t>
  </si>
  <si>
    <t>CARLOS MARIO ROLON AMAYA</t>
  </si>
  <si>
    <t xml:space="preserve"> INGECO INGENIERIA DE CONSTRUCCIONES S.A.S - 100%</t>
  </si>
  <si>
    <t>A&amp;G PLUS SAS BIC</t>
  </si>
  <si>
    <t>ANGÉLICA ELVIRA PERDOMO PACHÓN</t>
  </si>
  <si>
    <t>A&amp;G PLUS SAS BIC - 100%</t>
  </si>
  <si>
    <t>CONSORCIO PARQUES ENGATIVÁ 2025</t>
  </si>
  <si>
    <t>NAYDU LISBETH LOPEZ</t>
  </si>
  <si>
    <t xml:space="preserve">CONSORCIO </t>
  </si>
  <si>
    <t>SANDRA MONICA CARDOZO - 50%</t>
  </si>
  <si>
    <t>AHLA SHUGL INTERNATIONAL SAS - 50%</t>
  </si>
  <si>
    <t>CONSULTORA COLOMBIANA TRIPLE C S.A.S BIC</t>
  </si>
  <si>
    <t>MEBYS SEGRIT OSSA LOPEZ</t>
  </si>
  <si>
    <t>CONSULTORA COLOMBIANA TRIPLE C S.A.S BIC - 100%</t>
  </si>
  <si>
    <t xml:space="preserve">CONSULTORES, DESARROLLO Y AMBIENTE SAS BIC </t>
  </si>
  <si>
    <t xml:space="preserve">RICARDO MORENO GARCIA </t>
  </si>
  <si>
    <t>CONSULTORES, DESARROLLO Y AMBIENTE SAS BIC - 100%</t>
  </si>
  <si>
    <t>CONSORCIO BOGOTÁ</t>
  </si>
  <si>
    <t>JHON HERMENSON MÉNDEZ NAVARRO</t>
  </si>
  <si>
    <t>CODINE CONSTRUCCIONES SAS - 60%</t>
  </si>
  <si>
    <t>INTERCONDI SAS - 30%</t>
  </si>
  <si>
    <t>DHE INGENIERIA SAS - 10%</t>
  </si>
  <si>
    <t>LOS ROSALES CONSTRUCTORA INMOBILIARIA SAS</t>
  </si>
  <si>
    <t>CESAR ALFONSO JIMENEZ QUINTERO</t>
  </si>
  <si>
    <t>CESAR ALFONSO JIMENEZ QUINTERO - 100%</t>
  </si>
  <si>
    <t>CONSORCIO PARQUES JAPG 2024</t>
  </si>
  <si>
    <t>JAIR ANDRÉS PARRA GARZÓN</t>
  </si>
  <si>
    <t>ENVIRONMENTAL AND GEOMECHANICAL SOLUTIONS EGS SAS - 90%</t>
  </si>
  <si>
    <t>JAPG INGENIERIA SAS. - 10%</t>
  </si>
  <si>
    <t>ESTUDIOS TÉCNICOS Y CONSTRUCCIONES SAS</t>
  </si>
  <si>
    <t>MANUEL LEOPOLDO GONGORA SIERRA</t>
  </si>
  <si>
    <t>ESTUDIOS TÉCNICOS Y CONSTRUCCIONES SAS -100%</t>
  </si>
  <si>
    <t> </t>
  </si>
  <si>
    <t>CONSORCIO SIGMA</t>
  </si>
  <si>
    <t>CESAR ASHLEY MORA BARNEY</t>
  </si>
  <si>
    <t>SE SOLICITA precisión sobre el tipo de asociación . Los Proponentes deben incluir como mínimo la información requerida en el “Formato 2 – Conformación de Proponente Plural” (“Formato 2ADocumento de conformación de Consorcio”) (“Formato 2B – Documento de conformación de Unión Temporal). Los Proponentes pueden introducir datos adicionales que no contradigan lo dispuesto en los documentos del Proceso de Contratación</t>
  </si>
  <si>
    <t>PROJEKTA LTDA. INGENIEROS CONSULTORES</t>
  </si>
  <si>
    <t>SERGIO RAFAEL PABON LOZANO</t>
  </si>
  <si>
    <t>PROJEKTA LTDA. INGENIEROS CONSULTORES - 100%</t>
  </si>
  <si>
    <t>PRAN CONSTRUCCIONES S.A.S.</t>
  </si>
  <si>
    <t>RICARDO POVEDA ALVAREZ</t>
  </si>
  <si>
    <t>PRAN CONSTRUCCIONES S.A.S. - 100%</t>
  </si>
  <si>
    <t>CONSORCIO INTER 1</t>
  </si>
  <si>
    <t>JULIAN DUARTE VILLAMIL</t>
  </si>
  <si>
    <t>GABRIEL DUARTE DIAZ - 5%</t>
  </si>
  <si>
    <t>CARING S.A.S - 95%</t>
  </si>
  <si>
    <t>CONSORCIO EG-795 KM</t>
  </si>
  <si>
    <t>CESAR AUGUSTO CAMARGO CAMARGO</t>
  </si>
  <si>
    <t>KALPA INGENIERIA SAS SOCIEDAD DE BENEFICIO E INTERES COLECTIVO - BIC - 99%</t>
  </si>
  <si>
    <t>MEDINA &amp; RIVERA INGENIEROS ASOCIADOS SAS - 1%</t>
  </si>
  <si>
    <t>CONSORCIO INTERENGATIVA E&amp;D</t>
  </si>
  <si>
    <t>DIEGO RICARDO PIÑEROS</t>
  </si>
  <si>
    <t>EIS CONSTRUCTORES SAS - 90%</t>
  </si>
  <si>
    <t>DAM SOLUCIONES E INGENIERIA SAS - 10%</t>
  </si>
  <si>
    <t xml:space="preserve">COVILCO INGENIERIA S.A.S </t>
  </si>
  <si>
    <t>VICTOR JOSE LOPEZ GALVAN</t>
  </si>
  <si>
    <t>COVILCO INGENIERIA S.A.S  - 100%</t>
  </si>
  <si>
    <t>CONSORCIO PRO-TEV 24</t>
  </si>
  <si>
    <t>OSCAR ANDRES PLAZAS ROLDAN</t>
  </si>
  <si>
    <t>PROYECTISTAS ASOCIADOS SAS - 91%</t>
  </si>
  <si>
    <t>CONSTRUCTORA TEATINO VARGAS – CONSTRUTEV SAS - 9%</t>
  </si>
  <si>
    <t>CONSORCIO INTER PARQUES ENGATIVA G&amp;L</t>
  </si>
  <si>
    <t>JORGE GOMEZ FALLA</t>
  </si>
  <si>
    <t>GNG SERVICIOS DE INGENIERÍA S.A.S. - 60%</t>
  </si>
  <si>
    <t>LUIS GUILLERMO NARVÁEZ RICARDO - 40%</t>
  </si>
  <si>
    <t>SOLUCIONES PARA LA INGENIERÍA S.A.S.</t>
  </si>
  <si>
    <t>IVÁN AUGUSTO BARRETO ESQUIVEL</t>
  </si>
  <si>
    <t>SOLUCIONES PARA LA INGENIERÍA S.A.S. - 100%</t>
  </si>
  <si>
    <t>CONSORCIO SAN MARTIN 795</t>
  </si>
  <si>
    <t>RAUL ORLANDO DELGADO CABIATIVA</t>
  </si>
  <si>
    <t>SOLIUN S.A.S. - 90% </t>
  </si>
  <si>
    <t>INGENIERIA CMC S.A.S. - 10%</t>
  </si>
  <si>
    <t>CONSORCIO GTC INTERPARK</t>
  </si>
  <si>
    <t>CARLOS ALBERTO UMBARILA ZAMORA</t>
  </si>
  <si>
    <t>NELSON ERNESTO PEÑA RODRÍGUEZ - 70%</t>
  </si>
  <si>
    <t>HERNANDO LANCHEROS IBAÑEZ - 20%</t>
  </si>
  <si>
    <t>GESTIÓN TOTAL CORPORATIVA SAS BIC - 10%</t>
  </si>
  <si>
    <t>CIAF LTDA INGENIERIA</t>
  </si>
  <si>
    <t>FRANCISCO EDUARDO VÁSQUEZ ROMERO</t>
  </si>
  <si>
    <t>CIAF LTDA INGENIERIA - 100%</t>
  </si>
  <si>
    <t>JESAK SAS</t>
  </si>
  <si>
    <t>MARIA ISABEL DEL RIO PAJARO</t>
  </si>
  <si>
    <t>JESAK SAS-100%</t>
  </si>
  <si>
    <t>INTERVENTORIA Y CONSTRUCIVILES SAS</t>
  </si>
  <si>
    <t>CARLOS ALBERTO ARAMBULA CURREA</t>
  </si>
  <si>
    <t>INTERVENTORIA Y CONSTRUCIVILES SAS -100%</t>
  </si>
  <si>
    <t>CONSORCIO INTER-PARQUES OCCIDENTE</t>
  </si>
  <si>
    <t>ELBER RAMIRO AGUIRRE ORTIZ</t>
  </si>
  <si>
    <t>GEAGOR SAS BIC-90%</t>
  </si>
  <si>
    <t>C&amp;J DISEÑO Y  CONSTRUCCION DE OBRAS  CIVILES LTDA - 10%</t>
  </si>
  <si>
    <t>CONSORCIO EPSILON ENGATIVA</t>
  </si>
  <si>
    <t>WILSON GIOVANNI URREA URREA</t>
  </si>
  <si>
    <t>PROYECTOS E INTERVENTORÍAS S.A.S – PI S.A.S - 70%</t>
  </si>
  <si>
    <t>INGENIERÍA DE ESTUDIOS Y ASESORIAS S.A.S. INESAS S.A.S - 30%</t>
  </si>
  <si>
    <t>CONSORCIO IA PLUS 2024</t>
  </si>
  <si>
    <t>Yamil Fabian Castrillón</t>
  </si>
  <si>
    <t>IA INGENIERIA Y ARQUITECTURA DE COLOMBIA SAS - 50%</t>
  </si>
  <si>
    <t>DIEZ PLUS INGENIERÍA SAS - 50%</t>
  </si>
  <si>
    <t>EL OFERENTE NO CUMPLE YA QUE EL CONSORCIADO DIEZ PLUS INGENIERÍA S.A.S. SU DOMICILIO ES DEL MUNICIPIO DE LA CALERA-RUP  (NO CUMPLE CON LO ESTABLECIDO EN EL ARTICULO  ARTÍCULO 2.2.1.2.4.2.3 Y ARTÍCULO 2.2.1.2.4.2.4., del Dcreto 1860 de 2021, Así mismo dando aplicabilidad a la resolución de apertura No. 297 del 5 de noviembre de 2024, la cual indica que se limitara a mipymes terriotiales Bogotá.)</t>
  </si>
  <si>
    <t>APP CONSULTORES &amp; ESTRUCTURADORES S.A.S</t>
  </si>
  <si>
    <t>ANA MARGOTH CASTILLO REYES</t>
  </si>
  <si>
    <t>APP CONSULTORES &amp; ESTRUCTURADORES S.A.S - 100%</t>
  </si>
  <si>
    <t xml:space="preserve">ARQUITECTURA URBANA LTDA </t>
  </si>
  <si>
    <t xml:space="preserve">Hernando Daza Berrio </t>
  </si>
  <si>
    <t>ARQUITECTURA URBANA LTDA - 100%</t>
  </si>
  <si>
    <t>CONSORCIO TABORA</t>
  </si>
  <si>
    <t>JUAN CARLOS BONILLA CABEZAS</t>
  </si>
  <si>
    <t>GRUPO CONSULTOR KAPITAL SAS - 90%</t>
  </si>
  <si>
    <t>INGCONAL SAS - 10%</t>
  </si>
  <si>
    <t>CONSORCIO CT</t>
  </si>
  <si>
    <t>CARLOS FERNANDO LOPEZ</t>
  </si>
  <si>
    <t>CIVILE SAS BIC  - 95%</t>
  </si>
  <si>
    <t>TAYFER DE COLOMBIA LTDA  - 5%</t>
  </si>
  <si>
    <t xml:space="preserve">CONSORCIO INVIMAZ 2024 </t>
  </si>
  <si>
    <t>LUIS ALBERTO VILLARREAL</t>
  </si>
  <si>
    <t>INVIBA S.A.S. - 10%</t>
  </si>
  <si>
    <t>MAZ INTERVENTORES Y CONSULTORES S.A.S. - 90%</t>
  </si>
  <si>
    <t>EL OFERENTE NO CUMPLE YA QUE EL CONSORCIADO MAZ INTERVENTORES Y CONSULTORES S.A.S. SU DOMICILIO ES DEL MUNICIPIO DE LA CALERA-RUP  (NO CUMPLE CON LO ESTABLECIDO EN EL ARTICULO  ARTÍCULO 2.2.1.2.4.2.3 Y ARTÍCULO 2.2.1.2.4.2.4., del Dcreto 1860 de 2021, Así mismo dando aplicabilidad a la resolución de apertura No. 297 del 5 de noviembre de 2024, la cual indica que se limitara a mipymes terriotiales Bogotá.)</t>
  </si>
  <si>
    <t>CONSORCIO CONSULTORES ENGATIVA</t>
  </si>
  <si>
    <t>OSCAR GREGORIO GORDILLO</t>
  </si>
  <si>
    <t>GORDILLO &amp; ASOCIADOS SAS - 50%</t>
  </si>
  <si>
    <t>CLEMENTE ALFREDO BUITRAGO SAS - 50%</t>
  </si>
  <si>
    <t>PROYECTOS DE DESARROLLO E INFRAESTRUCTURA COLOMBIA S.A.S. – PRODEINCOL S.A.S.</t>
  </si>
  <si>
    <t>MARTHA LUCIA FLETSCHER MEDINA</t>
  </si>
  <si>
    <t>R&amp;M CONSTRUCCIONES E INTERVENTORIAS S.A.S.</t>
  </si>
  <si>
    <t>CESAR EDUARDO GOMEZ GOMEZ</t>
  </si>
  <si>
    <t>CONSORCIO ALMA – INTERNOVAC</t>
  </si>
  <si>
    <t>Álvaro Hernando Vera Ayala</t>
  </si>
  <si>
    <t>ALMA Interventoría &amp; Consultoría S.A.S</t>
  </si>
  <si>
    <t>INTERNOVAC GROUP S.A.S - BIC</t>
  </si>
  <si>
    <t>R&amp;Y GRUP SAS</t>
  </si>
  <si>
    <t>JUAN DAVID RAMOS BUITRAGO</t>
  </si>
  <si>
    <t>R&amp;Y GURP SAS 100%</t>
  </si>
  <si>
    <t>CONSORCIO PROYECTOS 2024</t>
  </si>
  <si>
    <t>CAMILO ANDRES ROSARIO RUBIO</t>
  </si>
  <si>
    <t>AC2R INGENIERIA Y PROYECTOS S.A.S 90%</t>
  </si>
  <si>
    <t>FUNDACION CAMINO
VERDE ONG SOCIAL CULTURAL Y AMBIENTAL CON SIGLA FUNDCAVE 10%</t>
  </si>
  <si>
    <t>CONSORCIO INTERVENTORES S&amp;C</t>
  </si>
  <si>
    <t>ANDRÉS MORENO POSADA</t>
  </si>
  <si>
    <t>SENSYS GROUP S.A.S 10%</t>
  </si>
  <si>
    <t>CELQO S.A.S 90%</t>
  </si>
  <si>
    <t>CONSORCIO MOSCU</t>
  </si>
  <si>
    <t>NICK RANDY ALMEIDA GAMARRA</t>
  </si>
  <si>
    <t>MIRS LATINOAMERICA S.A.S - 60%</t>
  </si>
  <si>
    <t>INGENIERIA ROBLES SAS - 40%</t>
  </si>
  <si>
    <t>CONSORCIO SAIEC</t>
  </si>
  <si>
    <t>JULIAN PASTOR VALBUENA LOPEZ</t>
  </si>
  <si>
    <t>ECG INGENIERIA SAS - 50%</t>
  </si>
  <si>
    <t>SAICON S.A.S - 50%</t>
  </si>
  <si>
    <t>CONSORCIO IDEA</t>
  </si>
  <si>
    <t>CESAR ALBERTO ROSADO MANRIQUE</t>
  </si>
  <si>
    <t>INCOPLAN IN SAS - 60 %</t>
  </si>
  <si>
    <t>GEINCO SAS - 40%</t>
  </si>
  <si>
    <t>CONSORCIO ENGATIVA JINT 95</t>
  </si>
  <si>
    <t>CESAR AUGUSTO PALACIOS WILCHES</t>
  </si>
  <si>
    <t>JPS INGENIERIA S.A.S.  - 90%</t>
  </si>
  <si>
    <t>INTING S.A.S. - 10%</t>
  </si>
  <si>
    <t>REQUISITOS PONDERABLE FACTOR No. 1</t>
  </si>
  <si>
    <t>CUMPLE</t>
  </si>
  <si>
    <t>NO CUMPLE</t>
  </si>
  <si>
    <t>NÚMERO DE CONTRATOS PRESENTADOS VALIDOS</t>
  </si>
  <si>
    <t>PRESUPUESTO OFICIAL EN SMMLV</t>
  </si>
  <si>
    <t>PROMEDIO DE SMMLV</t>
  </si>
  <si>
    <t>TERMINO DE EJECUCION EXIGIDO</t>
  </si>
  <si>
    <t>TOTAL SALARIOS MINIMOS ACREDITADOS</t>
  </si>
  <si>
    <t>CONDICIONES DE EXPERIENCIA</t>
  </si>
  <si>
    <t>CONDICION N°. 1 (VER TABLA AL FINAL DE LA HOJA)</t>
  </si>
  <si>
    <t>CONDICION N°. 2 (VER TABLA AL FINAL DE LA HOJA)</t>
  </si>
  <si>
    <t>CONDICION N°. 4 (VER TABLA AL FINAL DE LA HOJA)</t>
  </si>
  <si>
    <t>VALIDACIÓN CONDICIONES</t>
  </si>
  <si>
    <t>VALIDACIÓN
EXPERIENCIA GENERAL</t>
  </si>
  <si>
    <t>EXPERIENCIA ESPECIFICA (1) SUMATORIA DOS CONTRATOS MINIMO 70% PRESUPUESTO OFICIAL</t>
  </si>
  <si>
    <t>CONCLUSIÓN ACREDITACIÓN EXPERIENCIA GENERAL Y EXPERIENCIA ESPECIFICA</t>
  </si>
  <si>
    <t>OBSERVACIÓN Y RESPUESTA OBSERVACIONES</t>
  </si>
  <si>
    <t>Objeto del Contrato</t>
  </si>
  <si>
    <t>Entidad Contratante</t>
  </si>
  <si>
    <t>Valor Contrato</t>
  </si>
  <si>
    <t>Año de ejecución aportado</t>
  </si>
  <si>
    <t>Valor del Contrato en SMMLV</t>
  </si>
  <si>
    <t>Participación UT/CONSORCIO</t>
  </si>
  <si>
    <t>Participación en SMMLV</t>
  </si>
  <si>
    <t>Término de ejecución aportado</t>
  </si>
  <si>
    <t>CODIGO UNSPSC
 SEGMENTOS 80 Y 81</t>
  </si>
  <si>
    <t>Valor exigido
50%SMMLV</t>
  </si>
  <si>
    <t>Valor aportado</t>
  </si>
  <si>
    <t>TOTALES</t>
  </si>
  <si>
    <t>EXPERIENCIA DEL PROPONENTE</t>
  </si>
  <si>
    <t>NO HABILITADO</t>
  </si>
  <si>
    <t xml:space="preserve"> INTERVENTORÍA TÉCNICA, ADMINISTRATIVA, FINANCIERA, LEGAL, AMBIENTAL Y SOCIAL PARA LA IMPLANTACIÓN Y CONSTRUCCIÓN DE LOS ANDENES Y CICLORRUTA DE LA AV. CALLEJAS (AC127) DESDE LA AV. ALBERTO LLERAS CAMARGO (AK 7) HASTA LA AV. SANTA BÁRBARA (AK 19) AMBOS COSTADOS EN BOGOTÁ D.C.</t>
  </si>
  <si>
    <t>IDU</t>
  </si>
  <si>
    <t>EJERCER LA INTERVENTORÍA TÉCNICA, ADMINISTRATIVA Y FINANCIERA,A PRECIO GLOBAL FIJO PARA EL CONTRATO DE ESTUDIOS,DISEÑO Y CONSTRUCCIÓN DE OBRAS DE ESPACIO PÚBLICO EN LAS LOCALIDADES DE BOSA, KENNEDY,SUBA Y ENGATIVA</t>
  </si>
  <si>
    <t xml:space="preserve"> INTERVENTORÍA TÉCNICA Y ADMINISTRATIVA, FINANCIERA Y AMBIENTAL PARA LOS ESTUDIOS,DISEÑOS Y CONSTRUCCIÓN DE OBRAS DE ESPACIO PÚBLICO EN LA LOCALIDAD DE SANTAFÉ Y LA ACTUALIZACIÓN Y COMPLEMENTACIÓN DE LOS ESTUDIOS, DISEÑOS Y CONSTRUCCIÓN DE OBRAS DE ESPACIO PÚBLICO EN LA LOCALIDADN DE ANTONIO NARIÑO EN BOGOTÁ D.C.</t>
  </si>
  <si>
    <t xml:space="preserve"> INTERVENTORÍA TÉCNICA, ADMINISTRATIVA, LEGAL, FINANCIERA,SOCIAL,AMBIENTAL Y S&amp;SO PARA LA EJECUCIÓN DE DIAGNOSTICO, OBRAS DE MANTENIMIENTO, MEJORAMIENTO, ADECUACIÓN Y REHABILITACIÓN DE ESPACIO PUBLICO EN BOGOTÁ D.C., ETAPA 1-2014-GRUPO1 ZONA NORTE (ZONA 1 USAQUEN Y CHAPINERO, ZONA2 - ENGATIVA, ZONA 3 - SUBA, ZONA 4- FONTIBON Y PUENTE ARANDA, ZONA 8 BARRIOS UNIDOS Y TEUSAQUILLO)</t>
  </si>
  <si>
    <t>"INTERVENTORÍA TÉCNICA, ADMINISTRATIVA, FINANCIERA, SOCIAL, AMBIENTAL Y SISO PARA LA CONSTRUCCIÓN, REPARACION Y MANTENIMIENTO DE LAS OBRAS DE INTERVENCIÓN FÍSICA A ESCALA BARRIAL, UBICADAS EN BOGOTÁ D.C. GRUPO 1."</t>
  </si>
  <si>
    <t xml:space="preserve"> CAJA DE 
VIVIENDA 
POPULAR -CVP</t>
  </si>
  <si>
    <t xml:space="preserve"> “INTERVENTORÍA TÉCNICA, ADMINISTRATIVA, FINANCIERA, SOCIAL, AMBIENTAL, SISO Y JURÍDICA A LA CONSTRUCCIÓN DEL PARQUE DE LAS COMETAS UBICADO EN LA LOCALIDAD DE SUBA EN LA CIUDAD 
DE BOGOTÁ D.C."</t>
  </si>
  <si>
    <t>IDRD</t>
  </si>
  <si>
    <t xml:space="preserve"> INTERVENTORÍA INTEGRAL (ADMINISTRATIVA, FINANCIERA, CONTABLE, AMBIENTAL, SOCIAL, JURÍDICA Y TÉCNICA) A LA EJECUCIÓN DE ESTUDIOS, DISEÑOS, CONSTRUCCIÓN Y PUESTA EN FUNCIONAMIENTO DE UN SACUDETE RECREO DEPORTIVO UBICADO EN LA URBANIZACIÓN VILLA AIDETH EN EL MUNICIPIO DE ASTREA, URBANIZACIÓN SARA LUCÍA EN EL MUNICIPIO DE CURUMANÍ Y LA URBANIZACIÓN ALTOS DEL PROGRESO EN EL MUNICIPIO DE SAN ALBERTO DEPARTAMENTO DEL CESAR</t>
  </si>
  <si>
    <t xml:space="preserve"> PATRIMONIO AUTÓNOMO FIDEICOMISO ASISTENCIA TÉCNICA - FINDETER - EQUIPAMIENTOS PÚBLICOS ADMINISTRADO POR FIDUCIARIA BOGOTÁ S.A.</t>
  </si>
  <si>
    <t>EL NUMERO DEL RUP NO CORRESPONDE AL REFERENCIADO EN EL FORMATO 3, DADO QUE EL CONTRATO CORRESPONDE AL CONSECUTIVO No. 220 EN EL RUP DEL OFERENTE</t>
  </si>
  <si>
    <t xml:space="preserve"> INTERVENTORÍA TÉCNICA, ADMINISTRATIVA, FINANCIERA Y AMBIENTAL PARA LA CONSTRUCCIÓN PRIMERA ETAPA ALAMEDA CARRERA 4</t>
  </si>
  <si>
    <t xml:space="preserve"> MUNICIPIO DE TOCANCIPÁ</t>
  </si>
  <si>
    <t>REALIZAR LA INTERVENTORÍA TÉCNICA, ADMINISTRATIVA, FINANCIERA, JURIDICA, SOCIAL, AMBIENTAL Y SISO A LOS CONTRATOS DE OBRA PUBLICA QUE TENDRÁ POR OBJETO: EJECUTAR A PRECIOS UNITARIOS Y A MONTO AGOTABLE, LAS OBRAS Y ACTIVIDADES NECESARIAS PARA LA CONSERVACIÓN DE LA MALLA VIAL LOCAL E INTERMEDIA Y ESPACIO PUBLICO DE LA LOCALIDAD DE TEUSAQUILLO, EN LA CIUDAD DE BOGOTÁ D.C. DE CONFORMIDAD CON LOS ESTUDIOS PREVIOS Y ANEXO TÉCNICO Y APENDICES. Y EJECUTAR A MONTO AGOTABLE Y A PRECIOS UNITARIOS SIN FORMULA DE REAJUSTE LAS OBRAS DE MEJORAMIENTO Y/O CONSTRUCCION Y/O MANTENIMIENTO Y DIAGNOSTICOS DE LOS PARQUES DE LA LOCALIDAD DE TEUSAQUILLO EN LA CIUDAD DE BOGOTÁ D.C." DE CONFORMIDAD CON LOS ESTUDIOS PREVIOS Y ANEXO TÉCNICO Y APENDICES</t>
  </si>
  <si>
    <t>FONDO DE DESARROLLO LOCAL DE TEUSAQUILLO</t>
  </si>
  <si>
    <t>REALIZAR LA INTERVENTORÍA TÉCNICA, ADMINISTRATIVA,FINANCIERA, JURÍDICA, SOCIAL Y AMBIENTAL AL CONTRATO QUE SE GENERE DE LA LICITACIÓN PÚBLICA FDLCB-LP-030-2016 CUYO OBJETO ES: REALIZAR EL MEJORAMIENTO INTEGRAL DEL ESPACIO PÚBLICO LOCAL EN LA LOCALIDAD DE CIUDAD BOLÍVAR</t>
  </si>
  <si>
    <t>FONDO DE DESARROLLO LOCAL DE CIUDAD BOLIVAR</t>
  </si>
  <si>
    <t>“INTERVENTORÍA TÉCNICA, ADMINISTRATIVA, LEGAL, FINANCIERA, SOCIAL, AMBIENTAL Y DE SEGURIDAD Y SALUD EN EL TRABAJO PARA LA EJECUCION DEL CONTRATO DE OBRA PUBLICA CUYO OBJETO ES “CONTRATAR POR EL SISTEMA DE PRECIOS UNITARIOS FIJOS SIN FORMULA DE REAJUSTE Y A MONTO AGOTABLE, LAS OBRAS NECESARIAS PARA LA ADECUACIÓN, MANTENIMIENTO Y EL MOBILIARIO DE DIFERENTES PARQUES VECINALES Y DE BOLSILLO DE LA LOCALIDAD DE TEUSAQUILLO,” DE CONFORMIDAD CON LOS ESTUDIOS PREVIOS Y ANEXO TÉCNICO Y PARQUES.”.</t>
  </si>
  <si>
    <t>REALIZAR LA INTERVENTORÍA TÉCNICA, ADMINISTRATIVA, FINANCIERA Y JURÍDICA DE LA CONSTRUCCIÓN DE LAS OBRAS DE LOS PARQUES CARACOLÍ - CÓDIGO 19-710 Y ILLIMANI - CÓDIGO 19-346 CON, CARGO AL PROYECTO 1082, “CONSTRUCCIÓN Y ADECUACIÓN DE PARQUES Y EQUIPAMIENTO PARA TODOS"</t>
  </si>
  <si>
    <t>INSTITUTO
DISTRITAL PARA
LA RECREACIÓN
Y EL DEPORTE</t>
  </si>
  <si>
    <t>Realizar por el sistema de precio
 global fijo la interventoría técnica,
 administrativa y financiera a la
 construcción de las obras de los
 parques vecinales en diferentes
 localidades de Bogotá D.C</t>
  </si>
  <si>
    <t xml:space="preserve"> INSTITUTO
DISTRITAL PARA
LA RECREACIÓN
Y EL DEPORTE.</t>
  </si>
  <si>
    <t xml:space="preserve"> INTERVENTORIA INTEGRAL AL
 PROYECTODECONSTRUCCIÓNDEL
 TRAMOII DELPROYECTOPARQUE
 LINEAL QUEBRADA LA IGLESIA
 LOCALIZADOENELMUNICIPIODE
 BUCARAMANGA</t>
  </si>
  <si>
    <t xml:space="preserve"> AREA
METROPOLITANA
DE
BUCARAMANGA</t>
  </si>
  <si>
    <t>CONTRATAR LA INTERVENTORÍA PARA LA EJECUCIÓN DE OBRAS DE MITIGACIÓN DE RIESGOS A REALIZAR EN LAS ÁREAS DE INTERÉS AMBIENTAL PARQUE MIRADOR DE LOS NEVADOS Y PARQUE SORATAMA – PCC</t>
  </si>
  <si>
    <t xml:space="preserve">SECRETARIA DISTRITAL DE AMBIENTE </t>
  </si>
  <si>
    <t xml:space="preserve"> INTERVENTORIATECNICA,ADMINISTRATIVADELAS
 OBRASDERECUPERACIONYONSTRUCCIÓNDEL
 PLANMAESTROPARQUEMETROPOLITANOTIMIZA,
 UBICADOENLALOCALIDADDEKENNEDY,BOGOTA
 D.C.</t>
  </si>
  <si>
    <t xml:space="preserve"> INSTITUTO
DISTRITAL DE
RECREACION Y
DEPORTE - I.D.R.D</t>
  </si>
  <si>
    <t>REALIZARPORELSISTEMADEPRECIOSGLOBAL FIJOLA INTERVENTORIADE LACONSTRUCCION, ADECUACIONYMEJORAMIENTODEPARQUESEN LALOCALIDADDEPUENTEARANDADELDISTRITO CAPITAL DE BOGOTA</t>
  </si>
  <si>
    <t xml:space="preserve"> INTERVENTORIA TECNICA ADMINISTRATIVA
 FINANCIERAYAMBIENTALALMEJORAMIENTOY
 MANTENIMIENTODEL PARQUEDE LAPAZ Y LA
 RECONCILIACION E INTERVENCION PUNTUAL EN
 SECTORESDEALTOIMPACTOECONOMICOENEL
 MUNICIPIO DE GRANADA META</t>
  </si>
  <si>
    <t>MUNICIPIO DE
GRANADA</t>
  </si>
  <si>
    <t>DADO QUE SE PRESENTA UNA DIFERENCIA ENTRE EL VALOR DEL CONTRATO EN SMMLV DETERMINADO POR LA ENTIDAD Y EL REGISTADO EN EL RUP, DE ACUERDO CON EL PLIEGO DE CONDICIONES EN SU NUMERAL 10.1.5. LITERAL IX. EN EL CUAL SEÑALA "Valor total ejecutado. Tratándose de personas obligadas a tener Registro Único de Proponentes (RUP) el valor ejecutado o facturado se tomará del valor registrado en el RUP". SE TOMO EL VALOR DEL PRESENTE CONTRATO EN REFERENCIA EN SMMLV DEL RUP.</t>
  </si>
  <si>
    <t>CONSTRUCCIÓN DE VIVIENDAS DE INTERÉS SOCIAL VILLAS DE BELÉN</t>
  </si>
  <si>
    <t xml:space="preserve"> LOS ROSALES</t>
  </si>
  <si>
    <t xml:space="preserve"> N/A </t>
  </si>
  <si>
    <t>EL CONTRATO APORTADO, NO CUMPLE CON LO ESTABLECIDO EN EL PLIEGO DE CONDICIONES PARA ACREDITAR LA EXPERIENCIA GENERAL Y ESPECIFICA DEL PRESENTE PROCESO DE SELECCIÓN.</t>
  </si>
  <si>
    <t>INTERVENTORIA TECNICA Y ADMINISTRATIVA, PARA EL PROYECTO RESERVA DE SIENA 2.</t>
  </si>
  <si>
    <t>GRUPO SOLERIUM</t>
  </si>
  <si>
    <t>EL CONTRATO APORTADO, NO CUMPLE CON LO ESTABLECIDO EN EL PLIEGO DE CONDICIONES PARA ACREDITAR LA EXPERIENCIA GENERAL Y ESPECIFICA DEL PRESENTE PROCESO DE SELECCIÓN.
ADICIONAL A ESTO, DENTRO DE LOS DOCUMENTOS DE LA PROPUESTA NO SE APORTAN DOCUMENTOS PARA VALIDAR EL CONTRATO EN REFERENCIA.</t>
  </si>
  <si>
    <t>REALIZAR  LA  INTERVENTORÍA  TÉCNICA,  ADMINISTRATIVA,  FINANCIERA,  LEGAL,  SOCIAL  Y AMBIENTAL  AL CONTRATO  DE OBRA  PÚBLICA  CUYO OBJETO  ES "REALIZAR  EL DISEÑO,  LA CONSTRUCCIÓN  Y EL MANTENIMIENTO  DE LOS PARQUES  VECINALES  Y DE BOLSILLO  POR El SISTEMA  DE PRECIOS UNITARIOS FUOS, SIN FORMULA DE REAJUSTE POR MONTO AGOTABLE EN LA LOCALIDAD DE CIUDAD BOLÍVAR (COP 190·2016)"</t>
  </si>
  <si>
    <t>FONDO DE DESARROLLO LOCAL  DE CUIDAD BOLIVAR</t>
  </si>
  <si>
    <t xml:space="preserve">INTERVENTORIA PARA LAS OBRAS DE CONSTRUCCION DE REDES DE ACUEDUCTO EN LOS BARRIOS DESAFECTADOS, SAN PEDRO, BILBAO I Y II, SANTA RITA, VILLA CINDY, BERLIN Y SANTA CECILIA I Y II EN LA LOCALIDAD DE SUBA </t>
  </si>
  <si>
    <t>EAAB</t>
  </si>
  <si>
    <t xml:space="preserve">INTERVENTORÍA PARA LAS OBRAS DE CONSTRUCCIÓN DE REDES DE ALCANTARILLADO SANITARIO Y PLUVIAL EN LOS BARRIOS BILBAO, SANTA RITA, SAN PEDRO, SANTA CECILIA Y VILLA CINDY, EN EL SECTOR GAVILANES DE LA LOCALIDAD DE SUBA </t>
  </si>
  <si>
    <t>INTERVENTORÍA A LA CONSTRUCCIÓN DE REDES DE ACUEDUCTO A USUARIOS IRREGULARES AGRUPADOS DENTRO DEL PROGRAMA DE CONTROL DE PÉRDIDAS DE LA ZONA 4 DEL ACUEDUCTO DE BOGOTÁ.</t>
  </si>
  <si>
    <t>REALIZAR INTERVENTORÍA TÉCNICA, FINANCIERA, ADMINISTRATIVA, LEGAL Y AMBIENTAL DE LA CONSTRUCCIÓN DE LA VÍA LOCALIZADA ENTRE LA TRONCAL LA ROMELIA - BELMONTE BARRIO GILBERTO PELÁEZ; BARRIO LA LIBERTAD Y AEROPUERTO INTERNACIONAL MATECAÑA</t>
  </si>
  <si>
    <t>AEROPUERTO INTERNACIONAL MATECAÑA</t>
  </si>
  <si>
    <t>INTERVENTORIA TECNICA , ADMINISTRATIVA, FINANCIERA AMBIENTAL Y JURIDICA LA OBJETO CONSTRUCCIÓN DEL PARQUE ECPTURISTICO PARA LA CONVIVENCIA KM9 VIA SIRIVANA -PREDIOMPUNTSA</t>
  </si>
  <si>
    <t>GOBERNACION DEL CASANARE</t>
  </si>
  <si>
    <t>CONTRATAR LA PRESTACIÓN DEL SERVICIO DE LA INTERVENTORIA A LA CONSTRUCCIÓN DE OBRAS DE MEJORAMIENTO DEL ESPACIO PUBLICO EN LA ZONA 5 DE LA CIUDAD PRIMERA ETAPA</t>
  </si>
  <si>
    <t>ALCALDIA  DE MEDELLÍN - SECRETARÍA DE INFRAESTRUCTURA FÍSICA</t>
  </si>
  <si>
    <t>REALIZAR POR EL SISTEMA DE PRECIO GLOBAL FIJO LA INTERVENTORIA TÉCNICA, ADMINISTRATIVA, Y FINANCIERA DE LA DEMOLICIÓN, REFORZAMIENTO Y CONSTRUCCIÓN DE LA GRADERÍA OCCIDENTAL "PRIMERA ETAPA" DEL PARQUE ESTADIO OLAYA HERRERA UBICADO EN LA LOCALIDAD DE RAFAEL URIBE URIBE EN BOGOTÁ</t>
  </si>
  <si>
    <t>ASCOOP- COOPERATIVAS POR BOGOTÁ, UNIÓN TEMPORAL</t>
  </si>
  <si>
    <t>INTERVENTORIATÉCNICA,ADMINISTRATIVA, FINANCIERA,LEGAL,SOCIALYAMBIENTAL DE LA CONSTRUCCIÓN DE ANDENES EN LA AV.19 ENTRECALLES 134 Y 161, CORRESPONDIENTE AL PROYECTO CÓDIGO DE OBRA 404 DEL ACUERDO 180 DE 2005 DE VALORIZACIÓN, EN BOGOTA D.C.</t>
  </si>
  <si>
    <t xml:space="preserve">INTERVENTORÍA PARA LA CONSTRUCCIÓN DE OBRAS DE SEGURIDAD VIAL MEDIANTE EL DISEÑO Y CONSTRUCCIÓN DE DOS (2) INTERSECCIONES A NIVEL EN LA VARIANTE QUIMBAYA DE LA CARRETERA ARMENIA - ALCALÁ (2901 B). </t>
  </si>
  <si>
    <t>INVIAS</t>
  </si>
  <si>
    <t>INTERVENTORIA INTEGRAL A LAS OBRAS DE REHABILITACION Y MEJORAMIENTO DE LOS PARQUES UBICADOS EN LOS CONDOMINIOS APOSENTOS PH, CONDOMINIO RESIDENCIAL LA TOSCANA, PIONONO CONDOMINIO CLUB, CONJUNTO RESIDENCIAL ROSALES RESERVADO, UBICADOS EN SOPO (C/MARCA).</t>
  </si>
  <si>
    <t>INCIPAL SAS – INGENIEROS CONSTRUCTORES</t>
  </si>
  <si>
    <t>INTERVENTORÍA TÉCNICA, ADMINISTRATIVA, FINANCIERA, AMBIENTAL Y LEGAL A LA "CONSTRUCCIÓN DEL PARQUE RECREODEPORTIVO SIMÓN VERA EN EL MUNICIPIO DE GUADUAS, DEL DEPARTAMENTO DE CUNDINAMARCA</t>
  </si>
  <si>
    <t>INSTITUTO DE INFRAESTRUCTURA Y
CONCESIONES DE CUNDINAMARCA – ICCU</t>
  </si>
  <si>
    <t>INTERVENTORÍA TÉCNICA, ADMINISTRATIVA, FINANCIERA, LEGAL Y AMBIENTAL PARA CONSTRUCCIÓN DEL CENTRO DEPORTIVO Y DE SERVICIOS COMPLEMENTARIOS DEL MUNICIPIO DE COTA</t>
  </si>
  <si>
    <t>INSTITUTO MUNICIPAL DE RECREACIÓN Y DEPORTE COTA CUND.</t>
  </si>
  <si>
    <t>INTERVENTORIA TECNICA, ADMINISTRATIVA, FINANCIERA, Y AMBIENTAL PARA LA CONSTRUCCIÓN DE POLIDEPORTIVOS: SECTOR EL COLEGIO, PREDIO LA PAZ, VEREDA FAGUA; Y SECTOR LAS JUNTAS, PREDIO EL NÍSPERO, VEREDA LA BALSA, EN EL MUNICIPIO DE CHIA, A TODO COSTO.</t>
  </si>
  <si>
    <t>ALCALDIA DE CHIA</t>
  </si>
  <si>
    <t>INTERVENTORIA TECNICA Y ADMINISTRATIVA PARA LAS OBRAS DE CONSTRUCCION Y ADECUACION DEL PARQUE ZONAL VIRREY SUR UBICADO EN LA LOCALIDAD DE USME DEL DISTRITO CAPITAL.</t>
  </si>
  <si>
    <t>INSTITUTO DISTRITAL PARA LA RECREACION Y EL DEPORTE</t>
  </si>
  <si>
    <t>CONTRATO DE INTERVENTORÍA N° 4151.0.26.1.920 de 2015 cuyo objeto es: “INTERVENTORIA TECNICA, AMBIENTAL AMINISTRATIVA Y FINANCIERA PARA LA CONSTRUCCION DEL TRAMO 2 DEL COMPONENTE 1 DEL DENOMINADO PROYECTO CORREDOR VERDE (CORREDOR AMBIENTAL Y PAISAJISMO DE LA CARRERA 8 NETRE LAS CALLES 26 Y 44), PARA EL DESARROLLO DE UN EJE ESTRICTAMENTE DE ESPACIO PUBLICO PEATONAL (PARQUE LINEAL) Y DE
CICLO-RUTAS”.</t>
  </si>
  <si>
    <t>VALLE DEL CAUCA
- ALCALDIA MUNICIPIO DE CALI</t>
  </si>
  <si>
    <t>CONTRATAR LA INTERVENTORIA TECNICA, ADMINISTRATIVA Y FINANCIERA PARA EL CONTRTAO DE OBRA CUYO OBJETO ES CONTRATAR POR EL SITEMA DE PRECIOS UNITARIOS FIJOS SIN FORMULA DE AJUSTE, EL MANTENIMIENTO, LA REMODELACION, ADECUACION Y RECUPERACION INTEGRAL , PREVENTIVA Y CORRECTIVA DE TODA LA INFRAESTRUCTURA FISICA DE LOS PARQUES Y ESCENARIOS REGIONALES, METROPOLITANOS; ZONALES, URBANOS PERTENECIENTES AL SISTEMA DISTRITAL DE PARQUES Y ESCENARIOS DEL DISTRITO CAPITAL DE BOGOTA D.C.</t>
  </si>
  <si>
    <t>REALIZAR LA INTERVENTORÍA TÉCNICA, ADMINISTRATIVA, CONTABLE, FINANCIERA, SOCIAL, AMBIENTAL, SST Y JURÍDICA A LAS OBRAS DE CONSTRUCCIÓN DEL PARQUE ZONAL OLAYA HERRERA, CÓD IDRD NO. 18-207, LOCALIDAD DE RAFAEL URIBE URIBE</t>
  </si>
  <si>
    <t>BOGOTA D.C. - INSTITUTO DISTRITAL DE RECREACION Y DEPORTE</t>
  </si>
  <si>
    <t>REALIZAR LA INTERVENTORIA TECNICA, ADMINISTRATIVA, FINANCIERA, JURIDICA, SOCIAL, AMBIENTAL Y SST AL CONTRATO QUE TIENE COMO OBJETO CONTRATAR A PRECIOS UNITARIOS, LAS OBRAS DE CONSTRUCCIÓN DE PARQUES VECINALES Y/O BOLSILLO DE LA LOCALIDAD DE SAN CRISTOBAL EN LA CIUDAD DE BOGOTÁ D.C, DE CONFORMIDAD CON LOS ESTUDIOS Y DISEÑOS ARQUITECTONICOS Y DE INGENERIA PRODUCTO DEL CONTRATO 278 DE 2018</t>
  </si>
  <si>
    <t>FONDO DE DESARROLLO LOCAL DE SAN CRISTÓBAL</t>
  </si>
  <si>
    <t>REALIZAR LA INTERVENTORIA TÉCNICA, ADMINISTRATIVA, JURIDICA, SOCIAL, AMBIENTAL Y FINANCIERA DEL CONTRATO DE OBRA PÚBLICA DERIVADO DEL PROCESO FDLRUU-LP-236-2018 cuyo objeto es: “REALIZAR LA CONSTRUCCIÓN, MANTENIMIENTO, ADECUACIÓN Y RECUPERACIÓN DE LOS PARQUES VECINALES Y DE BOLSILLO POR EL SISTEMA DE PRECIOS UNITARIOS FIJOS, A MONTO AGOTABLE DE LA LOCALIDAD RAFAEL URIBE URIBE</t>
  </si>
  <si>
    <t>ALCALDIA LOCAL DE RAFAEL URIBE URIBE</t>
  </si>
  <si>
    <t>INTERVENTORIA PARA LA EJECUCION DE OBRAS PARA LA REHABILITACION DE ZONAS DE PRESERVACION Y MANEJO AMBIENTAL DEL CANAL RIO FUCHA TRAMO ENTRE AVDA. 27ª A TRANSVERSAL 50 – BOGOTA D.C.</t>
  </si>
  <si>
    <t>EMPRESA DE ACUEDUCTO Y ALCANTARILLADO DE BOGOTA - ESP</t>
  </si>
  <si>
    <t>Al verificar los documentos de soporte, se evidencia la intervension de espacios publicos (Pasos peatonales y zonas de parques lineales), y cantidades de elementos como adoquin y elementos metalicos para puentes peatonales</t>
  </si>
  <si>
    <t>INTERVENTORÍA TÉCNICA, ADMINISTRATIVA, FINANCIERA Y AMBIENTAL AL CONTRATO DE OBRA PÚBLICA RESULTANTE DE LA LICITACIÓN PUBLICA NO. 001 DE 2015, QUE TIENE POR OBJETO: CONSTRUCCIÓN DE LA FASE II DE LA VILLA OLÍMPICA DEL MUNICIPIO DE GACHANCIPÁ - CUNDINAMARCA</t>
  </si>
  <si>
    <t>MUNICIPIO DE GACHANCIPA</t>
  </si>
  <si>
    <t>REALIZAR LA INTERVENTORIA TÉCNICA, FINANCIERA, ADMINSTRATIVA Y DE CONTROL PRESUPUESTAL A LA CONSTRUCCION Y REMODELACIÓN DE PARQUES Y CANCHAS DEPORTIVAS EN EL MUNICIPIO DE VILLANUEVA GUAJIRA - GRUPO 2</t>
  </si>
  <si>
    <t>FONDECUN</t>
  </si>
  <si>
    <t>INTERVENTORÍA A LA ADECUACIÓN DE LA INFRAESTRUCTURA DE PARQUES Y ESCENARIOS DEPORTIVOS EN EL MUNICIPIO DE BUCARAMANGA, SANTANDER. LOTE 1</t>
  </si>
  <si>
    <t>ALCALDÍA MUNICIPAL BUCARAMANGA</t>
  </si>
  <si>
    <t>EL OFERENTE NO CUMPLE YA QUE EL CONSORCIADO LUIS GUILLERMO NARVAEZ SU DOMICILIO ES DEL MUNICIPIO DE BARRANQUILLA - RUP (NO CUMPLE CON LO ESTABLECIDO EN EL ARTICULO ARTÍCULO 2.2.1.2.4.2.3 Y ARTÍCULO 2.2.1.2.4.2.4., del Dcreto 1860 de 2021, Así mismo dando aplicabilidad a la resolución de apertura No. 297 del 5 de noviembre de 2024, la cual indica que se limitara a mipymes terriotiales Bogotá.)</t>
  </si>
  <si>
    <t>INTERVENTORÍA PARA LAS OBRAS DE ADECUACIÓN Y MEJORAMIENTO DEL PARQUE BARRIO SAN JOSÉ DE SABANALARGA Y CONSTRUCCIÓN DEL PARQUE URBANIZACIÓN "VILLA ROSAS" EN EL CORREGIMIENTO DE VILLA ROSA, MUNICIPIO DE REPELÓN, EN EL DEPARTAMENTEO DEL ATLÁNTICO</t>
  </si>
  <si>
    <t>GOBERNACIÓN DEL ATLÁNTICO</t>
  </si>
  <si>
    <t>EL CONTRATO EN REFERENCIA NO SE ENCUENTRA EN EL REGISTRO UNICO DE PROPONENTES, DE ACUERDO CON LA INFORMACIÓN SEÑALADA EN EL FORMATO 3 - EXPERIENCIA, POR LO TANTO NO ES POSIBLE VERIFICAR LA INFORMACIÓN DE LOS CODIGOS UNSPSC, ASI MISMO EL VALOR REGISTRADO PARA DICHO CONTRATO Y LA DEMÁS INFORMACIÓN PARA VALIDAR EL CONTRATO.
POR LO TANTO, EL OFERENTE NO CUMPLE DADO QUE EL CONSORCIADO LUIS GUILLERMO NO ACREDITA EXPERIENCIA Y SEGÚN EL PLIEGO DE CONDICIONES EN SU NUMERAL 10.1.3. LITERAL D. DONDE ESTABLECE QUE "Tratándose de Proponentes Plurales se tendrá en cuenta lo siguiente: i) uno de los integrantes debe aportar como mínimo el cincuenta por ciento (50 %) de la experiencia solicitada; ii) los demás integrantes deben acreditar al menos el cinco por ciento (5 %) de laexperiencia solicitada; y iii) sin perjuicio de lo anterior, solo uno (1) de los integrantes, si así lo considera pertinente, podrá no demostrar experiencia. En este último caso, el porcentaje de participación del integrante que no aporta experiencia en la estructura plural no podrá superar el diez por ciento (10 %)."</t>
  </si>
  <si>
    <t>INTERVENTORÍA TÉCNICA, ADMINISTRATIVA, FINANCIERA, CONTABLE Y JURÍDICA AL CONTRATO CUYO OBJETO ES “CONTRATAR BAJO LA MODALIDAD DE PRECIOS FIJOS UNITARIOS SIN FORMULA DE REAJUSTE, LAS OBRAS DE MANTENIMIENTO, MEJORAMIENTO, ADECUACIÓN DE LA MALLA VIAL Y ESPACIO PÚBLICO EN SUS CORREDORES LONGITUDINALES PARA ANDENES Y ALAMEDAS Y/O OBRAS COMPLEMENTARIAS”</t>
  </si>
  <si>
    <t>FONDO DE DESARROLLO LOCAL ANTONIO NARIÑO</t>
  </si>
  <si>
    <t>INTERVENTORÍA TÉCNICA, ADMINISTRATIVA, LEGAL, FINANCIERA, SOCIAL, AMBIENTAL Y DE SEGURIDAD Y SALUD EN EL TRABAJO PARA LA EJECUCIÓN A MONTO AGOTABLE DE LAS OBRAS DE MANTENIMIENTO, ADECUACIÓN Y REHABILITACIÓN DE ESPACIO PÚBLICO EN BOGOTÁ D.C., GRUPO 2.</t>
  </si>
  <si>
    <t>INSTITUTO DE DESARROLLO URBANO - IDU</t>
  </si>
  <si>
    <t>REALIZAR LA INTERVENTORÍA TÉCNICA, ADMINISTRATIVA, FINANCIERA, SOCIAL, AMBIENTAL, SISO Y JURÍDICA A LA CONSTRUCCIÓN DE LA PRIMERA ETAPA DEL PARQUE JUAN AMARILLO, CÓDIGO 10-171 EN BOGOTÁ D.C., CON CARGO AL PROYECTO 1082, “CONSTRUCCIÓN Y ADECUACIÓN DE PARQUES Y EQUIPAMIENTO PARA TODOS</t>
  </si>
  <si>
    <t xml:space="preserve">IDRD </t>
  </si>
  <si>
    <t>REALIZAR LA INTERVENTORIA TECNICA, ADMINISTRATIVA, FINANCIERA, SOCIAL, AMBIENTAL, SISO Y JURIDICA A LA CONSTRUCCIÓN DEL PARQUE METROPOLITANO PTAR SALITRE, COMO COMPLEMENTO DE LA PLANTA DE TRATAMIENTO PTAR- SALITRE</t>
  </si>
  <si>
    <t>INTERVENTORIA INTEGRAL (ADMINISTRATIVA, FINANCIERA, CONTABLE, AMBIENTAL, SOCIAL, JURIDICA Y TECNICA) A LOS ESTUDIOS, DISEÑOS, CONSTRUCCIÓN Y PUESTA EN FUNCIONAMIENTO DE PARQUE RECREO DEPORTIVO UBICADO EN LA URBANIZACION LA PROSPERIDAD EN EL MUNICIPIO DE EL AGRADO, UN PARQUE RECREO DEPORTIVO UBICADO EN LA URBANIZACIÓN IV CENTENARIO EN EL MUNICIPIO NEIVA, DEPARTAMENTO DE HUILA, UN PARQUE RECREO DEPORTIVO EN LA URBANIZACION VILLA ESPAÑA EN EL MUNICIPIO CARMEN DE APICALÁ, DEPARTAMENTO DE TOLIMA Y UN PARQUE RECREO DEPORTIVO UBICADO EN LA URBANIZACION CONTIGO CON TODO EN EL MUNICIPIO DE FUSAGASUGÁ, DEPARTAMENTO DE CUNDINAMARCA</t>
  </si>
  <si>
    <t>FIDUCIARIA BOGOTA S.A., COMO VOCERA Y ADMINISTRADORA DEL PATRIMONIO AUTONOMO FIDEICOMISO ASISTENCIA TECNICA FINDETER</t>
  </si>
  <si>
    <t>INTERVENTORIA INTEGRAL (ADMINISTRATIVA, FINANCIERA, CONTABLE, AMBIENTAL, SOCIAL, JURIDICA Y TÉCNICA) A LOS ESTUDIOS, DISEÑOS, CONSTRUCCIÓN Y PUESTA EN FUNCIONAMIENTO DE UN SACUDETE RECREO DEPORTIVO INTEGRAL UBICADO EN LA URBANIZACIÓN CIUDADELA LOS ALCARAVANES EN EL MUNICIPIO DE PAZ DE ARIPORO DEL DEPARTAMENTO DEL CASANARE</t>
  </si>
  <si>
    <t>FIDUPREVISORA S.A. COMO VOCERA Y ADMINISTRADORA DEL PATRIMONIO AUTONOMO FIDEICOMISO ASISTENCIA TECNICA FINDETER EQUIPAMIENTOS PUBLICOS</t>
  </si>
  <si>
    <t>INTERVENTORIA INTEGRAL (ADMINISTRATIVA, FINANCIERA, CONTABLE, AMBIENTAL, SOCIAL, JURIDICA Y TÉCNICA) A LOS ESTUDIOS, DISEÑOS, CONSTRUCCIÓN Y PUESTA EN FUNCIONAMIENTO DE UN PARQUE RECREO DEPORTIVO UBICADO EN LA URBANIZACION MONTERREY EN EL MUNICIPIO DE PASTO, DEPARTAMENTO DE NARIÑO, UN PARQUE RECREO DEPORTIVO UBICADO EN LA URBANIZACION ARBOLEDA DEL CAMPESTRE EN EL MUNICIPIO DE IBAGUÉ, DEPARTAMENTO DE TOLIMA Y UN PARQUE RECREO DEPORTIVO UBICADO EN LA URBANIZACION SAN EDUARDO EN EL MUNICIPIO DE POPAYÁN, DEPARTAMENTO DE CAUCA</t>
  </si>
  <si>
    <t>PATRIMONIO AUTONOMO FIDEICOMISO ASISTENCIA TECNICA FINDETER, ADMINISTRADO POR LA FIDUCIARIA</t>
  </si>
  <si>
    <t>LA INTERVENTORIA INTEGRAL (ADMINISTRATIVA, FINANCIERA, CONTABLE, AMBIENTAL, SOCIAL, JURIDICA Y TECNICA) A LA EJECUCIÓN DE ESTUDIOS, DISEÑOS, CONSTRUCCIÓN Y PUESTA EN FUNCIONAMIENTO DE: UN PARQUE RECREO DEPORTIVO UBICADO EN LA URBANIZACION NUEVO AMANECER EN EL MUNICIPIO DE AGUACHICA, DEPARTAMENTO DE CESAR Y UN PARQUE RECREO DEPORTIVO UBICADO EN LA URBANIZACION BUENAVISTA II EN EL MUNICIPIO DE VILLA DEL ROSARIO, DEPARTAMENTO DE NORTE DE SANTANDER"</t>
  </si>
  <si>
    <t>PATRIMONIO AUTONOMO FIDEICOMISO ASISTENCIA TECNICA FINDETER, EQUIPAMIENTOS PUBLICOS ADMINISTRADO POR LA FIDUCIARIA BOGOTÁ S.A.</t>
  </si>
  <si>
    <t>INTERVENTORÍA TÉCNICA, ADMINISTRATIVA, FINANCIERA Y AMBIENTAL PARA EL PROYECTO VIVE COLOMBIA – VÍAS VERDES – MANTENIMIENTO FUNCIONAL CORREDOR FÉRREO JURISDICCIÓN DEL MUNICIPIO DE VENECIA ANTIOQUIA.</t>
  </si>
  <si>
    <t xml:space="preserve">INSTITUTO NACIONAL DE VIAS - INVIAS </t>
  </si>
  <si>
    <t>INTERVENTORIA TECNICA, ADMINISTRATIVA, 
FINANCIERA. LEGAL, AMBIENTAL Y SOCIAL PARA LA 
EJECUCION A MONTO AGOTABLE, DE OBRAS DE 
MANTENIMIENTO, MEJORAMIENTO Y ADECUACIÓN DE 
ESPACIO PÚBLICO A NIVEL METROPOLITANO EN 
BOGOTA D.C., FASE 2-2012</t>
  </si>
  <si>
    <t>INTERVENTORÍA TÉCNICA, ADMINISTRATIVA, 
FINANCIERA, LEGAL, SOCIAL Y AMBIENTAL Y SISO 
PARA LA EJECUCIÓN DE DIAGNOSTICO, OBRAS DE 
MANTENIMIENTO, MEJORAMIENTO, ADECUACIÓN Y 
REHABILITACIÓN DE ESPACIO PÚBLICO EN BOGOTÁ 
D.C., ETAPA 1-2014. – GRUPO 3 ZONAS SUR (ZONA 
6/KENNEDY; ZONA 7/BOSA Y CIUDAD BOLIVAR; ZONA 
9/SAN CRISTOBAL Y RAFAEL URIBE; ZONA 10/USME Y 
TUNJUELITO</t>
  </si>
  <si>
    <t>INTERVENTORÍA TÉCNICA, ADMINISTRATIVA, 
FINANCIERA, LEGAL, SOCIAL Y AMBIENTAL PARA LA 
CONSTRUCCION DE VIAS LOCALES Y ESPACIO 
PUBLICO EN LAS LOCALIDADES DE USME, RAFAEL 
URIBE URIBE, CIUDAD BOLIVAR Y SAN CRISTOBAL, 
EN BOGOTA D.C. EN EL MARCO DEL CONVENIO DE 
COOPERACION INTERNACIONAL ENTRE EL 
GOBIERNO ALEMAN A TRAVES DEL KFW Y EL 
DISTRITO CAPITAL DE BOGOTA PROGRAMA SUR DE 
CONVIVENCIA – FASE II</t>
  </si>
  <si>
    <t>EJERCER LAS INTERVENTORIA TECNICA, FINANCIERA, ADMINISTRATIVA, AMBIENTAL Y SOCIAL PARA EL CONVENIO INTERADMINISTRATIVO DE COFINACIOACION No: CIA-004-2006 DE OCTUBRE 27 DE 2006 CELEBRADO POR EL FONDO DE DESARROLLO LOCAL DE RAFAEL URIBE URIBE PARA ADELNATAR A MONTO AGOTABLE, EL MANTENIMIENTO PREVENTIVO, CORRECTIVO Y REHABILITACION DE ZONAS DE ESPACIO PUBLICO, ANDENES ESCALERAS, SENDEROS PEATONALES, PLAZOLETAS EN LA LOCALIDAD DE RAFAEL URIBE URIBE EN BOGOTA</t>
  </si>
  <si>
    <t>UNIVERSIDAD MILITAR NUEVA GRANADA</t>
  </si>
  <si>
    <t xml:space="preserve">“REALIZAR LA INTERVENTORIA TECNICA, ADMINISTRATIVA, FINANCIERA, AMBIENTAL Y SST AL CONTRATO DE OBRA PUBLICA RESULTANTE DEL PROCESO DE LICITACION PUBLICA No. FDLRUU-LP- 003-2022, CUYO OBJETO ES
CONTRATAR A PRECIOS UNITARIOS FIJOS, A MONTO AGOTABLE, LA
COSNTRUCCIÓN, MEJORAMIENTO, MANTENIMIENTO Y/O DOTACIÓN DE LOS PARQUES CATALOGADOS COMO VECINALES Y DE BOLSILLO, DE LA LOCALIDAD DE RAFAEL URIBE URIBE EN BOGOTÁ D.C.”. </t>
  </si>
  <si>
    <t>REALIZAR LA INTERVENTORIA TECNICA, ADMINISTRATIVA, AMBIENTAL Y FINANCIERA PARA LA ADECUACION Y PEATONALIZACION DE LA PLAZA CENTRAL PARQUE DEL CENTENARIO DE CIENAGA, DEPARTAMENTO DEL MAGDALENA</t>
  </si>
  <si>
    <t>PATRIMONIO AUTONOMO FONDO NACIONAL DEL TURISMO - FONTUR</t>
  </si>
  <si>
    <t>INTERVENTORÍA TÉCNICA, ADMINISTRATIVA, FINANCIERA, LEGAL,  SOCIAL, AMBIENTAL Y SST PARA EL DIAGNÓSTICO, OBRAS DE  MANTENIMIENTO, MEJORAMIENTO Y REHABILTIACIÓN PARA LA  REVITALIZACIÓN DEL EJE AMBIENTAL EN BOGOTÁ D.C.</t>
  </si>
  <si>
    <t>INTERVENTORIA TECNICA, ADMINISTRATIVA, FINANCIERA, LEGAL Y AMBIENTAL PARA LA CONSTRUCCION DEL ESPACIO PUBLICO "CENTRALIDAD EL PROGRESO N2 Y COMPLEMENTARIAS PARA LA CENTRALIDAD EL PROGRESO N2"</t>
  </si>
  <si>
    <t>EDU</t>
  </si>
  <si>
    <t>EL OFERENTE NO CUMPLE YA QUE EL CONSORCIADO DIEZ PLUS INGENIERIA SAS SU DOMICILIO CORRESPONDE A LA CIUDAD DE CALI - RUP (NO CUMPLE CON LO ESTABLECIDO EN EL ARTICULO ARTÍCULO 2.2.1.2.4.2.3 Y ARTÍCULO 2.2.1.2.4.2.4., del Dcreto 1860 de 2021, Así mismo dando aplicabilidad a la resolución de apertura No. 297 del 5 de noviembre de 2024, la cual indica que se limitara a mipymes terriotiales Bogotá.)</t>
  </si>
  <si>
    <t>APP CONSULTORES &amp; ESTRUCTURADORES S.A.S - (100%)</t>
  </si>
  <si>
    <t xml:space="preserve"> INTERVENTORÍALEGAL,TÉCNICA, ADMINISTRATIVA, FINANCIERA Y AMBIENTAL A LA CONSTRUCCION PARQUE DEPORTIVO Y RECREATIVO GORETTI,  COMUNA 6, DEL MUNICIPIO DE BELLO</t>
  </si>
  <si>
    <t>MUNICIPIO DE BELLO</t>
  </si>
  <si>
    <t>ARQUITECTURA URBANA LTDA - (100%)</t>
  </si>
  <si>
    <t>REALIZAR POR EL SISTEMA DE PRECIO GLOBAL FIJO LA INTERVENTORIA TECNICA,  ADMINITRASTIVA Y FINANCIERA PARA LOS ESTUDIOS, DISEÑOS Y OBRAS DE CONSTRUCCION Y/O ADECUACION DE PARQUES VECINALES EN BOGOTA D.C.</t>
  </si>
  <si>
    <t xml:space="preserve"> INSTITUTO DISTRITAL PARA LA RECREACION Y EL DEPORTE IDRD </t>
  </si>
  <si>
    <t>INTERVENTORIA TECNICA, ADMINISTRATIVA, LEGAL, FINANCIERA, SOCIAL, AMBIENTAL Y SST AL CONTRATO DE OBRA PUBLICA CUYO OBJETO ES REALIZAR EL MANTENIMIENTO Y ADECUACION DE LOS PARQUES VECINALES Y/O DE BOLSILLOS POR EL SISTEMA DE PRECIOS UNITARIOS SIN FORMULA DE REAJUSTE A MONTO AGOTABLE DE LA LOCALIDAD DE CIUDAD BOLIVAR</t>
  </si>
  <si>
    <t xml:space="preserve"> FONDO DE DESARROLLO LOCAL DE CIUDAD BOLIVAR - ALCALDIA 
LOCAL DE CIUDAD BOLIVAR</t>
  </si>
  <si>
    <t>INTERVENTORIA TECNICA, ADMINISTRATIVA, FINANCIERA Y JURIDICA PARA LA CONSTRUCCION DE LAS OBRAS DE LA TERCERA Y CUARTA ETAPA DEL PARQUE METRPOLITANO EL PORVENIR COD: 07-391</t>
  </si>
  <si>
    <t>REALIZAR LA INTERVENTORIA TECNICA, ADMINISTRATIVA, LEGAL, CONTABLE, FINANCIERA, SOCIAL, AMBIENTAL Y DE SEGURIDAD Y SALUD EN EL TRABAJO AL CONTRATO DE OBRA PUBLICA No. FDLB-LP-013-2016 "CONTRATAR EL SISTEMA DE PRECIOS UNITARIOS FIJOS SIN FORMULA DE REAJUSTE Y A MONTO AGOTABLE, LAS OBRAS NECESARIAS PARA LA CONSTRUCCIÓN, ADECUACIÓN, MANTENIMIENTO Y/O DOTACIÓN DE MOBILIARIO DE LOS DIFERENTES PARQUES VECINALES Y DE BOLSILLO DE LA LOCALIDAD DE BOSA.</t>
  </si>
  <si>
    <t>FONDO DE DESARROLLO LOCAL DE BOSA</t>
  </si>
  <si>
    <t xml:space="preserve"> Contratar Por El Sistema De Precio Global Fijo La Interventoría Técnica, Administrativa Y Financiera De Las Obras De Construcción Y/o Adecuación De Parques Vecinales De Bogotá D.C.</t>
  </si>
  <si>
    <t>Realizar la interventoría técnica, administrativa, financiera y jurídica a la construcción de las obras inconclusas del Parque Metropolitano Ciudadela Porvenir Etapa 1; Localidad de Bosa, en Bogotá D.C.</t>
  </si>
  <si>
    <t xml:space="preserve"> Realizar la interventoría técnica, administrativa, financiera y jurídica a los estudios y diseños técnicos de ingeniería y arquitectura y las obras de construcción y adecuación del parque vecinal Nuevo Milenio, localidad de Usme</t>
  </si>
  <si>
    <t>EL OFERENTE NO CUMPLE YA QUE EL CONSORCIADO MAZ INTERVENTORES Y CONSULTORES S.A.S. SU DOMICILIO ES DE LA CIUDAD DE VALLEDUPAR-RUP  (NO CUMPLE CON LO ESTABLECIDO EN EL ARTICULO  ARTÍCULO 2.2.1.2.4.2.3 Y ARTÍCULO 2.2.1.2.4.2.4., del Dcreto 1860 de 2021, Así mismo dando aplicabilidad a la resolución de apertura No. 297 del 5 de noviembre de 2024, la cual indica que se limitara a mipymes terriotiales Bogotá.)</t>
  </si>
  <si>
    <t>INTERVENTORIA TECNICA, ADMINISTRATIVA Y FINANCIERA AL CONTRATO No. 013 DE 2010 PARA LA ADECUACIÓN DEL PARQUE LA ALMAJABONERA EN EL CORREGIMIENTO DE CUESTECITA, MUNICIPIO DE ALBANIA LA GUAJIRA</t>
  </si>
  <si>
    <t>MUNICIPIO DE ALBANIA- GUAJIRA</t>
  </si>
  <si>
    <t xml:space="preserve">INTERVENTORIA PARA LA CONSTRUCCION DE ANDENES, CORDONES, CUNETAS Y OBRAS COMPLEMENTARIAS EN DIFERENTES SITIOS DE LAS COMUNAS 1 Y 3 DEL MUNICIPIO DE MEDELLIN  </t>
  </si>
  <si>
    <t>ALCALDIA DE MEDELLIN</t>
  </si>
  <si>
    <t>REALIZAR LA INTERVENTORÍA TÉCNICA, ADMINISTRATIVA FINANCIERA Y JURIDICA DE LA CONSTRUCCIÓN DEL CENTRO RECREATIVO, DEPORTIVO Y CULTURAL  PARQUE FONTANAR</t>
  </si>
  <si>
    <t>REALIZAR LA INTERVENTORÍA TÉCNICA, ADMINISTRATIVA, FINANCIERA, JURÍDICA, AMBIENTAL, SOCIAL Y DE SEGURIDAD Y SALUD EN EL TRABAJO AL CONTRATO DE OBRA PÚBLICA RESULTANTE DEL PROCESO DE LICITACIÓN PÚBLICA No. FDLKLP- 017-2022 CUYO OBJETO ES: CONTRATAR POR EL SISTEMA DE PRECIOS UNITARIOS A MONTO AGOTABLE EL DIAGNÓSTICO, MANTENIMIENTO CORRECTIVO Y PREVENTIVO, SUMINISTRO E INSTALACION DE MOBILIARIO DE LOS PARQUES VECINALES Y DE BOLSILLO PRIORIZADOS EN LA LOCALIDAD DE KENNEDY</t>
  </si>
  <si>
    <t>FONDO DE DESARROLLO LOCAL DE KENNEDY</t>
  </si>
  <si>
    <t>INTERVENTORIA PARA EL MEJORAMIENTO Y ADECUACION DE ESCENARIOS DEPORTIVOS DE LA VILLA OLIMPICA DEL MUNICIPIO DE BUCARAMANGA DEPARTAMENTO DE SANTANDER</t>
  </si>
  <si>
    <t>GOBERNACIÓN DE SANTANDER</t>
  </si>
  <si>
    <t>INTERVENTORÍA TÉCNICA, ADMINISTRATIVA, AMBIENTAL Y FINANCIERA PARA LA CONSTRUCCIÓN DEL MALECÓN, CORREDOR VERDE Y AVENIDA DEL RÍO MAGDALENA DESDE SIAPE HASTA LA ISLA DE LA LOMA EN EL DISTRITO DE BARRANQUILLA - UNIDAD FUNCIONAL 1</t>
  </si>
  <si>
    <t>ALCALDIA DE BARRANQUILLA</t>
  </si>
  <si>
    <t>CONTRATAR LA INTERVENTORIA TECNICA, ADMINISTRATIVA Y FINANCIERA DEL CONTRATO RESULTANTE DE LA LICITACION PUBLICA CUYO OBJETO ES CONTRATAR MEDIANTE EL SISTEMA DE PRECIOS UNITARIOS FIJOS, EL SUMINISTRO E INSTALACION DE MOBILIARIO URBANO, ASI COMO EL MANTENIMIENTO DE LA INFRAESTRUCTURA FISICA DE LOS PARQUES VECINALES Y DE BOLSILLO QUE CONFORMAN EL SISTEMA DISTRITAL DE PARQUES PARA EL GRUPO 1</t>
  </si>
  <si>
    <t>INTERVENTORÍA TÉCNICA, ADMINISTRATIVA, LEGAL, AMBIENTAL, SOCIAL Y FINANCIERA AL CONTRATO DE OBRA, CUYO OBJETO ES: CONTRATAR BAJO LA MODALIDAD DE PRECIOS UNITARIOS FIJOS SIN FORMULA DE REAJUSTE Y A MONTO AGOTABLE LAS OBRAS DE MANTENIMIENTO Y/O REMODELACION DE LOS PARQUES VECINALES Y DE BOLSILLO, Y LA ADECUACIÓN Y DOTACIÓN DE BIOPARQUES UBICADOS EN LA LOCALIDAD DE SAN CRISTOBAL</t>
  </si>
  <si>
    <t>FONDO DE DESARROLLO LOCAL DE SAN CRISTOBAL</t>
  </si>
  <si>
    <t>CONTRATAR LA INTERVENTORÍA TÉCNICA, ADMINISTRATIVA Y FINANCIERA DEL CONTRATO RESULTANTE DE LA LICITACIÓN PUBLICA CUYO OBJETO ES “CONTRATAR MEDIANTE EL SISTEMA DE PRECIOS UNITARIOS FIJOS, EL SUMINISTRO E INSTALACIÓN DE MOBILIARIO URBANO, ASÍ COMO EL MANTENIMIENTO DE LA INFRAESTRUCTURA FÍSICA DE LOS PARQUES VECINALES Y DE BOLSILLO QUE CONFORMAN EL SISTEMA DE PARQUES DE LA LOCALIDAD DE SAN CRISTÓBAL</t>
  </si>
  <si>
    <t>EL OFERENTE NO CUMPLE YA QUE EL CONSORCIADO INTERNOVAC GROUP SAS BIC SU DOMICILIO ES DE LA CIUDAD DE MONTERIA-RUP (NO CUMPLE CON LO ESTABLECIDO EN EL ARTICULO ARTÍCULO 2.2.1.2.4.2.3 Y ARTÍCULO 2.2.1.2.4.2.4., del Dcreto 1860 de 2021, Así mismo dando aplicabilidad a la resolución de apertura No. 297 del 5 de noviembre de 2024, la cual indica que se limitara a mipymes terriotiales Bogotá.)</t>
  </si>
  <si>
    <t>INTERVENTORIA TECNICA, ADMINISTRATIVA Y FINANCIERA AL CONTRATO DE OBRA PUBLICA QUE TIENE POR OBJETO LA ADECUACION INTEGRAL Y MEJORAMIENTO DEL PARQUE SANTANDER DEL MUNICIPIO DE EL RETIRO</t>
  </si>
  <si>
    <t>ALCALDIA EL RETIRO</t>
  </si>
  <si>
    <t>INTERVENTORIA TECNICA, ADMINISTRATIVA Y FINANCIERA DEL CONTRATO RESULTANTE DE LA LICITACION PUBLICA CUYO OBJETO ES CONTRATAR POR EL SISTEMA DE PRECIOS UNITARIOS FIJOS, EL MANTENIMIENTO, ADECUACION Y RECUPERACION DE CERRAMIENTOS Y MALLAS CONTRA IMPACTO DE LOS CAMPOS DEPORTIVOS Y DE LOS PARQUES DEL SISTEMA DISTRITAL DE PARQUES.</t>
  </si>
  <si>
    <t>INTERVENTORÍA TÉCNICA, ADMINISTRATIVA , FINANCIERA, SOCIAL Y AMBIENTAL PARA LA CONSTRUCCIÓN, REHABILITACIÓN Y CONSERVACIÓN DE ACCESOS A BARRIOS Y PAVIMENTOS LOCALES, PROGRAMA DE MEJORAMIENTO INTEGRAL DE BARRIOS, GRUPO 11, EN LAS LOCALIDADES DE RAFAEL URIBE, SAN CRISTÓBALY SANTA FE, EN BOGOTÁ D.C.</t>
  </si>
  <si>
    <t>INTERVENTORÍA TÉCNICA, ADMINISTRATIVA, CONTABLE, JURÍDICA Y FINANCIERA PARA LAS OBRAS DE ADECUACIÓN Y MANTENIMIENTO DE LOS ESCENARIOS DEPORTIVOS Y RECREATIVOS ADMINISTRADOS POR EL INDER DE MEDELLÍN</t>
  </si>
  <si>
    <t>INSTITUTO DE DEPORTES Y RECREACIÓN DE MEDELLÍN - INDER</t>
  </si>
  <si>
    <t>REALIZAR LA INTERVENTORIA TECNICA, ADMINISTRATIVA, LEGAL, FINACIERA, CONTABLE, SEGURIDAD Y SALUD EN EL TRABAJO, SOCIAL Y AMBIENTAL PARA EL CONTRATO DE OBRA QUE TIENE POR OBJETO "EJECUTAR A MONTO AGOTABLE POR EL SISTEMA DE PRECIOS UNITARIOS EL DIAGNOSTICO, INTERVENCION Y MANTENIMEINTO INTEGRAL Y PREVENTIVO DE LOS PARQUES PRIORIZADOS DE ESCALAS VECINALES Y DE BOLSILLO DE LA LOCALIDAD DE KENNEDY</t>
  </si>
  <si>
    <t>ALCALDIA LOCAL DE KENNEDY</t>
  </si>
  <si>
    <t>CONTRATAR LA INTERVENTORIA TECNICA, ADMINISTRATIVA Y FINANCIERA DEL CONTRATO RESULTANTE DE LA LICITACION PUBLICA CUYO OBJETO ES CONTRATAR MEDIANTE EL SISTEMA DE PRECIOS UNITARIOS FIJOS, EL SUMINISTRO E INSTALACION DE MOBILIARIO URBANO, ASI COMO EL MANTENIMIENTO DE LA INFRAESTRUCTURA FISICA DE LOS PARQUES VECINALES Y DE BOLSILLO QUE CONFORMAN EL SISTEMA DISTRITAL DE PARQUES. PARA EL GRUPO 3</t>
  </si>
  <si>
    <t>DIRECCIÓN FACULTATIVA DE LAS OBRAS DE URBANIZACIÓN DEL SECTOR I DEL PARQUE LOGÍSTICO - INDUSTRIAL TORDESILLAS</t>
  </si>
  <si>
    <t>SEPES. ENTIDAD PÚBLICA EMPRESARIAL DEL SUELO, DEL MINISTERIO DE FOMENTO</t>
  </si>
  <si>
    <t>CONSULTORÍA PARA LA INTERVENTORIA TÉCNICA PARA EL AJUSTE DE DISEÑOS Y CONSTRUCCIÓN DEL ESPACIO PÚBLICO Y TRASLADO DE REDES SECAS COSTADO SUR AUTOPISTA SUR, EN EL MUNICIPIO DE SOACHA, CUNDINAMARCA.</t>
  </si>
  <si>
    <t>INTERVENTORIA TECNICA, ADMINISTRATIVA, FINANCIERA, AMBIENTAL, JURIDICA Y SOCIAL A LOS ESTUDIOS Y DISEÑOS Y OBRAS REQUERIDAS PARA LOS PROGRAMAS EN: INFRAESTRUCTURA DE EDIFICACIONES, INFRAESTRUCTURA VUAL, INFRAESTRUCTURA A SANEAMIENTO BASICO Y DE AGUA POTABLE Y PORYECTOS ESPECIALES, ASI COMO TAMBIEN AL MEJORAMIENTO DE CONDICIONES DE HBITALIDAD EN TODO EL TERRITORIO NACIONAL</t>
  </si>
  <si>
    <t>FONADE</t>
  </si>
  <si>
    <t>INTERVENTORÍA TÉCNICA ADMINISTRATIVA, FINANCIERA Y AMBIENTAL PARA LAS OBRAS DE CONSTRUCCIÓN Y ADECUACIÓN DE LA CANCHA DE FÚTBOL MARTE I UBICADA EN LA UNIDAD DEPORTIVA ATANASIO GIRARDOT, DE LA CIUDAD DE MEDELLÍN.</t>
  </si>
  <si>
    <t>INSTITUTO DE DEPORTES Y RECREACIÓN INDER</t>
  </si>
  <si>
    <t>INTERVENTORÍA TÉCNICA, ADMINISTRATIVA, FINANCIERA, LEGAL Y AMBIENTAL PARA LA CONSTRUCCIÓN DE OBRAS DE ADECUACIÓN, AMPLIACIÓN, MANTENIMIENTO Y CONSTRUCCIÓN EN 4 ESCENARIOS RECREO DEPORTIVOS EN LOS BARRIOS BRASILIA, BENALCÁZAR, PLAYITAS Y BARRIO CRISTÓBAL DE LA CIUDAD DE MEDELLÍN</t>
  </si>
  <si>
    <t>CONTRATAR LA INTERVENTORÍA TÉCNICA, ADMINISTRATIVA Y FINANCIERA DEL CONTRATO RESULTANTE DE LA LICITACIÓN PÚBLICA CUYO OBJETO ES: “CONTRATAR MEDIANTE EL SISTEMA DE PRECIOS UNITARIOS FIJOS, EL MANTENIMIENTO DE LA INFRAESTRUCTURA FÍSICA DE LOS PARQUES QUE CONFORMAN EL SISTEMA DISTRITAL DE PARQUES</t>
  </si>
  <si>
    <t>INSTITUTO DISTRITAL DE RECREACIÓN Y DEPORTE</t>
  </si>
  <si>
    <t>EJECUTAR LA INTERVENTORÍA, TÉCNICA, ADMINISTRATIVA, FINANCIERA, JURÍDICA, SOCIAL, AMBIENTAL Y SGSST AL CONTRATO QUE SUSCRIBA EL FONDO DE DESARROLLO LOCAL COMO RESULTADO DEL PROCESO DE LICITACIÓN PÚBLICA NO FDLPA-LP-022, CUYO OBJETO ES: “EJECUTAR A PRECIOS UNITARIOS FIJOS, LA CONSTRUCCIÓN DEL PARQUE VECINAL BARRIO PRADERA NORTE (ANTES SALAZAR GÓMEZ), EN LA LOCALIDAD DE PUENTE ARANDA, CÓDIGO IDRD 16-053, DE CONFORMIDAD CON LOS ESTUDIOS Y DISEÑOS, ANEXOS TECNICOS, PLIEGOS DE CONDICIONES Y DEMÁS DOCUMENTOS QUE HACEN PARTE INTEGRAL DEL PROCESO Y DEL CONTRATO.</t>
  </si>
  <si>
    <t>ALCALDIA PUENTE ARANDA</t>
  </si>
  <si>
    <t>EJERCER A PRECIO GLOBAL LA INTERVENTORÍA TÉCNICA, ADMINISTRATIVA, FINANCIERA Y AMBIENTAL PARA EL ESTUDIO, DISEÑO Y CONSTRUCCIÓN DE LAS OBRAS DE ESPACIO PÚBLICO EN LAS LOCALIDADES DE ANTONIO NARIÑO GRUPO 2 Y LOS MÁRTIRES EN BOGOTÁ D. C.</t>
  </si>
  <si>
    <t xml:space="preserve">INTERVENTORÍA TÉCNICA, ADMINISTRATIVA, CONTABLE Y AMBIENTAL DE LA CONSTRUCCIÓN DE PASOS PEATONALES A DESNIVEL, OBRAS PARA ESTABILIZACIÓN DE TALUDES, OBRAS PARA LA ADECUACIÓN DE DEPÓSITOS, CANALES, OBRAS DE DRENAJE Y OBRAS PARA ADECUACIÓN DE ACCESOS VIALES EN LA CONEXIÓN VIAL GUILLERMO GAVIRIA CORREA. </t>
  </si>
  <si>
    <t>DEPARTAMENTO DE ANTIOQUIA</t>
  </si>
  <si>
    <t>INTERVENTORÍA PARA LA CONSTRUCCIÓN DE INFRAESTRUCTURA Y OBRAS COMPLEMENTARIAS EN LA CENTRALIDAD NUEVO OCCIDENTE Y PASEO URBANO CORRESPONDIENTE</t>
  </si>
  <si>
    <t>EMPRESA DE DESARROLLO URBANO MUNICIPIO DE MEDELLIN</t>
  </si>
  <si>
    <t>VALOR TOTAL PROYECTO</t>
  </si>
  <si>
    <t>SMMLV P.O.</t>
  </si>
  <si>
    <t>VALOR:</t>
  </si>
  <si>
    <r>
      <rPr>
        <b/>
        <sz val="22"/>
        <color theme="1"/>
        <rFont val="Calibri"/>
        <family val="2"/>
        <charset val="1"/>
      </rPr>
      <t xml:space="preserve">OBJETO: </t>
    </r>
    <r>
      <rPr>
        <b/>
        <sz val="22"/>
        <color rgb="FFFF0000"/>
        <rFont val="Calibri"/>
        <family val="2"/>
        <charset val="1"/>
      </rPr>
      <t>REALIZAR LA INTERVENTORÍA TÉCNICA, JURÍDICA, ADMINISTRATIVA, FINANCIERA, AMBIENTAL, SOCIAL, SST Y PMTS AL CONTRATO QUE TIENE POR OBJETO: “REALIZAR A MONTO AGOTABLE Y A PRECIOS UNITARIOS LA INTERVENCIÓN DE LOS PARQUES VECINALES Y/O DE BOLSILLO Y ESPACIO PÚBLICO (ANDENES PERIMETRALES) EN LA LOCALIDAD DE ENGATIVÁ</t>
    </r>
  </si>
  <si>
    <t xml:space="preserve">Los contratos para acreditar la experiencia deben cumplir las siguientes características: </t>
  </si>
  <si>
    <t>EXPERIENCIA GENERAL</t>
  </si>
  <si>
    <t>INTERVENTORÍA A PROYECTOS DE: CONSTRUCCIÓN Y/O RECONSTRUCCIÓN Y/O AMPLIACIÓN Y/O TERMINACIÓN Y/O REHABILITACIÓN Y/O MEJORAMIENTO Y/O MANTENIMIENTO Y/O ADECUACIÓN DE PARQUES
INTERVENTORÍA A PROYECTOS DE: CONSTRUCCIÓN Y/O RECONSTRUCCIÓN Y/O AMPLIACIÓN Y/O TERMINACIÓN Y/O REHABILITACIÓN Y/O MEJORAMIENTO Y/O MANTENIMIENTO Y/O ADECUACIÓN DE ESPACIO PÚBLICO</t>
  </si>
  <si>
    <t>Nota 1: Para el caso de experiencia de ESPACIO PÚBLICO se excluyen de estos las vías destinadas al tránsito vehicular y su espacio público inmediato, así como la conservación y/o preservación de playas marítimas.</t>
  </si>
  <si>
    <t>Nota 2: En el caso en el cual el proceso de selección contemple actividades de dotación de mobiliario, la experiencia válida aportada deberá acreditar en por lo menos uno (1) de los contratos actividades de suministro e instalación de mobiliario.</t>
  </si>
  <si>
    <t>EXPERIENCIA ESPECIFICA</t>
  </si>
  <si>
    <r>
      <rPr>
        <b/>
        <u/>
        <sz val="20"/>
        <color rgb="FFFF0000"/>
        <rFont val="Calibri"/>
        <family val="2"/>
      </rPr>
      <t xml:space="preserve">EXPERIENCIA ESPECIFICA 1: </t>
    </r>
    <r>
      <rPr>
        <b/>
        <sz val="20"/>
        <color rgb="FFFF0000"/>
        <rFont val="Calibri"/>
        <family val="2"/>
      </rPr>
      <t xml:space="preserve"> Con la sumatoria de hasta máximo dos (02) de los contratos válidos aportados como experiencia general debe corresponder mínimo al (70%) del presupuesto oficial del presente proceso de selección.</t>
    </r>
  </si>
  <si>
    <r>
      <t xml:space="preserve">NÚMERO DE CONTRATOS: </t>
    </r>
    <r>
      <rPr>
        <b/>
        <sz val="18"/>
        <rFont val="Calibri"/>
        <family val="2"/>
        <charset val="1"/>
      </rPr>
      <t>C. El Proponente podrá aportar mínimo uno (1) y máximo cinco (5) contratos para la evaluación y asignación de puntaje por concepto de experiencia.</t>
    </r>
  </si>
  <si>
    <t xml:space="preserve">CONDICIÓN 1: E. Los contratos deben haber terminado antes de la fecha de cierre del presente Proceso de Contratación. </t>
  </si>
  <si>
    <t>CONDICIÓN 2: En el clasificador de bienes y servicios, el segmento correspondiente para la clasificación de la experiencia es el segmento 80 y/o 81 : 81101500 - 80101600</t>
  </si>
  <si>
    <r>
      <rPr>
        <b/>
        <sz val="18"/>
        <color theme="1"/>
        <rFont val="Calibri"/>
        <family val="2"/>
        <charset val="1"/>
      </rPr>
      <t>CONDICIÓN 3</t>
    </r>
    <r>
      <rPr>
        <b/>
        <sz val="18"/>
        <rFont val="Calibri"/>
        <family val="2"/>
        <charset val="1"/>
      </rPr>
      <t>: C. Si el Proponente relaciona o anexa más de cinco (5) contratos en el “Formato 3 – Experiencia”, para efectos de evaluar la experiencia únicamente se tendrán en cuenta los cinco (5) contratos aportados de mayor valor.</t>
    </r>
  </si>
  <si>
    <t>CONDICIÓN 4: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demostrar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verificará de conformidad con el porcentaje mínimo de experiencia exigido en el numeral 3.8.1., esto es, frente al cien por ciento (100 %) del Presupuesto Oficial.
En armonía con lo anterior, para cumplir el requisito previsto en este literal no se solicitará la acreditación de longitudes, magnitudes, volúmenes o porcentajes requeridos en la experiencia específica, sino que bastará con acreditar los SMMLV.</t>
  </si>
  <si>
    <t>CONDICIÓN 5: H. Cuando el contrato que se aporte para la experiencia haya sido ejecutado por un Consorcio o por una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de la Unión Temporal que ejecutaron el contrato y que están participando en el Proceso de Contratación, siempre y cuando en el “Formato 3 – Experiencia” se indique qué integrantes y porcentajes de participación se ofrecen como experiencia</t>
  </si>
  <si>
    <t>Año</t>
  </si>
  <si>
    <t>Salario mínimo mensual</t>
  </si>
  <si>
    <r>
      <rPr>
        <b/>
        <sz val="18"/>
        <color rgb="FFFF0000"/>
        <rFont val="Calibri"/>
        <family val="2"/>
        <charset val="1"/>
      </rPr>
      <t xml:space="preserve">cada contrato debe cumplir con alguno de estos códigos </t>
    </r>
    <r>
      <rPr>
        <b/>
        <u/>
        <sz val="18"/>
        <color rgb="FFFF0000"/>
        <rFont val="Calibri"/>
        <family val="2"/>
        <charset val="1"/>
      </rPr>
      <t>81101500, 80101600</t>
    </r>
  </si>
  <si>
    <t>OBJETO: REALIZAR LA INTERVENTORÍA TÉCNICA, JURÍDICA, ADMINISTRATIVA, FINANCIERA, AMBIENTAL, SOCIAL, SST Y PMTS AL CONTRATO QUE TIENE POR OBJETO: “REALIZAR A MONTO AGOTABLE Y A PRECIOS UNITARIOS LA INTERVENCIÓN DE LOS PARQUES VECINALES Y/O DE BOLSILLO Y ESPACIO PÚBLICO (ANDENES PERIMETRALES) EN LA LOCALIDAD DE ENGATIVÁ</t>
  </si>
  <si>
    <t>EXPERIENCIA ESPECIFICA 1:  Con la sumatoria de hasta máximo dos (02) de los contratos válidos aportados como experiencia general debe corresponder mínimo al (70%) del presupuesto oficial del presente proceso de selección.</t>
  </si>
  <si>
    <t>NÚMERO DE CONTRATOS: C. El Proponente podrá aportar mínimo uno (1) y máximo cinco (5) contratos para la evaluación y asignación de puntaje por concepto de experiencia.</t>
  </si>
  <si>
    <t>CONDICIÓN 3: C. Si el Proponente relaciona o anexa más de cinco (5) contratos en el “Formato 3 – Experiencia”, para efectos de evaluar la experiencia únicamente se tendrán en cuenta los cinco (5) contratos aportados de mayor valor.</t>
  </si>
  <si>
    <t>FONDO DE DESARROLLO LOCAL DE ENGATIVA</t>
  </si>
  <si>
    <t>REQUISITOS HABILITANTES TÉCNICOS</t>
  </si>
  <si>
    <t>OFERENTE</t>
  </si>
  <si>
    <t>FORMATO 8 - ACEPTACIÓN Y CUMPLIMIENTO PERSONAL CLAVE</t>
  </si>
  <si>
    <t>EXIGENCIA MINIMA DE LA EXPERIENCIA</t>
  </si>
  <si>
    <t>OFERTA ECONOMICA</t>
  </si>
  <si>
    <t xml:space="preserve">CONSOLIDADO </t>
  </si>
  <si>
    <t xml:space="preserve">OBSERVACIONES </t>
  </si>
  <si>
    <t xml:space="preserve">EL OFERENTE NO CUMPLE YA QUE EL CONSORCIADO A&amp;L INGENIEROS CONSULTORES S.A.S. SU DOMICILIO ES DEL MUNICIPIO DE LA CALERA-RUP  (NO CUMPLE CON LO ESTABLECIDO EN EL ARTICULO  ARTÍCULO 2.2.1.2.4.2.3 Y ARTÍCULO 2.2.1.2.4.2.4., del Dcreto 1860 de 2021, Así mismo dando aplicabilidad a la resolución de apertura No. 297 del 5 de noviembre de 2024, la cual indica que se limitara a mipymes terriotiales Bogotá.) </t>
  </si>
  <si>
    <t>EL OFERENTE NO CUMPLE CON LA EXIGENCIA MINIMA DE LA EXPERIENCIA DE ACUERDO CON LO SOLICITADO EN EL PLIEGO DE CONDICIONES.
NO CUMPLE, EL FORMULARIO 1 - PROPUESTA ECONOMICA NO SE ENCUENTRA DILIGENCIADO EN SU TOTALIDAD PARA CADA UNO DE LOS SUBTOTALES.</t>
  </si>
  <si>
    <t>EL OFERENTE NO CUMPLE CON LA EXIGENCIA MINIMA DE LA EXPERIENCIA DE ACUERDO CON LO SOLICITADO EN EL PLIEGO DE CONDICIONES.</t>
  </si>
  <si>
    <t xml:space="preserve">EL OFERENTE NO CUMPLE YA QUE EL CONSORCIADO LUIS GUILLERMO NARVAEZ SU DOMICILIO ES DEL MUNICIPIO DE BARRANQUILLA - RUP (NO CUMPLE CON LO ESTABLECIDO EN EL ARTICULO  ARTÍCULO 2.2.1.2.4.2.3 Y ARTÍCULO 2.2.1.2.4.2.4., del Dcreto 1860 de 2021, Así mismo dando aplicabilidad a la resolución de apertura No. 297 del 5 de noviembre de 2024, la cual indica que se limitara a mipymes terriotiales Bogotá.) </t>
  </si>
  <si>
    <t xml:space="preserve">EL OFERENTE NO CUMPLE YA QUE EL CONSORCIADO DIEZ PLUS INGENIERIA SAS SU DOMICILIO CORRESPONDE A LA CIUDAD DE CALI - RUP  (NO CUMPLE CON LO ESTABLECIDO EN EL ARTICULO  ARTÍCULO 2.2.1.2.4.2.3 Y ARTÍCULO 2.2.1.2.4.2.4., del Dcreto 1860 de 2021, Así mismo dando aplicabilidad a la resolución de apertura No. 297 del 5 de noviembre de 2024, la cual indica que se limitara a mipymes terriotiales Bogotá.) </t>
  </si>
  <si>
    <t>EL OFERENTE NO CUMPLE YA QUE EL CONSORCIADO INTERNOVAC GROUP SAS BIC SU DOMICILIO ES DE LA CIUDAD DE MONTERIA-RUP  (NO CUMPLE CON LO ESTABLECIDO EN EL ARTICULO  ARTÍCULO 2.2.1.2.4.2.3 Y ARTÍCULO 2.2.1.2.4.2.4., del Dcreto 1860 de 2021, Así mismo dando aplicabilidad a la resolución de apertura No. 297 del 5 de noviembre de 2024, la cual indica que se limitara a mipymes terriotiales Bogotá.)</t>
  </si>
  <si>
    <t>REALIZAR LA INTERVENTORÍA TÉCNICA, JURÍDICA, ADMINISTRATIVA, FINANCIERA, AMBIENTAL, SOCIAL, SST Y PMTS AL CONTRATO QUE TIENE POR OBJETO: “REALIZAR A MONTO AGOTABLE Y A PRECIOS UNITARIOS LA INTERVENCIÓN DE LOS PARQUES VECINALES Y/O DE BOLSILLO Y ESPACIO PÚBLICO (ANDENES PERIMETRALES) EN LA LOCALIDAD DE ENGATIVÁ</t>
  </si>
  <si>
    <t>Nombre de Oferente :</t>
  </si>
  <si>
    <t>CAPACIDAD FINANCIERA</t>
  </si>
  <si>
    <t>CAPACIDAD JURIDICA</t>
  </si>
  <si>
    <t>CAPACIDAD TÉCNICA</t>
  </si>
  <si>
    <t>INFORME 
FINAL</t>
  </si>
  <si>
    <t>RECHAZADO</t>
  </si>
  <si>
    <t>RECHAZADO (NO CUMPLE CON LO ESTABLECIDO EN EL ARTICULO  ARTÍCULO 2.2.1.2.4.2.3 Y ARTÍCULO 2.2.1.2.4.2.4., del Decreto 1860 de 2021, Así mismo dando aplicabilidad a la resolución de apertura No. 297 del 5 de noviembre de 2024, la cual indica que se limitara a mipymes terriotiales Bogotá.)</t>
  </si>
  <si>
    <t>REVISAR EVALUACIÓN CAPACIDAD TÉCNICA</t>
  </si>
  <si>
    <t>CANTIDAD DE SMMLV QUE REPRESENTAN EL PROMEDIO DE LOS CONTRATOS VALIDOS PARA ACREDITAR EXPERIENCIA</t>
  </si>
  <si>
    <t>PUNTAJE MAXIMO</t>
  </si>
  <si>
    <t>TRM VIGENTE 18/11/2024</t>
  </si>
  <si>
    <t>PRIMERAS DOS CIFRAS DEC.TRM</t>
  </si>
  <si>
    <t>OFERENTES</t>
  </si>
  <si>
    <t>PROMEDIO SMMLV</t>
  </si>
  <si>
    <t>VALOR MAXIMO Vmáx</t>
  </si>
  <si>
    <t>PROMEDIO ARITMETICO 
X</t>
  </si>
  <si>
    <t>MEDIA ARIMETICA ALTA</t>
  </si>
  <si>
    <t>PUNTAJE EXPERIENCIA DEL PROPONENTE</t>
  </si>
  <si>
    <t>No.</t>
  </si>
  <si>
    <t>VERIFICACIÓN REGISTRO NACIONAL DE OBRAS INCONCLUSAS</t>
  </si>
  <si>
    <t>NO REGISTRA OBRAS INCONCLUSAS</t>
  </si>
  <si>
    <t>HR ING SAS</t>
  </si>
  <si>
    <t>INGECO SAS</t>
  </si>
  <si>
    <t>A&amp;G PLUS SAS</t>
  </si>
  <si>
    <t>CONSORCIO PARQUE DE ENGATIVA 2025</t>
  </si>
  <si>
    <t>TRIPLE C SAS</t>
  </si>
  <si>
    <t>CONSULTORES, DESARROLLO Y AMBIENTE S.A.S. BIC</t>
  </si>
  <si>
    <t>CONSORCIO BOGOTA</t>
  </si>
  <si>
    <t>ESTUDIOS TECNICOS Y CONSTRUCCIONES SAS</t>
  </si>
  <si>
    <t>PROJEKTA LTDA</t>
  </si>
  <si>
    <t>PRAN CONSTRUCCIONES SAS</t>
  </si>
  <si>
    <t>CONSORCIO INTER ENGATIVA E&amp;D</t>
  </si>
  <si>
    <t>COVILCO INGENIERIA SAS</t>
  </si>
  <si>
    <t>INTERVENTORIA CONSTRUCIVILES SAS</t>
  </si>
  <si>
    <t>APP C&amp;E SAS</t>
  </si>
  <si>
    <t>ARQUITECTURA URBANA LTDA</t>
  </si>
  <si>
    <t>CONSORCIO INVIMAZ 2024</t>
  </si>
  <si>
    <t>PRODEINCOL SAS</t>
  </si>
  <si>
    <t>R&amp;M CONSTRUCCIONES E INTERVENTORIA SAS</t>
  </si>
  <si>
    <t>CONSORCIO ALMA INTERNOVAC</t>
  </si>
  <si>
    <t>R&amp;Y GROUP SAS</t>
  </si>
  <si>
    <t>CONCURSO DE MERITOS ABIERTO FDLE-CMA-795-2024</t>
  </si>
  <si>
    <t>FACTORES PONDERABLES</t>
  </si>
  <si>
    <t>FACTORES PONDERABLES / PUNTAJE FINAL</t>
  </si>
  <si>
    <t>EXPERIENCIA DEL PROPONENTE
(67,75 PUNTOS)</t>
  </si>
  <si>
    <t>EQUIPO DE TRABAJO (PERSONAL CLAVE EVALUABLE)
(10 PUNTOS)</t>
  </si>
  <si>
    <t>FACTOR DE SOSTENIBILIDAD
(1 PUNTO)</t>
  </si>
  <si>
    <t>APOYO A LA INDUSTRIA NACIONAL
(20 PUNTOS)</t>
  </si>
  <si>
    <t>VINCULACIÓN DE PERSONAS CON DISCAPACIDAD
(1 PUNTO)</t>
  </si>
  <si>
    <t>EMPRENDIMIENTO Y EMPRESAS DE MUJERES
(0,25 PUNTOS)</t>
  </si>
  <si>
    <t>ANOTACIONES REGISTRO NACIONAL DE OBRAS INCONCLUSAS 
( -1 PUNTO)</t>
  </si>
  <si>
    <t>MULTAS Y SANCIONES
( -2 PUNTOS)</t>
  </si>
  <si>
    <t>PUNTAJE     TOTAL</t>
  </si>
  <si>
    <t>NO SE OTORGA EL PUNTAJE PARA VINCULACIÓN DE PERSONAS CON DISCAPACIDAD Y EMPRENDIMIENTO Y EMPRESAS DE MUJERES, DADO QUE DENTRO DE LA PROPUESTA NO SE ENCUENTRAN LOS DOCUMENTOS PARA EL OTORGAMIENTO DE DICHO PUNTAJE DE ACUERDO CON LO ESTABLECIDO EN EL PLIEGO DE CONDICIONES.</t>
  </si>
  <si>
    <t>PRESENTA EL PERSONAL CON DISCAPACIDAD EL CONSORCIADO 2C INGENIEROS SA-**%  SE SOLICITA precisión sobre el tipo de asociación</t>
  </si>
  <si>
    <t>NO SE OTORGA EL PUNTAJE POR VINCULACIÓN DE PERSONAS CON DISCAPACIDAD, DADO QUE DENTRO DE LA PROPUESTA NO SE ENCUENTRAN LOS DOCUMENTOS PARA EL OTORGAMIENTO DE DICHO PUNTAJE DE ACUERDO CON LO ESTABLECIDO EN EL PLIEGO DE CONDICIONES.</t>
  </si>
  <si>
    <t>NO SE OTORGA PUNTAJE POR EMPRENDIMIENTO Y EMPRESAS MUJERES DADO QUE NO SE ADJUNTA EL CERTIFICADO DE APORTES AL SISTEMA DE SEGURIDAD SOCIAL DEL ULTIMO AÑO TAL COMO LO SOLICITA EL PLIEGO DE CONDICIONES.</t>
  </si>
  <si>
    <t xml:space="preserve">NO SE OTORGA PUNTAJE POR VINCULACION DE PERSONAS CON DISCAPACIDAD, DADO QUE EL OFERENTE NO PRESENTA FORMATO No. 6 VINCULACIÓN DE PERSONAS EN CONDICIÓN DE DISCAPACIDAD. </t>
  </si>
  <si>
    <t>ORDEN DE ELEGIBILIDAD</t>
  </si>
  <si>
    <t>No. OFERENTE</t>
  </si>
  <si>
    <t>2C INGENIEROS SA-49%</t>
  </si>
  <si>
    <t>INVERMOHES SAS BIC -51%</t>
  </si>
  <si>
    <t>INTERVENTORÍA TÉCNICA, ADMINISTRATIVA, FINANCIERA DE LAS SIGUIENTES OBRAS: 1. MANTENIMIENTO, CONSOLIDACIÓN Y ACONDICIONAMIENTO DEL PARQUE CENTENARIO DEL CENTRO HISTÓRICO DE LA CIUDAD DE CARTAGENA. 2. MANTENIMIENTO, CONSOLIDACIÓN Y ACONDICIONAMIENTO EN LA PLAZA DE LA ADUANA DEL CENTRO HISTÓRICO DE LA CIUDAD DE CARTAGENA. 3. MANTENIMIENTO, CERRAMIENTO E ILUMINACIÓN DE LA PISTA DE VELOCIDAD PERALTADA Y CANCHA MÚLTIPLE EN EL PARQUE CENTENARIO DEL CENTRO HISTÓRICO DE LA CIUDAD DE CARTAGENA.4. MANTENIMIENTO, CONSOLIDACIÓN Y ACONDICIONAMIENTO DE LAS PLAZOLETAS TELECOM, ANTIGUAS EMPRESAS PUBLICAS (OLÍMPICA) Y CONEXIONES ENTRE LAS PLAZAS, (CALLE PANAMÁ, CALLEJO DE LAS CASETAS DE COCA COLA Y DE LOS PATACONES) DEL CENTRO HISTÓRICO DE LA CIUDAD DE CARTAGENA.</t>
  </si>
  <si>
    <t>ALCALDIA MAYOR DE CARTAGENA</t>
  </si>
  <si>
    <t>NO SE OTORGA EL PUNTAJE DE FACTOR DE SOSTENIBILIDAD, DADO QUE EL OFERENTE MODIFICO EL FORMATO DE LOS DOCUMENTOS PLIEGO TIPO DE ORDEN NACIONAL PARA LOS PROCESOS DE INTERVENTORÍA DE INFRAESTRUCTURA SOCIAL.</t>
  </si>
  <si>
    <t>DE ACUERDO CON LO ESTABLECIDO EN EL PLIEGO DE CONDICIONES EN SU NUMERAL 10.1.3. EN EL LITERAL H. "Cuando el contrato que se aporte para la experiencia haya sido ejecutado por un Consorcio o por una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de la Unión Temporal que ejecutaron el contrato y que están participando en el Proceso de Contratación, siempre y cuando en el “Formato 3 – Experiencia” se indique qué integrantes y porcentajes de participación se ofrecen como experiencia.", SE TOMO EN EL PROMEDIO COMO UN SOLO CONTRATO.</t>
  </si>
  <si>
    <t>EL CONTRATO APORTADO, NO CUMPLE CON LO ESTABLECIDO EN EL PLIEGO DE CONDICIONES PARA ACREDITAR LA EXPERIENCIA GENERAL Y ESPECIFICA DEL PRESENTE PROCESO DE SELECCIÓN,TENIENDO EN CUENTA QUE NO ES POSIBLE VERIFICAR EL VALOR CORRESPONDIENTE DE INTERVENTORIA QUE CORRESPONDA A LAS ACTIVIDADES PARA ACREDITAR LA EXPERIENCIA DEL PLIEGO TIPO DE INTERVENTORIA DE INFRAESTRUCTURA SOCIAL, NO SE POSIBLE VALIDAR LA EXPERIENCIA DEL CONTRATO EN REFERENCIA.</t>
  </si>
  <si>
    <t>UNA VEZ REVISADA LA DOCUMENTACIÓN APORTADA PARA VALIDAR LA EXPERIENCIA, SE LOGRO EVIDENCIAR QUE EN EL CONTRATO EN REFERENCIA SE REALIZARON INTERVENCIONES DE MALLA VIAL PARA TRANSITO VEHICULAR Y TENIENDO EN CUENTA QUE LA MATRIZ 1 - EXPERIENCIA DEL PLIEGO TIPO DE INTERVENTORIA DE INFRAESTRUCTURA SOCIAL EN SU NOTA 1 ESTABLECE QUE "Para el caso de esperiencia en ESPACIO PÚBLICO se excluyen de estos las vías destinadas al tráfico vehicular", NO ES POSIBLE VERIFICAR EL VALOR CORRESPONDIENTE DE INTERVENTORIA QUE CORRESPONDA A LAS ACTIVIDADES PARA ACREDITAR LA EXPERIENCIA DEL PLIEGO TIPO DE INTERVENTORIA DE INFRAESTRUCTURA SOCIAL, NO SE POSIBLE VALIDAR LA EXPERIENCIA DEL CONTRATO EN REFERENCIA.</t>
  </si>
  <si>
    <t>UNA VEZ REVISADA LA DOCUMENTACIÓN ALLEGADA PARA VALIDAR EL CONTRATO EN CUESTIÓN, SE EVIDENCIO QUE EL MISMO CORRESPONDE A LA INTERVENCIÓN DE UNA ALAMEDA, SIN EMBARGO EN LA VERIFICACIÓN DEL MISMO SE CONSTATO QUE LA MISMA CORRESPONDE A INTERVENCIÓN DE MALLA VIAL (AVENIDA DEL RÍO MAGDALENA) PARA TRANSITO VEHICULAR, POR LO TANTO TENIENDO EN CUENTA LA  NOTA 1. DEL PLIEGO DE CONDICIONES QUE ESTABLECE "Para la experiencia en espacio púbico se excluyen las vias destinadas al tráfico vehicular.". ES ASÍ, QUE DICHO CONTRATO NO ES VALIDO APRA ACREDITAR LA EXPERIENCIA SOLICITADA.</t>
  </si>
  <si>
    <t>TENIENDO EN CUENTA QUE EL OFERENTE REALIZO LA CORRESPONDIENTE SUBSANACIÓN PARA LOGRAR IDENTIFICAR EL VALOR CORRESPONDIENTE AL VALOR DE LA INTERVENTORÍA QUE CUMPLE CON LA SOLICITUD DE EXPERIENCIA DEL PLIEGO TIPO DE INTERVENTORIA DE INFRAESTRUCTURA SOCIAL Y DE ACUERDO CON EL PLIEGO DE CONDICIONES EN SU NUMERAL 4,1 EN SU LITERAL A. NO SE TENDRÁ EN CUENTA EL CONTRATO EN REFERENCIA PARA VALIDAR LA EXPERIENCIA.</t>
  </si>
  <si>
    <t>NO CUMPLE, DADO QUE EN EL FORMATO No. 8 NO SE RELACIONA CORRECTAMENTE EL No. DEL PROCESO, EL CUAL CORRESPONDE AL FDLE-CMA-795-2024.
NO CUMPLE, DADO QUE EL FORMULARIO 1 - PROPUESTA ECONOMICA NO CORRESPONDE AL PUBLICADO POR EL FONDO DE DESARROLLO LOCAL DE ENGATIVA.
EL OFERENTE NO SUBSANO EN EL TERMINO DEL TRASLADO DEL INFORME PRELIMINAR, POR LO TANTO, ESTA INMERSO EN LA CAUSAL DE RECHAZO E.</t>
  </si>
  <si>
    <t>EL OFERENTE NO SUBSANO EN EL TERMINO DEL TRASLADO DEL INFORME PRELIMINAR, POR LO TANTO, ESTA INMERSO EN LA CAUSAL DE RECHAZO E.</t>
  </si>
  <si>
    <t>HABILITADO</t>
  </si>
  <si>
    <t>UNA VEZ REVISADA LA DOCUMENTACIÓN ALLEGADA PARA VALIDAR EL CONTRATO EN CUESTIÓN, SE EVIDENCIO QUE EL MISMO CORRESPONDE A LA INTERVENCIÓN DE UNA ALAMEDA, SIN EMBARGO EN LA VERIFICACIÓN DEL MISMO SE CONSTATO QUE LA MISMA CORRESPONDE A INTERVENCIÓN DE MALLA VIAL (CARRERA 4) PARA TRANSITO VEHICULAR, POR LO TANTO TENIENDO EN CUENTA LA  NOTA 1. DEL PLIEGO DE CONDICIONES QUE ESTABLECE "Para la experiencia en espacio púbico se excluyen las vias destinadas al tráfico vehicular.". ES ASÍ, QUE DICHO CONTRATO NO ES VALIDO PARA ACREDITAR LA EXPERIENCIA SOLICITADA.</t>
  </si>
  <si>
    <t>UNA VEZ REVISADA LA DOCUMENTACIÓN ALLEGADA PARA VALIDAR EL CONTRATO EN CUESTIÓN, SE EVIDENCIO QUE EN EL MISMO SE REALIZARON INTERVENCIONES DE MALLA VIAL PARA TRANSITO VEHICULAR, POR LO TANTO TENIENDO EN CUENTA LA  NOTA 1. DEL PLIEGO DE CONDICIONES QUE ESTABLECE "Para la experiencia en espacio púbico se excluyen las vias destinadas al tráfico vehicular.". ES ASÍ, QUE DICHO CONTRATO NO ES VALIDO PARA ACREDITAR LA EXPERIENCIA SOLICITADA.</t>
  </si>
  <si>
    <t>UNA VEZ REVISADA LA DOCUMENTACIÓN ALLEGADA PARA VALIDAR EL CONTRATO EN CUESTIÓN, SE EVIDENCIO QUE EN EL MISMO SE REALIZARON INTERVENCIONES Y/O ITEMS DE ACTIVIDADES PARA CALZADAS DE MALLA VIAL PARA TRANSITO VEHICULAR, POR LO TANTO TENIENDO EN CUENTA LA  NOTA 1. DEL PLIEGO DE CONDICIONES QUE ESTABLECE "Para la experiencia en espacio púbico se excluyen las vias destinadas al tráfico vehicular.". ES ASÍ, QUE DICHO CONTRATO NO ES VALIDO PARA ACREDITAR LA EXPERIENCIA SOLICITADA.</t>
  </si>
  <si>
    <t>SECRETARIA DE INFRAESTRUCTURA, VALORIZACIÓN Y SERVICIOS PÚBLICOS - GOBIERNO MUNICIPAL DE SOACHA</t>
  </si>
  <si>
    <t>UNA VEZ REVISADA LA DOCUMENTACIÓN APORTADA PARA VALIDAR LA EXPERIENCIA, SE LOGRO EVIDENCIAR QUE EN EL CONTRATO EN REFERENCIA SE REALIZARON INTERVENCIONES DE MALLA VIAL PARA TRANSITO VEHICULAR Y TENIENDO EN CUENTA QUE LA MATRIZ 1 - EXPERIENCIA DEL PLIEGO TIPO DE INTERVENTORIA DE INFRAESTRUCTURA SOCIAL EN SU NOTA 1 ESTABLECE QUE "Para el caso de esperiencia en ESPACIO PÚBLICO se excluyen de estos las vías destinadas al tráfico vehicular", NO ES POSIBLE VERIFICAR EL VALOR CORRESPONDIENTE DE INTERVENTORIA QUE CORRESPONDA A LAS ACTIVIDADES PARA ACREDITAR LA EXPERIENCIA DEL PLIEGO TIPO DE INTERVENTORIA DE INFRAESTRUCTURA SOCIAL, NO SE POSIBLE VALIDAR LA EXPERIENCIA DEL CONTRATO EN REFERENCIA.
POR LO TANTO, EL OFERENTE NO CUMPLE DADO QUE EL CONSORCIADO ECG INGENIERIA SAS NO ACREDITA EXPERIENCIA Y SEGÚN EL PLIEGO DE CONDICIONES EN SU NUMERAL 10.1.3. LITERAL D. DONDE ESTABLECE QUE "Tratándose de Proponentes Plurales se tendrá en cuenta lo siguiente: i) uno de los integrantes debe aportar como mínimo el cincuenta por ciento (50 %) de la experiencia solicitada; ii) los demás integrantes deben acreditar al menos el cinco por ciento (5 %) de laexperiencia solicitada; y iii) sin perjuicio de lo anterior, solo uno (1) de los integrantes, si así lo considera pertinente, podrá no demostrar experiencia. En este último caso, el porcentaje de participación del integrante que no aporta experiencia en la estructura plural no podrá superar el diez por ciento (10 %)."</t>
  </si>
  <si>
    <t>UNA VEZ REVISADA LA DOCUMENTACIÓN APORTADA PARA VALIDAR LA EXPERIENCIA, SE LOGRO EVIDENCIAR QUE EN EL CONTRATO EN REFERENCIA SE REALIZARON TRASLADO DE REDES SECAS Y TENIENDO EN CUENTA QUE LA MATRIZ 1 - EXPERIENCIA DEL PLIEGO TIPO DE INTERVENTORIA DE INFRAESTRUCTURA SOCIAL EN SU NOTA 1 ESTABLECE QUE "Para el caso de esperiencia en ESPACIO PÚBLICO se excluyen de estos las vías destinadas al tráfico vehicular", NO ES POSIBLE VERIFICAR EL VALOR CORRESPONDIENTE DE INTERVENTORIA QUE CORRESPONDA A LAS ACTIVIDADES PARA ACREDITAR LA EXPERIENCIA DEL PLIEGO TIPO DE INTERVENTORIA DE INFRAESTRUCTURA SOCIAL, NO SE POSIBLE VALIDAR LA EXPERIENCIA DEL CONTRATO EN REFERENCIA.
POR LO TANTO, EL OFERENTE NO CUMPLE DADO QUE EL CONSORCIADO ECG INGENIERIA SAS NO ACREDITA EXPERIENCIA Y SEGÚN EL PLIEGO DE CONDICIONES EN SU NUMERAL 10.1.3. LITERAL D. DONDE ESTABLECE QUE "Tratándose de Proponentes Plurales se tendrá en cuenta lo siguiente: i) uno de los integrantes debe aportar como mínimo el cincuenta por ciento (50 %) de la experiencia solicitada; ii) los demás integrantes deben acreditar al menos el cinco por ciento (5 %) de laexperiencia solicitada; y iii) sin perjuicio de lo anterior, solo uno (1) de los integrantes, si así lo considera pertinente, podrá no demostrar experiencia. En este último caso, el porcentaje de participación del integrante que no aporta experiencia en la estructura plural no podrá superar el diez por ciento (10 %)."</t>
  </si>
  <si>
    <t>NO SE OTORGA EL PUNTAJE POR VINCULACIÓN DE PERSONAS CON DISCAPACIDAD Y EMPRENDIMIENTO Y EMPRESAS DE MUJERES, DADO QUE DENTRO DE LA PROPUESTA NO SE ENCUENTRAN LOS DOCUMENTOS PARA EL OTORGAMIENTO DE DICHO PUNTAJE DE ACUERDO CON LO ESTABLECIDO EN EL PLIEGO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</si>
</sst>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_-;&quot;-$&quot;* #,##0_-;_-\$* \-_-;_-@_-"/>
    <numFmt numFmtId="167" formatCode="_-* #,##0.00_-;\-* #,##0.00_-;_-* \-??_-;_-@_-"/>
    <numFmt numFmtId="168" formatCode="_-* #,##0.00_-;\-* #,##0.00_-;_-* &quot;-&quot;_-;_-@_-"/>
    <numFmt numFmtId="169" formatCode="_ * #,##0.00_ ;_ * \-#,##0.00_ ;_ * &quot;-&quot;??_ ;_ @_ "/>
    <numFmt numFmtId="170" formatCode="_-&quot;$&quot;\ * #,##0.00_-;\-&quot;$&quot;\ * #,##0.00_-;_-&quot;$&quot;\ * &quot;-&quot;_-;_-@_-"/>
    <numFmt numFmtId="171" formatCode="0.00000000"/>
    <numFmt numFmtId="172" formatCode="0.000"/>
    <numFmt numFmtId="173" formatCode="_-[$$-409]* #,##0.00_ ;_-[$$-409]* \-#,##0.00\ ;_-[$$-409]* &quot;-&quot;??_ ;_-@_ "/>
    <numFmt numFmtId="174" formatCode="0.000000"/>
  </numFmts>
  <fonts count="132">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rgb="FF000000"/>
      <name val="Calibri"/>
      <family val="2"/>
      <charset val="1"/>
    </font>
    <font>
      <b/>
      <sz val="20"/>
      <color rgb="FF000000"/>
      <name val="Calibri"/>
      <family val="2"/>
      <charset val="1"/>
    </font>
    <font>
      <sz val="11"/>
      <color rgb="FF000000"/>
      <name val="Calibri"/>
      <family val="2"/>
      <charset val="1"/>
    </font>
    <font>
      <sz val="10"/>
      <name val="Arial"/>
      <family val="2"/>
    </font>
    <font>
      <b/>
      <sz val="18"/>
      <color rgb="FF000000"/>
      <name val="Calibri"/>
      <family val="2"/>
    </font>
    <font>
      <b/>
      <sz val="20"/>
      <name val="Arial"/>
      <family val="2"/>
      <charset val="1"/>
    </font>
    <font>
      <b/>
      <sz val="14"/>
      <name val="Arial"/>
      <family val="2"/>
      <charset val="1"/>
    </font>
    <font>
      <b/>
      <sz val="26"/>
      <name val="Arial"/>
      <family val="2"/>
      <charset val="1"/>
    </font>
    <font>
      <b/>
      <sz val="12"/>
      <name val="Arial"/>
      <family val="2"/>
      <charset val="1"/>
    </font>
    <font>
      <sz val="12"/>
      <name val="Arial"/>
      <family val="2"/>
      <charset val="1"/>
    </font>
    <font>
      <b/>
      <sz val="18"/>
      <color rgb="FFFF0000"/>
      <name val="Calibri"/>
      <family val="2"/>
      <charset val="1"/>
    </font>
    <font>
      <sz val="18"/>
      <color rgb="FF000000"/>
      <name val="Calibri"/>
      <family val="2"/>
      <charset val="1"/>
    </font>
    <font>
      <b/>
      <sz val="11"/>
      <color rgb="FFFFFFFF"/>
      <name val="Arial"/>
      <family val="2"/>
    </font>
    <font>
      <sz val="11"/>
      <color rgb="FF111111"/>
      <name val="Arial"/>
      <family val="2"/>
    </font>
    <font>
      <sz val="11"/>
      <color indexed="8"/>
      <name val="Calibri"/>
      <family val="2"/>
    </font>
    <font>
      <sz val="12"/>
      <color rgb="FF000000"/>
      <name val="Calibri"/>
      <family val="2"/>
      <charset val="1"/>
    </font>
    <font>
      <b/>
      <sz val="12"/>
      <name val="Arial"/>
      <family val="2"/>
    </font>
    <font>
      <sz val="11"/>
      <color theme="1"/>
      <name val="Calibri"/>
      <family val="2"/>
    </font>
    <font>
      <sz val="11"/>
      <color theme="1"/>
      <name val="Calibri"/>
      <family val="2"/>
    </font>
    <font>
      <b/>
      <sz val="11"/>
      <color theme="1"/>
      <name val="Calibri"/>
      <family val="2"/>
      <scheme val="minor"/>
    </font>
    <font>
      <b/>
      <sz val="14"/>
      <color theme="1"/>
      <name val="Calibri"/>
      <family val="2"/>
      <scheme val="minor"/>
    </font>
    <font>
      <b/>
      <sz val="16"/>
      <color theme="1"/>
      <name val="Calibri"/>
      <family val="2"/>
      <scheme val="minor"/>
    </font>
    <font>
      <b/>
      <sz val="11"/>
      <color theme="1"/>
      <name val="Arial Narrow"/>
      <family val="2"/>
    </font>
    <font>
      <b/>
      <sz val="12"/>
      <color rgb="FFFF0000"/>
      <name val="Arial"/>
      <family val="2"/>
    </font>
    <font>
      <b/>
      <sz val="16"/>
      <color rgb="FFFF0000"/>
      <name val="Calibri"/>
      <family val="2"/>
    </font>
    <font>
      <b/>
      <sz val="11"/>
      <color rgb="FF000000"/>
      <name val="Calibri"/>
      <family val="2"/>
      <charset val="1"/>
    </font>
    <font>
      <sz val="10"/>
      <color indexed="8"/>
      <name val="MS Sans Serif"/>
      <family val="2"/>
    </font>
    <font>
      <sz val="11"/>
      <color theme="0"/>
      <name val="Calibri"/>
      <family val="2"/>
      <charset val="1"/>
    </font>
    <font>
      <b/>
      <sz val="16"/>
      <name val="Calibri"/>
      <family val="2"/>
    </font>
    <font>
      <sz val="11"/>
      <name val="Calibri"/>
      <family val="2"/>
      <scheme val="minor"/>
    </font>
    <font>
      <b/>
      <sz val="11"/>
      <name val="Calibri"/>
      <family val="2"/>
      <scheme val="minor"/>
    </font>
    <font>
      <b/>
      <sz val="36"/>
      <color theme="0"/>
      <name val="Arial"/>
      <family val="2"/>
      <charset val="1"/>
    </font>
    <font>
      <b/>
      <sz val="28"/>
      <color theme="0"/>
      <name val="Calibri"/>
      <family val="2"/>
    </font>
    <font>
      <b/>
      <sz val="10"/>
      <color rgb="FFFF0000"/>
      <name val="Calibri"/>
      <family val="2"/>
      <charset val="1"/>
    </font>
    <font>
      <sz val="10"/>
      <color rgb="FF000000"/>
      <name val="Calibri"/>
      <family val="2"/>
      <charset val="1"/>
    </font>
    <font>
      <b/>
      <u/>
      <sz val="10"/>
      <color rgb="FFFF0000"/>
      <name val="Calibri"/>
      <family val="2"/>
      <charset val="1"/>
    </font>
    <font>
      <b/>
      <sz val="12"/>
      <color rgb="FF000000"/>
      <name val="Calibri"/>
      <family val="2"/>
      <charset val="1"/>
    </font>
    <font>
      <b/>
      <u/>
      <sz val="18"/>
      <color rgb="FFFF0000"/>
      <name val="Calibri"/>
      <family val="2"/>
      <charset val="1"/>
    </font>
    <font>
      <b/>
      <sz val="18"/>
      <color theme="1"/>
      <name val="Calibri"/>
      <family val="2"/>
      <charset val="1"/>
    </font>
    <font>
      <b/>
      <sz val="18"/>
      <name val="Calibri"/>
      <family val="2"/>
      <charset val="1"/>
    </font>
    <font>
      <b/>
      <sz val="18"/>
      <color rgb="FF000000"/>
      <name val="Calibri"/>
      <family val="2"/>
      <charset val="1"/>
    </font>
    <font>
      <b/>
      <sz val="14"/>
      <color rgb="FF000000"/>
      <name val="Calibri"/>
      <family val="2"/>
    </font>
    <font>
      <b/>
      <u/>
      <sz val="25"/>
      <color rgb="FFFF0000"/>
      <name val="Calibri"/>
      <family val="2"/>
      <charset val="1"/>
    </font>
    <font>
      <b/>
      <sz val="12"/>
      <name val="Calibri"/>
      <family val="2"/>
      <charset val="1"/>
    </font>
    <font>
      <b/>
      <u/>
      <sz val="12"/>
      <color rgb="FFFF0000"/>
      <name val="Calibri"/>
      <family val="2"/>
      <charset val="1"/>
    </font>
    <font>
      <b/>
      <sz val="12"/>
      <color rgb="FFFF0000"/>
      <name val="Calibri"/>
      <family val="2"/>
      <charset val="1"/>
    </font>
    <font>
      <b/>
      <sz val="12"/>
      <color theme="1"/>
      <name val="Calibri"/>
      <family val="2"/>
      <charset val="1"/>
    </font>
    <font>
      <sz val="12"/>
      <color rgb="FF000000"/>
      <name val="Calibri"/>
      <family val="2"/>
    </font>
    <font>
      <b/>
      <sz val="14"/>
      <name val="Calibri"/>
      <family val="2"/>
      <scheme val="minor"/>
    </font>
    <font>
      <b/>
      <sz val="14"/>
      <name val="Calibri"/>
      <family val="2"/>
    </font>
    <font>
      <b/>
      <sz val="20"/>
      <color theme="1"/>
      <name val="Calibri"/>
      <family val="2"/>
      <scheme val="minor"/>
    </font>
    <font>
      <b/>
      <sz val="10"/>
      <color theme="1"/>
      <name val="Arial"/>
      <family val="2"/>
    </font>
    <font>
      <b/>
      <sz val="18"/>
      <color rgb="FFFF0000"/>
      <name val="Calibri"/>
      <family val="2"/>
    </font>
    <font>
      <sz val="11"/>
      <color rgb="FFFF0000"/>
      <name val="Calibri"/>
      <family val="2"/>
      <charset val="1"/>
    </font>
    <font>
      <sz val="11"/>
      <name val="Calibri"/>
      <family val="2"/>
      <charset val="1"/>
    </font>
    <font>
      <b/>
      <sz val="16"/>
      <color rgb="FF000000"/>
      <name val="Calibri"/>
      <family val="2"/>
    </font>
    <font>
      <b/>
      <sz val="18"/>
      <name val="Arial"/>
      <family val="2"/>
    </font>
    <font>
      <b/>
      <sz val="18"/>
      <color rgb="FFFF0000"/>
      <name val="Arial"/>
      <family val="2"/>
    </font>
    <font>
      <b/>
      <sz val="18"/>
      <name val="Calibri"/>
      <family val="2"/>
    </font>
    <font>
      <sz val="11"/>
      <color rgb="FF000000"/>
      <name val="Calibri"/>
      <family val="2"/>
    </font>
    <font>
      <sz val="11"/>
      <color theme="1"/>
      <name val="Calibri"/>
      <family val="2"/>
      <charset val="1"/>
    </font>
    <font>
      <sz val="11"/>
      <color rgb="FF000000"/>
      <name val="Calibri"/>
      <family val="2"/>
    </font>
    <font>
      <sz val="11"/>
      <name val="Calibri"/>
      <family val="2"/>
      <scheme val="minor"/>
    </font>
    <font>
      <b/>
      <sz val="10"/>
      <color theme="0"/>
      <name val="Arial"/>
      <family val="2"/>
    </font>
    <font>
      <b/>
      <sz val="11"/>
      <name val="Calibri"/>
      <family val="2"/>
    </font>
    <font>
      <sz val="13"/>
      <color theme="1"/>
      <name val="Calibri"/>
      <family val="2"/>
      <scheme val="minor"/>
    </font>
    <font>
      <b/>
      <sz val="16"/>
      <color rgb="FF000000"/>
      <name val="Calibri"/>
      <family val="2"/>
      <charset val="1"/>
    </font>
    <font>
      <b/>
      <sz val="20"/>
      <color rgb="FFFF0000"/>
      <name val="Calibri"/>
      <family val="2"/>
      <charset val="1"/>
    </font>
    <font>
      <b/>
      <sz val="22"/>
      <color rgb="FFFF0000"/>
      <name val="Calibri"/>
      <family val="2"/>
      <charset val="1"/>
    </font>
    <font>
      <b/>
      <sz val="22"/>
      <color theme="1"/>
      <name val="Calibri"/>
      <family val="2"/>
      <charset val="1"/>
    </font>
    <font>
      <b/>
      <sz val="20"/>
      <color rgb="FFFF0000"/>
      <name val="Calibri"/>
      <family val="2"/>
    </font>
    <font>
      <b/>
      <u/>
      <sz val="20"/>
      <color rgb="FFFF0000"/>
      <name val="Calibri"/>
      <family val="2"/>
    </font>
    <font>
      <b/>
      <sz val="16"/>
      <name val="Arial"/>
      <family val="2"/>
      <charset val="1"/>
    </font>
    <font>
      <sz val="14"/>
      <name val="Arial"/>
      <family val="2"/>
    </font>
    <font>
      <b/>
      <sz val="14"/>
      <name val="Arial"/>
      <family val="2"/>
    </font>
    <font>
      <b/>
      <sz val="14"/>
      <color rgb="FF000000"/>
      <name val="Arial"/>
      <family val="2"/>
    </font>
    <font>
      <b/>
      <sz val="18"/>
      <name val="Arial"/>
      <family val="2"/>
      <charset val="1"/>
    </font>
    <font>
      <b/>
      <sz val="20"/>
      <color rgb="FF000000"/>
      <name val="Arial"/>
      <family val="2"/>
      <charset val="1"/>
    </font>
    <font>
      <b/>
      <sz val="36"/>
      <name val="Arial"/>
      <family val="2"/>
      <charset val="1"/>
    </font>
    <font>
      <b/>
      <sz val="14"/>
      <color theme="1"/>
      <name val="Arial"/>
      <family val="2"/>
      <charset val="1"/>
    </font>
    <font>
      <b/>
      <sz val="16"/>
      <color theme="1"/>
      <name val="Arial"/>
      <family val="2"/>
      <charset val="1"/>
    </font>
    <font>
      <b/>
      <sz val="30"/>
      <name val="Arial"/>
      <family val="2"/>
      <charset val="1"/>
    </font>
    <font>
      <b/>
      <sz val="24"/>
      <color rgb="FF000000"/>
      <name val="Calibri"/>
      <family val="2"/>
      <charset val="1"/>
    </font>
    <font>
      <b/>
      <sz val="30"/>
      <color rgb="FF000000"/>
      <name val="Calibri"/>
      <family val="2"/>
      <charset val="1"/>
    </font>
    <font>
      <b/>
      <sz val="24"/>
      <color theme="1"/>
      <name val="Calibri"/>
      <family val="2"/>
      <scheme val="minor"/>
    </font>
    <font>
      <b/>
      <sz val="16"/>
      <color theme="1"/>
      <name val="Calibri  "/>
    </font>
    <font>
      <b/>
      <sz val="16"/>
      <color rgb="FFFF0000"/>
      <name val="Calibri  "/>
    </font>
    <font>
      <sz val="16"/>
      <color theme="1"/>
      <name val="Calibri"/>
      <family val="2"/>
      <scheme val="minor"/>
    </font>
    <font>
      <sz val="16"/>
      <color rgb="FFFF0000"/>
      <name val="Calibri"/>
      <family val="2"/>
    </font>
    <font>
      <sz val="16"/>
      <name val="Calibri"/>
      <family val="2"/>
    </font>
    <font>
      <sz val="12"/>
      <name val="Arial"/>
      <family val="2"/>
    </font>
    <font>
      <sz val="14"/>
      <name val="Arial"/>
      <family val="2"/>
      <charset val="1"/>
    </font>
    <font>
      <b/>
      <sz val="11"/>
      <color rgb="FFFFFFFF"/>
      <name val="Calibri"/>
      <family val="2"/>
    </font>
    <font>
      <b/>
      <sz val="11"/>
      <name val="Calibri"/>
      <family val="2"/>
      <charset val="1"/>
    </font>
    <font>
      <b/>
      <sz val="20"/>
      <color rgb="FFFFFFFF"/>
      <name val="Arial"/>
      <family val="2"/>
      <charset val="1"/>
    </font>
    <font>
      <b/>
      <sz val="12"/>
      <color rgb="FF000000"/>
      <name val="Arial"/>
      <family val="2"/>
      <charset val="1"/>
    </font>
    <font>
      <sz val="16"/>
      <name val="Calibri"/>
      <family val="2"/>
      <charset val="1"/>
    </font>
    <font>
      <sz val="14"/>
      <name val="Arial"/>
      <family val="2"/>
    </font>
    <font>
      <b/>
      <sz val="14"/>
      <name val="Arial"/>
      <family val="2"/>
    </font>
    <font>
      <b/>
      <sz val="14"/>
      <color rgb="FF000000"/>
      <name val="Arial"/>
      <family val="2"/>
    </font>
    <font>
      <b/>
      <sz val="12"/>
      <name val="Arial"/>
      <family val="2"/>
    </font>
    <font>
      <b/>
      <sz val="18"/>
      <name val="Arial"/>
      <family val="2"/>
    </font>
    <font>
      <sz val="12"/>
      <name val="Arial"/>
      <family val="2"/>
    </font>
    <font>
      <sz val="11"/>
      <color rgb="FF242424"/>
      <name val="Aptos Narrow"/>
      <family val="2"/>
    </font>
    <font>
      <sz val="13"/>
      <color theme="1"/>
      <name val="Calibri"/>
      <family val="2"/>
      <scheme val="minor"/>
    </font>
    <font>
      <b/>
      <sz val="16"/>
      <color theme="1"/>
      <name val="Calibri"/>
      <family val="2"/>
      <scheme val="minor"/>
    </font>
    <font>
      <b/>
      <sz val="11"/>
      <name val="Calibri"/>
      <family val="2"/>
      <scheme val="minor"/>
    </font>
    <font>
      <b/>
      <sz val="14"/>
      <name val="Calibri"/>
      <family val="2"/>
      <charset val="1"/>
    </font>
    <font>
      <b/>
      <sz val="14"/>
      <color theme="1"/>
      <name val="Calibri"/>
      <family val="2"/>
      <scheme val="minor"/>
    </font>
    <font>
      <b/>
      <sz val="20"/>
      <name val="Calibri"/>
      <family val="2"/>
      <scheme val="minor"/>
    </font>
    <font>
      <b/>
      <sz val="11"/>
      <color rgb="FF000000"/>
      <name val="Calibri"/>
      <family val="2"/>
    </font>
    <font>
      <sz val="16"/>
      <color rgb="FFFF0000"/>
      <name val="Arial"/>
      <family val="2"/>
      <charset val="1"/>
    </font>
    <font>
      <sz val="12"/>
      <color rgb="FF000000"/>
      <name val="Arial"/>
      <family val="2"/>
    </font>
    <font>
      <b/>
      <sz val="14"/>
      <color theme="1"/>
      <name val="Calibri"/>
      <family val="2"/>
    </font>
    <font>
      <b/>
      <sz val="18"/>
      <color theme="0"/>
      <name val="Calibri"/>
      <family val="2"/>
      <scheme val="minor"/>
    </font>
    <font>
      <b/>
      <sz val="18"/>
      <color theme="0"/>
      <name val="Calibri"/>
      <family val="2"/>
    </font>
    <font>
      <sz val="16"/>
      <name val="Arial"/>
      <family val="2"/>
      <charset val="1"/>
    </font>
    <font>
      <b/>
      <sz val="14"/>
      <color rgb="FFFFFFFF"/>
      <name val="Calibri"/>
      <family val="2"/>
    </font>
  </fonts>
  <fills count="26">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rgb="FF77BB0F"/>
        <bgColor indexed="64"/>
      </patternFill>
    </fill>
    <fill>
      <patternFill patternType="solid">
        <fgColor rgb="FFF8F8F8"/>
        <bgColor indexed="64"/>
      </patternFill>
    </fill>
    <fill>
      <patternFill patternType="solid">
        <fgColor rgb="FFFFFFFF"/>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theme="7"/>
        <bgColor indexed="64"/>
      </patternFill>
    </fill>
    <fill>
      <patternFill patternType="solid">
        <fgColor theme="1" tint="0.34998626667073579"/>
        <bgColor indexed="64"/>
      </patternFill>
    </fill>
    <fill>
      <patternFill patternType="solid">
        <fgColor rgb="FF92D050"/>
        <bgColor indexed="64"/>
      </patternFill>
    </fill>
    <fill>
      <patternFill patternType="solid">
        <fgColor rgb="FFD0CECE"/>
        <bgColor indexed="64"/>
      </patternFill>
    </fill>
    <fill>
      <patternFill patternType="solid">
        <fgColor theme="5" tint="0.59999389629810485"/>
        <bgColor indexed="64"/>
      </patternFill>
    </fill>
    <fill>
      <patternFill patternType="solid">
        <fgColor rgb="FF00B050"/>
        <bgColor indexed="64"/>
      </patternFill>
    </fill>
    <fill>
      <patternFill patternType="solid">
        <fgColor theme="0"/>
        <bgColor indexed="64"/>
      </patternFill>
    </fill>
    <fill>
      <patternFill patternType="solid">
        <fgColor theme="7" tint="0.59999389629810485"/>
        <bgColor rgb="FFFFFFCC"/>
      </patternFill>
    </fill>
    <fill>
      <patternFill patternType="solid">
        <fgColor theme="7" tint="0.59999389629810485"/>
        <bgColor rgb="FFCCFFFF"/>
      </patternFill>
    </fill>
    <fill>
      <patternFill patternType="solid">
        <fgColor theme="9" tint="0.59999389629810485"/>
        <bgColor rgb="FF000000"/>
      </patternFill>
    </fill>
    <fill>
      <patternFill patternType="solid">
        <fgColor rgb="FFC00000"/>
        <bgColor rgb="FF000000"/>
      </patternFill>
    </fill>
    <fill>
      <patternFill patternType="solid">
        <fgColor rgb="FFFF0000"/>
        <bgColor indexed="64"/>
      </patternFill>
    </fill>
    <fill>
      <patternFill patternType="solid">
        <fgColor rgb="FF92D050"/>
        <bgColor rgb="FF000000"/>
      </patternFill>
    </fill>
    <fill>
      <patternFill patternType="solid">
        <fgColor rgb="FFFF0000"/>
        <bgColor rgb="FF000000"/>
      </patternFill>
    </fill>
    <fill>
      <patternFill patternType="solid">
        <fgColor rgb="FFC6E0B4"/>
        <bgColor rgb="FF000000"/>
      </patternFill>
    </fill>
    <fill>
      <patternFill patternType="solid">
        <fgColor rgb="FFC00000"/>
        <bgColor indexed="64"/>
      </patternFill>
    </fill>
  </fills>
  <borders count="94">
    <border>
      <left/>
      <right/>
      <top/>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medium">
        <color auto="1"/>
      </left>
      <right/>
      <top style="medium">
        <color auto="1"/>
      </top>
      <bottom/>
      <diagonal/>
    </border>
    <border>
      <left style="medium">
        <color auto="1"/>
      </left>
      <right/>
      <top/>
      <bottom/>
      <diagonal/>
    </border>
    <border>
      <left style="thin">
        <color auto="1"/>
      </left>
      <right style="thin">
        <color auto="1"/>
      </right>
      <top style="medium">
        <color auto="1"/>
      </top>
      <bottom style="thin">
        <color auto="1"/>
      </bottom>
      <diagonal/>
    </border>
    <border>
      <left/>
      <right style="medium">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right/>
      <top style="medium">
        <color auto="1"/>
      </top>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medium">
        <color auto="1"/>
      </bottom>
      <diagonal/>
    </border>
    <border>
      <left/>
      <right/>
      <top style="medium">
        <color indexed="64"/>
      </top>
      <bottom style="thin">
        <color auto="1"/>
      </bottom>
      <diagonal/>
    </border>
    <border>
      <left style="medium">
        <color indexed="64"/>
      </left>
      <right/>
      <top style="medium">
        <color indexed="64"/>
      </top>
      <bottom style="thin">
        <color indexed="64"/>
      </bottom>
      <diagonal/>
    </border>
    <border>
      <left style="medium">
        <color auto="1"/>
      </left>
      <right/>
      <top style="thin">
        <color auto="1"/>
      </top>
      <bottom style="medium">
        <color auto="1"/>
      </bottom>
      <diagonal/>
    </border>
    <border>
      <left/>
      <right/>
      <top style="thin">
        <color indexed="64"/>
      </top>
      <bottom style="medium">
        <color indexed="64"/>
      </bottom>
      <diagonal/>
    </border>
    <border>
      <left style="thin">
        <color auto="1"/>
      </left>
      <right/>
      <top style="thin">
        <color auto="1"/>
      </top>
      <bottom style="medium">
        <color auto="1"/>
      </bottom>
      <diagonal/>
    </border>
    <border>
      <left style="thin">
        <color auto="1"/>
      </left>
      <right/>
      <top style="medium">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auto="1"/>
      </right>
      <top style="thin">
        <color auto="1"/>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medium">
        <color indexed="64"/>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auto="1"/>
      </right>
      <top style="medium">
        <color indexed="64"/>
      </top>
      <bottom style="medium">
        <color indexed="64"/>
      </bottom>
      <diagonal/>
    </border>
    <border>
      <left style="medium">
        <color indexed="64"/>
      </left>
      <right/>
      <top/>
      <bottom style="medium">
        <color auto="1"/>
      </bottom>
      <diagonal/>
    </border>
    <border>
      <left style="medium">
        <color auto="1"/>
      </left>
      <right/>
      <top style="thin">
        <color auto="1"/>
      </top>
      <bottom/>
      <diagonal/>
    </border>
    <border>
      <left style="thin">
        <color auto="1"/>
      </left>
      <right/>
      <top style="medium">
        <color indexed="64"/>
      </top>
      <bottom style="medium">
        <color indexed="64"/>
      </bottom>
      <diagonal/>
    </border>
    <border>
      <left style="medium">
        <color rgb="FF000000"/>
      </left>
      <right/>
      <top style="medium">
        <color rgb="FF000000"/>
      </top>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medium">
        <color indexed="64"/>
      </bottom>
      <diagonal/>
    </border>
    <border>
      <left/>
      <right/>
      <top style="medium">
        <color rgb="FF000000"/>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right style="medium">
        <color indexed="64"/>
      </right>
      <top style="medium">
        <color indexed="64"/>
      </top>
      <bottom style="thin">
        <color auto="1"/>
      </bottom>
      <diagonal/>
    </border>
    <border>
      <left/>
      <right style="medium">
        <color indexed="64"/>
      </right>
      <top style="thin">
        <color auto="1"/>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auto="1"/>
      </right>
      <top/>
      <bottom style="thin">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style="thin">
        <color rgb="FF000000"/>
      </left>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right style="thin">
        <color rgb="FF000000"/>
      </right>
      <top style="thin">
        <color indexed="64"/>
      </top>
      <bottom style="thin">
        <color indexed="64"/>
      </bottom>
      <diagonal/>
    </border>
    <border>
      <left/>
      <right/>
      <top style="thin">
        <color auto="1"/>
      </top>
      <bottom/>
      <diagonal/>
    </border>
    <border>
      <left style="thin">
        <color auto="1"/>
      </left>
      <right/>
      <top/>
      <bottom style="thin">
        <color auto="1"/>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auto="1"/>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style="medium">
        <color rgb="FF000000"/>
      </top>
      <bottom/>
      <diagonal/>
    </border>
    <border>
      <left style="medium">
        <color indexed="64"/>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auto="1"/>
      </left>
      <right/>
      <top style="medium">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rgb="FF000000"/>
      </left>
      <right/>
      <top/>
      <bottom/>
      <diagonal/>
    </border>
  </borders>
  <cellStyleXfs count="75">
    <xf numFmtId="0" fontId="0" fillId="0" borderId="0"/>
    <xf numFmtId="166" fontId="16" fillId="0" borderId="0" applyBorder="0" applyProtection="0"/>
    <xf numFmtId="165" fontId="17" fillId="0" borderId="0" applyBorder="0" applyAlignment="0" applyProtection="0"/>
    <xf numFmtId="167" fontId="16" fillId="0" borderId="0" applyBorder="0" applyProtection="0"/>
    <xf numFmtId="9" fontId="16" fillId="0" borderId="0" applyBorder="0" applyProtection="0"/>
    <xf numFmtId="0" fontId="17" fillId="0" borderId="0"/>
    <xf numFmtId="9" fontId="17" fillId="0" borderId="0" applyFont="0" applyFill="0" applyBorder="0" applyAlignment="0" applyProtection="0"/>
    <xf numFmtId="169" fontId="17" fillId="0" borderId="0" applyFont="0" applyFill="0" applyBorder="0" applyAlignment="0" applyProtection="0"/>
    <xf numFmtId="0" fontId="28" fillId="0" borderId="0" applyFill="0" applyProtection="0"/>
    <xf numFmtId="0" fontId="13" fillId="0" borderId="0"/>
    <xf numFmtId="0" fontId="31" fillId="0" borderId="0"/>
    <xf numFmtId="0" fontId="16" fillId="0" borderId="0"/>
    <xf numFmtId="42" fontId="16" fillId="0" borderId="0" applyFont="0" applyFill="0" applyBorder="0" applyAlignment="0" applyProtection="0"/>
    <xf numFmtId="166" fontId="16" fillId="0" borderId="0" applyBorder="0" applyProtection="0"/>
    <xf numFmtId="41" fontId="16" fillId="0" borderId="0" applyFont="0" applyFill="0" applyBorder="0" applyAlignment="0" applyProtection="0"/>
    <xf numFmtId="0" fontId="32" fillId="0" borderId="0"/>
    <xf numFmtId="41" fontId="16" fillId="0" borderId="0" applyFont="0" applyFill="0" applyBorder="0" applyAlignment="0" applyProtection="0"/>
    <xf numFmtId="0" fontId="12" fillId="0" borderId="0"/>
    <xf numFmtId="42" fontId="12" fillId="0" borderId="0" applyFont="0" applyFill="0" applyBorder="0" applyAlignment="0" applyProtection="0"/>
    <xf numFmtId="41" fontId="12" fillId="0" borderId="0" applyFont="0" applyFill="0" applyBorder="0" applyAlignment="0" applyProtection="0"/>
    <xf numFmtId="0" fontId="11" fillId="0" borderId="0"/>
    <xf numFmtId="42" fontId="11" fillId="0" borderId="0" applyFont="0" applyFill="0" applyBorder="0" applyAlignment="0" applyProtection="0"/>
    <xf numFmtId="41" fontId="11" fillId="0" borderId="0" applyFont="0" applyFill="0" applyBorder="0" applyAlignment="0" applyProtection="0"/>
    <xf numFmtId="0" fontId="10" fillId="0" borderId="0"/>
    <xf numFmtId="9" fontId="16" fillId="0" borderId="0" applyFont="0" applyFill="0" applyBorder="0" applyAlignment="0" applyProtection="0"/>
    <xf numFmtId="169" fontId="17" fillId="0" borderId="0" applyFont="0" applyFill="0" applyBorder="0" applyAlignment="0" applyProtection="0"/>
    <xf numFmtId="9" fontId="17" fillId="0" borderId="0" applyFont="0" applyFill="0" applyBorder="0" applyAlignment="0" applyProtection="0"/>
    <xf numFmtId="42" fontId="17" fillId="0" borderId="0" applyFont="0" applyFill="0" applyBorder="0" applyAlignment="0" applyProtection="0"/>
    <xf numFmtId="0" fontId="9" fillId="0" borderId="0"/>
    <xf numFmtId="42" fontId="16" fillId="0" borderId="0" applyFont="0" applyFill="0" applyBorder="0" applyAlignment="0" applyProtection="0"/>
    <xf numFmtId="41" fontId="16" fillId="0" borderId="0" applyFont="0" applyFill="0" applyBorder="0" applyAlignment="0" applyProtection="0"/>
    <xf numFmtId="0" fontId="31" fillId="0" borderId="0"/>
    <xf numFmtId="41" fontId="16" fillId="0" borderId="0" applyFont="0" applyFill="0" applyBorder="0" applyAlignment="0" applyProtection="0"/>
    <xf numFmtId="0" fontId="9" fillId="0" borderId="0"/>
    <xf numFmtId="42" fontId="9" fillId="0" borderId="0" applyFont="0" applyFill="0" applyBorder="0" applyAlignment="0" applyProtection="0"/>
    <xf numFmtId="41" fontId="9" fillId="0" borderId="0" applyFont="0" applyFill="0" applyBorder="0" applyAlignment="0" applyProtection="0"/>
    <xf numFmtId="42" fontId="16" fillId="0" borderId="0" applyFont="0" applyFill="0" applyBorder="0" applyAlignment="0" applyProtection="0"/>
    <xf numFmtId="0" fontId="9" fillId="0" borderId="0"/>
    <xf numFmtId="42" fontId="9" fillId="0" borderId="0" applyFont="0" applyFill="0" applyBorder="0" applyAlignment="0" applyProtection="0"/>
    <xf numFmtId="41" fontId="9" fillId="0" borderId="0" applyFont="0" applyFill="0" applyBorder="0" applyAlignment="0" applyProtection="0"/>
    <xf numFmtId="0" fontId="9" fillId="0" borderId="0"/>
    <xf numFmtId="42" fontId="17" fillId="0" borderId="0" applyFont="0" applyFill="0" applyBorder="0" applyAlignment="0" applyProtection="0"/>
    <xf numFmtId="0" fontId="8" fillId="0" borderId="0"/>
    <xf numFmtId="41" fontId="8" fillId="0" borderId="0" applyFont="0" applyFill="0" applyBorder="0" applyAlignment="0" applyProtection="0"/>
    <xf numFmtId="42"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40" fillId="0" borderId="0"/>
    <xf numFmtId="0" fontId="17" fillId="0" borderId="0"/>
    <xf numFmtId="0" fontId="7" fillId="0" borderId="0"/>
    <xf numFmtId="42" fontId="7" fillId="0" borderId="0" applyFont="0" applyFill="0" applyBorder="0" applyAlignment="0" applyProtection="0"/>
    <xf numFmtId="41" fontId="7" fillId="0" borderId="0" applyFont="0" applyFill="0" applyBorder="0" applyAlignment="0" applyProtection="0"/>
    <xf numFmtId="0" fontId="7" fillId="0" borderId="0"/>
    <xf numFmtId="164" fontId="7" fillId="0" borderId="0" applyFont="0" applyFill="0" applyBorder="0" applyAlignment="0" applyProtection="0"/>
    <xf numFmtId="9" fontId="7" fillId="0" borderId="0" applyFont="0" applyFill="0" applyBorder="0" applyAlignment="0" applyProtection="0"/>
    <xf numFmtId="0" fontId="6" fillId="0" borderId="0"/>
    <xf numFmtId="0" fontId="6" fillId="0" borderId="0"/>
    <xf numFmtId="0" fontId="5" fillId="0" borderId="0"/>
    <xf numFmtId="42" fontId="5" fillId="0" borderId="0" applyFont="0" applyFill="0" applyBorder="0" applyAlignment="0" applyProtection="0"/>
    <xf numFmtId="41" fontId="5" fillId="0" borderId="0" applyFont="0" applyFill="0" applyBorder="0" applyAlignment="0" applyProtection="0"/>
    <xf numFmtId="0" fontId="5" fillId="0" borderId="0"/>
    <xf numFmtId="0" fontId="4" fillId="0" borderId="0"/>
    <xf numFmtId="0" fontId="4" fillId="0" borderId="0"/>
    <xf numFmtId="41" fontId="4" fillId="0" borderId="0" applyFont="0" applyFill="0" applyBorder="0" applyAlignment="0" applyProtection="0"/>
    <xf numFmtId="0" fontId="4" fillId="0" borderId="0"/>
    <xf numFmtId="0" fontId="4" fillId="0" borderId="0"/>
    <xf numFmtId="0" fontId="4" fillId="0" borderId="0"/>
    <xf numFmtId="0" fontId="3" fillId="0" borderId="0"/>
    <xf numFmtId="0" fontId="3" fillId="0" borderId="0"/>
    <xf numFmtId="41" fontId="3" fillId="0" borderId="0" applyFont="0" applyFill="0" applyBorder="0" applyAlignment="0" applyProtection="0"/>
    <xf numFmtId="0" fontId="3" fillId="0" borderId="0"/>
    <xf numFmtId="0" fontId="2" fillId="0" borderId="0"/>
    <xf numFmtId="42" fontId="2" fillId="0" borderId="0" applyFont="0" applyFill="0" applyBorder="0" applyAlignment="0" applyProtection="0"/>
    <xf numFmtId="0" fontId="2" fillId="0" borderId="0"/>
    <xf numFmtId="44" fontId="16" fillId="0" borderId="0" applyFont="0" applyFill="0" applyBorder="0" applyAlignment="0" applyProtection="0"/>
  </cellStyleXfs>
  <cellXfs count="531">
    <xf numFmtId="0" fontId="0" fillId="0" borderId="0" xfId="0"/>
    <xf numFmtId="9" fontId="24" fillId="0" borderId="0" xfId="4" applyFont="1" applyBorder="1" applyAlignment="1" applyProtection="1">
      <alignment vertical="center"/>
    </xf>
    <xf numFmtId="0" fontId="26" fillId="5" borderId="17" xfId="11" applyFont="1" applyFill="1" applyBorder="1" applyAlignment="1">
      <alignment horizontal="center" vertical="center" wrapText="1"/>
    </xf>
    <xf numFmtId="0" fontId="30" fillId="0" borderId="0" xfId="11" applyFont="1" applyAlignment="1">
      <alignment horizontal="center" vertical="center" wrapText="1"/>
    </xf>
    <xf numFmtId="167" fontId="30" fillId="0" borderId="0" xfId="3" applyFont="1" applyBorder="1" applyAlignment="1" applyProtection="1">
      <alignment horizontal="center" vertical="center" wrapText="1"/>
    </xf>
    <xf numFmtId="167" fontId="30" fillId="0" borderId="10" xfId="3" applyFont="1" applyBorder="1" applyAlignment="1" applyProtection="1">
      <alignment horizontal="center" vertical="center" wrapText="1"/>
    </xf>
    <xf numFmtId="0" fontId="16" fillId="4" borderId="0" xfId="11" applyFill="1" applyAlignment="1">
      <alignment vertical="center"/>
    </xf>
    <xf numFmtId="0" fontId="16" fillId="0" borderId="0" xfId="11" applyAlignment="1">
      <alignment vertical="center"/>
    </xf>
    <xf numFmtId="0" fontId="41" fillId="0" borderId="0" xfId="11" applyFont="1" applyAlignment="1">
      <alignment vertical="center"/>
    </xf>
    <xf numFmtId="0" fontId="29" fillId="0" borderId="0" xfId="11" applyFont="1" applyAlignment="1">
      <alignment vertical="center"/>
    </xf>
    <xf numFmtId="41" fontId="37" fillId="0" borderId="0" xfId="16" applyFont="1" applyBorder="1" applyAlignment="1">
      <alignment vertical="center" wrapText="1"/>
    </xf>
    <xf numFmtId="168" fontId="38" fillId="0" borderId="0" xfId="16" applyNumberFormat="1" applyFont="1" applyBorder="1" applyAlignment="1">
      <alignment vertical="center"/>
    </xf>
    <xf numFmtId="41" fontId="37" fillId="0" borderId="0" xfId="16" applyFont="1" applyBorder="1" applyAlignment="1">
      <alignment horizontal="center" vertical="center" wrapText="1"/>
    </xf>
    <xf numFmtId="42" fontId="37" fillId="0" borderId="0" xfId="12" applyFont="1" applyBorder="1" applyAlignment="1">
      <alignment horizontal="left" vertical="center" wrapText="1"/>
    </xf>
    <xf numFmtId="0" fontId="25" fillId="0" borderId="0" xfId="11" applyFont="1" applyAlignment="1">
      <alignment vertical="center"/>
    </xf>
    <xf numFmtId="167" fontId="18" fillId="0" borderId="0" xfId="3" applyFont="1" applyBorder="1" applyAlignment="1" applyProtection="1">
      <alignment vertical="center"/>
    </xf>
    <xf numFmtId="0" fontId="16" fillId="0" borderId="0" xfId="11" applyAlignment="1">
      <alignment horizontal="left" vertical="center" wrapText="1"/>
    </xf>
    <xf numFmtId="0" fontId="16" fillId="0" borderId="0" xfId="11" applyAlignment="1">
      <alignment vertical="center" wrapText="1"/>
    </xf>
    <xf numFmtId="0" fontId="39" fillId="0" borderId="8" xfId="11" applyFont="1" applyBorder="1" applyAlignment="1">
      <alignment horizontal="left" vertical="center" wrapText="1"/>
    </xf>
    <xf numFmtId="0" fontId="15" fillId="0" borderId="10" xfId="11" applyFont="1" applyBorder="1" applyAlignment="1">
      <alignment vertical="center"/>
    </xf>
    <xf numFmtId="0" fontId="15" fillId="0" borderId="0" xfId="11" applyFont="1" applyAlignment="1">
      <alignment vertical="center"/>
    </xf>
    <xf numFmtId="0" fontId="14" fillId="0" borderId="0" xfId="11" applyFont="1" applyAlignment="1">
      <alignment vertical="center"/>
    </xf>
    <xf numFmtId="0" fontId="14" fillId="0" borderId="5" xfId="11" applyFont="1" applyBorder="1" applyAlignment="1">
      <alignment vertical="center" wrapText="1"/>
    </xf>
    <xf numFmtId="0" fontId="27" fillId="0" borderId="20" xfId="11" applyFont="1" applyBorder="1" applyAlignment="1">
      <alignment horizontal="center" vertical="center" wrapText="1"/>
    </xf>
    <xf numFmtId="0" fontId="27" fillId="0" borderId="29" xfId="11" applyFont="1" applyBorder="1" applyAlignment="1">
      <alignment horizontal="center" vertical="center" wrapText="1"/>
    </xf>
    <xf numFmtId="0" fontId="0" fillId="0" borderId="0" xfId="0" applyAlignment="1">
      <alignment horizontal="center" vertical="center"/>
    </xf>
    <xf numFmtId="0" fontId="22" fillId="9" borderId="14" xfId="11" applyFont="1" applyFill="1" applyBorder="1" applyAlignment="1">
      <alignment vertical="center" wrapText="1"/>
    </xf>
    <xf numFmtId="0" fontId="22" fillId="9" borderId="23" xfId="11" applyFont="1" applyFill="1" applyBorder="1" applyAlignment="1">
      <alignment vertical="center" wrapText="1"/>
    </xf>
    <xf numFmtId="0" fontId="48" fillId="0" borderId="0" xfId="11" applyFont="1" applyAlignment="1">
      <alignment vertical="center"/>
    </xf>
    <xf numFmtId="0" fontId="48" fillId="0" borderId="0" xfId="0" applyFont="1"/>
    <xf numFmtId="0" fontId="47" fillId="0" borderId="0" xfId="11" applyFont="1" applyAlignment="1">
      <alignment horizontal="left" vertical="center" wrapText="1"/>
    </xf>
    <xf numFmtId="9" fontId="47" fillId="0" borderId="0" xfId="4" applyFont="1" applyBorder="1" applyAlignment="1" applyProtection="1">
      <alignment vertical="center"/>
    </xf>
    <xf numFmtId="0" fontId="48" fillId="0" borderId="0" xfId="11" applyFont="1" applyAlignment="1">
      <alignment horizontal="center" vertical="center" wrapText="1"/>
    </xf>
    <xf numFmtId="0" fontId="49" fillId="0" borderId="0" xfId="11" applyFont="1" applyAlignment="1">
      <alignment horizontal="center" vertical="center" wrapText="1"/>
    </xf>
    <xf numFmtId="0" fontId="25" fillId="0" borderId="0" xfId="11" applyFont="1" applyAlignment="1">
      <alignment horizontal="center" vertical="center" wrapText="1"/>
    </xf>
    <xf numFmtId="0" fontId="51" fillId="0" borderId="0" xfId="11" applyFont="1" applyAlignment="1">
      <alignment horizontal="center" vertical="center" wrapText="1"/>
    </xf>
    <xf numFmtId="168" fontId="30" fillId="0" borderId="0" xfId="16" applyNumberFormat="1" applyFont="1" applyBorder="1" applyAlignment="1">
      <alignment horizontal="center" vertical="center" wrapText="1"/>
    </xf>
    <xf numFmtId="4" fontId="30" fillId="0" borderId="33" xfId="11" applyNumberFormat="1" applyFont="1" applyBorder="1" applyAlignment="1">
      <alignment vertical="center" wrapText="1"/>
    </xf>
    <xf numFmtId="0" fontId="24" fillId="0" borderId="0" xfId="11" applyFont="1" applyAlignment="1">
      <alignment horizontal="left" vertical="center" wrapText="1"/>
    </xf>
    <xf numFmtId="0" fontId="53" fillId="0" borderId="0" xfId="11" applyFont="1" applyAlignment="1">
      <alignment horizontal="left" vertical="center" wrapText="1"/>
    </xf>
    <xf numFmtId="0" fontId="24" fillId="0" borderId="0" xfId="11" applyFont="1" applyAlignment="1">
      <alignment horizontal="center" vertical="center" wrapText="1"/>
    </xf>
    <xf numFmtId="0" fontId="5" fillId="0" borderId="0" xfId="57"/>
    <xf numFmtId="0" fontId="5" fillId="0" borderId="7" xfId="57" applyBorder="1"/>
    <xf numFmtId="0" fontId="27" fillId="6" borderId="20" xfId="11" applyFont="1" applyFill="1" applyBorder="1" applyAlignment="1">
      <alignment horizontal="center" vertical="center" wrapText="1"/>
    </xf>
    <xf numFmtId="10" fontId="27" fillId="0" borderId="0" xfId="11" applyNumberFormat="1" applyFont="1" applyAlignment="1">
      <alignment horizontal="center" vertical="center" wrapText="1"/>
    </xf>
    <xf numFmtId="0" fontId="26" fillId="0" borderId="0" xfId="11" applyFont="1" applyAlignment="1">
      <alignment horizontal="center" vertical="center" wrapText="1"/>
    </xf>
    <xf numFmtId="6" fontId="27" fillId="7" borderId="21" xfId="11" applyNumberFormat="1" applyFont="1" applyFill="1" applyBorder="1" applyAlignment="1">
      <alignment horizontal="center" vertical="center" wrapText="1"/>
    </xf>
    <xf numFmtId="6" fontId="27" fillId="0" borderId="21" xfId="11" applyNumberFormat="1" applyFont="1" applyBorder="1" applyAlignment="1">
      <alignment horizontal="center" vertical="center" wrapText="1"/>
    </xf>
    <xf numFmtId="6" fontId="27" fillId="0" borderId="25" xfId="11" applyNumberFormat="1" applyFont="1" applyBorder="1" applyAlignment="1">
      <alignment horizontal="center" vertical="center" wrapText="1"/>
    </xf>
    <xf numFmtId="9" fontId="30" fillId="0" borderId="0" xfId="11" applyNumberFormat="1" applyFont="1" applyAlignment="1">
      <alignment horizontal="center" vertical="center" wrapText="1"/>
    </xf>
    <xf numFmtId="168" fontId="42" fillId="0" borderId="0" xfId="16" applyNumberFormat="1" applyFont="1" applyBorder="1" applyAlignment="1">
      <alignment vertical="center"/>
    </xf>
    <xf numFmtId="0" fontId="56" fillId="0" borderId="0" xfId="11" applyFont="1" applyAlignment="1">
      <alignment horizontal="left" vertical="center" wrapText="1"/>
    </xf>
    <xf numFmtId="0" fontId="57" fillId="0" borderId="0" xfId="11" applyFont="1" applyAlignment="1">
      <alignment horizontal="left" vertical="center" wrapText="1"/>
    </xf>
    <xf numFmtId="0" fontId="59" fillId="0" borderId="0" xfId="11" applyFont="1" applyAlignment="1">
      <alignment horizontal="center" vertical="center" wrapText="1"/>
    </xf>
    <xf numFmtId="0" fontId="59" fillId="0" borderId="0" xfId="11" applyFont="1" applyAlignment="1">
      <alignment horizontal="left" vertical="center" wrapText="1"/>
    </xf>
    <xf numFmtId="0" fontId="58" fillId="0" borderId="0" xfId="11" applyFont="1" applyAlignment="1">
      <alignment horizontal="center" vertical="center" wrapText="1"/>
    </xf>
    <xf numFmtId="9" fontId="59" fillId="0" borderId="0" xfId="4" applyFont="1" applyBorder="1" applyAlignment="1" applyProtection="1">
      <alignment vertical="center"/>
    </xf>
    <xf numFmtId="0" fontId="29" fillId="0" borderId="0" xfId="11" applyFont="1" applyAlignment="1">
      <alignment horizontal="center" vertical="center" wrapText="1"/>
    </xf>
    <xf numFmtId="0" fontId="0" fillId="0" borderId="1" xfId="0" applyBorder="1"/>
    <xf numFmtId="0" fontId="0" fillId="0" borderId="0" xfId="0" applyAlignment="1">
      <alignment horizontal="left"/>
    </xf>
    <xf numFmtId="0" fontId="0" fillId="0" borderId="0" xfId="0" applyAlignment="1">
      <alignment horizontal="center"/>
    </xf>
    <xf numFmtId="0" fontId="27" fillId="6" borderId="18" xfId="11" applyFont="1" applyFill="1" applyBorder="1" applyAlignment="1">
      <alignment horizontal="center" vertical="center" wrapText="1"/>
    </xf>
    <xf numFmtId="6" fontId="27" fillId="7" borderId="19" xfId="11" applyNumberFormat="1" applyFont="1" applyFill="1" applyBorder="1" applyAlignment="1">
      <alignment horizontal="center" vertical="center" wrapText="1"/>
    </xf>
    <xf numFmtId="1" fontId="20" fillId="13" borderId="6" xfId="3" applyNumberFormat="1" applyFont="1" applyFill="1" applyBorder="1" applyAlignment="1" applyProtection="1">
      <alignment horizontal="center" vertical="center"/>
    </xf>
    <xf numFmtId="0" fontId="61" fillId="0" borderId="15" xfId="0" applyFont="1" applyBorder="1" applyAlignment="1">
      <alignment horizontal="center" vertical="center" wrapText="1"/>
    </xf>
    <xf numFmtId="0" fontId="55" fillId="0" borderId="1" xfId="0" applyFont="1" applyBorder="1" applyAlignment="1">
      <alignment horizontal="center" vertical="center"/>
    </xf>
    <xf numFmtId="0" fontId="3" fillId="0" borderId="0" xfId="67"/>
    <xf numFmtId="0" fontId="65" fillId="0" borderId="1" xfId="68" applyFont="1" applyBorder="1" applyAlignment="1">
      <alignment vertical="center"/>
    </xf>
    <xf numFmtId="168" fontId="65" fillId="0" borderId="1" xfId="69" applyNumberFormat="1" applyFont="1" applyFill="1" applyBorder="1" applyAlignment="1" applyProtection="1">
      <alignment vertical="center"/>
    </xf>
    <xf numFmtId="0" fontId="35" fillId="0" borderId="4" xfId="70" applyFont="1" applyBorder="1"/>
    <xf numFmtId="0" fontId="35" fillId="0" borderId="11" xfId="70" applyFont="1" applyBorder="1"/>
    <xf numFmtId="0" fontId="0" fillId="0" borderId="11" xfId="70" applyFont="1" applyBorder="1"/>
    <xf numFmtId="0" fontId="0" fillId="0" borderId="17" xfId="70" applyFont="1" applyBorder="1"/>
    <xf numFmtId="0" fontId="65" fillId="15" borderId="1" xfId="68" applyFont="1" applyFill="1" applyBorder="1" applyAlignment="1">
      <alignment vertical="center"/>
    </xf>
    <xf numFmtId="41" fontId="65" fillId="15" borderId="1" xfId="69" applyFont="1" applyFill="1" applyBorder="1" applyAlignment="1" applyProtection="1">
      <alignment vertical="center"/>
    </xf>
    <xf numFmtId="0" fontId="35" fillId="0" borderId="5" xfId="70" applyFont="1" applyBorder="1" applyAlignment="1">
      <alignment vertical="center" wrapText="1"/>
    </xf>
    <xf numFmtId="0" fontId="35" fillId="0" borderId="0" xfId="70" applyFont="1" applyAlignment="1">
      <alignment vertical="center"/>
    </xf>
    <xf numFmtId="2" fontId="3" fillId="0" borderId="0" xfId="70" applyNumberFormat="1"/>
    <xf numFmtId="2" fontId="3" fillId="0" borderId="7" xfId="70" applyNumberFormat="1" applyBorder="1"/>
    <xf numFmtId="0" fontId="65" fillId="0" borderId="0" xfId="68" applyFont="1" applyAlignment="1">
      <alignment vertical="center"/>
    </xf>
    <xf numFmtId="41" fontId="65" fillId="0" borderId="0" xfId="69" applyFont="1" applyFill="1" applyBorder="1" applyAlignment="1" applyProtection="1">
      <alignment vertical="center"/>
    </xf>
    <xf numFmtId="0" fontId="35" fillId="0" borderId="5" xfId="70" applyFont="1" applyBorder="1" applyAlignment="1">
      <alignment vertical="center"/>
    </xf>
    <xf numFmtId="0" fontId="3" fillId="0" borderId="0" xfId="70"/>
    <xf numFmtId="0" fontId="3" fillId="0" borderId="7" xfId="70" applyBorder="1"/>
    <xf numFmtId="0" fontId="3" fillId="0" borderId="5" xfId="67" applyBorder="1" applyAlignment="1">
      <alignment horizontal="center"/>
    </xf>
    <xf numFmtId="2" fontId="3" fillId="0" borderId="7" xfId="70" applyNumberFormat="1" applyBorder="1" applyAlignment="1">
      <alignment horizontal="center"/>
    </xf>
    <xf numFmtId="0" fontId="3" fillId="0" borderId="7" xfId="67" applyBorder="1"/>
    <xf numFmtId="0" fontId="62" fillId="0" borderId="20" xfId="20" applyFont="1" applyBorder="1" applyAlignment="1">
      <alignment vertical="center"/>
    </xf>
    <xf numFmtId="0" fontId="63" fillId="0" borderId="13" xfId="0" applyFont="1" applyBorder="1" applyAlignment="1">
      <alignment vertical="center"/>
    </xf>
    <xf numFmtId="0" fontId="16" fillId="0" borderId="8" xfId="11" applyBorder="1" applyAlignment="1">
      <alignment vertical="center"/>
    </xf>
    <xf numFmtId="0" fontId="26" fillId="5" borderId="39" xfId="11" applyFont="1" applyFill="1" applyBorder="1" applyAlignment="1">
      <alignment horizontal="center" vertical="center" wrapText="1"/>
    </xf>
    <xf numFmtId="0" fontId="33" fillId="0" borderId="5" xfId="57" applyFont="1" applyBorder="1"/>
    <xf numFmtId="170" fontId="36" fillId="0" borderId="0" xfId="58" applyNumberFormat="1" applyFont="1" applyBorder="1"/>
    <xf numFmtId="0" fontId="36" fillId="0" borderId="0" xfId="57" applyFont="1" applyAlignment="1">
      <alignment horizontal="center"/>
    </xf>
    <xf numFmtId="0" fontId="16" fillId="0" borderId="9" xfId="11" applyBorder="1" applyAlignment="1">
      <alignment vertical="center"/>
    </xf>
    <xf numFmtId="0" fontId="62" fillId="0" borderId="18" xfId="20" applyFont="1" applyBorder="1" applyAlignment="1">
      <alignment vertical="center"/>
    </xf>
    <xf numFmtId="0" fontId="23" fillId="0" borderId="37" xfId="11" applyFont="1" applyBorder="1" applyAlignment="1">
      <alignment vertical="center" wrapText="1"/>
    </xf>
    <xf numFmtId="0" fontId="37" fillId="0" borderId="0" xfId="11" applyFont="1" applyAlignment="1">
      <alignment horizontal="left" vertical="center" wrapText="1"/>
    </xf>
    <xf numFmtId="0" fontId="70" fillId="12" borderId="36" xfId="11" applyFont="1" applyFill="1" applyBorder="1" applyAlignment="1">
      <alignment horizontal="left" vertical="center" wrapText="1"/>
    </xf>
    <xf numFmtId="168" fontId="72" fillId="0" borderId="36" xfId="16" applyNumberFormat="1" applyFont="1" applyBorder="1" applyAlignment="1">
      <alignment vertical="center"/>
    </xf>
    <xf numFmtId="9" fontId="70" fillId="0" borderId="36" xfId="11" applyNumberFormat="1" applyFont="1" applyBorder="1" applyAlignment="1">
      <alignment horizontal="center" vertical="center" wrapText="1"/>
    </xf>
    <xf numFmtId="0" fontId="44" fillId="0" borderId="38" xfId="11" applyFont="1" applyBorder="1" applyAlignment="1">
      <alignment horizontal="center" vertical="center"/>
    </xf>
    <xf numFmtId="0" fontId="0" fillId="0" borderId="0" xfId="0" applyAlignment="1">
      <alignment vertical="center"/>
    </xf>
    <xf numFmtId="0" fontId="75" fillId="0" borderId="9" xfId="0" applyFont="1" applyBorder="1" applyAlignment="1">
      <alignment horizontal="center" vertical="center"/>
    </xf>
    <xf numFmtId="0" fontId="5" fillId="0" borderId="0" xfId="57" applyAlignment="1">
      <alignment vertical="center"/>
    </xf>
    <xf numFmtId="0" fontId="5" fillId="0" borderId="0" xfId="57" applyAlignment="1">
      <alignment horizontal="center" vertical="center"/>
    </xf>
    <xf numFmtId="171" fontId="5" fillId="0" borderId="0" xfId="57" applyNumberFormat="1" applyAlignment="1">
      <alignment vertical="center"/>
    </xf>
    <xf numFmtId="0" fontId="77" fillId="21" borderId="1" xfId="68" applyFont="1" applyFill="1" applyBorder="1" applyAlignment="1">
      <alignment vertical="center"/>
    </xf>
    <xf numFmtId="0" fontId="2" fillId="0" borderId="0" xfId="71"/>
    <xf numFmtId="0" fontId="33" fillId="0" borderId="4" xfId="71" applyFont="1" applyBorder="1"/>
    <xf numFmtId="0" fontId="33" fillId="0" borderId="11" xfId="71" applyFont="1" applyBorder="1"/>
    <xf numFmtId="170" fontId="36" fillId="0" borderId="11" xfId="72" applyNumberFormat="1" applyFont="1" applyBorder="1"/>
    <xf numFmtId="0" fontId="2" fillId="0" borderId="0" xfId="71" applyAlignment="1">
      <alignment horizontal="center" vertical="center"/>
    </xf>
    <xf numFmtId="0" fontId="27" fillId="0" borderId="51" xfId="11" applyFont="1" applyBorder="1" applyAlignment="1">
      <alignment horizontal="center" vertical="center" wrapText="1"/>
    </xf>
    <xf numFmtId="6" fontId="27" fillId="0" borderId="52" xfId="11" applyNumberFormat="1" applyFont="1" applyBorder="1" applyAlignment="1">
      <alignment horizontal="center" vertical="center" wrapText="1"/>
    </xf>
    <xf numFmtId="0" fontId="25" fillId="0" borderId="0" xfId="11" applyFont="1" applyAlignment="1">
      <alignment vertical="center" wrapText="1"/>
    </xf>
    <xf numFmtId="4" fontId="22" fillId="0" borderId="14" xfId="13" applyNumberFormat="1" applyFont="1" applyBorder="1" applyAlignment="1" applyProtection="1">
      <alignment horizontal="center" vertical="center" wrapText="1"/>
    </xf>
    <xf numFmtId="0" fontId="0" fillId="0" borderId="0" xfId="11" applyFont="1" applyAlignment="1">
      <alignment vertical="center"/>
    </xf>
    <xf numFmtId="0" fontId="87" fillId="0" borderId="20" xfId="11" applyFont="1" applyBorder="1" applyAlignment="1">
      <alignment horizontal="center" vertical="center" wrapText="1"/>
    </xf>
    <xf numFmtId="42" fontId="87" fillId="0" borderId="1" xfId="12" applyFont="1" applyFill="1" applyBorder="1" applyAlignment="1">
      <alignment horizontal="center" vertical="center" wrapText="1"/>
    </xf>
    <xf numFmtId="1" fontId="88" fillId="0" borderId="1" xfId="3" applyNumberFormat="1" applyFont="1" applyBorder="1" applyAlignment="1" applyProtection="1">
      <alignment horizontal="center" vertical="center" wrapText="1"/>
    </xf>
    <xf numFmtId="4" fontId="87" fillId="0" borderId="1" xfId="13" applyNumberFormat="1" applyFont="1" applyBorder="1" applyAlignment="1" applyProtection="1">
      <alignment vertical="center" wrapText="1"/>
    </xf>
    <xf numFmtId="9" fontId="87" fillId="0" borderId="1" xfId="24" applyFont="1" applyFill="1" applyBorder="1" applyAlignment="1" applyProtection="1">
      <alignment vertical="center" wrapText="1"/>
    </xf>
    <xf numFmtId="14" fontId="89" fillId="0" borderId="1" xfId="0" applyNumberFormat="1" applyFont="1" applyBorder="1" applyAlignment="1">
      <alignment horizontal="center" vertical="center"/>
    </xf>
    <xf numFmtId="14" fontId="89" fillId="0" borderId="0" xfId="0" applyNumberFormat="1" applyFont="1" applyAlignment="1">
      <alignment horizontal="center" vertical="center"/>
    </xf>
    <xf numFmtId="0" fontId="88" fillId="9" borderId="22" xfId="11" applyFont="1" applyFill="1" applyBorder="1" applyAlignment="1">
      <alignment vertical="center" wrapText="1"/>
    </xf>
    <xf numFmtId="0" fontId="88" fillId="9" borderId="14" xfId="11" applyFont="1" applyFill="1" applyBorder="1" applyAlignment="1">
      <alignment vertical="center" wrapText="1"/>
    </xf>
    <xf numFmtId="9" fontId="88" fillId="9" borderId="14" xfId="24" applyFont="1" applyFill="1" applyBorder="1" applyAlignment="1">
      <alignment vertical="center" wrapText="1"/>
    </xf>
    <xf numFmtId="0" fontId="22" fillId="9" borderId="48" xfId="11" applyFont="1" applyFill="1" applyBorder="1" applyAlignment="1">
      <alignment vertical="center" wrapText="1"/>
    </xf>
    <xf numFmtId="4" fontId="90" fillId="0" borderId="38" xfId="13" applyNumberFormat="1" applyFont="1" applyBorder="1" applyAlignment="1" applyProtection="1">
      <alignment horizontal="center" vertical="center" wrapText="1"/>
    </xf>
    <xf numFmtId="0" fontId="90" fillId="9" borderId="38" xfId="11" applyFont="1" applyFill="1" applyBorder="1" applyAlignment="1">
      <alignment vertical="center" wrapText="1"/>
    </xf>
    <xf numFmtId="4" fontId="22" fillId="0" borderId="13" xfId="13" applyNumberFormat="1" applyFont="1" applyBorder="1" applyAlignment="1" applyProtection="1">
      <alignment horizontal="center" vertical="center" wrapText="1"/>
    </xf>
    <xf numFmtId="0" fontId="22" fillId="9" borderId="53" xfId="11" applyFont="1" applyFill="1" applyBorder="1" applyAlignment="1">
      <alignment vertical="center" wrapText="1"/>
    </xf>
    <xf numFmtId="4" fontId="20" fillId="0" borderId="23" xfId="13" applyNumberFormat="1" applyFont="1" applyBorder="1" applyAlignment="1" applyProtection="1">
      <alignment horizontal="center" vertical="center" wrapText="1"/>
    </xf>
    <xf numFmtId="0" fontId="20" fillId="9" borderId="23" xfId="11" applyFont="1" applyFill="1" applyBorder="1" applyAlignment="1">
      <alignment vertical="center" wrapText="1"/>
    </xf>
    <xf numFmtId="4" fontId="90" fillId="0" borderId="23" xfId="13" applyNumberFormat="1" applyFont="1" applyBorder="1" applyAlignment="1" applyProtection="1">
      <alignment horizontal="center" vertical="center" wrapText="1"/>
    </xf>
    <xf numFmtId="0" fontId="90" fillId="9" borderId="23" xfId="11" applyFont="1" applyFill="1" applyBorder="1" applyAlignment="1">
      <alignment vertical="center" wrapText="1"/>
    </xf>
    <xf numFmtId="14" fontId="89" fillId="0" borderId="3" xfId="0" applyNumberFormat="1" applyFont="1" applyBorder="1" applyAlignment="1">
      <alignment horizontal="center" vertical="center"/>
    </xf>
    <xf numFmtId="4" fontId="90" fillId="9" borderId="36" xfId="13" applyNumberFormat="1" applyFont="1" applyFill="1" applyBorder="1" applyAlignment="1" applyProtection="1">
      <alignment horizontal="center" vertical="center" wrapText="1"/>
    </xf>
    <xf numFmtId="2" fontId="19" fillId="9" borderId="28" xfId="74" applyNumberFormat="1" applyFont="1" applyFill="1" applyBorder="1" applyAlignment="1">
      <alignment vertical="center" wrapText="1"/>
    </xf>
    <xf numFmtId="0" fontId="45" fillId="10" borderId="36" xfId="11" applyFont="1" applyFill="1" applyBorder="1" applyAlignment="1">
      <alignment horizontal="center" vertical="center" wrapText="1"/>
    </xf>
    <xf numFmtId="0" fontId="22" fillId="9" borderId="58" xfId="11" applyFont="1" applyFill="1" applyBorder="1" applyAlignment="1">
      <alignment vertical="center" wrapText="1"/>
    </xf>
    <xf numFmtId="0" fontId="86" fillId="17" borderId="30" xfId="11" applyFont="1" applyFill="1" applyBorder="1" applyAlignment="1">
      <alignment horizontal="center" vertical="center" wrapText="1"/>
    </xf>
    <xf numFmtId="0" fontId="86" fillId="17" borderId="6" xfId="11" applyFont="1" applyFill="1" applyBorder="1" applyAlignment="1">
      <alignment horizontal="center" vertical="center" wrapText="1"/>
    </xf>
    <xf numFmtId="0" fontId="86" fillId="17" borderId="35" xfId="11" applyFont="1" applyFill="1" applyBorder="1" applyAlignment="1">
      <alignment horizontal="center" vertical="center" wrapText="1"/>
    </xf>
    <xf numFmtId="0" fontId="86" fillId="18" borderId="20" xfId="11" applyFont="1" applyFill="1" applyBorder="1" applyAlignment="1">
      <alignment horizontal="center" vertical="center" wrapText="1"/>
    </xf>
    <xf numFmtId="0" fontId="86" fillId="18" borderId="1" xfId="11" applyFont="1" applyFill="1" applyBorder="1" applyAlignment="1">
      <alignment horizontal="center" vertical="center" wrapText="1"/>
    </xf>
    <xf numFmtId="0" fontId="86" fillId="18" borderId="16" xfId="11" applyFont="1" applyFill="1" applyBorder="1" applyAlignment="1">
      <alignment horizontal="center" vertical="center" wrapText="1"/>
    </xf>
    <xf numFmtId="0" fontId="94" fillId="18" borderId="1" xfId="11" applyFont="1" applyFill="1" applyBorder="1" applyAlignment="1">
      <alignment horizontal="center" vertical="center" wrapText="1"/>
    </xf>
    <xf numFmtId="0" fontId="94" fillId="18" borderId="3" xfId="11" applyFont="1" applyFill="1" applyBorder="1" applyAlignment="1">
      <alignment horizontal="center" vertical="center" wrapText="1"/>
    </xf>
    <xf numFmtId="0" fontId="94" fillId="18" borderId="16" xfId="11" applyFont="1" applyFill="1" applyBorder="1" applyAlignment="1">
      <alignment horizontal="center" vertical="center" wrapText="1"/>
    </xf>
    <xf numFmtId="0" fontId="93" fillId="0" borderId="18" xfId="11" applyFont="1" applyBorder="1" applyAlignment="1">
      <alignment horizontal="justify" vertical="center"/>
    </xf>
    <xf numFmtId="0" fontId="55" fillId="0" borderId="6" xfId="11" applyFont="1" applyBorder="1" applyAlignment="1">
      <alignment horizontal="center" vertical="center" wrapText="1"/>
    </xf>
    <xf numFmtId="168" fontId="55" fillId="0" borderId="19" xfId="16" applyNumberFormat="1" applyFont="1" applyBorder="1" applyAlignment="1">
      <alignment horizontal="center" vertical="center"/>
    </xf>
    <xf numFmtId="0" fontId="102" fillId="19" borderId="1" xfId="0" applyFont="1" applyFill="1" applyBorder="1" applyAlignment="1">
      <alignment horizontal="center" vertical="center"/>
    </xf>
    <xf numFmtId="0" fontId="102" fillId="19" borderId="13" xfId="0" applyFont="1" applyFill="1" applyBorder="1" applyAlignment="1">
      <alignment horizontal="center" vertical="center"/>
    </xf>
    <xf numFmtId="0" fontId="103" fillId="19" borderId="1" xfId="0" applyFont="1" applyFill="1" applyBorder="1" applyAlignment="1">
      <alignment horizontal="center" vertical="center"/>
    </xf>
    <xf numFmtId="0" fontId="69" fillId="8" borderId="59" xfId="0" applyFont="1" applyFill="1" applyBorder="1" applyAlignment="1">
      <alignment horizontal="center"/>
    </xf>
    <xf numFmtId="0" fontId="69" fillId="8" borderId="60" xfId="0" applyFont="1" applyFill="1" applyBorder="1" applyAlignment="1">
      <alignment horizontal="center"/>
    </xf>
    <xf numFmtId="0" fontId="69" fillId="8" borderId="60" xfId="0" applyFont="1" applyFill="1" applyBorder="1" applyAlignment="1">
      <alignment horizontal="center" vertical="center"/>
    </xf>
    <xf numFmtId="0" fontId="69" fillId="8" borderId="61" xfId="0" applyFont="1" applyFill="1" applyBorder="1" applyAlignment="1">
      <alignment horizontal="center"/>
    </xf>
    <xf numFmtId="0" fontId="69" fillId="8" borderId="62" xfId="0" applyFont="1" applyFill="1" applyBorder="1" applyAlignment="1">
      <alignment horizontal="center"/>
    </xf>
    <xf numFmtId="0" fontId="69" fillId="8" borderId="63" xfId="0" applyFont="1" applyFill="1" applyBorder="1" applyAlignment="1">
      <alignment horizontal="center"/>
    </xf>
    <xf numFmtId="0" fontId="69" fillId="8" borderId="64" xfId="0" applyFont="1" applyFill="1" applyBorder="1" applyAlignment="1">
      <alignment horizontal="center"/>
    </xf>
    <xf numFmtId="0" fontId="18" fillId="8" borderId="1" xfId="0" applyFont="1" applyFill="1" applyBorder="1" applyAlignment="1">
      <alignment horizontal="center" vertical="center" wrapText="1"/>
    </xf>
    <xf numFmtId="0" fontId="62" fillId="0" borderId="1" xfId="20" applyFont="1" applyBorder="1" applyAlignment="1">
      <alignment vertical="center"/>
    </xf>
    <xf numFmtId="0" fontId="63" fillId="0" borderId="1" xfId="0" applyFont="1" applyBorder="1" applyAlignment="1">
      <alignment vertical="center"/>
    </xf>
    <xf numFmtId="0" fontId="78" fillId="0" borderId="1" xfId="0" applyFont="1" applyBorder="1" applyAlignment="1">
      <alignment horizontal="center" vertical="center" wrapText="1"/>
    </xf>
    <xf numFmtId="0" fontId="78" fillId="0" borderId="1" xfId="0" applyFont="1" applyBorder="1" applyAlignment="1">
      <alignment horizontal="justify" vertical="center" wrapText="1"/>
    </xf>
    <xf numFmtId="0" fontId="16" fillId="0" borderId="1" xfId="11" applyBorder="1" applyAlignment="1">
      <alignment horizontal="left" vertical="center" wrapText="1"/>
    </xf>
    <xf numFmtId="0" fontId="62" fillId="0" borderId="9" xfId="20" applyFont="1" applyBorder="1" applyAlignment="1">
      <alignment vertical="center"/>
    </xf>
    <xf numFmtId="0" fontId="63" fillId="0" borderId="9" xfId="0" applyFont="1" applyBorder="1" applyAlignment="1">
      <alignment vertical="center"/>
    </xf>
    <xf numFmtId="0" fontId="43" fillId="0" borderId="9" xfId="11" applyFont="1" applyBorder="1" applyAlignment="1">
      <alignment horizontal="center" vertical="center"/>
    </xf>
    <xf numFmtId="0" fontId="80" fillId="3" borderId="36" xfId="11" applyFont="1" applyFill="1" applyBorder="1" applyAlignment="1">
      <alignment horizontal="center" vertical="center" wrapText="1"/>
    </xf>
    <xf numFmtId="0" fontId="35" fillId="0" borderId="1" xfId="60" applyFont="1" applyBorder="1" applyAlignment="1">
      <alignment horizontal="left" vertical="center" wrapText="1"/>
    </xf>
    <xf numFmtId="172" fontId="101" fillId="0" borderId="1" xfId="57" applyNumberFormat="1" applyFont="1" applyBorder="1" applyAlignment="1">
      <alignment horizontal="center" vertical="center"/>
    </xf>
    <xf numFmtId="0" fontId="35" fillId="0" borderId="20" xfId="57" applyFont="1" applyBorder="1" applyAlignment="1">
      <alignment horizontal="center" vertical="center"/>
    </xf>
    <xf numFmtId="0" fontId="35" fillId="0" borderId="29" xfId="57" applyFont="1" applyBorder="1" applyAlignment="1">
      <alignment horizontal="center" vertical="center"/>
    </xf>
    <xf numFmtId="0" fontId="35" fillId="0" borderId="24" xfId="60" applyFont="1" applyBorder="1" applyAlignment="1">
      <alignment horizontal="left" vertical="center" wrapText="1"/>
    </xf>
    <xf numFmtId="172" fontId="101" fillId="0" borderId="24" xfId="57" applyNumberFormat="1" applyFont="1" applyBorder="1" applyAlignment="1">
      <alignment horizontal="center" vertical="center"/>
    </xf>
    <xf numFmtId="0" fontId="102" fillId="19" borderId="24" xfId="0" applyFont="1" applyFill="1" applyBorder="1" applyAlignment="1">
      <alignment horizontal="center" vertical="center"/>
    </xf>
    <xf numFmtId="0" fontId="102" fillId="19" borderId="34" xfId="0" applyFont="1" applyFill="1" applyBorder="1" applyAlignment="1">
      <alignment horizontal="center" vertical="center"/>
    </xf>
    <xf numFmtId="172" fontId="69" fillId="0" borderId="22" xfId="0" applyNumberFormat="1" applyFont="1" applyBorder="1" applyAlignment="1">
      <alignment horizontal="center" vertical="center"/>
    </xf>
    <xf numFmtId="172" fontId="69" fillId="0" borderId="32" xfId="0" applyNumberFormat="1" applyFont="1" applyBorder="1" applyAlignment="1">
      <alignment horizontal="center" vertical="center"/>
    </xf>
    <xf numFmtId="0" fontId="48" fillId="0" borderId="38" xfId="0" applyFont="1" applyBorder="1" applyAlignment="1">
      <alignment horizontal="center" vertical="center" wrapText="1"/>
    </xf>
    <xf numFmtId="0" fontId="0" fillId="0" borderId="38" xfId="0" applyBorder="1" applyAlignment="1">
      <alignment vertical="center" wrapText="1"/>
    </xf>
    <xf numFmtId="0" fontId="0" fillId="0" borderId="49" xfId="0" applyBorder="1" applyAlignment="1">
      <alignment vertical="center" wrapText="1"/>
    </xf>
    <xf numFmtId="0" fontId="80" fillId="3" borderId="28" xfId="11" applyFont="1" applyFill="1" applyBorder="1" applyAlignment="1">
      <alignment horizontal="center" vertical="center" wrapText="1"/>
    </xf>
    <xf numFmtId="0" fontId="80" fillId="3" borderId="26" xfId="11" applyFont="1" applyFill="1" applyBorder="1" applyAlignment="1">
      <alignment horizontal="center" vertical="center" wrapText="1"/>
    </xf>
    <xf numFmtId="0" fontId="22" fillId="9" borderId="4" xfId="11" applyFont="1" applyFill="1" applyBorder="1" applyAlignment="1">
      <alignment vertical="center" wrapText="1"/>
    </xf>
    <xf numFmtId="4" fontId="30" fillId="0" borderId="36" xfId="11" applyNumberFormat="1" applyFont="1" applyBorder="1" applyAlignment="1">
      <alignment vertical="center" wrapText="1"/>
    </xf>
    <xf numFmtId="0" fontId="63" fillId="16" borderId="13" xfId="0" applyFont="1" applyFill="1" applyBorder="1" applyAlignment="1">
      <alignment vertical="center"/>
    </xf>
    <xf numFmtId="4" fontId="91" fillId="0" borderId="48" xfId="13" applyNumberFormat="1" applyFont="1" applyBorder="1" applyAlignment="1" applyProtection="1">
      <alignment horizontal="center" vertical="center" wrapText="1"/>
    </xf>
    <xf numFmtId="0" fontId="30" fillId="0" borderId="32" xfId="11" applyFont="1" applyBorder="1" applyAlignment="1">
      <alignment horizontal="center" vertical="center" wrapText="1"/>
    </xf>
    <xf numFmtId="2" fontId="22" fillId="9" borderId="26" xfId="11" applyNumberFormat="1" applyFont="1" applyFill="1" applyBorder="1" applyAlignment="1">
      <alignment horizontal="center" vertical="center" wrapText="1"/>
    </xf>
    <xf numFmtId="2" fontId="22" fillId="9" borderId="27" xfId="11" applyNumberFormat="1" applyFont="1" applyFill="1" applyBorder="1" applyAlignment="1">
      <alignment horizontal="center" vertical="center" wrapText="1"/>
    </xf>
    <xf numFmtId="2" fontId="22" fillId="9" borderId="28" xfId="11" applyNumberFormat="1" applyFont="1" applyFill="1" applyBorder="1" applyAlignment="1">
      <alignment horizontal="center" vertical="center" wrapText="1"/>
    </xf>
    <xf numFmtId="0" fontId="87" fillId="0" borderId="20" xfId="0" applyFont="1" applyBorder="1" applyAlignment="1">
      <alignment wrapText="1"/>
    </xf>
    <xf numFmtId="0" fontId="30" fillId="0" borderId="33" xfId="11" applyFont="1" applyBorder="1" applyAlignment="1">
      <alignment horizontal="center" vertical="center" wrapText="1"/>
    </xf>
    <xf numFmtId="0" fontId="30" fillId="0" borderId="54" xfId="11" applyFont="1" applyBorder="1" applyAlignment="1">
      <alignment horizontal="center" vertical="center" wrapText="1"/>
    </xf>
    <xf numFmtId="0" fontId="78" fillId="22" borderId="9" xfId="0" applyFont="1" applyFill="1" applyBorder="1" applyAlignment="1">
      <alignment horizontal="center" vertical="center"/>
    </xf>
    <xf numFmtId="14" fontId="89" fillId="0" borderId="0" xfId="0" applyNumberFormat="1" applyFont="1" applyAlignment="1">
      <alignment horizontal="center" vertical="center" wrapText="1"/>
    </xf>
    <xf numFmtId="0" fontId="29" fillId="0" borderId="0" xfId="11" applyFont="1" applyAlignment="1">
      <alignment vertical="center" wrapText="1"/>
    </xf>
    <xf numFmtId="0" fontId="105" fillId="0" borderId="20" xfId="0" applyFont="1" applyBorder="1" applyAlignment="1">
      <alignment horizontal="center" vertical="center" wrapText="1"/>
    </xf>
    <xf numFmtId="173" fontId="105" fillId="0" borderId="1" xfId="0" applyNumberFormat="1" applyFont="1" applyBorder="1" applyAlignment="1">
      <alignment vertical="center" wrapText="1"/>
    </xf>
    <xf numFmtId="0" fontId="87" fillId="0" borderId="1" xfId="0" applyFont="1" applyBorder="1" applyAlignment="1">
      <alignment wrapText="1"/>
    </xf>
    <xf numFmtId="14" fontId="89" fillId="0" borderId="1" xfId="0" applyNumberFormat="1" applyFont="1" applyBorder="1"/>
    <xf numFmtId="0" fontId="87" fillId="0" borderId="9" xfId="0" applyFont="1" applyBorder="1" applyAlignment="1">
      <alignment wrapText="1"/>
    </xf>
    <xf numFmtId="0" fontId="88" fillId="0" borderId="1" xfId="0" applyFont="1" applyBorder="1" applyAlignment="1">
      <alignment wrapText="1"/>
    </xf>
    <xf numFmtId="0" fontId="88" fillId="0" borderId="9" xfId="0" applyFont="1" applyBorder="1" applyAlignment="1">
      <alignment wrapText="1"/>
    </xf>
    <xf numFmtId="14" fontId="89" fillId="0" borderId="0" xfId="0" applyNumberFormat="1" applyFont="1"/>
    <xf numFmtId="14" fontId="89" fillId="0" borderId="9" xfId="0" applyNumberFormat="1" applyFont="1" applyBorder="1"/>
    <xf numFmtId="0" fontId="0" fillId="0" borderId="38" xfId="0" applyBorder="1" applyAlignment="1">
      <alignment wrapText="1"/>
    </xf>
    <xf numFmtId="0" fontId="0" fillId="0" borderId="68" xfId="0" applyBorder="1" applyAlignment="1">
      <alignment wrapText="1"/>
    </xf>
    <xf numFmtId="14" fontId="89" fillId="0" borderId="69" xfId="0" applyNumberFormat="1" applyFont="1" applyBorder="1" applyAlignment="1">
      <alignment horizontal="center" vertical="center"/>
    </xf>
    <xf numFmtId="4" fontId="87" fillId="0" borderId="13" xfId="13" applyNumberFormat="1" applyFont="1" applyBorder="1" applyAlignment="1" applyProtection="1">
      <alignment vertical="center" wrapText="1"/>
    </xf>
    <xf numFmtId="0" fontId="88" fillId="9" borderId="70" xfId="11" applyFont="1" applyFill="1" applyBorder="1" applyAlignment="1">
      <alignment vertical="center" wrapText="1"/>
    </xf>
    <xf numFmtId="0" fontId="87" fillId="0" borderId="20" xfId="0" applyFont="1" applyBorder="1" applyAlignment="1">
      <alignment horizontal="center" wrapText="1"/>
    </xf>
    <xf numFmtId="0" fontId="88" fillId="0" borderId="1" xfId="0" applyFont="1" applyBorder="1" applyAlignment="1">
      <alignment horizontal="center" vertical="center" wrapText="1"/>
    </xf>
    <xf numFmtId="0" fontId="88" fillId="0" borderId="9" xfId="0" applyFont="1" applyBorder="1" applyAlignment="1">
      <alignment horizontal="center" vertical="center" wrapText="1"/>
    </xf>
    <xf numFmtId="14" fontId="104" fillId="0" borderId="1" xfId="0" applyNumberFormat="1" applyFont="1" applyBorder="1" applyAlignment="1">
      <alignment horizontal="center" vertical="center" wrapText="1"/>
    </xf>
    <xf numFmtId="0" fontId="87" fillId="0" borderId="20" xfId="0" applyFont="1" applyBorder="1" applyAlignment="1">
      <alignment horizontal="center" vertical="center" wrapText="1"/>
    </xf>
    <xf numFmtId="0" fontId="88" fillId="0" borderId="15" xfId="0" applyFont="1" applyBorder="1" applyAlignment="1">
      <alignment wrapText="1"/>
    </xf>
    <xf numFmtId="0" fontId="87" fillId="0" borderId="15" xfId="0" applyFont="1" applyBorder="1" applyAlignment="1">
      <alignment wrapText="1"/>
    </xf>
    <xf numFmtId="9" fontId="87" fillId="0" borderId="15" xfId="0" applyNumberFormat="1" applyFont="1" applyBorder="1" applyAlignment="1">
      <alignment wrapText="1"/>
    </xf>
    <xf numFmtId="14" fontId="89" fillId="0" borderId="15" xfId="0" applyNumberFormat="1" applyFont="1" applyBorder="1"/>
    <xf numFmtId="0" fontId="88" fillId="0" borderId="65" xfId="0" applyFont="1" applyBorder="1" applyAlignment="1">
      <alignment wrapText="1"/>
    </xf>
    <xf numFmtId="0" fontId="87" fillId="0" borderId="65" xfId="0" applyFont="1" applyBorder="1" applyAlignment="1">
      <alignment wrapText="1"/>
    </xf>
    <xf numFmtId="9" fontId="87" fillId="0" borderId="65" xfId="0" applyNumberFormat="1" applyFont="1" applyBorder="1" applyAlignment="1">
      <alignment wrapText="1"/>
    </xf>
    <xf numFmtId="9" fontId="87" fillId="0" borderId="1" xfId="0" applyNumberFormat="1" applyFont="1" applyBorder="1" applyAlignment="1">
      <alignment horizontal="center" vertical="center" wrapText="1"/>
    </xf>
    <xf numFmtId="9" fontId="87" fillId="0" borderId="9" xfId="0" applyNumberFormat="1" applyFont="1" applyBorder="1" applyAlignment="1">
      <alignment horizontal="center" vertical="center" wrapText="1"/>
    </xf>
    <xf numFmtId="0" fontId="76" fillId="0" borderId="9" xfId="11" applyFont="1" applyBorder="1" applyAlignment="1">
      <alignment horizontal="center" vertical="center"/>
    </xf>
    <xf numFmtId="0" fontId="110" fillId="19" borderId="1" xfId="0" applyFont="1" applyFill="1" applyBorder="1" applyAlignment="1">
      <alignment horizontal="center" vertical="center"/>
    </xf>
    <xf numFmtId="0" fontId="20" fillId="0" borderId="15" xfId="0" applyFont="1" applyBorder="1" applyAlignment="1">
      <alignment horizontal="center" vertical="center" wrapText="1"/>
    </xf>
    <xf numFmtId="0" fontId="55" fillId="21" borderId="1" xfId="0" applyFont="1" applyFill="1" applyBorder="1" applyAlignment="1">
      <alignment horizontal="center" vertical="center"/>
    </xf>
    <xf numFmtId="0" fontId="75" fillId="21" borderId="9" xfId="0" applyFont="1" applyFill="1" applyBorder="1" applyAlignment="1">
      <alignment horizontal="center" vertical="center"/>
    </xf>
    <xf numFmtId="0" fontId="61" fillId="21" borderId="15" xfId="0" applyFont="1" applyFill="1" applyBorder="1" applyAlignment="1">
      <alignment horizontal="center" vertical="center" wrapText="1"/>
    </xf>
    <xf numFmtId="0" fontId="103" fillId="24" borderId="1" xfId="0" applyFont="1" applyFill="1" applyBorder="1" applyAlignment="1">
      <alignment horizontal="center" vertical="center"/>
    </xf>
    <xf numFmtId="0" fontId="103" fillId="24" borderId="15" xfId="0" applyFont="1" applyFill="1" applyBorder="1" applyAlignment="1">
      <alignment horizontal="center" vertical="center"/>
    </xf>
    <xf numFmtId="0" fontId="103" fillId="24" borderId="9" xfId="0" applyFont="1" applyFill="1" applyBorder="1" applyAlignment="1">
      <alignment horizontal="center" vertical="center"/>
    </xf>
    <xf numFmtId="0" fontId="103" fillId="24" borderId="65" xfId="0" applyFont="1" applyFill="1" applyBorder="1" applyAlignment="1">
      <alignment horizontal="center" vertical="center"/>
    </xf>
    <xf numFmtId="0" fontId="88" fillId="9" borderId="45" xfId="11" applyFont="1" applyFill="1" applyBorder="1" applyAlignment="1">
      <alignment vertical="center" wrapText="1"/>
    </xf>
    <xf numFmtId="0" fontId="88" fillId="9" borderId="67" xfId="11" applyFont="1" applyFill="1" applyBorder="1" applyAlignment="1">
      <alignment vertical="center" wrapText="1"/>
    </xf>
    <xf numFmtId="14" fontId="89" fillId="0" borderId="9" xfId="0" applyNumberFormat="1" applyFont="1" applyBorder="1" applyAlignment="1">
      <alignment horizontal="center" vertical="center"/>
    </xf>
    <xf numFmtId="4" fontId="91" fillId="0" borderId="39" xfId="13" applyNumberFormat="1" applyFont="1" applyBorder="1" applyAlignment="1" applyProtection="1">
      <alignment horizontal="center" vertical="center" wrapText="1"/>
    </xf>
    <xf numFmtId="0" fontId="0" fillId="0" borderId="1" xfId="0" applyBorder="1" applyAlignment="1">
      <alignment horizontal="center" vertical="center"/>
    </xf>
    <xf numFmtId="0" fontId="39" fillId="0" borderId="1" xfId="0" applyFont="1" applyBorder="1" applyAlignment="1">
      <alignment horizontal="center" vertical="center"/>
    </xf>
    <xf numFmtId="173" fontId="87" fillId="0" borderId="1" xfId="0" applyNumberFormat="1" applyFont="1" applyBorder="1" applyAlignment="1">
      <alignment wrapText="1"/>
    </xf>
    <xf numFmtId="173" fontId="87" fillId="0" borderId="9" xfId="0" applyNumberFormat="1" applyFont="1" applyBorder="1" applyAlignment="1">
      <alignment wrapText="1"/>
    </xf>
    <xf numFmtId="4" fontId="30" fillId="0" borderId="33" xfId="11" applyNumberFormat="1" applyFont="1" applyBorder="1" applyAlignment="1">
      <alignment horizontal="center" vertical="center" wrapText="1"/>
    </xf>
    <xf numFmtId="9" fontId="87" fillId="0" borderId="1" xfId="24" applyFont="1" applyFill="1" applyBorder="1" applyAlignment="1" applyProtection="1">
      <alignment horizontal="center" vertical="center" wrapText="1"/>
    </xf>
    <xf numFmtId="0" fontId="87" fillId="0" borderId="66" xfId="0" applyFont="1" applyBorder="1" applyAlignment="1">
      <alignment horizontal="center" vertical="center" wrapText="1"/>
    </xf>
    <xf numFmtId="0" fontId="88" fillId="9" borderId="14" xfId="11" applyFont="1" applyFill="1" applyBorder="1" applyAlignment="1">
      <alignment horizontal="center" vertical="center" wrapText="1"/>
    </xf>
    <xf numFmtId="0" fontId="111" fillId="0" borderId="20" xfId="11" applyFont="1" applyBorder="1" applyAlignment="1">
      <alignment horizontal="center" vertical="center" wrapText="1"/>
    </xf>
    <xf numFmtId="42" fontId="111" fillId="0" borderId="1" xfId="12" applyFont="1" applyBorder="1" applyAlignment="1">
      <alignment horizontal="center" vertical="center" wrapText="1"/>
    </xf>
    <xf numFmtId="1" fontId="112" fillId="0" borderId="1" xfId="3" applyNumberFormat="1" applyFont="1" applyBorder="1" applyAlignment="1">
      <alignment horizontal="center" vertical="center" wrapText="1"/>
    </xf>
    <xf numFmtId="4" fontId="111" fillId="0" borderId="1" xfId="13" applyNumberFormat="1" applyFont="1" applyBorder="1" applyAlignment="1">
      <alignment vertical="center" wrapText="1"/>
    </xf>
    <xf numFmtId="9" fontId="111" fillId="0" borderId="1" xfId="24" applyFont="1" applyBorder="1" applyAlignment="1">
      <alignment vertical="center" wrapText="1"/>
    </xf>
    <xf numFmtId="4" fontId="114" fillId="0" borderId="13" xfId="13" applyNumberFormat="1" applyFont="1" applyBorder="1" applyAlignment="1">
      <alignment horizontal="center" vertical="center" wrapText="1"/>
    </xf>
    <xf numFmtId="4" fontId="112" fillId="0" borderId="23" xfId="13" applyNumberFormat="1" applyFont="1" applyBorder="1" applyAlignment="1">
      <alignment horizontal="center" vertical="center" wrapText="1"/>
    </xf>
    <xf numFmtId="4" fontId="115" fillId="0" borderId="38" xfId="13" applyNumberFormat="1" applyFont="1" applyBorder="1" applyAlignment="1">
      <alignment horizontal="center" vertical="center" wrapText="1"/>
    </xf>
    <xf numFmtId="4" fontId="115" fillId="0" borderId="23" xfId="13" applyNumberFormat="1" applyFont="1" applyBorder="1" applyAlignment="1">
      <alignment horizontal="center" vertical="center" wrapText="1"/>
    </xf>
    <xf numFmtId="14" fontId="113" fillId="0" borderId="1" xfId="0" applyNumberFormat="1" applyFont="1" applyBorder="1" applyAlignment="1">
      <alignment horizontal="center" vertical="center"/>
    </xf>
    <xf numFmtId="0" fontId="116" fillId="0" borderId="37" xfId="11" applyFont="1" applyBorder="1" applyAlignment="1">
      <alignment horizontal="center" vertical="center" wrapText="1"/>
    </xf>
    <xf numFmtId="0" fontId="117" fillId="0" borderId="0" xfId="0" applyFont="1"/>
    <xf numFmtId="0" fontId="106" fillId="23" borderId="9" xfId="0" applyFont="1" applyFill="1" applyBorder="1" applyAlignment="1">
      <alignment horizontal="center" vertical="center"/>
    </xf>
    <xf numFmtId="0" fontId="87" fillId="0" borderId="22" xfId="0" applyFont="1" applyBorder="1" applyAlignment="1">
      <alignment horizontal="center" vertical="center" wrapText="1"/>
    </xf>
    <xf numFmtId="0" fontId="87" fillId="0" borderId="67" xfId="0" applyFont="1" applyBorder="1" applyAlignment="1">
      <alignment horizontal="center" vertical="center" wrapText="1"/>
    </xf>
    <xf numFmtId="0" fontId="29" fillId="0" borderId="15" xfId="0" applyFont="1" applyBorder="1" applyAlignment="1">
      <alignment horizontal="center" vertical="center" wrapText="1"/>
    </xf>
    <xf numFmtId="0" fontId="29" fillId="21" borderId="15" xfId="0" applyFont="1" applyFill="1" applyBorder="1" applyAlignment="1">
      <alignment horizontal="center" vertical="center" wrapText="1"/>
    </xf>
    <xf numFmtId="0" fontId="23" fillId="0" borderId="37" xfId="11" applyFont="1" applyBorder="1" applyAlignment="1">
      <alignment horizontal="center" vertical="center" wrapText="1"/>
    </xf>
    <xf numFmtId="0" fontId="39" fillId="0" borderId="1" xfId="11" applyFont="1" applyBorder="1" applyAlignment="1">
      <alignment horizontal="center" vertical="center" wrapText="1"/>
    </xf>
    <xf numFmtId="0" fontId="107" fillId="0" borderId="1" xfId="0" applyFont="1" applyBorder="1" applyAlignment="1">
      <alignment horizontal="center" vertical="center" wrapText="1"/>
    </xf>
    <xf numFmtId="0" fontId="87" fillId="0" borderId="69" xfId="11" applyFont="1" applyBorder="1" applyAlignment="1">
      <alignment horizontal="center" vertical="center" wrapText="1"/>
    </xf>
    <xf numFmtId="42" fontId="87" fillId="0" borderId="69" xfId="12" applyFont="1" applyFill="1" applyBorder="1" applyAlignment="1">
      <alignment horizontal="center" vertical="center" wrapText="1"/>
    </xf>
    <xf numFmtId="1" fontId="88" fillId="0" borderId="69" xfId="3" applyNumberFormat="1" applyFont="1" applyBorder="1" applyAlignment="1" applyProtection="1">
      <alignment horizontal="center" vertical="center" wrapText="1"/>
    </xf>
    <xf numFmtId="4" fontId="87" fillId="0" borderId="69" xfId="13" applyNumberFormat="1" applyFont="1" applyBorder="1" applyAlignment="1" applyProtection="1">
      <alignment vertical="center" wrapText="1"/>
    </xf>
    <xf numFmtId="9" fontId="87" fillId="0" borderId="69" xfId="0" applyNumberFormat="1" applyFont="1" applyBorder="1" applyAlignment="1">
      <alignment horizontal="center" vertical="center" wrapText="1"/>
    </xf>
    <xf numFmtId="0" fontId="22" fillId="9" borderId="72" xfId="11" applyFont="1" applyFill="1" applyBorder="1" applyAlignment="1">
      <alignment vertical="center" wrapText="1"/>
    </xf>
    <xf numFmtId="0" fontId="87" fillId="0" borderId="66" xfId="11" applyFont="1" applyBorder="1" applyAlignment="1">
      <alignment horizontal="center" vertical="center" wrapText="1"/>
    </xf>
    <xf numFmtId="42" fontId="87" fillId="0" borderId="9" xfId="12" applyFont="1" applyFill="1" applyBorder="1" applyAlignment="1">
      <alignment horizontal="center" vertical="center" wrapText="1"/>
    </xf>
    <xf numFmtId="1" fontId="88" fillId="0" borderId="9" xfId="3" applyNumberFormat="1" applyFont="1" applyBorder="1" applyAlignment="1" applyProtection="1">
      <alignment horizontal="center" vertical="center" wrapText="1"/>
    </xf>
    <xf numFmtId="4" fontId="87" fillId="0" borderId="9" xfId="13" applyNumberFormat="1" applyFont="1" applyBorder="1" applyAlignment="1" applyProtection="1">
      <alignment vertical="center" wrapText="1"/>
    </xf>
    <xf numFmtId="4" fontId="22" fillId="0" borderId="70" xfId="13" applyNumberFormat="1" applyFont="1" applyBorder="1" applyAlignment="1" applyProtection="1">
      <alignment horizontal="center" vertical="center" wrapText="1"/>
    </xf>
    <xf numFmtId="0" fontId="121" fillId="21" borderId="35" xfId="0" applyFont="1" applyFill="1" applyBorder="1" applyAlignment="1">
      <alignment vertical="center"/>
    </xf>
    <xf numFmtId="0" fontId="120" fillId="21" borderId="48" xfId="11" applyFont="1" applyFill="1" applyBorder="1" applyAlignment="1">
      <alignment horizontal="center" vertical="center"/>
    </xf>
    <xf numFmtId="0" fontId="34" fillId="0" borderId="75" xfId="67" applyFont="1" applyBorder="1" applyAlignment="1">
      <alignment horizontal="center" vertical="center" wrapText="1"/>
    </xf>
    <xf numFmtId="0" fontId="34" fillId="0" borderId="50" xfId="67" applyFont="1" applyBorder="1" applyAlignment="1">
      <alignment horizontal="center" vertical="center" wrapText="1"/>
    </xf>
    <xf numFmtId="0" fontId="34" fillId="0" borderId="84" xfId="67" applyFont="1" applyBorder="1" applyAlignment="1">
      <alignment horizontal="center" vertical="center" wrapText="1"/>
    </xf>
    <xf numFmtId="0" fontId="79" fillId="0" borderId="85" xfId="67" applyFont="1" applyBorder="1" applyAlignment="1">
      <alignment horizontal="center" vertical="center"/>
    </xf>
    <xf numFmtId="0" fontId="118" fillId="0" borderId="85" xfId="67" applyFont="1" applyBorder="1" applyAlignment="1">
      <alignment horizontal="center" vertical="center"/>
    </xf>
    <xf numFmtId="0" fontId="79" fillId="0" borderId="86" xfId="67" applyFont="1" applyBorder="1" applyAlignment="1">
      <alignment horizontal="center" vertical="center"/>
    </xf>
    <xf numFmtId="0" fontId="34" fillId="0" borderId="83" xfId="67" applyFont="1" applyBorder="1" applyAlignment="1">
      <alignment horizontal="center" vertical="center" wrapText="1"/>
    </xf>
    <xf numFmtId="2" fontId="3" fillId="0" borderId="81" xfId="67" applyNumberFormat="1" applyBorder="1"/>
    <xf numFmtId="0" fontId="118" fillId="0" borderId="80" xfId="67" applyFont="1" applyBorder="1" applyAlignment="1">
      <alignment horizontal="left" vertical="center"/>
    </xf>
    <xf numFmtId="0" fontId="118" fillId="0" borderId="80" xfId="67" applyFont="1" applyBorder="1" applyAlignment="1">
      <alignment horizontal="left" vertical="center" wrapText="1"/>
    </xf>
    <xf numFmtId="0" fontId="118" fillId="0" borderId="88" xfId="67" applyFont="1" applyBorder="1" applyAlignment="1">
      <alignment horizontal="left" vertical="center"/>
    </xf>
    <xf numFmtId="0" fontId="118" fillId="0" borderId="86" xfId="67" applyFont="1" applyBorder="1" applyAlignment="1">
      <alignment horizontal="center" vertical="center"/>
    </xf>
    <xf numFmtId="0" fontId="1" fillId="0" borderId="89" xfId="67" applyFont="1" applyBorder="1"/>
    <xf numFmtId="2" fontId="1" fillId="0" borderId="89" xfId="67" applyNumberFormat="1" applyFont="1" applyBorder="1"/>
    <xf numFmtId="0" fontId="1" fillId="0" borderId="90" xfId="67" applyFont="1" applyBorder="1"/>
    <xf numFmtId="2" fontId="3" fillId="0" borderId="82" xfId="67" applyNumberFormat="1" applyBorder="1"/>
    <xf numFmtId="0" fontId="110" fillId="24" borderId="1" xfId="0" applyFont="1" applyFill="1" applyBorder="1" applyAlignment="1">
      <alignment horizontal="center" vertical="center"/>
    </xf>
    <xf numFmtId="0" fontId="110" fillId="24" borderId="15" xfId="0" applyFont="1" applyFill="1" applyBorder="1" applyAlignment="1">
      <alignment horizontal="center" vertical="center"/>
    </xf>
    <xf numFmtId="0" fontId="110" fillId="24" borderId="9" xfId="0" applyFont="1" applyFill="1" applyBorder="1" applyAlignment="1">
      <alignment horizontal="center" vertical="center"/>
    </xf>
    <xf numFmtId="0" fontId="110" fillId="24" borderId="65" xfId="0" applyFont="1" applyFill="1" applyBorder="1" applyAlignment="1">
      <alignment horizontal="center" vertical="center"/>
    </xf>
    <xf numFmtId="0" fontId="110" fillId="24" borderId="91" xfId="0" applyFont="1" applyFill="1" applyBorder="1" applyAlignment="1">
      <alignment horizontal="center" vertical="center"/>
    </xf>
    <xf numFmtId="0" fontId="110" fillId="24" borderId="92" xfId="0" applyFont="1" applyFill="1" applyBorder="1" applyAlignment="1">
      <alignment horizontal="center" vertical="center"/>
    </xf>
    <xf numFmtId="0" fontId="122" fillId="0" borderId="93" xfId="67" applyFont="1" applyBorder="1" applyAlignment="1">
      <alignment vertical="center" wrapText="1"/>
    </xf>
    <xf numFmtId="0" fontId="73" fillId="0" borderId="9" xfId="0" applyFont="1" applyBorder="1" applyAlignment="1">
      <alignment horizontal="center" vertical="center"/>
    </xf>
    <xf numFmtId="0" fontId="116" fillId="0" borderId="15" xfId="11" applyFont="1" applyBorder="1" applyAlignment="1">
      <alignment vertical="center" wrapText="1"/>
    </xf>
    <xf numFmtId="0" fontId="45" fillId="10" borderId="2" xfId="11" applyFont="1" applyFill="1" applyBorder="1" applyAlignment="1">
      <alignment horizontal="center" vertical="center" wrapText="1"/>
    </xf>
    <xf numFmtId="0" fontId="104" fillId="0" borderId="37" xfId="11" applyFont="1" applyBorder="1" applyAlignment="1">
      <alignment vertical="center" wrapText="1"/>
    </xf>
    <xf numFmtId="4" fontId="22" fillId="0" borderId="80" xfId="13" applyNumberFormat="1" applyFont="1" applyBorder="1" applyAlignment="1" applyProtection="1">
      <alignment horizontal="center" vertical="center" wrapText="1"/>
    </xf>
    <xf numFmtId="0" fontId="124" fillId="21" borderId="9" xfId="0" applyFont="1" applyFill="1" applyBorder="1" applyAlignment="1">
      <alignment horizontal="center" vertical="center"/>
    </xf>
    <xf numFmtId="0" fontId="124" fillId="0" borderId="9" xfId="0" applyFont="1" applyBorder="1" applyAlignment="1">
      <alignment horizontal="center" vertical="center"/>
    </xf>
    <xf numFmtId="4" fontId="87" fillId="0" borderId="1" xfId="13" applyNumberFormat="1" applyFont="1" applyBorder="1" applyAlignment="1" applyProtection="1">
      <alignment horizontal="center" vertical="center" wrapText="1"/>
    </xf>
    <xf numFmtId="4" fontId="90" fillId="16" borderId="23" xfId="13" applyNumberFormat="1" applyFont="1" applyFill="1" applyBorder="1" applyAlignment="1" applyProtection="1">
      <alignment horizontal="center" vertical="center" wrapText="1"/>
    </xf>
    <xf numFmtId="0" fontId="126" fillId="0" borderId="37" xfId="0" applyFont="1" applyBorder="1" applyAlignment="1">
      <alignment horizontal="center" vertical="center" wrapText="1"/>
    </xf>
    <xf numFmtId="0" fontId="109" fillId="0" borderId="37" xfId="0" applyFont="1" applyBorder="1" applyAlignment="1">
      <alignment horizontal="center" vertical="center" wrapText="1"/>
    </xf>
    <xf numFmtId="0" fontId="122" fillId="0" borderId="0" xfId="67" applyFont="1" applyAlignment="1">
      <alignment vertical="center" wrapText="1"/>
    </xf>
    <xf numFmtId="0" fontId="122" fillId="0" borderId="48" xfId="67" applyFont="1" applyBorder="1" applyAlignment="1">
      <alignment vertical="center" wrapText="1"/>
    </xf>
    <xf numFmtId="0" fontId="122" fillId="0" borderId="38" xfId="67" applyFont="1" applyBorder="1" applyAlignment="1">
      <alignment vertical="center" wrapText="1"/>
    </xf>
    <xf numFmtId="0" fontId="122" fillId="0" borderId="49" xfId="67" applyFont="1" applyBorder="1" applyAlignment="1">
      <alignment vertical="center" wrapText="1"/>
    </xf>
    <xf numFmtId="0" fontId="122" fillId="12" borderId="38" xfId="67" applyFont="1" applyFill="1" applyBorder="1" applyAlignment="1">
      <alignment vertical="center" wrapText="1"/>
    </xf>
    <xf numFmtId="0" fontId="35" fillId="0" borderId="4" xfId="71" applyFont="1" applyBorder="1" applyAlignment="1">
      <alignment horizontal="center" vertical="center" wrapText="1"/>
    </xf>
    <xf numFmtId="0" fontId="35" fillId="0" borderId="39" xfId="71" applyFont="1" applyBorder="1" applyAlignment="1">
      <alignment horizontal="center" vertical="center" wrapText="1"/>
    </xf>
    <xf numFmtId="0" fontId="35" fillId="0" borderId="17" xfId="71" applyFont="1" applyBorder="1" applyAlignment="1">
      <alignment horizontal="center" vertical="center" wrapText="1"/>
    </xf>
    <xf numFmtId="0" fontId="34" fillId="0" borderId="1" xfId="71" applyFont="1" applyBorder="1" applyAlignment="1">
      <alignment horizontal="center" vertical="center"/>
    </xf>
    <xf numFmtId="174" fontId="55" fillId="0" borderId="1" xfId="0" applyNumberFormat="1" applyFont="1" applyBorder="1" applyAlignment="1">
      <alignment horizontal="center" vertical="center"/>
    </xf>
    <xf numFmtId="0" fontId="63" fillId="0" borderId="1" xfId="0" applyFont="1" applyBorder="1" applyAlignment="1">
      <alignment horizontal="center" vertical="center" wrapText="1"/>
    </xf>
    <xf numFmtId="0" fontId="55" fillId="0" borderId="1" xfId="0" applyFont="1" applyBorder="1" applyAlignment="1">
      <alignment horizontal="center" vertical="center" wrapText="1"/>
    </xf>
    <xf numFmtId="0" fontId="127" fillId="0" borderId="1" xfId="0" applyFont="1" applyBorder="1" applyAlignment="1">
      <alignment horizontal="center" vertical="center" wrapText="1"/>
    </xf>
    <xf numFmtId="0" fontId="63" fillId="0" borderId="1" xfId="0" applyFont="1" applyBorder="1" applyAlignment="1">
      <alignment horizontal="center" vertical="center"/>
    </xf>
    <xf numFmtId="0" fontId="128" fillId="12" borderId="1" xfId="71" applyFont="1" applyFill="1" applyBorder="1" applyAlignment="1">
      <alignment horizontal="center" vertical="center"/>
    </xf>
    <xf numFmtId="0" fontId="129" fillId="12" borderId="1" xfId="0" applyFont="1" applyFill="1" applyBorder="1" applyAlignment="1">
      <alignment horizontal="center" vertical="center"/>
    </xf>
    <xf numFmtId="174" fontId="129" fillId="12" borderId="1" xfId="0" applyNumberFormat="1" applyFont="1" applyFill="1" applyBorder="1" applyAlignment="1">
      <alignment horizontal="center" vertical="center"/>
    </xf>
    <xf numFmtId="0" fontId="125" fillId="0" borderId="37" xfId="11" applyFont="1" applyBorder="1" applyAlignment="1">
      <alignment vertical="center" wrapText="1"/>
    </xf>
    <xf numFmtId="0" fontId="45" fillId="25" borderId="36" xfId="11" applyFont="1" applyFill="1" applyBorder="1" applyAlignment="1">
      <alignment horizontal="center" vertical="center" wrapText="1"/>
    </xf>
    <xf numFmtId="0" fontId="130" fillId="0" borderId="37" xfId="11" applyFont="1" applyBorder="1" applyAlignment="1">
      <alignment horizontal="center" vertical="center" wrapText="1"/>
    </xf>
    <xf numFmtId="0" fontId="35" fillId="0" borderId="66" xfId="57" applyFont="1" applyBorder="1" applyAlignment="1">
      <alignment horizontal="center" vertical="center"/>
    </xf>
    <xf numFmtId="0" fontId="35" fillId="0" borderId="9" xfId="60" applyFont="1" applyBorder="1" applyAlignment="1">
      <alignment horizontal="left" vertical="center" wrapText="1"/>
    </xf>
    <xf numFmtId="172" fontId="101" fillId="0" borderId="9" xfId="57" applyNumberFormat="1" applyFont="1" applyBorder="1" applyAlignment="1">
      <alignment horizontal="center" vertical="center"/>
    </xf>
    <xf numFmtId="0" fontId="103" fillId="19" borderId="9" xfId="0" applyFont="1" applyFill="1" applyBorder="1" applyAlignment="1">
      <alignment horizontal="center" vertical="center"/>
    </xf>
    <xf numFmtId="0" fontId="102" fillId="19" borderId="9" xfId="0" applyFont="1" applyFill="1" applyBorder="1" applyAlignment="1">
      <alignment horizontal="center" vertical="center"/>
    </xf>
    <xf numFmtId="0" fontId="102" fillId="19" borderId="73" xfId="0" applyFont="1" applyFill="1" applyBorder="1" applyAlignment="1">
      <alignment horizontal="center" vertical="center"/>
    </xf>
    <xf numFmtId="172" fontId="69" fillId="0" borderId="67" xfId="0" applyNumberFormat="1" applyFont="1" applyBorder="1" applyAlignment="1">
      <alignment horizontal="center" vertical="center"/>
    </xf>
    <xf numFmtId="0" fontId="48" fillId="0" borderId="68" xfId="0" applyFont="1" applyBorder="1" applyAlignment="1">
      <alignment horizontal="center" vertical="center" wrapText="1"/>
    </xf>
    <xf numFmtId="0" fontId="99" fillId="0" borderId="36" xfId="20" applyFont="1" applyBorder="1" applyAlignment="1">
      <alignment horizontal="center" vertical="center" wrapText="1"/>
    </xf>
    <xf numFmtId="0" fontId="99" fillId="0" borderId="28" xfId="20" applyFont="1" applyBorder="1" applyAlignment="1">
      <alignment horizontal="center" vertical="center" wrapText="1"/>
    </xf>
    <xf numFmtId="0" fontId="100" fillId="0" borderId="36" xfId="20" applyFont="1" applyBorder="1" applyAlignment="1">
      <alignment horizontal="center" vertical="center" wrapText="1"/>
    </xf>
    <xf numFmtId="0" fontId="100" fillId="0" borderId="26" xfId="20" applyFont="1" applyBorder="1" applyAlignment="1">
      <alignment horizontal="center" vertical="center" wrapText="1"/>
    </xf>
    <xf numFmtId="0" fontId="0" fillId="0" borderId="1" xfId="0" applyBorder="1" applyAlignment="1">
      <alignment horizontal="center" vertical="center" wrapText="1"/>
    </xf>
    <xf numFmtId="0" fontId="73" fillId="0" borderId="1" xfId="0" applyFont="1" applyBorder="1" applyAlignment="1">
      <alignment horizontal="center" vertical="center"/>
    </xf>
    <xf numFmtId="0" fontId="68" fillId="0" borderId="1" xfId="0" applyFont="1" applyBorder="1" applyAlignment="1">
      <alignment horizontal="center" vertical="center" wrapText="1"/>
    </xf>
    <xf numFmtId="0" fontId="68" fillId="0" borderId="1" xfId="0" applyFont="1" applyBorder="1" applyAlignment="1">
      <alignment horizontal="center" vertical="center"/>
    </xf>
    <xf numFmtId="9" fontId="68" fillId="0" borderId="1" xfId="24" applyFont="1" applyFill="1" applyBorder="1" applyAlignment="1">
      <alignment horizontal="center" vertical="center"/>
    </xf>
    <xf numFmtId="0" fontId="74" fillId="0" borderId="1" xfId="0" applyFont="1" applyBorder="1" applyAlignment="1">
      <alignment horizontal="center" vertical="center" wrapText="1"/>
    </xf>
    <xf numFmtId="0" fontId="74" fillId="0" borderId="1" xfId="0" applyFont="1" applyBorder="1" applyAlignment="1">
      <alignment horizontal="center" vertical="center"/>
    </xf>
    <xf numFmtId="0" fontId="67" fillId="0" borderId="1" xfId="0" applyFont="1" applyBorder="1" applyAlignment="1">
      <alignment horizontal="center" vertical="center" wrapText="1"/>
    </xf>
    <xf numFmtId="0" fontId="67" fillId="0" borderId="1" xfId="0" applyFont="1" applyBorder="1" applyAlignment="1">
      <alignment horizontal="center" vertical="center"/>
    </xf>
    <xf numFmtId="0" fontId="131" fillId="20" borderId="1" xfId="0" applyFont="1" applyFill="1" applyBorder="1" applyAlignment="1">
      <alignment horizontal="center" vertical="center"/>
    </xf>
    <xf numFmtId="0" fontId="35" fillId="0" borderId="75" xfId="67" applyFont="1" applyBorder="1" applyAlignment="1">
      <alignment horizontal="center" vertical="center" wrapText="1"/>
    </xf>
    <xf numFmtId="0" fontId="35" fillId="0" borderId="84" xfId="67" applyFont="1" applyBorder="1" applyAlignment="1">
      <alignment horizontal="center" vertical="center" wrapText="1"/>
    </xf>
    <xf numFmtId="0" fontId="35" fillId="0" borderId="47" xfId="67" applyFont="1" applyBorder="1" applyAlignment="1">
      <alignment horizontal="center" vertical="center" wrapText="1"/>
    </xf>
    <xf numFmtId="0" fontId="21" fillId="4" borderId="26" xfId="11" applyFont="1" applyFill="1" applyBorder="1" applyAlignment="1">
      <alignment horizontal="center" vertical="center" wrapText="1"/>
    </xf>
    <xf numFmtId="0" fontId="21" fillId="4" borderId="27" xfId="11" applyFont="1" applyFill="1" applyBorder="1" applyAlignment="1">
      <alignment horizontal="center" vertical="center" wrapText="1"/>
    </xf>
    <xf numFmtId="0" fontId="21" fillId="4" borderId="28" xfId="11" applyFont="1" applyFill="1" applyBorder="1" applyAlignment="1">
      <alignment horizontal="center" vertical="center" wrapText="1"/>
    </xf>
    <xf numFmtId="0" fontId="21" fillId="0" borderId="26" xfId="11" applyFont="1" applyBorder="1" applyAlignment="1">
      <alignment horizontal="center" vertical="center" wrapText="1"/>
    </xf>
    <xf numFmtId="0" fontId="21" fillId="0" borderId="27" xfId="11" applyFont="1" applyBorder="1" applyAlignment="1">
      <alignment horizontal="center" vertical="center" wrapText="1"/>
    </xf>
    <xf numFmtId="0" fontId="21" fillId="0" borderId="28" xfId="11" applyFont="1" applyBorder="1" applyAlignment="1">
      <alignment horizontal="center" vertical="center" wrapText="1"/>
    </xf>
    <xf numFmtId="0" fontId="87" fillId="0" borderId="13" xfId="11" applyFont="1" applyBorder="1" applyAlignment="1">
      <alignment horizontal="center" vertical="center" wrapText="1"/>
    </xf>
    <xf numFmtId="4" fontId="19" fillId="0" borderId="39" xfId="13" applyNumberFormat="1" applyFont="1" applyBorder="1" applyAlignment="1" applyProtection="1">
      <alignment horizontal="center" vertical="center" wrapText="1"/>
    </xf>
    <xf numFmtId="4" fontId="19" fillId="0" borderId="56" xfId="13" applyNumberFormat="1" applyFont="1" applyBorder="1" applyAlignment="1" applyProtection="1">
      <alignment horizontal="center" vertical="center" wrapText="1"/>
    </xf>
    <xf numFmtId="4" fontId="19" fillId="0" borderId="57" xfId="13" applyNumberFormat="1" applyFont="1" applyBorder="1" applyAlignment="1" applyProtection="1">
      <alignment horizontal="center" vertical="center" wrapText="1"/>
    </xf>
    <xf numFmtId="4" fontId="91" fillId="0" borderId="48" xfId="13" applyNumberFormat="1" applyFont="1" applyBorder="1" applyAlignment="1" applyProtection="1">
      <alignment horizontal="center" vertical="center" wrapText="1"/>
    </xf>
    <xf numFmtId="4" fontId="91" fillId="0" borderId="68" xfId="13" applyNumberFormat="1" applyFont="1" applyBorder="1" applyAlignment="1" applyProtection="1">
      <alignment horizontal="center" vertical="center" wrapText="1"/>
    </xf>
    <xf numFmtId="4" fontId="91" fillId="0" borderId="38" xfId="13" applyNumberFormat="1" applyFont="1" applyBorder="1" applyAlignment="1" applyProtection="1">
      <alignment horizontal="center" vertical="center" wrapText="1"/>
    </xf>
    <xf numFmtId="0" fontId="25" fillId="0" borderId="0" xfId="11" applyFont="1" applyAlignment="1">
      <alignment horizontal="center" vertical="center" wrapText="1"/>
    </xf>
    <xf numFmtId="0" fontId="82" fillId="0" borderId="0" xfId="11" applyFont="1" applyAlignment="1">
      <alignment horizontal="center" vertical="center" wrapText="1"/>
    </xf>
    <xf numFmtId="0" fontId="54" fillId="0" borderId="0" xfId="11" applyFont="1" applyAlignment="1">
      <alignment horizontal="center" vertical="center" wrapText="1"/>
    </xf>
    <xf numFmtId="0" fontId="52" fillId="0" borderId="0" xfId="11" applyFont="1" applyAlignment="1">
      <alignment horizontal="center" vertical="center" wrapText="1"/>
    </xf>
    <xf numFmtId="0" fontId="53" fillId="0" borderId="0" xfId="11" applyFont="1" applyAlignment="1">
      <alignment horizontal="left" vertical="center" wrapText="1"/>
    </xf>
    <xf numFmtId="0" fontId="81" fillId="0" borderId="0" xfId="11" applyFont="1" applyAlignment="1">
      <alignment horizontal="center" vertical="center" wrapText="1"/>
    </xf>
    <xf numFmtId="0" fontId="54" fillId="12" borderId="0" xfId="11" applyFont="1" applyFill="1" applyAlignment="1">
      <alignment horizontal="center" vertical="center" wrapText="1"/>
    </xf>
    <xf numFmtId="0" fontId="84" fillId="0" borderId="0" xfId="11" applyFont="1" applyAlignment="1">
      <alignment horizontal="center" vertical="center" wrapText="1"/>
    </xf>
    <xf numFmtId="0" fontId="66" fillId="0" borderId="0" xfId="11" applyFont="1" applyAlignment="1">
      <alignment horizontal="center" vertical="center" wrapText="1"/>
    </xf>
    <xf numFmtId="0" fontId="24" fillId="0" borderId="0" xfId="11" applyFont="1" applyAlignment="1">
      <alignment horizontal="center" vertical="center" wrapText="1"/>
    </xf>
    <xf numFmtId="0" fontId="20" fillId="0" borderId="22" xfId="11" applyFont="1" applyBorder="1" applyAlignment="1">
      <alignment horizontal="left" vertical="center" wrapText="1"/>
    </xf>
    <xf numFmtId="2" fontId="55" fillId="0" borderId="13" xfId="4" applyNumberFormat="1" applyFont="1" applyBorder="1" applyAlignment="1">
      <alignment horizontal="center" vertical="center"/>
    </xf>
    <xf numFmtId="0" fontId="20" fillId="0" borderId="13" xfId="11" applyFont="1" applyBorder="1" applyAlignment="1">
      <alignment horizontal="left" vertical="center" wrapText="1"/>
    </xf>
    <xf numFmtId="14" fontId="55" fillId="0" borderId="13" xfId="4" applyNumberFormat="1" applyFont="1" applyBorder="1" applyAlignment="1">
      <alignment horizontal="center" vertical="center"/>
    </xf>
    <xf numFmtId="0" fontId="20" fillId="0" borderId="45" xfId="11" applyFont="1" applyBorder="1" applyAlignment="1">
      <alignment horizontal="left" vertical="center" wrapText="1"/>
    </xf>
    <xf numFmtId="2" fontId="20" fillId="9" borderId="16" xfId="11" applyNumberFormat="1" applyFont="1" applyFill="1" applyBorder="1" applyAlignment="1">
      <alignment horizontal="center" vertical="center"/>
    </xf>
    <xf numFmtId="0" fontId="30" fillId="0" borderId="32" xfId="11" applyFont="1" applyBorder="1" applyAlignment="1">
      <alignment horizontal="center" vertical="center" wrapText="1"/>
    </xf>
    <xf numFmtId="2" fontId="22" fillId="9" borderId="26" xfId="11" applyNumberFormat="1" applyFont="1" applyFill="1" applyBorder="1" applyAlignment="1">
      <alignment horizontal="center" vertical="center" wrapText="1"/>
    </xf>
    <xf numFmtId="2" fontId="22" fillId="9" borderId="27" xfId="11" applyNumberFormat="1" applyFont="1" applyFill="1" applyBorder="1" applyAlignment="1">
      <alignment horizontal="center" vertical="center" wrapText="1"/>
    </xf>
    <xf numFmtId="2" fontId="22" fillId="9" borderId="28" xfId="11" applyNumberFormat="1" applyFont="1" applyFill="1" applyBorder="1" applyAlignment="1">
      <alignment horizontal="center" vertical="center" wrapText="1"/>
    </xf>
    <xf numFmtId="0" fontId="46" fillId="11" borderId="26" xfId="11" applyFont="1" applyFill="1" applyBorder="1" applyAlignment="1">
      <alignment horizontal="center" vertical="center"/>
    </xf>
    <xf numFmtId="0" fontId="86" fillId="18" borderId="39" xfId="11" applyFont="1" applyFill="1" applyBorder="1" applyAlignment="1">
      <alignment horizontal="center" vertical="center" wrapText="1"/>
    </xf>
    <xf numFmtId="0" fontId="86" fillId="18" borderId="57" xfId="11" applyFont="1" applyFill="1" applyBorder="1" applyAlignment="1">
      <alignment horizontal="center" vertical="center" wrapText="1"/>
    </xf>
    <xf numFmtId="0" fontId="86" fillId="18" borderId="4" xfId="11" applyFont="1" applyFill="1" applyBorder="1" applyAlignment="1">
      <alignment horizontal="center" vertical="center" wrapText="1"/>
    </xf>
    <xf numFmtId="0" fontId="86" fillId="18" borderId="17" xfId="11" applyFont="1" applyFill="1" applyBorder="1" applyAlignment="1">
      <alignment horizontal="center" vertical="center" wrapText="1"/>
    </xf>
    <xf numFmtId="0" fontId="86" fillId="18" borderId="44" xfId="11" applyFont="1" applyFill="1" applyBorder="1" applyAlignment="1">
      <alignment horizontal="center" vertical="center" wrapText="1"/>
    </xf>
    <xf numFmtId="0" fontId="86" fillId="18" borderId="2" xfId="11" applyFont="1" applyFill="1" applyBorder="1" applyAlignment="1">
      <alignment horizontal="center" vertical="center" wrapText="1"/>
    </xf>
    <xf numFmtId="42" fontId="71" fillId="12" borderId="40" xfId="12" applyFont="1" applyFill="1" applyBorder="1" applyAlignment="1">
      <alignment horizontal="center" vertical="center" wrapText="1"/>
    </xf>
    <xf numFmtId="42" fontId="71" fillId="12" borderId="42" xfId="12" applyFont="1" applyFill="1" applyBorder="1" applyAlignment="1">
      <alignment horizontal="center" vertical="center" wrapText="1"/>
    </xf>
    <xf numFmtId="0" fontId="70" fillId="12" borderId="26" xfId="11" applyFont="1" applyFill="1" applyBorder="1" applyAlignment="1">
      <alignment horizontal="center" vertical="center" wrapText="1"/>
    </xf>
    <xf numFmtId="0" fontId="70" fillId="12" borderId="27" xfId="11" applyFont="1" applyFill="1" applyBorder="1" applyAlignment="1">
      <alignment horizontal="center" vertical="center" wrapText="1"/>
    </xf>
    <xf numFmtId="0" fontId="70" fillId="12" borderId="28" xfId="11" applyFont="1" applyFill="1" applyBorder="1" applyAlignment="1">
      <alignment horizontal="center" vertical="center" wrapText="1"/>
    </xf>
    <xf numFmtId="0" fontId="86" fillId="17" borderId="31" xfId="11" applyFont="1" applyFill="1" applyBorder="1" applyAlignment="1">
      <alignment horizontal="center" vertical="center" wrapText="1"/>
    </xf>
    <xf numFmtId="0" fontId="86" fillId="18" borderId="13" xfId="11" applyFont="1" applyFill="1" applyBorder="1" applyAlignment="1">
      <alignment horizontal="center" vertical="center" wrapText="1"/>
    </xf>
    <xf numFmtId="0" fontId="45" fillId="11" borderId="4" xfId="11" applyFont="1" applyFill="1" applyBorder="1" applyAlignment="1">
      <alignment horizontal="center" vertical="center"/>
    </xf>
    <xf numFmtId="0" fontId="86" fillId="17" borderId="35" xfId="11" applyFont="1" applyFill="1" applyBorder="1" applyAlignment="1">
      <alignment horizontal="center" vertical="center" wrapText="1"/>
    </xf>
    <xf numFmtId="168" fontId="19" fillId="0" borderId="48" xfId="11" applyNumberFormat="1" applyFont="1" applyBorder="1" applyAlignment="1">
      <alignment horizontal="center" vertical="center"/>
    </xf>
    <xf numFmtId="168" fontId="19" fillId="0" borderId="38" xfId="11" applyNumberFormat="1" applyFont="1" applyBorder="1" applyAlignment="1">
      <alignment horizontal="center" vertical="center"/>
    </xf>
    <xf numFmtId="4" fontId="19" fillId="0" borderId="48" xfId="13" applyNumberFormat="1" applyFont="1" applyBorder="1" applyAlignment="1" applyProtection="1">
      <alignment horizontal="center" vertical="center" wrapText="1"/>
    </xf>
    <xf numFmtId="4" fontId="19" fillId="0" borderId="38" xfId="13" applyNumberFormat="1" applyFont="1" applyBorder="1" applyAlignment="1" applyProtection="1">
      <alignment horizontal="center" vertical="center" wrapText="1"/>
    </xf>
    <xf numFmtId="0" fontId="92" fillId="4" borderId="26" xfId="11" applyFont="1" applyFill="1" applyBorder="1" applyAlignment="1">
      <alignment horizontal="center" vertical="center" wrapText="1"/>
    </xf>
    <xf numFmtId="0" fontId="92" fillId="4" borderId="46" xfId="11" applyFont="1" applyFill="1" applyBorder="1" applyAlignment="1">
      <alignment horizontal="center" vertical="center" wrapText="1"/>
    </xf>
    <xf numFmtId="0" fontId="92" fillId="4" borderId="42" xfId="11" applyFont="1" applyFill="1" applyBorder="1" applyAlignment="1">
      <alignment horizontal="center" vertical="center" wrapText="1"/>
    </xf>
    <xf numFmtId="0" fontId="92" fillId="0" borderId="40" xfId="11" applyFont="1" applyBorder="1" applyAlignment="1">
      <alignment horizontal="center" vertical="center" wrapText="1"/>
    </xf>
    <xf numFmtId="0" fontId="92" fillId="0" borderId="41" xfId="11" applyFont="1" applyBorder="1" applyAlignment="1">
      <alignment horizontal="center" vertical="center" wrapText="1"/>
    </xf>
    <xf numFmtId="0" fontId="92" fillId="0" borderId="42" xfId="11" applyFont="1" applyBorder="1" applyAlignment="1">
      <alignment horizontal="center" vertical="center" wrapText="1"/>
    </xf>
    <xf numFmtId="0" fontId="22" fillId="0" borderId="40" xfId="11" applyFont="1" applyBorder="1" applyAlignment="1">
      <alignment horizontal="center" vertical="center"/>
    </xf>
    <xf numFmtId="0" fontId="22" fillId="0" borderId="41" xfId="11" applyFont="1" applyBorder="1" applyAlignment="1">
      <alignment horizontal="center" vertical="center"/>
    </xf>
    <xf numFmtId="0" fontId="22" fillId="0" borderId="42" xfId="11" applyFont="1" applyBorder="1" applyAlignment="1">
      <alignment horizontal="center" vertical="center"/>
    </xf>
    <xf numFmtId="0" fontId="23" fillId="0" borderId="55" xfId="11" applyFont="1" applyBorder="1" applyAlignment="1">
      <alignment horizontal="center" vertical="center" wrapText="1"/>
    </xf>
    <xf numFmtId="0" fontId="23" fillId="0" borderId="56" xfId="11" applyFont="1" applyBorder="1" applyAlignment="1">
      <alignment horizontal="center" vertical="center" wrapText="1"/>
    </xf>
    <xf numFmtId="0" fontId="108" fillId="22" borderId="39" xfId="0" applyFont="1" applyFill="1" applyBorder="1" applyAlignment="1">
      <alignment horizontal="center" vertical="center" wrapText="1"/>
    </xf>
    <xf numFmtId="0" fontId="108" fillId="22" borderId="56" xfId="0" applyFont="1" applyFill="1" applyBorder="1" applyAlignment="1">
      <alignment horizontal="center" vertical="center" wrapText="1"/>
    </xf>
    <xf numFmtId="0" fontId="87" fillId="0" borderId="13" xfId="0" applyFont="1" applyBorder="1" applyAlignment="1">
      <alignment horizontal="center" vertical="center" wrapText="1"/>
    </xf>
    <xf numFmtId="0" fontId="87" fillId="0" borderId="14" xfId="0" applyFont="1" applyBorder="1" applyAlignment="1">
      <alignment horizontal="center" vertical="center" wrapText="1"/>
    </xf>
    <xf numFmtId="0" fontId="87" fillId="0" borderId="71" xfId="0" applyFont="1" applyBorder="1" applyAlignment="1">
      <alignment horizontal="center" vertical="center" wrapText="1"/>
    </xf>
    <xf numFmtId="2" fontId="22" fillId="9" borderId="44" xfId="11" applyNumberFormat="1" applyFont="1" applyFill="1" applyBorder="1" applyAlignment="1">
      <alignment horizontal="center" vertical="center" wrapText="1"/>
    </xf>
    <xf numFmtId="0" fontId="111" fillId="0" borderId="13" xfId="0" applyFont="1" applyBorder="1" applyAlignment="1">
      <alignment horizontal="center" vertical="center" wrapText="1"/>
    </xf>
    <xf numFmtId="0" fontId="111" fillId="0" borderId="14" xfId="0" applyFont="1" applyBorder="1" applyAlignment="1">
      <alignment horizontal="center" vertical="center" wrapText="1"/>
    </xf>
    <xf numFmtId="0" fontId="111" fillId="0" borderId="13" xfId="11" applyFont="1" applyBorder="1" applyAlignment="1">
      <alignment horizontal="center" vertical="center" wrapText="1"/>
    </xf>
    <xf numFmtId="0" fontId="105" fillId="0" borderId="14" xfId="0" applyFont="1" applyBorder="1" applyAlignment="1">
      <alignment horizontal="center" vertical="center" wrapText="1"/>
    </xf>
    <xf numFmtId="0" fontId="87" fillId="0" borderId="15" xfId="11" applyFont="1" applyBorder="1" applyAlignment="1">
      <alignment horizontal="center" vertical="center" wrapText="1"/>
    </xf>
    <xf numFmtId="168" fontId="19" fillId="0" borderId="39" xfId="11" applyNumberFormat="1" applyFont="1" applyBorder="1" applyAlignment="1">
      <alignment horizontal="center" vertical="center"/>
    </xf>
    <xf numFmtId="168" fontId="19" fillId="0" borderId="56" xfId="11" applyNumberFormat="1" applyFont="1" applyBorder="1" applyAlignment="1">
      <alignment horizontal="center" vertical="center"/>
    </xf>
    <xf numFmtId="0" fontId="87" fillId="0" borderId="14" xfId="11" applyFont="1" applyBorder="1" applyAlignment="1">
      <alignment horizontal="center" vertical="center" wrapText="1"/>
    </xf>
    <xf numFmtId="0" fontId="87" fillId="0" borderId="14" xfId="0" applyFont="1" applyBorder="1" applyAlignment="1">
      <alignment vertical="center" wrapText="1"/>
    </xf>
    <xf numFmtId="0" fontId="88" fillId="9" borderId="22" xfId="11" applyFont="1" applyFill="1" applyBorder="1" applyAlignment="1">
      <alignment horizontal="left" vertical="center" wrapText="1"/>
    </xf>
    <xf numFmtId="0" fontId="88" fillId="9" borderId="14" xfId="11" applyFont="1" applyFill="1" applyBorder="1" applyAlignment="1">
      <alignment horizontal="left" vertical="center" wrapText="1"/>
    </xf>
    <xf numFmtId="0" fontId="29" fillId="0" borderId="39" xfId="11" applyFont="1" applyBorder="1" applyAlignment="1">
      <alignment horizontal="center" vertical="center" wrapText="1"/>
    </xf>
    <xf numFmtId="0" fontId="114" fillId="0" borderId="56" xfId="11" applyFont="1" applyBorder="1" applyAlignment="1">
      <alignment horizontal="center" vertical="center" wrapText="1"/>
    </xf>
    <xf numFmtId="0" fontId="114" fillId="0" borderId="57" xfId="11" applyFont="1" applyBorder="1" applyAlignment="1">
      <alignment horizontal="center" vertical="center" wrapText="1"/>
    </xf>
    <xf numFmtId="168" fontId="19" fillId="0" borderId="49" xfId="11" applyNumberFormat="1" applyFont="1" applyBorder="1" applyAlignment="1">
      <alignment horizontal="center" vertical="center"/>
    </xf>
    <xf numFmtId="0" fontId="87" fillId="0" borderId="74" xfId="11" applyFont="1" applyBorder="1" applyAlignment="1">
      <alignment horizontal="center" vertical="center" wrapText="1"/>
    </xf>
    <xf numFmtId="0" fontId="87" fillId="0" borderId="69" xfId="11" applyFont="1" applyBorder="1" applyAlignment="1">
      <alignment horizontal="center" vertical="center" wrapText="1"/>
    </xf>
    <xf numFmtId="0" fontId="87" fillId="0" borderId="73" xfId="11" applyFont="1" applyBorder="1" applyAlignment="1">
      <alignment horizontal="center" vertical="center" wrapText="1"/>
    </xf>
    <xf numFmtId="0" fontId="114" fillId="0" borderId="39" xfId="11" applyFont="1" applyBorder="1" applyAlignment="1">
      <alignment horizontal="center" vertical="center" wrapText="1"/>
    </xf>
    <xf numFmtId="0" fontId="29" fillId="9" borderId="39" xfId="11" applyFont="1" applyFill="1" applyBorder="1" applyAlignment="1">
      <alignment horizontal="center" vertical="center" wrapText="1"/>
    </xf>
    <xf numFmtId="0" fontId="22" fillId="9" borderId="56" xfId="11" applyFont="1" applyFill="1" applyBorder="1" applyAlignment="1">
      <alignment horizontal="center" vertical="center" wrapText="1"/>
    </xf>
    <xf numFmtId="0" fontId="60" fillId="0" borderId="0" xfId="11" applyFont="1" applyAlignment="1">
      <alignment horizontal="center" vertical="center" wrapText="1"/>
    </xf>
    <xf numFmtId="0" fontId="50" fillId="0" borderId="0" xfId="11" applyFont="1" applyAlignment="1">
      <alignment horizontal="center" vertical="center" wrapText="1"/>
    </xf>
    <xf numFmtId="0" fontId="51" fillId="0" borderId="0" xfId="11" applyFont="1" applyAlignment="1">
      <alignment horizontal="center" vertical="center" wrapText="1"/>
    </xf>
    <xf numFmtId="0" fontId="57" fillId="0" borderId="0" xfId="11" applyFont="1" applyAlignment="1">
      <alignment horizontal="left" vertical="center" wrapText="1"/>
    </xf>
    <xf numFmtId="0" fontId="58" fillId="0" borderId="0" xfId="11" applyFont="1" applyAlignment="1">
      <alignment horizontal="center" vertical="center" wrapText="1"/>
    </xf>
    <xf numFmtId="0" fontId="59" fillId="0" borderId="0" xfId="11" applyFont="1" applyAlignment="1">
      <alignment horizontal="center" vertical="center" wrapText="1"/>
    </xf>
    <xf numFmtId="0" fontId="50" fillId="12" borderId="0" xfId="11" applyFont="1" applyFill="1" applyAlignment="1">
      <alignment horizontal="center" vertical="center" wrapText="1"/>
    </xf>
    <xf numFmtId="0" fontId="95" fillId="4" borderId="1" xfId="11" applyFont="1" applyFill="1" applyBorder="1" applyAlignment="1">
      <alignment horizontal="center" vertical="center" wrapText="1"/>
    </xf>
    <xf numFmtId="0" fontId="95" fillId="0" borderId="1" xfId="11" applyFont="1" applyBorder="1" applyAlignment="1">
      <alignment horizontal="center" vertical="center" wrapText="1"/>
    </xf>
    <xf numFmtId="0" fontId="97" fillId="0" borderId="26" xfId="11" applyFont="1" applyBorder="1" applyAlignment="1">
      <alignment horizontal="center" vertical="center"/>
    </xf>
    <xf numFmtId="0" fontId="97" fillId="0" borderId="27" xfId="11" applyFont="1" applyBorder="1" applyAlignment="1">
      <alignment horizontal="center" vertical="center"/>
    </xf>
    <xf numFmtId="0" fontId="97" fillId="0" borderId="43" xfId="11" applyFont="1" applyBorder="1" applyAlignment="1">
      <alignment horizontal="center" vertical="center"/>
    </xf>
    <xf numFmtId="0" fontId="97" fillId="0" borderId="42" xfId="11" applyFont="1" applyBorder="1" applyAlignment="1">
      <alignment horizontal="center" vertical="center"/>
    </xf>
    <xf numFmtId="0" fontId="96" fillId="2" borderId="26" xfId="11" applyFont="1" applyFill="1" applyBorder="1" applyAlignment="1">
      <alignment horizontal="center" vertical="center" wrapText="1"/>
    </xf>
    <xf numFmtId="0" fontId="96" fillId="2" borderId="27" xfId="11" applyFont="1" applyFill="1" applyBorder="1" applyAlignment="1">
      <alignment horizontal="center" vertical="center" wrapText="1"/>
    </xf>
    <xf numFmtId="0" fontId="96" fillId="2" borderId="43" xfId="11" applyFont="1" applyFill="1" applyBorder="1" applyAlignment="1">
      <alignment horizontal="center" vertical="center" wrapText="1"/>
    </xf>
    <xf numFmtId="0" fontId="96" fillId="2" borderId="42" xfId="11" applyFont="1" applyFill="1" applyBorder="1" applyAlignment="1">
      <alignment horizontal="center" vertical="center" wrapText="1"/>
    </xf>
    <xf numFmtId="2" fontId="119" fillId="0" borderId="89" xfId="67" applyNumberFormat="1" applyFont="1" applyBorder="1" applyAlignment="1">
      <alignment horizontal="center" vertical="center" wrapText="1"/>
    </xf>
    <xf numFmtId="0" fontId="119" fillId="0" borderId="89" xfId="67" applyFont="1" applyBorder="1" applyAlignment="1">
      <alignment horizontal="center" vertical="center" wrapText="1"/>
    </xf>
    <xf numFmtId="0" fontId="119" fillId="0" borderId="90" xfId="67" applyFont="1" applyBorder="1" applyAlignment="1">
      <alignment horizontal="center" vertical="center" wrapText="1"/>
    </xf>
    <xf numFmtId="2" fontId="119" fillId="0" borderId="77" xfId="67" applyNumberFormat="1" applyFont="1" applyBorder="1" applyAlignment="1">
      <alignment horizontal="center" vertical="center" wrapText="1"/>
    </xf>
    <xf numFmtId="2" fontId="119" fillId="0" borderId="78" xfId="67" applyNumberFormat="1" applyFont="1" applyBorder="1" applyAlignment="1">
      <alignment horizontal="center" vertical="center" wrapText="1"/>
    </xf>
    <xf numFmtId="2" fontId="119" fillId="0" borderId="79" xfId="67" applyNumberFormat="1" applyFont="1" applyBorder="1" applyAlignment="1">
      <alignment horizontal="center" vertical="center" wrapText="1"/>
    </xf>
    <xf numFmtId="2" fontId="123" fillId="0" borderId="77" xfId="67" applyNumberFormat="1" applyFont="1" applyBorder="1" applyAlignment="1">
      <alignment horizontal="center" vertical="center"/>
    </xf>
    <xf numFmtId="2" fontId="123" fillId="0" borderId="78" xfId="67" applyNumberFormat="1" applyFont="1" applyBorder="1" applyAlignment="1">
      <alignment horizontal="center" vertical="center"/>
    </xf>
    <xf numFmtId="2" fontId="123" fillId="0" borderId="79" xfId="67" applyNumberFormat="1" applyFont="1" applyBorder="1" applyAlignment="1">
      <alignment horizontal="center" vertical="center"/>
    </xf>
    <xf numFmtId="0" fontId="64" fillId="14" borderId="26" xfId="67" applyFont="1" applyFill="1" applyBorder="1" applyAlignment="1">
      <alignment horizontal="center" vertical="center"/>
    </xf>
    <xf numFmtId="0" fontId="64" fillId="14" borderId="27" xfId="67" applyFont="1" applyFill="1" applyBorder="1" applyAlignment="1">
      <alignment horizontal="center" vertical="center"/>
    </xf>
    <xf numFmtId="0" fontId="64" fillId="14" borderId="28" xfId="67" applyFont="1" applyFill="1" applyBorder="1" applyAlignment="1">
      <alignment horizontal="center" vertical="center"/>
    </xf>
    <xf numFmtId="0" fontId="34" fillId="3" borderId="26" xfId="67" applyFont="1" applyFill="1" applyBorder="1" applyAlignment="1">
      <alignment horizontal="center" vertical="center" wrapText="1"/>
    </xf>
    <xf numFmtId="0" fontId="34" fillId="3" borderId="27" xfId="67" applyFont="1" applyFill="1" applyBorder="1" applyAlignment="1">
      <alignment horizontal="center" vertical="center" wrapText="1"/>
    </xf>
    <xf numFmtId="0" fontId="34" fillId="3" borderId="28" xfId="67" applyFont="1" applyFill="1" applyBorder="1" applyAlignment="1">
      <alignment horizontal="center" vertical="center" wrapText="1"/>
    </xf>
    <xf numFmtId="0" fontId="34" fillId="0" borderId="76" xfId="67" applyFont="1" applyBorder="1" applyAlignment="1">
      <alignment horizontal="center" vertical="center"/>
    </xf>
    <xf numFmtId="0" fontId="34" fillId="0" borderId="87" xfId="67" applyFont="1" applyBorder="1" applyAlignment="1">
      <alignment horizontal="center" vertical="center"/>
    </xf>
    <xf numFmtId="0" fontId="35" fillId="0" borderId="76" xfId="67" applyFont="1" applyBorder="1" applyAlignment="1">
      <alignment horizontal="center" vertical="center"/>
    </xf>
    <xf numFmtId="0" fontId="35" fillId="0" borderId="87" xfId="67" applyFont="1" applyBorder="1" applyAlignment="1">
      <alignment horizontal="center" vertical="center"/>
    </xf>
    <xf numFmtId="0" fontId="97" fillId="0" borderId="28" xfId="11" applyFont="1" applyBorder="1" applyAlignment="1">
      <alignment horizontal="center" vertical="center"/>
    </xf>
    <xf numFmtId="0" fontId="80" fillId="2" borderId="26" xfId="11" applyFont="1" applyFill="1" applyBorder="1" applyAlignment="1">
      <alignment horizontal="center" vertical="center" wrapText="1"/>
    </xf>
    <xf numFmtId="0" fontId="80" fillId="2" borderId="27" xfId="11" applyFont="1" applyFill="1" applyBorder="1" applyAlignment="1">
      <alignment horizontal="center" vertical="center" wrapText="1"/>
    </xf>
    <xf numFmtId="0" fontId="80" fillId="2" borderId="28" xfId="11" applyFont="1" applyFill="1" applyBorder="1" applyAlignment="1">
      <alignment horizontal="center" vertical="center" wrapText="1"/>
    </xf>
    <xf numFmtId="0" fontId="98" fillId="0" borderId="40" xfId="57" applyFont="1" applyBorder="1" applyAlignment="1">
      <alignment horizontal="center" vertical="center"/>
    </xf>
    <xf numFmtId="0" fontId="98" fillId="0" borderId="41" xfId="57" applyFont="1" applyBorder="1" applyAlignment="1">
      <alignment horizontal="center" vertical="center"/>
    </xf>
    <xf numFmtId="0" fontId="98" fillId="0" borderId="42" xfId="57" applyFont="1" applyBorder="1" applyAlignment="1">
      <alignment horizontal="center" vertical="center"/>
    </xf>
    <xf numFmtId="0" fontId="98" fillId="0" borderId="18" xfId="57" applyFont="1" applyBorder="1" applyAlignment="1">
      <alignment horizontal="center" vertical="center"/>
    </xf>
    <xf numFmtId="0" fontId="98" fillId="0" borderId="6" xfId="57" applyFont="1" applyBorder="1" applyAlignment="1">
      <alignment horizontal="center" vertical="center"/>
    </xf>
    <xf numFmtId="0" fontId="98" fillId="0" borderId="19" xfId="57" applyFont="1" applyBorder="1" applyAlignment="1">
      <alignment horizontal="center" vertical="center"/>
    </xf>
    <xf numFmtId="0" fontId="98" fillId="0" borderId="20" xfId="57" applyFont="1" applyBorder="1" applyAlignment="1">
      <alignment horizontal="center" vertical="center"/>
    </xf>
    <xf numFmtId="0" fontId="98" fillId="0" borderId="1" xfId="57" applyFont="1" applyBorder="1" applyAlignment="1">
      <alignment horizontal="center" vertical="center"/>
    </xf>
    <xf numFmtId="0" fontId="98" fillId="0" borderId="21" xfId="57" applyFont="1" applyBorder="1" applyAlignment="1">
      <alignment horizontal="center" vertical="center"/>
    </xf>
    <xf numFmtId="0" fontId="98" fillId="0" borderId="29" xfId="57" applyFont="1" applyBorder="1" applyAlignment="1">
      <alignment horizontal="center" vertical="center"/>
    </xf>
    <xf numFmtId="0" fontId="98" fillId="0" borderId="24" xfId="57" applyFont="1" applyBorder="1" applyAlignment="1">
      <alignment horizontal="center" vertical="center"/>
    </xf>
    <xf numFmtId="0" fontId="98" fillId="0" borderId="25" xfId="57" applyFont="1" applyBorder="1" applyAlignment="1">
      <alignment horizontal="center" vertical="center"/>
    </xf>
    <xf numFmtId="0" fontId="99" fillId="0" borderId="26" xfId="20" applyFont="1" applyBorder="1" applyAlignment="1">
      <alignment horizontal="center" vertical="center" wrapText="1"/>
    </xf>
    <xf numFmtId="0" fontId="99" fillId="0" borderId="27" xfId="20" applyFont="1" applyBorder="1" applyAlignment="1">
      <alignment horizontal="center" vertical="center" wrapText="1"/>
    </xf>
    <xf numFmtId="0" fontId="5" fillId="0" borderId="4" xfId="57" applyBorder="1" applyAlignment="1">
      <alignment horizontal="center"/>
    </xf>
    <xf numFmtId="0" fontId="5" fillId="0" borderId="11" xfId="57" applyBorder="1" applyAlignment="1">
      <alignment horizontal="center"/>
    </xf>
    <xf numFmtId="0" fontId="5" fillId="0" borderId="17" xfId="57" applyBorder="1" applyAlignment="1">
      <alignment horizontal="center"/>
    </xf>
    <xf numFmtId="0" fontId="5" fillId="0" borderId="5" xfId="57" applyBorder="1" applyAlignment="1">
      <alignment horizontal="center"/>
    </xf>
    <xf numFmtId="0" fontId="5" fillId="0" borderId="0" xfId="57" applyAlignment="1">
      <alignment horizontal="center"/>
    </xf>
    <xf numFmtId="0" fontId="5" fillId="0" borderId="7" xfId="57" applyBorder="1" applyAlignment="1">
      <alignment horizontal="center"/>
    </xf>
    <xf numFmtId="0" fontId="5" fillId="0" borderId="44" xfId="57" applyBorder="1" applyAlignment="1">
      <alignment horizontal="center"/>
    </xf>
    <xf numFmtId="0" fontId="5" fillId="0" borderId="12" xfId="57" applyBorder="1" applyAlignment="1">
      <alignment horizontal="center"/>
    </xf>
    <xf numFmtId="0" fontId="5" fillId="0" borderId="2" xfId="57" applyBorder="1" applyAlignment="1">
      <alignment horizontal="center"/>
    </xf>
    <xf numFmtId="0" fontId="64" fillId="0" borderId="26" xfId="71" applyFont="1" applyBorder="1" applyAlignment="1">
      <alignment horizontal="center" vertical="center"/>
    </xf>
    <xf numFmtId="0" fontId="64" fillId="0" borderId="27" xfId="71" applyFont="1" applyBorder="1" applyAlignment="1">
      <alignment horizontal="center" vertical="center"/>
    </xf>
    <xf numFmtId="0" fontId="64" fillId="0" borderId="28" xfId="71" applyFont="1" applyBorder="1" applyAlignment="1">
      <alignment horizontal="center" vertical="center"/>
    </xf>
    <xf numFmtId="0" fontId="64" fillId="0" borderId="26" xfId="71" applyFont="1" applyBorder="1" applyAlignment="1">
      <alignment horizontal="center"/>
    </xf>
    <xf numFmtId="0" fontId="64" fillId="0" borderId="27" xfId="71" applyFont="1" applyBorder="1" applyAlignment="1">
      <alignment horizontal="center"/>
    </xf>
    <xf numFmtId="0" fontId="64" fillId="0" borderId="28" xfId="71" applyFont="1" applyBorder="1" applyAlignment="1">
      <alignment horizontal="center"/>
    </xf>
    <xf numFmtId="0" fontId="64" fillId="0" borderId="5" xfId="71" applyFont="1" applyBorder="1" applyAlignment="1">
      <alignment horizontal="center" vertical="center"/>
    </xf>
    <xf numFmtId="0" fontId="64" fillId="0" borderId="0" xfId="71" applyFont="1" applyAlignment="1">
      <alignment horizontal="center" vertical="center"/>
    </xf>
    <xf numFmtId="0" fontId="64" fillId="0" borderId="7" xfId="71" applyFont="1" applyBorder="1" applyAlignment="1">
      <alignment horizontal="center" vertical="center"/>
    </xf>
    <xf numFmtId="0" fontId="64" fillId="0" borderId="44" xfId="71" applyFont="1" applyBorder="1" applyAlignment="1">
      <alignment horizontal="center" vertical="center"/>
    </xf>
    <xf numFmtId="0" fontId="64" fillId="0" borderId="12" xfId="71" applyFont="1" applyBorder="1" applyAlignment="1">
      <alignment horizontal="center" vertical="center"/>
    </xf>
    <xf numFmtId="0" fontId="64" fillId="0" borderId="2" xfId="71" applyFont="1" applyBorder="1" applyAlignment="1">
      <alignment horizontal="center" vertical="center"/>
    </xf>
  </cellXfs>
  <cellStyles count="75">
    <cellStyle name="Millares [0]" xfId="16" builtinId="6"/>
    <cellStyle name="Millares [0] 2" xfId="14" xr:uid="{00000000-0005-0000-0000-000001000000}"/>
    <cellStyle name="Millares [0] 2 2" xfId="19" xr:uid="{00000000-0005-0000-0000-000002000000}"/>
    <cellStyle name="Millares [0] 2 2 2" xfId="35" xr:uid="{00000000-0005-0000-0000-000003000000}"/>
    <cellStyle name="Millares [0] 2 3" xfId="22" xr:uid="{00000000-0005-0000-0000-000004000000}"/>
    <cellStyle name="Millares [0] 2 3 2" xfId="39" xr:uid="{00000000-0005-0000-0000-000005000000}"/>
    <cellStyle name="Millares [0] 2 3 3" xfId="59" xr:uid="{00000000-0005-0000-0000-000006000000}"/>
    <cellStyle name="Millares [0] 2 4" xfId="30" xr:uid="{00000000-0005-0000-0000-000007000000}"/>
    <cellStyle name="Millares [0] 3" xfId="32" xr:uid="{00000000-0005-0000-0000-000008000000}"/>
    <cellStyle name="Millares [0] 4" xfId="43" xr:uid="{00000000-0005-0000-0000-000009000000}"/>
    <cellStyle name="Millares [0] 4 2" xfId="63" xr:uid="{00000000-0005-0000-0000-00000A000000}"/>
    <cellStyle name="Millares [0] 4 2 2" xfId="69" xr:uid="{00000000-0005-0000-0000-00000B000000}"/>
    <cellStyle name="Millares [0] 5" xfId="51" xr:uid="{00000000-0005-0000-0000-00000C000000}"/>
    <cellStyle name="Millares 2" xfId="3" xr:uid="{00000000-0005-0000-0000-00000D000000}"/>
    <cellStyle name="Millares 2 2" xfId="25" xr:uid="{00000000-0005-0000-0000-00000E000000}"/>
    <cellStyle name="Millares 3" xfId="7" xr:uid="{00000000-0005-0000-0000-00000F000000}"/>
    <cellStyle name="Millares 4" xfId="45" xr:uid="{00000000-0005-0000-0000-000010000000}"/>
    <cellStyle name="Moneda" xfId="74" builtinId="4"/>
    <cellStyle name="Moneda [0] 2" xfId="12" xr:uid="{00000000-0005-0000-0000-000011000000}"/>
    <cellStyle name="Moneda [0] 2 2" xfId="18" xr:uid="{00000000-0005-0000-0000-000012000000}"/>
    <cellStyle name="Moneda [0] 2 2 2" xfId="34" xr:uid="{00000000-0005-0000-0000-000013000000}"/>
    <cellStyle name="Moneda [0] 2 3" xfId="21" xr:uid="{00000000-0005-0000-0000-000014000000}"/>
    <cellStyle name="Moneda [0] 2 3 2" xfId="38" xr:uid="{00000000-0005-0000-0000-000015000000}"/>
    <cellStyle name="Moneda [0] 2 3 3" xfId="58" xr:uid="{00000000-0005-0000-0000-000016000000}"/>
    <cellStyle name="Moneda [0] 2 3 3 2" xfId="72" xr:uid="{AC880361-0C51-491A-86F9-581FA9D878DF}"/>
    <cellStyle name="Moneda [0] 2 4" xfId="27" xr:uid="{00000000-0005-0000-0000-000017000000}"/>
    <cellStyle name="Moneda [0] 2 4 2" xfId="41" xr:uid="{00000000-0005-0000-0000-000018000000}"/>
    <cellStyle name="Moneda [0] 2 5" xfId="29" xr:uid="{00000000-0005-0000-0000-000019000000}"/>
    <cellStyle name="Moneda [0] 3" xfId="36" xr:uid="{00000000-0005-0000-0000-00001A000000}"/>
    <cellStyle name="Moneda [0] 4" xfId="44" xr:uid="{00000000-0005-0000-0000-00001B000000}"/>
    <cellStyle name="Moneda [0] 5" xfId="50" xr:uid="{00000000-0005-0000-0000-00001C000000}"/>
    <cellStyle name="Moneda 2" xfId="2" xr:uid="{00000000-0005-0000-0000-00001D000000}"/>
    <cellStyle name="Moneda 3" xfId="53" xr:uid="{00000000-0005-0000-0000-00001E000000}"/>
    <cellStyle name="Normal" xfId="0" builtinId="0"/>
    <cellStyle name="Normal 10" xfId="47" xr:uid="{00000000-0005-0000-0000-000020000000}"/>
    <cellStyle name="Normal 11" xfId="55" xr:uid="{00000000-0005-0000-0000-000021000000}"/>
    <cellStyle name="Normal 12 2" xfId="48" xr:uid="{00000000-0005-0000-0000-000022000000}"/>
    <cellStyle name="Normal 2" xfId="5" xr:uid="{00000000-0005-0000-0000-000023000000}"/>
    <cellStyle name="Normal 2 2" xfId="11" xr:uid="{00000000-0005-0000-0000-000024000000}"/>
    <cellStyle name="Normal 3" xfId="8" xr:uid="{00000000-0005-0000-0000-000025000000}"/>
    <cellStyle name="Normal 3 2" xfId="17" xr:uid="{00000000-0005-0000-0000-000026000000}"/>
    <cellStyle name="Normal 3 2 2" xfId="33" xr:uid="{00000000-0005-0000-0000-000027000000}"/>
    <cellStyle name="Normal 3 2 3" xfId="60" xr:uid="{00000000-0005-0000-0000-000028000000}"/>
    <cellStyle name="Normal 3 2 3 2" xfId="66" xr:uid="{00000000-0005-0000-0000-000029000000}"/>
    <cellStyle name="Normal 3 2 3 3" xfId="73" xr:uid="{8189099A-063D-4C7A-9923-6514694FE6DC}"/>
    <cellStyle name="Normal 3 2 4" xfId="64" xr:uid="{00000000-0005-0000-0000-00002A000000}"/>
    <cellStyle name="Normal 3 2 4 2" xfId="70" xr:uid="{00000000-0005-0000-0000-00002B000000}"/>
    <cellStyle name="Normal 3 3" xfId="20" xr:uid="{00000000-0005-0000-0000-00002C000000}"/>
    <cellStyle name="Normal 3 3 2" xfId="37" xr:uid="{00000000-0005-0000-0000-00002D000000}"/>
    <cellStyle name="Normal 3 3 3" xfId="56" xr:uid="{00000000-0005-0000-0000-00002E000000}"/>
    <cellStyle name="Normal 3 3 4" xfId="57" xr:uid="{00000000-0005-0000-0000-00002F000000}"/>
    <cellStyle name="Normal 3 3 4 2" xfId="65" xr:uid="{00000000-0005-0000-0000-000030000000}"/>
    <cellStyle name="Normal 3 3 4 3" xfId="71" xr:uid="{7511719D-F10D-40E5-840C-3AA4144A25CA}"/>
    <cellStyle name="Normal 3 4" xfId="52" xr:uid="{00000000-0005-0000-0000-000031000000}"/>
    <cellStyle name="Normal 4" xfId="9" xr:uid="{00000000-0005-0000-0000-000032000000}"/>
    <cellStyle name="Normal 4 2" xfId="28" xr:uid="{00000000-0005-0000-0000-000033000000}"/>
    <cellStyle name="Normal 5" xfId="10" xr:uid="{00000000-0005-0000-0000-000034000000}"/>
    <cellStyle name="Normal 6" xfId="15" xr:uid="{00000000-0005-0000-0000-000035000000}"/>
    <cellStyle name="Normal 6 2" xfId="31" xr:uid="{00000000-0005-0000-0000-000036000000}"/>
    <cellStyle name="Normal 7" xfId="23" xr:uid="{00000000-0005-0000-0000-000037000000}"/>
    <cellStyle name="Normal 7 2" xfId="40" xr:uid="{00000000-0005-0000-0000-000038000000}"/>
    <cellStyle name="Normal 7 3" xfId="61" xr:uid="{00000000-0005-0000-0000-000039000000}"/>
    <cellStyle name="Normal 7 3 2" xfId="67" xr:uid="{00000000-0005-0000-0000-00003A000000}"/>
    <cellStyle name="Normal 8" xfId="42" xr:uid="{00000000-0005-0000-0000-00003B000000}"/>
    <cellStyle name="Normal 8 2" xfId="62" xr:uid="{00000000-0005-0000-0000-00003C000000}"/>
    <cellStyle name="Normal 8 2 2" xfId="68" xr:uid="{00000000-0005-0000-0000-00003D000000}"/>
    <cellStyle name="Normal 9" xfId="49" xr:uid="{00000000-0005-0000-0000-00003E000000}"/>
    <cellStyle name="Porcentaje" xfId="24" builtinId="5"/>
    <cellStyle name="Porcentaje 2" xfId="4" xr:uid="{00000000-0005-0000-0000-000040000000}"/>
    <cellStyle name="Porcentaje 2 2" xfId="26" xr:uid="{00000000-0005-0000-0000-000041000000}"/>
    <cellStyle name="Porcentaje 3" xfId="6" xr:uid="{00000000-0005-0000-0000-000042000000}"/>
    <cellStyle name="Porcentaje 4" xfId="46" xr:uid="{00000000-0005-0000-0000-000043000000}"/>
    <cellStyle name="Porcentaje 5" xfId="54" xr:uid="{00000000-0005-0000-0000-000044000000}"/>
    <cellStyle name="Texto explicativo" xfId="1" builtinId="53" customBuiltin="1"/>
    <cellStyle name="Texto explicativo 2" xfId="13" xr:uid="{00000000-0005-0000-0000-000046000000}"/>
  </cellStyles>
  <dxfs count="184">
    <dxf>
      <font>
        <b/>
        <i val="0"/>
        <color auto="1"/>
      </font>
      <fill>
        <patternFill>
          <bgColor rgb="FF92D050"/>
        </patternFill>
      </fill>
    </dxf>
    <dxf>
      <font>
        <b/>
        <i val="0"/>
        <color theme="0"/>
      </font>
      <fill>
        <patternFill>
          <bgColor rgb="FFFF0000"/>
        </patternFill>
      </fill>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b/>
        <i val="0"/>
        <color theme="0"/>
      </font>
      <fill>
        <patternFill>
          <bgColor rgb="FF92D050"/>
        </patternFill>
      </fill>
    </dxf>
    <dxf>
      <font>
        <b/>
        <i val="0"/>
      </font>
      <fill>
        <patternFill>
          <bgColor rgb="FFFF0000"/>
        </patternFill>
      </fill>
    </dxf>
    <dxf>
      <font>
        <strike val="0"/>
        <color rgb="FFFF0000"/>
      </font>
    </dxf>
    <dxf>
      <font>
        <strike val="0"/>
        <color rgb="FFFF0000"/>
      </font>
    </dxf>
    <dxf>
      <font>
        <b/>
        <i val="0"/>
        <color theme="0"/>
      </font>
      <fill>
        <patternFill>
          <bgColor theme="9"/>
        </patternFill>
      </fill>
    </dxf>
    <dxf>
      <font>
        <b/>
        <i val="0"/>
        <color auto="1"/>
      </font>
      <fill>
        <patternFill>
          <bgColor rgb="FFC00000"/>
        </patternFill>
      </fill>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b/>
        <i val="0"/>
        <color theme="0"/>
      </font>
      <fill>
        <patternFill>
          <bgColor rgb="FFFF0000"/>
        </patternFill>
      </fill>
    </dxf>
    <dxf>
      <font>
        <b/>
        <i val="0"/>
        <color auto="1"/>
      </font>
      <fill>
        <patternFill>
          <bgColor rgb="FF92D050"/>
        </patternFill>
      </fill>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theme="0"/>
      </font>
      <fill>
        <patternFill>
          <bgColor rgb="FFFF0000"/>
        </patternFill>
      </fill>
    </dxf>
    <dxf>
      <font>
        <color auto="1"/>
      </font>
      <fill>
        <patternFill>
          <bgColor rgb="FF92D05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auto="1"/>
      </font>
      <fill>
        <patternFill>
          <bgColor rgb="FF92D050"/>
        </patternFill>
      </fill>
    </dxf>
    <dxf>
      <font>
        <color theme="0"/>
      </font>
      <fill>
        <patternFill>
          <bgColor rgb="FFFF0000"/>
        </patternFill>
      </fill>
    </dxf>
    <dxf>
      <font>
        <color theme="0"/>
      </font>
      <fill>
        <patternFill>
          <bgColor rgb="FFFF0000"/>
        </patternFill>
      </fill>
    </dxf>
    <dxf>
      <font>
        <color auto="1"/>
      </font>
      <fill>
        <patternFill>
          <bgColor rgb="FF92D05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theme="0"/>
      </font>
      <fill>
        <patternFill>
          <bgColor rgb="FFFF0000"/>
        </patternFill>
      </fill>
    </dxf>
    <dxf>
      <font>
        <color auto="1"/>
      </font>
      <fill>
        <patternFill>
          <bgColor rgb="FF92D05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auto="1"/>
      </font>
      <fill>
        <patternFill>
          <bgColor rgb="FF92D050"/>
        </patternFill>
      </fill>
    </dxf>
    <dxf>
      <font>
        <color theme="0"/>
      </font>
      <fill>
        <patternFill>
          <bgColor rgb="FFFF000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auto="1"/>
      </font>
      <fill>
        <patternFill>
          <bgColor rgb="FF92D050"/>
        </patternFill>
      </fill>
    </dxf>
    <dxf>
      <font>
        <color theme="0"/>
      </font>
      <fill>
        <patternFill>
          <bgColor rgb="FFFF000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auto="1"/>
      </font>
      <fill>
        <patternFill>
          <bgColor rgb="FF92D050"/>
        </patternFill>
      </fill>
    </dxf>
    <dxf>
      <font>
        <color theme="0"/>
      </font>
      <fill>
        <patternFill>
          <bgColor rgb="FFFF000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auto="1"/>
      </font>
      <fill>
        <patternFill>
          <bgColor rgb="FF92D050"/>
        </patternFill>
      </fill>
    </dxf>
    <dxf>
      <font>
        <color theme="0"/>
      </font>
      <fill>
        <patternFill>
          <bgColor rgb="FFFF000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auto="1"/>
      </font>
      <fill>
        <patternFill>
          <bgColor rgb="FF92D050"/>
        </patternFill>
      </fill>
    </dxf>
    <dxf>
      <font>
        <color theme="0"/>
      </font>
      <fill>
        <patternFill>
          <bgColor rgb="FFFF000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b/>
        <i val="0"/>
        <color theme="0"/>
      </font>
      <fill>
        <patternFill>
          <bgColor rgb="FF92D050"/>
        </patternFill>
      </fill>
    </dxf>
    <dxf>
      <font>
        <b/>
        <i val="0"/>
        <color theme="1"/>
      </font>
      <fill>
        <patternFill>
          <bgColor rgb="FFFF0000"/>
        </patternFill>
      </fill>
    </dxf>
    <dxf>
      <font>
        <b/>
        <i val="0"/>
        <color theme="1"/>
      </font>
      <fill>
        <patternFill>
          <bgColor theme="9"/>
        </patternFill>
      </fill>
    </dxf>
    <dxf>
      <font>
        <b/>
        <i val="0"/>
        <color auto="1"/>
      </font>
      <fill>
        <patternFill>
          <bgColor rgb="FFC00000"/>
        </patternFill>
      </fill>
    </dxf>
    <dxf>
      <font>
        <b/>
        <i val="0"/>
        <color theme="0"/>
      </font>
      <fill>
        <patternFill>
          <bgColor rgb="FF92D050"/>
        </patternFill>
      </fill>
    </dxf>
    <dxf>
      <font>
        <b/>
        <i val="0"/>
        <color theme="1"/>
      </font>
      <fill>
        <patternFill>
          <bgColor theme="9"/>
        </patternFill>
      </fill>
    </dxf>
    <dxf>
      <font>
        <b/>
        <i val="0"/>
        <color auto="1"/>
      </font>
      <fill>
        <patternFill>
          <bgColor rgb="FFC00000"/>
        </patternFill>
      </fill>
    </dxf>
    <dxf>
      <font>
        <b/>
        <i val="0"/>
        <color theme="1"/>
      </font>
      <fill>
        <patternFill>
          <bgColor rgb="FFFF0000"/>
        </patternFill>
      </fill>
    </dxf>
    <dxf>
      <font>
        <b/>
        <i val="0"/>
        <color auto="1"/>
      </font>
      <fill>
        <patternFill>
          <bgColor rgb="FFC00000"/>
        </patternFill>
      </fill>
    </dxf>
    <dxf>
      <font>
        <b/>
        <i val="0"/>
        <color theme="1"/>
      </font>
      <fill>
        <patternFill>
          <bgColor theme="9"/>
        </patternFill>
      </fill>
    </dxf>
    <dxf>
      <font>
        <b/>
        <i val="0"/>
        <color theme="1"/>
      </font>
      <fill>
        <patternFill>
          <bgColor rgb="FFFF0000"/>
        </patternFill>
      </fill>
    </dxf>
    <dxf>
      <font>
        <b/>
        <i val="0"/>
        <color theme="0"/>
      </font>
      <fill>
        <patternFill>
          <bgColor rgb="FF92D050"/>
        </patternFill>
      </fill>
    </dxf>
    <dxf>
      <font>
        <b/>
        <i val="0"/>
        <color theme="1"/>
      </font>
      <fill>
        <patternFill>
          <bgColor theme="9"/>
        </patternFill>
      </fill>
    </dxf>
    <dxf>
      <font>
        <b/>
        <i val="0"/>
        <color auto="1"/>
      </font>
      <fill>
        <patternFill>
          <bgColor rgb="FFC00000"/>
        </patternFill>
      </fill>
    </dxf>
    <dxf>
      <font>
        <b/>
        <i val="0"/>
        <color theme="0"/>
      </font>
      <fill>
        <patternFill>
          <bgColor rgb="FF92D050"/>
        </patternFill>
      </fill>
    </dxf>
    <dxf>
      <font>
        <b/>
        <i val="0"/>
        <color theme="1"/>
      </font>
      <fill>
        <patternFill>
          <bgColor rgb="FFFF0000"/>
        </patternFill>
      </fill>
    </dxf>
    <dxf>
      <font>
        <b/>
        <i val="0"/>
        <color theme="1"/>
      </font>
      <fill>
        <patternFill>
          <bgColor rgb="FFFF0000"/>
        </patternFill>
      </fill>
    </dxf>
    <dxf>
      <font>
        <b/>
        <i val="0"/>
        <color theme="1"/>
      </font>
      <fill>
        <patternFill>
          <bgColor theme="9"/>
        </patternFill>
      </fill>
    </dxf>
    <dxf>
      <font>
        <b/>
        <i val="0"/>
        <color auto="1"/>
      </font>
      <fill>
        <patternFill>
          <bgColor rgb="FFC00000"/>
        </patternFill>
      </fill>
    </dxf>
    <dxf>
      <font>
        <b/>
        <i val="0"/>
        <color theme="0"/>
      </font>
      <fill>
        <patternFill>
          <bgColor rgb="FF92D050"/>
        </patternFill>
      </fill>
    </dxf>
    <dxf>
      <font>
        <b/>
        <i val="0"/>
        <color theme="1"/>
      </font>
      <fill>
        <patternFill>
          <bgColor theme="9"/>
        </patternFill>
      </fill>
    </dxf>
    <dxf>
      <font>
        <b/>
        <i val="0"/>
        <color auto="1"/>
      </font>
      <fill>
        <patternFill>
          <bgColor rgb="FFC00000"/>
        </patternFill>
      </fill>
    </dxf>
    <dxf>
      <font>
        <b/>
        <i val="0"/>
        <color theme="1"/>
      </font>
      <fill>
        <patternFill>
          <bgColor rgb="FFFF0000"/>
        </patternFill>
      </fill>
    </dxf>
    <dxf>
      <font>
        <b/>
        <i val="0"/>
        <color theme="0"/>
      </font>
      <fill>
        <patternFill>
          <bgColor rgb="FF92D050"/>
        </patternFill>
      </fill>
    </dxf>
    <dxf>
      <font>
        <b/>
        <i val="0"/>
        <color theme="0"/>
      </font>
      <fill>
        <patternFill>
          <bgColor rgb="FF92D050"/>
        </patternFill>
      </fill>
    </dxf>
    <dxf>
      <font>
        <b/>
        <i val="0"/>
        <color theme="1"/>
      </font>
      <fill>
        <patternFill>
          <bgColor rgb="FFFF0000"/>
        </patternFill>
      </fill>
    </dxf>
    <dxf>
      <font>
        <b/>
        <i val="0"/>
        <color theme="1"/>
      </font>
      <fill>
        <patternFill>
          <bgColor theme="9"/>
        </patternFill>
      </fill>
    </dxf>
    <dxf>
      <font>
        <b/>
        <i val="0"/>
        <color auto="1"/>
      </font>
      <fill>
        <patternFill>
          <bgColor rgb="FFC00000"/>
        </patternFill>
      </fill>
    </dxf>
    <dxf>
      <font>
        <b/>
        <i val="0"/>
        <color theme="0"/>
      </font>
      <fill>
        <patternFill>
          <bgColor rgb="FF92D050"/>
        </patternFill>
      </fill>
    </dxf>
    <dxf>
      <font>
        <b/>
        <i val="0"/>
        <color theme="1"/>
      </font>
      <fill>
        <patternFill>
          <bgColor rgb="FFFF0000"/>
        </patternFill>
      </fill>
    </dxf>
    <dxf>
      <font>
        <b/>
        <i val="0"/>
        <color theme="1"/>
      </font>
      <fill>
        <patternFill>
          <bgColor theme="9"/>
        </patternFill>
      </fill>
    </dxf>
    <dxf>
      <font>
        <b/>
        <i val="0"/>
        <color auto="1"/>
      </font>
      <fill>
        <patternFill>
          <bgColor rgb="FFC0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0AD47"/>
      <rgbColor rgb="FFADB9CA"/>
      <rgbColor rgb="FF993366"/>
      <rgbColor rgb="FFFFFFCC"/>
      <rgbColor rgb="FFCCFFFF"/>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B3B3B3"/>
      <rgbColor rgb="FFFFCC99"/>
      <rgbColor rgb="FF3366FF"/>
      <rgbColor rgb="FF33CCCC"/>
      <rgbColor rgb="FF92D050"/>
      <rgbColor rgb="FFFFCC00"/>
      <rgbColor rgb="FFFF9900"/>
      <rgbColor rgb="FFFF6600"/>
      <rgbColor rgb="FF585858"/>
      <rgbColor rgb="FFAFABAB"/>
      <rgbColor rgb="FF003366"/>
      <rgbColor rgb="FF579D1C"/>
      <rgbColor rgb="FF003300"/>
      <rgbColor rgb="FF333300"/>
      <rgbColor rgb="FF993300"/>
      <rgbColor rgb="FF993366"/>
      <rgbColor rgb="FF44546A"/>
      <rgbColor rgb="FF4E4D4D"/>
      <rgbColor rgb="00003366"/>
      <rgbColor rgb="00339966"/>
      <rgbColor rgb="00003300"/>
      <rgbColor rgb="00333300"/>
      <rgbColor rgb="00993300"/>
      <rgbColor rgb="00993366"/>
      <rgbColor rgb="00333399"/>
      <rgbColor rgb="00333333"/>
    </indexed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58033</xdr:rowOff>
    </xdr:from>
    <xdr:to>
      <xdr:col>1</xdr:col>
      <xdr:colOff>3971925</xdr:colOff>
      <xdr:row>8</xdr:row>
      <xdr:rowOff>48508</xdr:rowOff>
    </xdr:to>
    <xdr:pic>
      <xdr:nvPicPr>
        <xdr:cNvPr id="4" name="Imagen 3">
          <a:extLst>
            <a:ext uri="{FF2B5EF4-FFF2-40B4-BE49-F238E27FC236}">
              <a16:creationId xmlns:a16="http://schemas.microsoft.com/office/drawing/2014/main" id="{1DC73E3D-5CD4-2DCB-61B6-DA808CB35A00}"/>
            </a:ext>
            <a:ext uri="{147F2762-F138-4A5C-976F-8EAC2B608ADB}">
              <a16:predDERef xmlns:a16="http://schemas.microsoft.com/office/drawing/2014/main" pred="{67CD05A6-8FA1-4FED-AA48-3F0C661ED086}"/>
            </a:ext>
          </a:extLst>
        </xdr:cNvPr>
        <xdr:cNvPicPr>
          <a:picLocks noChangeAspect="1"/>
        </xdr:cNvPicPr>
      </xdr:nvPicPr>
      <xdr:blipFill>
        <a:blip xmlns:r="http://schemas.openxmlformats.org/officeDocument/2006/relationships" r:embed="rId1"/>
        <a:stretch>
          <a:fillRect/>
        </a:stretch>
      </xdr:blipFill>
      <xdr:spPr>
        <a:xfrm>
          <a:off x="0" y="814141"/>
          <a:ext cx="4570920" cy="1070630"/>
        </a:xfrm>
        <a:prstGeom prst="rect">
          <a:avLst/>
        </a:prstGeom>
      </xdr:spPr>
    </xdr:pic>
    <xdr:clientData/>
  </xdr:twoCellAnchor>
  <xdr:twoCellAnchor>
    <xdr:from>
      <xdr:col>0</xdr:col>
      <xdr:colOff>22094</xdr:colOff>
      <xdr:row>6</xdr:row>
      <xdr:rowOff>214656</xdr:rowOff>
    </xdr:from>
    <xdr:to>
      <xdr:col>1</xdr:col>
      <xdr:colOff>3946394</xdr:colOff>
      <xdr:row>7</xdr:row>
      <xdr:rowOff>186081</xdr:rowOff>
    </xdr:to>
    <xdr:sp macro="" textlink="">
      <xdr:nvSpPr>
        <xdr:cNvPr id="2" name="Rectángulo 2">
          <a:extLst>
            <a:ext uri="{FF2B5EF4-FFF2-40B4-BE49-F238E27FC236}">
              <a16:creationId xmlns:a16="http://schemas.microsoft.com/office/drawing/2014/main" id="{19B44AA0-A499-4058-A041-628FD336FF3D}"/>
            </a:ext>
            <a:ext uri="{147F2762-F138-4A5C-976F-8EAC2B608ADB}">
              <a16:predDERef xmlns:a16="http://schemas.microsoft.com/office/drawing/2014/main" pred="{1DC73E3D-5CD4-2DCB-61B6-DA808CB35A00}"/>
            </a:ext>
          </a:extLst>
        </xdr:cNvPr>
        <xdr:cNvSpPr/>
      </xdr:nvSpPr>
      <xdr:spPr>
        <a:xfrm>
          <a:off x="22094" y="1633881"/>
          <a:ext cx="4524375" cy="19050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78556</xdr:colOff>
      <xdr:row>16</xdr:row>
      <xdr:rowOff>0</xdr:rowOff>
    </xdr:from>
    <xdr:to>
      <xdr:col>8</xdr:col>
      <xdr:colOff>559717</xdr:colOff>
      <xdr:row>17</xdr:row>
      <xdr:rowOff>0</xdr:rowOff>
    </xdr:to>
    <xdr:sp macro="" textlink="">
      <xdr:nvSpPr>
        <xdr:cNvPr id="5" name="Rectángulo 4">
          <a:extLst>
            <a:ext uri="{FF2B5EF4-FFF2-40B4-BE49-F238E27FC236}">
              <a16:creationId xmlns:a16="http://schemas.microsoft.com/office/drawing/2014/main" id="{778F6ED7-4682-6C7A-93F7-B16C66842961}"/>
            </a:ext>
          </a:extLst>
        </xdr:cNvPr>
        <xdr:cNvSpPr/>
      </xdr:nvSpPr>
      <xdr:spPr>
        <a:xfrm>
          <a:off x="11292525" y="4841056"/>
          <a:ext cx="2661110" cy="314228"/>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editAs="oneCell">
    <xdr:from>
      <xdr:col>6</xdr:col>
      <xdr:colOff>609599</xdr:colOff>
      <xdr:row>4</xdr:row>
      <xdr:rowOff>161925</xdr:rowOff>
    </xdr:from>
    <xdr:to>
      <xdr:col>11</xdr:col>
      <xdr:colOff>367392</xdr:colOff>
      <xdr:row>25</xdr:row>
      <xdr:rowOff>124854</xdr:rowOff>
    </xdr:to>
    <xdr:pic>
      <xdr:nvPicPr>
        <xdr:cNvPr id="7" name="Imagen 1">
          <a:extLst>
            <a:ext uri="{FF2B5EF4-FFF2-40B4-BE49-F238E27FC236}">
              <a16:creationId xmlns:a16="http://schemas.microsoft.com/office/drawing/2014/main" id="{5F1557E1-4EA9-A38E-7A09-418E705BE6F4}"/>
            </a:ext>
            <a:ext uri="{147F2762-F138-4A5C-976F-8EAC2B608ADB}">
              <a16:predDERef xmlns:a16="http://schemas.microsoft.com/office/drawing/2014/main" pred="{EFF409F8-8BA9-8CA5-4F55-5424E2DE7F58}"/>
            </a:ext>
          </a:extLst>
        </xdr:cNvPr>
        <xdr:cNvPicPr>
          <a:picLocks noChangeAspect="1"/>
        </xdr:cNvPicPr>
      </xdr:nvPicPr>
      <xdr:blipFill>
        <a:blip xmlns:r="http://schemas.openxmlformats.org/officeDocument/2006/relationships" r:embed="rId2"/>
        <a:stretch>
          <a:fillRect/>
        </a:stretch>
      </xdr:blipFill>
      <xdr:spPr>
        <a:xfrm>
          <a:off x="12964885" y="1128032"/>
          <a:ext cx="5568043" cy="5256108"/>
        </a:xfrm>
        <a:prstGeom prst="rect">
          <a:avLst/>
        </a:prstGeom>
      </xdr:spPr>
    </xdr:pic>
    <xdr:clientData/>
  </xdr:twoCellAnchor>
  <xdr:twoCellAnchor>
    <xdr:from>
      <xdr:col>6</xdr:col>
      <xdr:colOff>747032</xdr:colOff>
      <xdr:row>11</xdr:row>
      <xdr:rowOff>202184</xdr:rowOff>
    </xdr:from>
    <xdr:to>
      <xdr:col>8</xdr:col>
      <xdr:colOff>571500</xdr:colOff>
      <xdr:row>15</xdr:row>
      <xdr:rowOff>81642</xdr:rowOff>
    </xdr:to>
    <xdr:sp macro="" textlink="">
      <xdr:nvSpPr>
        <xdr:cNvPr id="31" name="Rectángulo 5">
          <a:extLst>
            <a:ext uri="{FF2B5EF4-FFF2-40B4-BE49-F238E27FC236}">
              <a16:creationId xmlns:a16="http://schemas.microsoft.com/office/drawing/2014/main" id="{16A71219-E85C-49AE-A386-6ACC94414F45}"/>
            </a:ext>
            <a:ext uri="{147F2762-F138-4A5C-976F-8EAC2B608ADB}">
              <a16:predDERef xmlns:a16="http://schemas.microsoft.com/office/drawing/2014/main" pred="{5F1557E1-4EA9-A38E-7A09-418E705BE6F4}"/>
            </a:ext>
          </a:extLst>
        </xdr:cNvPr>
        <xdr:cNvSpPr/>
      </xdr:nvSpPr>
      <xdr:spPr>
        <a:xfrm>
          <a:off x="13102318" y="3413470"/>
          <a:ext cx="2763611" cy="750315"/>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endParaRPr lang="es-CO" sz="1100"/>
        </a:p>
      </xdr:txBody>
    </xdr:sp>
    <xdr:clientData/>
  </xdr:twoCellAnchor>
  <xdr:twoCellAnchor editAs="oneCell">
    <xdr:from>
      <xdr:col>1</xdr:col>
      <xdr:colOff>4248150</xdr:colOff>
      <xdr:row>3</xdr:row>
      <xdr:rowOff>85725</xdr:rowOff>
    </xdr:from>
    <xdr:to>
      <xdr:col>3</xdr:col>
      <xdr:colOff>219075</xdr:colOff>
      <xdr:row>8</xdr:row>
      <xdr:rowOff>133350</xdr:rowOff>
    </xdr:to>
    <xdr:pic>
      <xdr:nvPicPr>
        <xdr:cNvPr id="19" name="Imagen 7">
          <a:extLst>
            <a:ext uri="{FF2B5EF4-FFF2-40B4-BE49-F238E27FC236}">
              <a16:creationId xmlns:a16="http://schemas.microsoft.com/office/drawing/2014/main" id="{5B41DF7B-0198-941E-4915-2B8761F10256}"/>
            </a:ext>
            <a:ext uri="{147F2762-F138-4A5C-976F-8EAC2B608ADB}">
              <a16:predDERef xmlns:a16="http://schemas.microsoft.com/office/drawing/2014/main" pred="{16A71219-E85C-49AE-A386-6ACC94414F45}"/>
            </a:ext>
          </a:extLst>
        </xdr:cNvPr>
        <xdr:cNvPicPr>
          <a:picLocks noChangeAspect="1"/>
        </xdr:cNvPicPr>
      </xdr:nvPicPr>
      <xdr:blipFill>
        <a:blip xmlns:r="http://schemas.openxmlformats.org/officeDocument/2006/relationships" r:embed="rId3"/>
        <a:stretch>
          <a:fillRect/>
        </a:stretch>
      </xdr:blipFill>
      <xdr:spPr>
        <a:xfrm>
          <a:off x="4848225" y="847725"/>
          <a:ext cx="2343150" cy="1143000"/>
        </a:xfrm>
        <a:prstGeom prst="rect">
          <a:avLst/>
        </a:prstGeom>
      </xdr:spPr>
    </xdr:pic>
    <xdr:clientData/>
  </xdr:twoCellAnchor>
  <xdr:twoCellAnchor editAs="oneCell">
    <xdr:from>
      <xdr:col>3</xdr:col>
      <xdr:colOff>942975</xdr:colOff>
      <xdr:row>3</xdr:row>
      <xdr:rowOff>38100</xdr:rowOff>
    </xdr:from>
    <xdr:to>
      <xdr:col>5</xdr:col>
      <xdr:colOff>714375</xdr:colOff>
      <xdr:row>6</xdr:row>
      <xdr:rowOff>104775</xdr:rowOff>
    </xdr:to>
    <xdr:pic>
      <xdr:nvPicPr>
        <xdr:cNvPr id="29" name="Imagen 8">
          <a:extLst>
            <a:ext uri="{FF2B5EF4-FFF2-40B4-BE49-F238E27FC236}">
              <a16:creationId xmlns:a16="http://schemas.microsoft.com/office/drawing/2014/main" id="{E06EC98E-1E4A-8BC1-3281-38582FDCA6F0}"/>
            </a:ext>
            <a:ext uri="{147F2762-F138-4A5C-976F-8EAC2B608ADB}">
              <a16:predDERef xmlns:a16="http://schemas.microsoft.com/office/drawing/2014/main" pred="{5B41DF7B-0198-941E-4915-2B8761F10256}"/>
            </a:ext>
          </a:extLst>
        </xdr:cNvPr>
        <xdr:cNvPicPr>
          <a:picLocks noChangeAspect="1"/>
        </xdr:cNvPicPr>
      </xdr:nvPicPr>
      <xdr:blipFill>
        <a:blip xmlns:r="http://schemas.openxmlformats.org/officeDocument/2006/relationships" r:embed="rId4"/>
        <a:stretch>
          <a:fillRect/>
        </a:stretch>
      </xdr:blipFill>
      <xdr:spPr>
        <a:xfrm>
          <a:off x="7610475" y="800100"/>
          <a:ext cx="2600325" cy="723900"/>
        </a:xfrm>
        <a:prstGeom prst="rect">
          <a:avLst/>
        </a:prstGeom>
      </xdr:spPr>
    </xdr:pic>
    <xdr:clientData/>
  </xdr:twoCellAnchor>
  <xdr:twoCellAnchor editAs="oneCell">
    <xdr:from>
      <xdr:col>3</xdr:col>
      <xdr:colOff>933450</xdr:colOff>
      <xdr:row>6</xdr:row>
      <xdr:rowOff>133350</xdr:rowOff>
    </xdr:from>
    <xdr:to>
      <xdr:col>5</xdr:col>
      <xdr:colOff>704850</xdr:colOff>
      <xdr:row>8</xdr:row>
      <xdr:rowOff>66675</xdr:rowOff>
    </xdr:to>
    <xdr:pic>
      <xdr:nvPicPr>
        <xdr:cNvPr id="30" name="Imagen 11">
          <a:extLst>
            <a:ext uri="{FF2B5EF4-FFF2-40B4-BE49-F238E27FC236}">
              <a16:creationId xmlns:a16="http://schemas.microsoft.com/office/drawing/2014/main" id="{BBF66F62-311E-037B-F9E3-3A4F6CC23659}"/>
            </a:ext>
            <a:ext uri="{147F2762-F138-4A5C-976F-8EAC2B608ADB}">
              <a16:predDERef xmlns:a16="http://schemas.microsoft.com/office/drawing/2014/main" pred="{E06EC98E-1E4A-8BC1-3281-38582FDCA6F0}"/>
            </a:ext>
          </a:extLst>
        </xdr:cNvPr>
        <xdr:cNvPicPr>
          <a:picLocks noChangeAspect="1"/>
        </xdr:cNvPicPr>
      </xdr:nvPicPr>
      <xdr:blipFill>
        <a:blip xmlns:r="http://schemas.openxmlformats.org/officeDocument/2006/relationships" r:embed="rId5"/>
        <a:stretch>
          <a:fillRect/>
        </a:stretch>
      </xdr:blipFill>
      <xdr:spPr>
        <a:xfrm>
          <a:off x="7600950" y="1552575"/>
          <a:ext cx="2600325" cy="3714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1062959</xdr:colOff>
      <xdr:row>0</xdr:row>
      <xdr:rowOff>95250</xdr:rowOff>
    </xdr:from>
    <xdr:to>
      <xdr:col>10</xdr:col>
      <xdr:colOff>153026</xdr:colOff>
      <xdr:row>4</xdr:row>
      <xdr:rowOff>430644</xdr:rowOff>
    </xdr:to>
    <xdr:pic>
      <xdr:nvPicPr>
        <xdr:cNvPr id="2" name="Imagen 1">
          <a:extLst>
            <a:ext uri="{FF2B5EF4-FFF2-40B4-BE49-F238E27FC236}">
              <a16:creationId xmlns:a16="http://schemas.microsoft.com/office/drawing/2014/main" id="{D88941E2-876F-5202-DD92-747DB11F2ADF}"/>
            </a:ext>
          </a:extLst>
        </xdr:cNvPr>
        <xdr:cNvPicPr>
          <a:picLocks noChangeAspect="1"/>
        </xdr:cNvPicPr>
      </xdr:nvPicPr>
      <xdr:blipFill>
        <a:blip xmlns:r="http://schemas.openxmlformats.org/officeDocument/2006/relationships" r:embed="rId1"/>
        <a:stretch>
          <a:fillRect/>
        </a:stretch>
      </xdr:blipFill>
      <xdr:spPr>
        <a:xfrm>
          <a:off x="13894495" y="95250"/>
          <a:ext cx="5281317" cy="2621394"/>
        </a:xfrm>
        <a:prstGeom prst="rect">
          <a:avLst/>
        </a:prstGeom>
      </xdr:spPr>
    </xdr:pic>
    <xdr:clientData/>
  </xdr:twoCellAnchor>
  <xdr:twoCellAnchor editAs="oneCell">
    <xdr:from>
      <xdr:col>3</xdr:col>
      <xdr:colOff>1034143</xdr:colOff>
      <xdr:row>0</xdr:row>
      <xdr:rowOff>95250</xdr:rowOff>
    </xdr:from>
    <xdr:to>
      <xdr:col>6</xdr:col>
      <xdr:colOff>1006929</xdr:colOff>
      <xdr:row>4</xdr:row>
      <xdr:rowOff>334893</xdr:rowOff>
    </xdr:to>
    <xdr:pic>
      <xdr:nvPicPr>
        <xdr:cNvPr id="4" name="Imagen 3">
          <a:extLst>
            <a:ext uri="{FF2B5EF4-FFF2-40B4-BE49-F238E27FC236}">
              <a16:creationId xmlns:a16="http://schemas.microsoft.com/office/drawing/2014/main" id="{57EE0E4D-C824-9D60-AA45-5365DFFB941A}"/>
            </a:ext>
          </a:extLst>
        </xdr:cNvPr>
        <xdr:cNvPicPr>
          <a:picLocks noChangeAspect="1"/>
        </xdr:cNvPicPr>
      </xdr:nvPicPr>
      <xdr:blipFill>
        <a:blip xmlns:r="http://schemas.openxmlformats.org/officeDocument/2006/relationships" r:embed="rId2"/>
        <a:stretch>
          <a:fillRect/>
        </a:stretch>
      </xdr:blipFill>
      <xdr:spPr>
        <a:xfrm>
          <a:off x="8327572" y="95250"/>
          <a:ext cx="4898571" cy="252564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49"/>
  <sheetViews>
    <sheetView zoomScale="85" zoomScaleNormal="85" workbookViewId="0">
      <pane xSplit="1" ySplit="3" topLeftCell="D4" activePane="bottomRight" state="frozen"/>
      <selection pane="topRight"/>
      <selection pane="bottomLeft"/>
      <selection pane="bottomRight" activeCell="A2" sqref="A2:I2"/>
    </sheetView>
  </sheetViews>
  <sheetFormatPr baseColWidth="10" defaultColWidth="11.42578125" defaultRowHeight="15"/>
  <cols>
    <col min="1" max="1" width="8.140625" customWidth="1"/>
    <col min="2" max="2" width="56.28515625" style="59" customWidth="1"/>
    <col min="3" max="3" width="39.42578125" style="59" customWidth="1"/>
    <col min="4" max="4" width="36.140625" style="60" customWidth="1"/>
    <col min="5" max="5" width="75.7109375" style="102" customWidth="1"/>
    <col min="6" max="6" width="65.140625" style="59" customWidth="1"/>
    <col min="7" max="7" width="45.28515625" style="59" customWidth="1"/>
    <col min="8" max="8" width="43.42578125" customWidth="1"/>
    <col min="9" max="9" width="66.7109375" bestFit="1" customWidth="1"/>
  </cols>
  <sheetData>
    <row r="1" spans="1:9" ht="28.5" customHeight="1" thickBot="1">
      <c r="A1" s="365" t="s">
        <v>0</v>
      </c>
      <c r="B1" s="366"/>
      <c r="C1" s="366"/>
      <c r="D1" s="366"/>
      <c r="E1" s="366"/>
      <c r="F1" s="366"/>
      <c r="G1" s="366"/>
      <c r="H1" s="366"/>
      <c r="I1" s="367"/>
    </row>
    <row r="2" spans="1:9" ht="44.25" customHeight="1" thickBot="1">
      <c r="A2" s="368" t="s">
        <v>1</v>
      </c>
      <c r="B2" s="369"/>
      <c r="C2" s="369"/>
      <c r="D2" s="369"/>
      <c r="E2" s="369"/>
      <c r="F2" s="369"/>
      <c r="G2" s="369"/>
      <c r="H2" s="369"/>
      <c r="I2" s="370"/>
    </row>
    <row r="3" spans="1:9" ht="21">
      <c r="A3" s="157" t="s">
        <v>2</v>
      </c>
      <c r="B3" s="158" t="s">
        <v>3</v>
      </c>
      <c r="C3" s="158" t="s">
        <v>4</v>
      </c>
      <c r="D3" s="158" t="s">
        <v>5</v>
      </c>
      <c r="E3" s="159" t="s">
        <v>6</v>
      </c>
      <c r="F3" s="160" t="s">
        <v>7</v>
      </c>
      <c r="G3" s="161" t="s">
        <v>8</v>
      </c>
      <c r="H3" s="162" t="s">
        <v>9</v>
      </c>
      <c r="I3" s="163" t="s">
        <v>10</v>
      </c>
    </row>
    <row r="4" spans="1:9" s="25" customFormat="1" ht="105">
      <c r="A4" s="246">
        <v>1</v>
      </c>
      <c r="B4" s="352" t="s">
        <v>11</v>
      </c>
      <c r="C4" s="245" t="s">
        <v>12</v>
      </c>
      <c r="D4" s="245" t="s">
        <v>13</v>
      </c>
      <c r="E4" s="353" t="s">
        <v>14</v>
      </c>
      <c r="F4" s="245" t="s">
        <v>15</v>
      </c>
      <c r="G4" s="245"/>
      <c r="H4" s="245"/>
      <c r="I4" s="352" t="s">
        <v>16</v>
      </c>
    </row>
    <row r="5" spans="1:9">
      <c r="A5" s="246">
        <f>+A4+1</f>
        <v>2</v>
      </c>
      <c r="B5" s="354" t="s">
        <v>17</v>
      </c>
      <c r="C5" s="355" t="s">
        <v>18</v>
      </c>
      <c r="D5" s="354" t="s">
        <v>13</v>
      </c>
      <c r="E5" s="354" t="s">
        <v>19</v>
      </c>
      <c r="F5" s="356" t="s">
        <v>20</v>
      </c>
      <c r="G5" s="245"/>
      <c r="H5" s="245"/>
      <c r="I5" s="245"/>
    </row>
    <row r="6" spans="1:9">
      <c r="A6" s="246">
        <f t="shared" ref="A6:A48" si="0">+A5+1</f>
        <v>3</v>
      </c>
      <c r="B6" s="355" t="s">
        <v>21</v>
      </c>
      <c r="C6" s="355" t="s">
        <v>22</v>
      </c>
      <c r="D6" s="355" t="s">
        <v>23</v>
      </c>
      <c r="E6" s="355" t="s">
        <v>24</v>
      </c>
      <c r="F6" s="355"/>
      <c r="G6" s="245"/>
      <c r="H6" s="245"/>
      <c r="I6" s="245"/>
    </row>
    <row r="7" spans="1:9">
      <c r="A7" s="246">
        <f t="shared" si="0"/>
        <v>4</v>
      </c>
      <c r="B7" s="357" t="s">
        <v>25</v>
      </c>
      <c r="C7" s="358" t="s">
        <v>26</v>
      </c>
      <c r="D7" s="357" t="s">
        <v>23</v>
      </c>
      <c r="E7" s="357" t="s">
        <v>27</v>
      </c>
      <c r="F7" s="359"/>
      <c r="G7" s="359"/>
      <c r="H7" s="360"/>
      <c r="I7" s="360"/>
    </row>
    <row r="8" spans="1:9">
      <c r="A8" s="246">
        <f t="shared" si="0"/>
        <v>5</v>
      </c>
      <c r="B8" s="245" t="s">
        <v>28</v>
      </c>
      <c r="C8" s="245" t="s">
        <v>29</v>
      </c>
      <c r="D8" s="354" t="s">
        <v>23</v>
      </c>
      <c r="E8" s="245" t="s">
        <v>30</v>
      </c>
      <c r="F8" s="245"/>
      <c r="G8" s="245"/>
      <c r="H8" s="245"/>
      <c r="I8" s="245"/>
    </row>
    <row r="9" spans="1:9">
      <c r="A9" s="246">
        <f t="shared" si="0"/>
        <v>6</v>
      </c>
      <c r="B9" s="352" t="s">
        <v>31</v>
      </c>
      <c r="C9" s="245" t="s">
        <v>32</v>
      </c>
      <c r="D9" s="245" t="s">
        <v>33</v>
      </c>
      <c r="E9" s="245" t="s">
        <v>34</v>
      </c>
      <c r="F9" s="245" t="s">
        <v>35</v>
      </c>
      <c r="G9" s="245"/>
      <c r="H9" s="245"/>
      <c r="I9" s="245"/>
    </row>
    <row r="10" spans="1:9">
      <c r="A10" s="246">
        <f t="shared" si="0"/>
        <v>7</v>
      </c>
      <c r="B10" s="245" t="s">
        <v>36</v>
      </c>
      <c r="C10" s="245" t="s">
        <v>37</v>
      </c>
      <c r="D10" s="354" t="s">
        <v>23</v>
      </c>
      <c r="E10" s="245" t="s">
        <v>38</v>
      </c>
      <c r="F10" s="245"/>
      <c r="G10" s="245"/>
      <c r="H10" s="245"/>
      <c r="I10" s="245"/>
    </row>
    <row r="11" spans="1:9">
      <c r="A11" s="246">
        <f t="shared" si="0"/>
        <v>8</v>
      </c>
      <c r="B11" s="245" t="s">
        <v>39</v>
      </c>
      <c r="C11" s="245" t="s">
        <v>40</v>
      </c>
      <c r="D11" s="245" t="s">
        <v>23</v>
      </c>
      <c r="E11" s="245" t="s">
        <v>41</v>
      </c>
      <c r="F11" s="245"/>
      <c r="G11" s="245"/>
      <c r="H11" s="245"/>
      <c r="I11" s="245"/>
    </row>
    <row r="12" spans="1:9">
      <c r="A12" s="246">
        <f t="shared" si="0"/>
        <v>9</v>
      </c>
      <c r="B12" s="352" t="s">
        <v>42</v>
      </c>
      <c r="C12" s="245" t="s">
        <v>43</v>
      </c>
      <c r="D12" s="245" t="s">
        <v>33</v>
      </c>
      <c r="E12" s="245" t="s">
        <v>44</v>
      </c>
      <c r="F12" s="245" t="s">
        <v>45</v>
      </c>
      <c r="G12" s="245" t="s">
        <v>46</v>
      </c>
      <c r="H12" s="245"/>
      <c r="I12" s="245"/>
    </row>
    <row r="13" spans="1:9">
      <c r="A13" s="246">
        <f t="shared" si="0"/>
        <v>10</v>
      </c>
      <c r="B13" s="245" t="s">
        <v>47</v>
      </c>
      <c r="C13" s="245" t="s">
        <v>48</v>
      </c>
      <c r="D13" s="354" t="s">
        <v>23</v>
      </c>
      <c r="E13" s="245" t="s">
        <v>49</v>
      </c>
      <c r="F13" s="245"/>
      <c r="G13" s="245"/>
      <c r="H13" s="245"/>
      <c r="I13" s="245"/>
    </row>
    <row r="14" spans="1:9">
      <c r="A14" s="246">
        <f t="shared" si="0"/>
        <v>11</v>
      </c>
      <c r="B14" s="245" t="s">
        <v>50</v>
      </c>
      <c r="C14" s="245" t="s">
        <v>51</v>
      </c>
      <c r="D14" s="245" t="s">
        <v>33</v>
      </c>
      <c r="E14" s="245" t="s">
        <v>52</v>
      </c>
      <c r="F14" s="245" t="s">
        <v>53</v>
      </c>
      <c r="G14" s="245"/>
      <c r="H14" s="245"/>
      <c r="I14" s="245"/>
    </row>
    <row r="15" spans="1:9">
      <c r="A15" s="246">
        <f t="shared" si="0"/>
        <v>12</v>
      </c>
      <c r="B15" s="245" t="s">
        <v>54</v>
      </c>
      <c r="C15" s="245" t="s">
        <v>55</v>
      </c>
      <c r="D15" s="245" t="s">
        <v>23</v>
      </c>
      <c r="E15" s="245" t="s">
        <v>56</v>
      </c>
      <c r="F15" s="245" t="s">
        <v>57</v>
      </c>
      <c r="G15" s="245"/>
      <c r="H15" s="245"/>
      <c r="I15" s="245"/>
    </row>
    <row r="16" spans="1:9" ht="105">
      <c r="A16" s="246">
        <f t="shared" si="0"/>
        <v>13</v>
      </c>
      <c r="B16" s="245" t="s">
        <v>58</v>
      </c>
      <c r="C16" s="245" t="s">
        <v>59</v>
      </c>
      <c r="D16" s="245" t="s">
        <v>33</v>
      </c>
      <c r="E16" s="245" t="s">
        <v>488</v>
      </c>
      <c r="F16" s="245" t="s">
        <v>487</v>
      </c>
      <c r="G16" s="245"/>
      <c r="H16" s="245"/>
      <c r="I16" s="352" t="s">
        <v>60</v>
      </c>
    </row>
    <row r="17" spans="1:9">
      <c r="A17" s="246">
        <f t="shared" si="0"/>
        <v>14</v>
      </c>
      <c r="B17" s="245" t="s">
        <v>61</v>
      </c>
      <c r="C17" s="245" t="s">
        <v>62</v>
      </c>
      <c r="D17" s="245" t="s">
        <v>23</v>
      </c>
      <c r="E17" s="245" t="s">
        <v>63</v>
      </c>
      <c r="F17" s="245" t="s">
        <v>57</v>
      </c>
      <c r="G17" s="245"/>
      <c r="H17" s="245"/>
      <c r="I17" s="245"/>
    </row>
    <row r="18" spans="1:9">
      <c r="A18" s="246">
        <f t="shared" si="0"/>
        <v>15</v>
      </c>
      <c r="B18" s="245" t="s">
        <v>64</v>
      </c>
      <c r="C18" s="245" t="s">
        <v>65</v>
      </c>
      <c r="D18" s="245" t="s">
        <v>23</v>
      </c>
      <c r="E18" s="245" t="s">
        <v>66</v>
      </c>
      <c r="F18" s="245" t="s">
        <v>57</v>
      </c>
      <c r="G18" s="245"/>
      <c r="H18" s="245"/>
      <c r="I18" s="245"/>
    </row>
    <row r="19" spans="1:9">
      <c r="A19" s="246">
        <f t="shared" si="0"/>
        <v>16</v>
      </c>
      <c r="B19" s="245" t="s">
        <v>67</v>
      </c>
      <c r="C19" s="245" t="s">
        <v>68</v>
      </c>
      <c r="D19" s="245" t="s">
        <v>13</v>
      </c>
      <c r="E19" s="245" t="s">
        <v>69</v>
      </c>
      <c r="F19" s="245" t="s">
        <v>70</v>
      </c>
      <c r="G19" s="245"/>
      <c r="H19" s="245"/>
      <c r="I19" s="245"/>
    </row>
    <row r="20" spans="1:9">
      <c r="A20" s="246">
        <f t="shared" si="0"/>
        <v>17</v>
      </c>
      <c r="B20" s="245" t="s">
        <v>71</v>
      </c>
      <c r="C20" s="245" t="s">
        <v>72</v>
      </c>
      <c r="D20" s="245" t="s">
        <v>13</v>
      </c>
      <c r="E20" s="245" t="s">
        <v>73</v>
      </c>
      <c r="F20" s="245" t="s">
        <v>74</v>
      </c>
      <c r="G20" s="245"/>
      <c r="H20" s="245"/>
      <c r="I20" s="245"/>
    </row>
    <row r="21" spans="1:9">
      <c r="A21" s="246">
        <f t="shared" si="0"/>
        <v>18</v>
      </c>
      <c r="B21" s="245" t="s">
        <v>75</v>
      </c>
      <c r="C21" s="245" t="s">
        <v>76</v>
      </c>
      <c r="D21" s="245" t="s">
        <v>13</v>
      </c>
      <c r="E21" s="245" t="s">
        <v>77</v>
      </c>
      <c r="F21" s="245" t="s">
        <v>78</v>
      </c>
      <c r="G21" s="245"/>
      <c r="H21" s="245"/>
      <c r="I21" s="245"/>
    </row>
    <row r="22" spans="1:9">
      <c r="A22" s="246">
        <f t="shared" si="0"/>
        <v>19</v>
      </c>
      <c r="B22" s="245" t="s">
        <v>79</v>
      </c>
      <c r="C22" s="245" t="s">
        <v>80</v>
      </c>
      <c r="D22" s="245" t="s">
        <v>23</v>
      </c>
      <c r="E22" s="245" t="s">
        <v>81</v>
      </c>
      <c r="F22" s="245"/>
      <c r="G22" s="245"/>
      <c r="H22" s="245"/>
      <c r="I22" s="245"/>
    </row>
    <row r="23" spans="1:9">
      <c r="A23" s="246">
        <f>+A22+1</f>
        <v>20</v>
      </c>
      <c r="B23" s="245" t="s">
        <v>82</v>
      </c>
      <c r="C23" s="245" t="s">
        <v>83</v>
      </c>
      <c r="D23" s="245" t="s">
        <v>13</v>
      </c>
      <c r="E23" s="245" t="s">
        <v>84</v>
      </c>
      <c r="F23" s="352" t="s">
        <v>85</v>
      </c>
      <c r="G23" s="245" t="s">
        <v>57</v>
      </c>
      <c r="H23" s="245"/>
      <c r="I23" s="245"/>
    </row>
    <row r="24" spans="1:9">
      <c r="A24" s="246">
        <f t="shared" si="0"/>
        <v>21</v>
      </c>
      <c r="B24" s="352" t="s">
        <v>86</v>
      </c>
      <c r="C24" s="245" t="s">
        <v>87</v>
      </c>
      <c r="D24" s="245" t="s">
        <v>13</v>
      </c>
      <c r="E24" s="245" t="s">
        <v>88</v>
      </c>
      <c r="F24" s="245" t="s">
        <v>89</v>
      </c>
      <c r="G24" s="245" t="s">
        <v>57</v>
      </c>
      <c r="H24" s="245"/>
      <c r="I24" s="245"/>
    </row>
    <row r="25" spans="1:9">
      <c r="A25" s="246">
        <f t="shared" si="0"/>
        <v>22</v>
      </c>
      <c r="B25" s="245" t="s">
        <v>90</v>
      </c>
      <c r="C25" s="245" t="s">
        <v>91</v>
      </c>
      <c r="D25" s="245" t="s">
        <v>23</v>
      </c>
      <c r="E25" s="245" t="s">
        <v>92</v>
      </c>
      <c r="F25" s="245" t="s">
        <v>57</v>
      </c>
      <c r="G25" s="245" t="s">
        <v>57</v>
      </c>
      <c r="H25" s="245"/>
      <c r="I25" s="245"/>
    </row>
    <row r="26" spans="1:9">
      <c r="A26" s="246">
        <f t="shared" si="0"/>
        <v>23</v>
      </c>
      <c r="B26" s="245" t="s">
        <v>93</v>
      </c>
      <c r="C26" s="245" t="s">
        <v>94</v>
      </c>
      <c r="D26" s="245" t="s">
        <v>13</v>
      </c>
      <c r="E26" s="245" t="s">
        <v>95</v>
      </c>
      <c r="F26" s="245" t="s">
        <v>96</v>
      </c>
      <c r="G26" s="245" t="s">
        <v>57</v>
      </c>
      <c r="H26" s="245"/>
      <c r="I26" s="245"/>
    </row>
    <row r="27" spans="1:9">
      <c r="A27" s="246">
        <f t="shared" si="0"/>
        <v>24</v>
      </c>
      <c r="B27" s="245" t="s">
        <v>97</v>
      </c>
      <c r="C27" s="245" t="s">
        <v>98</v>
      </c>
      <c r="D27" s="245" t="s">
        <v>13</v>
      </c>
      <c r="E27" s="245" t="s">
        <v>99</v>
      </c>
      <c r="F27" s="245" t="s">
        <v>100</v>
      </c>
      <c r="G27" s="245" t="s">
        <v>101</v>
      </c>
      <c r="H27" s="245"/>
      <c r="I27" s="245"/>
    </row>
    <row r="28" spans="1:9">
      <c r="A28" s="246">
        <f t="shared" si="0"/>
        <v>25</v>
      </c>
      <c r="B28" s="245" t="s">
        <v>102</v>
      </c>
      <c r="C28" s="245" t="s">
        <v>103</v>
      </c>
      <c r="D28" s="245" t="s">
        <v>23</v>
      </c>
      <c r="E28" s="245" t="s">
        <v>104</v>
      </c>
      <c r="F28" s="245" t="s">
        <v>57</v>
      </c>
      <c r="G28" s="245" t="s">
        <v>57</v>
      </c>
      <c r="H28" s="245"/>
      <c r="I28" s="245"/>
    </row>
    <row r="29" spans="1:9">
      <c r="A29" s="246">
        <f t="shared" si="0"/>
        <v>26</v>
      </c>
      <c r="B29" s="352" t="s">
        <v>105</v>
      </c>
      <c r="C29" s="245" t="s">
        <v>106</v>
      </c>
      <c r="D29" s="245" t="s">
        <v>23</v>
      </c>
      <c r="E29" s="353" t="s">
        <v>107</v>
      </c>
      <c r="F29" s="245" t="s">
        <v>57</v>
      </c>
      <c r="G29" s="245"/>
      <c r="H29" s="245"/>
      <c r="I29" s="245"/>
    </row>
    <row r="30" spans="1:9">
      <c r="A30" s="246">
        <f t="shared" si="0"/>
        <v>27</v>
      </c>
      <c r="B30" s="354" t="s">
        <v>108</v>
      </c>
      <c r="C30" s="355" t="s">
        <v>109</v>
      </c>
      <c r="D30" s="245" t="s">
        <v>23</v>
      </c>
      <c r="E30" s="354" t="s">
        <v>110</v>
      </c>
      <c r="F30" s="355" t="s">
        <v>57</v>
      </c>
      <c r="G30" s="245"/>
      <c r="H30" s="245"/>
      <c r="I30" s="245"/>
    </row>
    <row r="31" spans="1:9">
      <c r="A31" s="246">
        <f t="shared" si="0"/>
        <v>28</v>
      </c>
      <c r="B31" s="354" t="s">
        <v>111</v>
      </c>
      <c r="C31" s="354" t="s">
        <v>112</v>
      </c>
      <c r="D31" s="354" t="s">
        <v>13</v>
      </c>
      <c r="E31" s="354" t="s">
        <v>113</v>
      </c>
      <c r="F31" s="354" t="s">
        <v>114</v>
      </c>
      <c r="G31" s="245"/>
      <c r="H31" s="245"/>
      <c r="I31" s="245"/>
    </row>
    <row r="32" spans="1:9">
      <c r="A32" s="246">
        <f t="shared" si="0"/>
        <v>29</v>
      </c>
      <c r="B32" s="354" t="s">
        <v>115</v>
      </c>
      <c r="C32" s="355" t="s">
        <v>116</v>
      </c>
      <c r="D32" s="354" t="s">
        <v>13</v>
      </c>
      <c r="E32" s="354" t="s">
        <v>117</v>
      </c>
      <c r="F32" s="355" t="s">
        <v>118</v>
      </c>
      <c r="G32" s="245"/>
      <c r="H32" s="245"/>
      <c r="I32" s="245"/>
    </row>
    <row r="33" spans="1:9" ht="105">
      <c r="A33" s="246">
        <f>+A32+1</f>
        <v>30</v>
      </c>
      <c r="B33" s="245" t="s">
        <v>119</v>
      </c>
      <c r="C33" s="245" t="s">
        <v>120</v>
      </c>
      <c r="D33" s="245" t="s">
        <v>33</v>
      </c>
      <c r="E33" s="352" t="s">
        <v>121</v>
      </c>
      <c r="F33" s="245" t="s">
        <v>122</v>
      </c>
      <c r="G33" s="245"/>
      <c r="H33" s="245"/>
      <c r="I33" s="352" t="s">
        <v>123</v>
      </c>
    </row>
    <row r="34" spans="1:9">
      <c r="A34" s="246">
        <f t="shared" si="0"/>
        <v>31</v>
      </c>
      <c r="B34" s="245" t="s">
        <v>124</v>
      </c>
      <c r="C34" s="245" t="s">
        <v>125</v>
      </c>
      <c r="D34" s="245" t="s">
        <v>23</v>
      </c>
      <c r="E34" s="245" t="s">
        <v>126</v>
      </c>
      <c r="F34" s="245" t="s">
        <v>57</v>
      </c>
      <c r="G34" s="245"/>
      <c r="H34" s="245"/>
      <c r="I34" s="245"/>
    </row>
    <row r="35" spans="1:9">
      <c r="A35" s="246">
        <f t="shared" si="0"/>
        <v>32</v>
      </c>
      <c r="B35" s="245" t="s">
        <v>127</v>
      </c>
      <c r="C35" s="245" t="s">
        <v>128</v>
      </c>
      <c r="D35" s="245" t="s">
        <v>23</v>
      </c>
      <c r="E35" s="245" t="s">
        <v>129</v>
      </c>
      <c r="F35" s="245" t="s">
        <v>57</v>
      </c>
      <c r="G35" s="245"/>
      <c r="H35" s="245"/>
      <c r="I35" s="245"/>
    </row>
    <row r="36" spans="1:9">
      <c r="A36" s="246">
        <f t="shared" si="0"/>
        <v>33</v>
      </c>
      <c r="B36" s="245" t="s">
        <v>130</v>
      </c>
      <c r="C36" s="245" t="s">
        <v>131</v>
      </c>
      <c r="D36" s="245" t="s">
        <v>33</v>
      </c>
      <c r="E36" s="245" t="s">
        <v>132</v>
      </c>
      <c r="F36" s="245" t="s">
        <v>133</v>
      </c>
      <c r="G36" s="245"/>
      <c r="H36" s="245"/>
      <c r="I36" s="245"/>
    </row>
    <row r="37" spans="1:9">
      <c r="A37" s="246">
        <f t="shared" si="0"/>
        <v>34</v>
      </c>
      <c r="B37" s="245" t="s">
        <v>134</v>
      </c>
      <c r="C37" s="245" t="s">
        <v>135</v>
      </c>
      <c r="D37" s="245" t="s">
        <v>33</v>
      </c>
      <c r="E37" s="245" t="s">
        <v>136</v>
      </c>
      <c r="F37" s="245" t="s">
        <v>137</v>
      </c>
      <c r="G37" s="245"/>
      <c r="H37" s="245"/>
      <c r="I37" s="245"/>
    </row>
    <row r="38" spans="1:9" ht="105">
      <c r="A38" s="246">
        <f>+A37+1</f>
        <v>35</v>
      </c>
      <c r="B38" s="245" t="s">
        <v>138</v>
      </c>
      <c r="C38" s="245" t="s">
        <v>139</v>
      </c>
      <c r="D38" s="245" t="s">
        <v>33</v>
      </c>
      <c r="E38" s="245" t="s">
        <v>140</v>
      </c>
      <c r="F38" s="245" t="s">
        <v>141</v>
      </c>
      <c r="G38" s="245"/>
      <c r="H38" s="245"/>
      <c r="I38" s="352" t="s">
        <v>142</v>
      </c>
    </row>
    <row r="39" spans="1:9">
      <c r="A39" s="246">
        <f t="shared" si="0"/>
        <v>36</v>
      </c>
      <c r="B39" s="245" t="s">
        <v>143</v>
      </c>
      <c r="C39" s="245" t="s">
        <v>144</v>
      </c>
      <c r="D39" s="245" t="s">
        <v>33</v>
      </c>
      <c r="E39" s="245" t="s">
        <v>145</v>
      </c>
      <c r="F39" s="245" t="s">
        <v>146</v>
      </c>
      <c r="G39" s="245"/>
      <c r="H39" s="245"/>
      <c r="I39" s="245"/>
    </row>
    <row r="40" spans="1:9" ht="30">
      <c r="A40" s="246">
        <f t="shared" si="0"/>
        <v>37</v>
      </c>
      <c r="B40" s="352" t="s">
        <v>147</v>
      </c>
      <c r="C40" s="245" t="s">
        <v>148</v>
      </c>
      <c r="D40" s="245" t="s">
        <v>23</v>
      </c>
      <c r="E40" s="245" t="s">
        <v>147</v>
      </c>
      <c r="F40" s="245"/>
      <c r="G40" s="245"/>
      <c r="H40" s="245"/>
      <c r="I40" s="245"/>
    </row>
    <row r="41" spans="1:9">
      <c r="A41" s="246">
        <f t="shared" si="0"/>
        <v>38</v>
      </c>
      <c r="B41" s="245" t="s">
        <v>149</v>
      </c>
      <c r="C41" s="245" t="s">
        <v>150</v>
      </c>
      <c r="D41" s="245" t="s">
        <v>23</v>
      </c>
      <c r="E41" s="245" t="s">
        <v>149</v>
      </c>
      <c r="F41" s="245"/>
      <c r="G41" s="245"/>
      <c r="H41" s="245"/>
      <c r="I41" s="245"/>
    </row>
    <row r="42" spans="1:9">
      <c r="A42" s="246">
        <f t="shared" si="0"/>
        <v>39</v>
      </c>
      <c r="B42" s="352" t="s">
        <v>151</v>
      </c>
      <c r="C42" s="245" t="s">
        <v>152</v>
      </c>
      <c r="D42" s="245" t="s">
        <v>13</v>
      </c>
      <c r="E42" s="245" t="s">
        <v>153</v>
      </c>
      <c r="F42" s="245" t="s">
        <v>154</v>
      </c>
      <c r="G42" s="245"/>
      <c r="H42" s="245"/>
      <c r="I42" s="245"/>
    </row>
    <row r="43" spans="1:9">
      <c r="A43" s="246">
        <f>+A42+1</f>
        <v>40</v>
      </c>
      <c r="B43" s="245" t="s">
        <v>155</v>
      </c>
      <c r="C43" s="245" t="s">
        <v>156</v>
      </c>
      <c r="D43" s="245" t="s">
        <v>23</v>
      </c>
      <c r="E43" s="245" t="s">
        <v>157</v>
      </c>
      <c r="F43" s="245"/>
      <c r="G43" s="245"/>
      <c r="H43" s="245"/>
      <c r="I43" s="245"/>
    </row>
    <row r="44" spans="1:9" ht="30">
      <c r="A44" s="246">
        <f t="shared" si="0"/>
        <v>41</v>
      </c>
      <c r="B44" s="352" t="s">
        <v>158</v>
      </c>
      <c r="C44" s="245" t="s">
        <v>159</v>
      </c>
      <c r="D44" s="245" t="s">
        <v>13</v>
      </c>
      <c r="E44" s="352" t="s">
        <v>160</v>
      </c>
      <c r="F44" s="352" t="s">
        <v>161</v>
      </c>
      <c r="G44" s="245"/>
      <c r="H44" s="245"/>
      <c r="I44" s="245"/>
    </row>
    <row r="45" spans="1:9">
      <c r="A45" s="246">
        <f t="shared" si="0"/>
        <v>42</v>
      </c>
      <c r="B45" s="245" t="s">
        <v>162</v>
      </c>
      <c r="C45" s="245" t="s">
        <v>163</v>
      </c>
      <c r="D45" s="245" t="s">
        <v>13</v>
      </c>
      <c r="E45" s="245" t="s">
        <v>164</v>
      </c>
      <c r="F45" s="245" t="s">
        <v>165</v>
      </c>
      <c r="G45" s="245"/>
      <c r="H45" s="245"/>
      <c r="I45" s="245"/>
    </row>
    <row r="46" spans="1:9">
      <c r="A46" s="246">
        <f t="shared" si="0"/>
        <v>43</v>
      </c>
      <c r="B46" s="245" t="s">
        <v>166</v>
      </c>
      <c r="C46" s="245" t="s">
        <v>167</v>
      </c>
      <c r="D46" s="245" t="s">
        <v>13</v>
      </c>
      <c r="E46" s="245" t="s">
        <v>168</v>
      </c>
      <c r="F46" s="245" t="s">
        <v>169</v>
      </c>
      <c r="G46" s="245"/>
      <c r="H46" s="245"/>
      <c r="I46" s="245"/>
    </row>
    <row r="47" spans="1:9">
      <c r="A47" s="246">
        <f t="shared" si="0"/>
        <v>44</v>
      </c>
      <c r="B47" s="245" t="s">
        <v>170</v>
      </c>
      <c r="C47" s="245" t="s">
        <v>171</v>
      </c>
      <c r="D47" s="245" t="s">
        <v>13</v>
      </c>
      <c r="E47" s="245" t="s">
        <v>172</v>
      </c>
      <c r="F47" s="245" t="s">
        <v>173</v>
      </c>
      <c r="G47" s="245"/>
      <c r="H47" s="245"/>
      <c r="I47" s="245"/>
    </row>
    <row r="48" spans="1:9">
      <c r="A48" s="246">
        <f t="shared" si="0"/>
        <v>45</v>
      </c>
      <c r="B48" s="245" t="s">
        <v>174</v>
      </c>
      <c r="C48" s="245" t="s">
        <v>175</v>
      </c>
      <c r="D48" s="245" t="s">
        <v>13</v>
      </c>
      <c r="E48" s="245" t="s">
        <v>176</v>
      </c>
      <c r="F48" s="245" t="s">
        <v>177</v>
      </c>
      <c r="G48" s="245"/>
      <c r="H48" s="245"/>
      <c r="I48" s="245"/>
    </row>
    <row r="49" spans="1:9">
      <c r="A49" s="246">
        <f>+A48+1</f>
        <v>46</v>
      </c>
      <c r="B49" s="245" t="s">
        <v>178</v>
      </c>
      <c r="C49" s="245" t="s">
        <v>179</v>
      </c>
      <c r="D49" s="245" t="s">
        <v>13</v>
      </c>
      <c r="E49" s="245" t="s">
        <v>180</v>
      </c>
      <c r="F49" s="245" t="s">
        <v>181</v>
      </c>
      <c r="G49" s="245"/>
      <c r="H49" s="245"/>
      <c r="I49" s="245"/>
    </row>
  </sheetData>
  <sheetProtection algorithmName="SHA-512" hashValue="cIV1Gn4aIV0yZfBn/+hIsfbgHearHcV2KYVBiuHGuILeXmC53Gup/zeCjr0ZvG5mMpstsgooDh7NIevFQDtOxA==" saltValue="/O9+d4ZEHAodko3ErhpC7A==" spinCount="100000" sheet="1" objects="1" scenarios="1"/>
  <mergeCells count="2">
    <mergeCell ref="A1:I1"/>
    <mergeCell ref="A2:I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AB688"/>
  <sheetViews>
    <sheetView zoomScale="55" zoomScaleNormal="55" zoomScaleSheetLayoutView="55" zoomScalePageLayoutView="70" workbookViewId="0">
      <selection activeCell="A2" sqref="A2:R2"/>
    </sheetView>
  </sheetViews>
  <sheetFormatPr baseColWidth="10" defaultColWidth="9.140625" defaultRowHeight="15"/>
  <cols>
    <col min="1" max="1" width="80.140625" style="7" customWidth="1"/>
    <col min="2" max="2" width="41.42578125" style="7" customWidth="1"/>
    <col min="3" max="3" width="54" style="7" customWidth="1"/>
    <col min="4" max="5" width="34.28515625" style="7" customWidth="1"/>
    <col min="6" max="6" width="43.42578125" style="7" customWidth="1"/>
    <col min="7" max="7" width="29" style="7" customWidth="1"/>
    <col min="8" max="8" width="24.7109375" style="7" customWidth="1"/>
    <col min="9" max="9" width="26.28515625" style="7" customWidth="1"/>
    <col min="10" max="10" width="28.140625" style="7" customWidth="1"/>
    <col min="11" max="11" width="21.28515625" style="7" customWidth="1"/>
    <col min="12" max="12" width="23.28515625" style="7" customWidth="1"/>
    <col min="13" max="13" width="28.140625" style="7" customWidth="1"/>
    <col min="14" max="14" width="25.28515625" style="7" customWidth="1"/>
    <col min="15" max="16" width="32.7109375" style="7" customWidth="1"/>
    <col min="17" max="17" width="51.42578125" style="7" customWidth="1"/>
    <col min="18" max="18" width="173.5703125" style="7" customWidth="1"/>
    <col min="19" max="19" width="9.140625" style="7"/>
    <col min="20" max="20" width="17.7109375" style="7" customWidth="1"/>
    <col min="21" max="21" width="9.140625" style="7" customWidth="1"/>
    <col min="22" max="22" width="14.42578125" style="7" customWidth="1"/>
    <col min="23" max="26" width="9.140625" style="7"/>
    <col min="27" max="27" width="18.7109375" style="7" customWidth="1"/>
    <col min="28" max="28" width="91" style="7" customWidth="1"/>
    <col min="29" max="29" width="79.140625" style="7" customWidth="1"/>
    <col min="30" max="30" width="48.7109375" style="7" customWidth="1"/>
    <col min="31" max="16384" width="9.140625" style="7"/>
  </cols>
  <sheetData>
    <row r="1" spans="1:22" ht="59.25" customHeight="1" thickBot="1">
      <c r="A1" s="418" t="s">
        <v>0</v>
      </c>
      <c r="B1" s="419"/>
      <c r="C1" s="419"/>
      <c r="D1" s="419"/>
      <c r="E1" s="419"/>
      <c r="F1" s="419"/>
      <c r="G1" s="419"/>
      <c r="H1" s="419"/>
      <c r="I1" s="419"/>
      <c r="J1" s="419"/>
      <c r="K1" s="419"/>
      <c r="L1" s="419"/>
      <c r="M1" s="419"/>
      <c r="N1" s="419"/>
      <c r="O1" s="419"/>
      <c r="P1" s="419"/>
      <c r="Q1" s="419"/>
      <c r="R1" s="420"/>
    </row>
    <row r="2" spans="1:22" ht="35.25" customHeight="1" thickBot="1">
      <c r="A2" s="421" t="s">
        <v>1</v>
      </c>
      <c r="B2" s="422"/>
      <c r="C2" s="422"/>
      <c r="D2" s="422"/>
      <c r="E2" s="422"/>
      <c r="F2" s="422"/>
      <c r="G2" s="422"/>
      <c r="H2" s="422"/>
      <c r="I2" s="422"/>
      <c r="J2" s="422"/>
      <c r="K2" s="422"/>
      <c r="L2" s="422"/>
      <c r="M2" s="422"/>
      <c r="N2" s="422"/>
      <c r="O2" s="422"/>
      <c r="P2" s="422"/>
      <c r="Q2" s="422"/>
      <c r="R2" s="423"/>
    </row>
    <row r="3" spans="1:22" ht="35.25" customHeight="1" thickBot="1">
      <c r="A3" s="421" t="s">
        <v>182</v>
      </c>
      <c r="B3" s="422"/>
      <c r="C3" s="422"/>
      <c r="D3" s="422"/>
      <c r="E3" s="422"/>
      <c r="F3" s="422"/>
      <c r="G3" s="422"/>
      <c r="H3" s="422"/>
      <c r="I3" s="422"/>
      <c r="J3" s="422"/>
      <c r="K3" s="422"/>
      <c r="L3" s="422"/>
      <c r="M3" s="422"/>
      <c r="N3" s="422"/>
      <c r="O3" s="422"/>
      <c r="P3" s="422"/>
      <c r="Q3" s="422"/>
      <c r="R3" s="423"/>
      <c r="T3" s="8" t="s">
        <v>183</v>
      </c>
    </row>
    <row r="4" spans="1:22" ht="27.75" customHeight="1" thickBot="1">
      <c r="A4" s="424"/>
      <c r="B4" s="425"/>
      <c r="C4" s="425"/>
      <c r="D4" s="425"/>
      <c r="E4" s="425"/>
      <c r="F4" s="425"/>
      <c r="G4" s="425"/>
      <c r="H4" s="425"/>
      <c r="I4" s="425"/>
      <c r="J4" s="425"/>
      <c r="K4" s="425"/>
      <c r="L4" s="425"/>
      <c r="M4" s="425"/>
      <c r="N4" s="425"/>
      <c r="O4" s="425"/>
      <c r="P4" s="425"/>
      <c r="Q4" s="425"/>
      <c r="R4" s="426"/>
      <c r="T4" s="8" t="s">
        <v>184</v>
      </c>
      <c r="V4" s="117" t="s">
        <v>183</v>
      </c>
    </row>
    <row r="5" spans="1:22" ht="15.75">
      <c r="A5" s="3"/>
      <c r="B5" s="3"/>
      <c r="C5" s="3"/>
      <c r="D5" s="3"/>
      <c r="E5" s="3"/>
      <c r="F5" s="3"/>
      <c r="G5" s="3"/>
      <c r="H5" s="3"/>
      <c r="I5" s="3"/>
      <c r="J5" s="3"/>
      <c r="K5" s="3"/>
      <c r="L5" s="3"/>
      <c r="M5" s="3"/>
      <c r="N5" s="3"/>
      <c r="O5" s="3"/>
      <c r="P5" s="3"/>
      <c r="Q5" s="3"/>
      <c r="R5" s="4"/>
      <c r="V5" s="117" t="s">
        <v>184</v>
      </c>
    </row>
    <row r="6" spans="1:22" ht="16.5" thickBot="1">
      <c r="A6" s="3"/>
      <c r="B6" s="3"/>
      <c r="C6" s="3"/>
      <c r="D6" s="3"/>
      <c r="E6" s="3"/>
      <c r="F6" s="3"/>
      <c r="G6" s="3"/>
      <c r="H6" s="3"/>
      <c r="I6" s="3"/>
      <c r="J6" s="3"/>
      <c r="K6" s="3"/>
      <c r="L6" s="3"/>
      <c r="M6" s="3"/>
      <c r="N6" s="3"/>
      <c r="O6" s="3"/>
      <c r="P6" s="3"/>
      <c r="Q6" s="3"/>
      <c r="R6" s="4"/>
    </row>
    <row r="7" spans="1:22" ht="30.75" customHeight="1" thickBot="1">
      <c r="A7" s="398">
        <v>1</v>
      </c>
      <c r="B7" s="398"/>
      <c r="C7" s="398"/>
      <c r="D7" s="398"/>
      <c r="E7" s="412" t="str">
        <f>VLOOKUP(A7,'REQUISITOS HAB. TECNICOS'!$A$5:$B$80,2,FALSE)</f>
        <v>CONSORCIO PARQUES IA</v>
      </c>
      <c r="F7" s="412"/>
      <c r="G7" s="412"/>
      <c r="H7" s="412"/>
      <c r="I7" s="412"/>
      <c r="J7" s="412"/>
      <c r="K7" s="412"/>
      <c r="L7" s="412"/>
      <c r="M7" s="412"/>
      <c r="N7" s="412"/>
      <c r="O7" s="412"/>
      <c r="P7" s="412"/>
      <c r="Q7" s="412"/>
      <c r="R7" s="412"/>
    </row>
    <row r="8" spans="1:22" ht="50.25" customHeight="1" thickBot="1">
      <c r="A8" s="151" t="s">
        <v>185</v>
      </c>
      <c r="B8" s="63">
        <v>4</v>
      </c>
      <c r="C8" s="152" t="s">
        <v>186</v>
      </c>
      <c r="D8" s="153">
        <f>$D$628</f>
        <v>279.72028</v>
      </c>
      <c r="E8" s="412"/>
      <c r="F8" s="412"/>
      <c r="G8" s="412"/>
      <c r="H8" s="412"/>
      <c r="I8" s="412"/>
      <c r="J8" s="412"/>
      <c r="K8" s="412"/>
      <c r="L8" s="412"/>
      <c r="M8" s="412"/>
      <c r="N8" s="412"/>
      <c r="O8" s="412"/>
      <c r="P8" s="412"/>
      <c r="Q8" s="412"/>
      <c r="R8" s="412"/>
    </row>
    <row r="9" spans="1:22" ht="23.25" customHeight="1" thickBot="1">
      <c r="A9" s="388" t="s">
        <v>187</v>
      </c>
      <c r="B9" s="388"/>
      <c r="C9" s="389" t="e">
        <f>H20/B8</f>
        <v>#N/A</v>
      </c>
      <c r="D9" s="389"/>
      <c r="E9" s="412"/>
      <c r="F9" s="412"/>
      <c r="G9" s="412"/>
      <c r="H9" s="412"/>
      <c r="I9" s="412"/>
      <c r="J9" s="412"/>
      <c r="K9" s="412"/>
      <c r="L9" s="412"/>
      <c r="M9" s="412"/>
      <c r="N9" s="412"/>
      <c r="O9" s="412"/>
      <c r="P9" s="412"/>
      <c r="Q9" s="412"/>
      <c r="R9" s="412"/>
    </row>
    <row r="10" spans="1:22" ht="23.25" customHeight="1" thickBot="1">
      <c r="A10" s="390" t="s">
        <v>188</v>
      </c>
      <c r="B10" s="390"/>
      <c r="C10" s="391">
        <v>45610</v>
      </c>
      <c r="D10" s="391"/>
      <c r="E10" s="412"/>
      <c r="F10" s="412"/>
      <c r="G10" s="412"/>
      <c r="H10" s="412"/>
      <c r="I10" s="412"/>
      <c r="J10" s="412"/>
      <c r="K10" s="412"/>
      <c r="L10" s="412"/>
      <c r="M10" s="412"/>
      <c r="N10" s="412"/>
      <c r="O10" s="412"/>
      <c r="P10" s="412"/>
      <c r="Q10" s="412"/>
      <c r="R10" s="412"/>
    </row>
    <row r="11" spans="1:22" ht="38.25" customHeight="1" thickBot="1">
      <c r="A11" s="392" t="s">
        <v>189</v>
      </c>
      <c r="B11" s="392"/>
      <c r="C11" s="393" t="e">
        <f>+IF(H20&gt;D8,"CUMPLE","NO CUMPLE")</f>
        <v>#N/A</v>
      </c>
      <c r="D11" s="393"/>
      <c r="E11" s="412"/>
      <c r="F11" s="412"/>
      <c r="G11" s="412"/>
      <c r="H11" s="412"/>
      <c r="I11" s="412"/>
      <c r="J11" s="412"/>
      <c r="K11" s="412"/>
      <c r="L11" s="412"/>
      <c r="M11" s="412"/>
      <c r="N11" s="412"/>
      <c r="O11" s="412"/>
      <c r="P11" s="412"/>
      <c r="Q11" s="412"/>
      <c r="R11" s="412"/>
    </row>
    <row r="12" spans="1:22" ht="87" customHeight="1">
      <c r="A12" s="410" t="s">
        <v>190</v>
      </c>
      <c r="B12" s="410"/>
      <c r="C12" s="410"/>
      <c r="D12" s="410"/>
      <c r="E12" s="410"/>
      <c r="F12" s="410"/>
      <c r="G12" s="142"/>
      <c r="H12" s="142"/>
      <c r="I12" s="143" t="s">
        <v>191</v>
      </c>
      <c r="J12" s="144" t="s">
        <v>192</v>
      </c>
      <c r="K12" s="413" t="s">
        <v>193</v>
      </c>
      <c r="L12" s="413"/>
      <c r="M12" s="399" t="s">
        <v>194</v>
      </c>
      <c r="N12" s="399" t="s">
        <v>195</v>
      </c>
      <c r="O12" s="401" t="s">
        <v>196</v>
      </c>
      <c r="P12" s="402"/>
      <c r="Q12" s="399" t="s">
        <v>197</v>
      </c>
      <c r="R12" s="399" t="s">
        <v>198</v>
      </c>
    </row>
    <row r="13" spans="1:22" ht="77.25" customHeight="1" thickBot="1">
      <c r="A13" s="145" t="s">
        <v>199</v>
      </c>
      <c r="B13" s="411" t="s">
        <v>200</v>
      </c>
      <c r="C13" s="411"/>
      <c r="D13" s="146" t="s">
        <v>201</v>
      </c>
      <c r="E13" s="146" t="s">
        <v>202</v>
      </c>
      <c r="F13" s="146" t="s">
        <v>203</v>
      </c>
      <c r="G13" s="147" t="s">
        <v>204</v>
      </c>
      <c r="H13" s="147" t="s">
        <v>205</v>
      </c>
      <c r="I13" s="148" t="s">
        <v>206</v>
      </c>
      <c r="J13" s="148" t="s">
        <v>207</v>
      </c>
      <c r="K13" s="149" t="s">
        <v>208</v>
      </c>
      <c r="L13" s="150" t="s">
        <v>209</v>
      </c>
      <c r="M13" s="400"/>
      <c r="N13" s="400"/>
      <c r="O13" s="403"/>
      <c r="P13" s="404"/>
      <c r="Q13" s="400"/>
      <c r="R13" s="400"/>
    </row>
    <row r="14" spans="1:22" ht="18.75" thickBot="1">
      <c r="A14" s="125" t="str">
        <f>VLOOKUP(A7,'LISTA DE OFERENTES'!$A$4:$G$80,5,FALSE)</f>
        <v>INTERSA S.A - 95%</v>
      </c>
      <c r="B14" s="26"/>
      <c r="C14" s="26"/>
      <c r="D14" s="26"/>
      <c r="E14" s="26"/>
      <c r="F14" s="26"/>
      <c r="G14" s="26"/>
      <c r="H14" s="26"/>
      <c r="I14" s="26"/>
      <c r="J14" s="26"/>
      <c r="K14" s="414">
        <f>$D$628*0.5</f>
        <v>139.86014</v>
      </c>
      <c r="L14" s="132"/>
      <c r="M14" s="416"/>
      <c r="N14" s="128"/>
      <c r="O14" s="189"/>
      <c r="P14" s="132"/>
      <c r="Q14" s="372" t="str">
        <f>IF(AND(N20="CUMPLE",O20="CUMPLE"),"CUMPLE","NO CUMPLE")</f>
        <v>NO CUMPLE</v>
      </c>
      <c r="R14" s="141"/>
    </row>
    <row r="15" spans="1:22" s="9" customFormat="1" ht="23.25">
      <c r="A15" s="118"/>
      <c r="B15" s="371"/>
      <c r="C15" s="371"/>
      <c r="D15" s="119"/>
      <c r="E15" s="120"/>
      <c r="F15" s="121" t="e">
        <f>D15/(VLOOKUP(E15,$D$654:$E$687,2,FALSE))</f>
        <v>#N/A</v>
      </c>
      <c r="G15" s="122">
        <v>0.2</v>
      </c>
      <c r="H15" s="121" t="e">
        <f>F15*G15</f>
        <v>#N/A</v>
      </c>
      <c r="I15" s="123"/>
      <c r="J15" s="116"/>
      <c r="K15" s="415"/>
      <c r="L15" s="133" t="e">
        <f>H15</f>
        <v>#N/A</v>
      </c>
      <c r="M15" s="417"/>
      <c r="N15" s="129"/>
      <c r="O15" s="375">
        <f>$D$628*0.7</f>
        <v>195.80419599999999</v>
      </c>
      <c r="P15" s="135"/>
      <c r="Q15" s="373"/>
      <c r="R15" s="427" t="s">
        <v>16</v>
      </c>
    </row>
    <row r="16" spans="1:22" s="9" customFormat="1" ht="23.25">
      <c r="A16" s="118"/>
      <c r="B16" s="371"/>
      <c r="C16" s="371"/>
      <c r="D16" s="119"/>
      <c r="E16" s="120"/>
      <c r="F16" s="121" t="e">
        <f>D16/(VLOOKUP(E16,$D$654:$E$687,2,FALSE))</f>
        <v>#N/A</v>
      </c>
      <c r="G16" s="122">
        <v>0.2</v>
      </c>
      <c r="H16" s="121" t="e">
        <f>F16*G16</f>
        <v>#N/A</v>
      </c>
      <c r="I16" s="124"/>
      <c r="J16" s="131"/>
      <c r="K16" s="415"/>
      <c r="L16" s="133" t="e">
        <f>H16</f>
        <v>#N/A</v>
      </c>
      <c r="M16" s="417"/>
      <c r="N16" s="129"/>
      <c r="O16" s="377"/>
      <c r="P16" s="135"/>
      <c r="Q16" s="373"/>
      <c r="R16" s="428"/>
    </row>
    <row r="17" spans="1:18" ht="23.25" customHeight="1">
      <c r="A17" s="125" t="str">
        <f>VLOOKUP(A7,'LISTA DE OFERENTES'!$A$4:$G$80,6,FALSE)</f>
        <v>A &amp; L INGENIEROS CONSULTORES S.A.S. - 5%</v>
      </c>
      <c r="B17" s="126"/>
      <c r="C17" s="126"/>
      <c r="D17" s="126"/>
      <c r="E17" s="126"/>
      <c r="F17" s="126"/>
      <c r="G17" s="127"/>
      <c r="H17" s="126"/>
      <c r="I17" s="126"/>
      <c r="J17" s="126"/>
      <c r="K17" s="415"/>
      <c r="L17" s="134"/>
      <c r="M17" s="417"/>
      <c r="N17" s="130"/>
      <c r="O17" s="377"/>
      <c r="P17" s="136"/>
      <c r="Q17" s="373"/>
      <c r="R17" s="428"/>
    </row>
    <row r="18" spans="1:18" s="9" customFormat="1" ht="23.25">
      <c r="A18" s="118"/>
      <c r="B18" s="371"/>
      <c r="C18" s="371"/>
      <c r="D18" s="119"/>
      <c r="E18" s="120"/>
      <c r="F18" s="121" t="e">
        <f>D18/(VLOOKUP(E18,$D$654:$E$687,2,FALSE))</f>
        <v>#N/A</v>
      </c>
      <c r="G18" s="122">
        <v>0.2</v>
      </c>
      <c r="H18" s="121" t="e">
        <f>F18*G18</f>
        <v>#N/A</v>
      </c>
      <c r="I18" s="123"/>
      <c r="J18" s="116"/>
      <c r="K18" s="415"/>
      <c r="L18" s="133" t="e">
        <f>H18</f>
        <v>#N/A</v>
      </c>
      <c r="M18" s="417"/>
      <c r="N18" s="129"/>
      <c r="O18" s="377"/>
      <c r="P18" s="135"/>
      <c r="Q18" s="373"/>
      <c r="R18" s="428"/>
    </row>
    <row r="19" spans="1:18" s="9" customFormat="1" ht="24" thickBot="1">
      <c r="A19" s="118"/>
      <c r="B19" s="371"/>
      <c r="C19" s="371"/>
      <c r="D19" s="119"/>
      <c r="E19" s="120"/>
      <c r="F19" s="121" t="e">
        <f>D19/(VLOOKUP(E19,$D$654:$E$687,2,FALSE))</f>
        <v>#N/A</v>
      </c>
      <c r="G19" s="122">
        <v>0.2</v>
      </c>
      <c r="H19" s="121" t="e">
        <f>F19*G19</f>
        <v>#N/A</v>
      </c>
      <c r="I19" s="124"/>
      <c r="J19" s="131"/>
      <c r="K19" s="415"/>
      <c r="L19" s="133" t="e">
        <f>H19</f>
        <v>#N/A</v>
      </c>
      <c r="M19" s="417"/>
      <c r="N19" s="129"/>
      <c r="O19" s="377"/>
      <c r="P19" s="135"/>
      <c r="Q19" s="373"/>
      <c r="R19" s="428"/>
    </row>
    <row r="20" spans="1:18" s="9" customFormat="1" ht="48" customHeight="1" thickBot="1">
      <c r="A20" s="394" t="s">
        <v>210</v>
      </c>
      <c r="B20" s="394"/>
      <c r="C20" s="394"/>
      <c r="D20" s="394"/>
      <c r="E20" s="394"/>
      <c r="F20" s="190" t="e">
        <f>+SUM(F15:F19)</f>
        <v>#N/A</v>
      </c>
      <c r="G20" s="37"/>
      <c r="H20" s="190" t="e">
        <f>+SUM(H15:H19)</f>
        <v>#N/A</v>
      </c>
      <c r="I20" s="395" t="s">
        <v>211</v>
      </c>
      <c r="J20" s="396"/>
      <c r="K20" s="396"/>
      <c r="L20" s="396"/>
      <c r="M20" s="397"/>
      <c r="N20" s="138"/>
      <c r="O20" s="138" t="str">
        <f>IF(P20&gt;O15,"CUMPLE","NO CUMPLE")</f>
        <v>NO CUMPLE</v>
      </c>
      <c r="P20" s="139">
        <f>SUM(P15:P19)</f>
        <v>0</v>
      </c>
      <c r="Q20" s="374"/>
      <c r="R20" s="140" t="s">
        <v>212</v>
      </c>
    </row>
    <row r="21" spans="1:18" ht="16.5" thickBot="1">
      <c r="A21" s="3"/>
      <c r="B21" s="3"/>
      <c r="C21" s="3"/>
      <c r="D21" s="3"/>
      <c r="E21" s="3"/>
      <c r="F21" s="3"/>
      <c r="G21" s="3"/>
      <c r="H21" s="3"/>
      <c r="I21" s="3"/>
      <c r="J21" s="3"/>
      <c r="K21" s="3"/>
      <c r="L21" s="3"/>
      <c r="M21" s="3"/>
      <c r="N21" s="3"/>
      <c r="O21" s="3"/>
      <c r="P21" s="3"/>
      <c r="Q21" s="3"/>
      <c r="R21" s="4"/>
    </row>
    <row r="22" spans="1:18" ht="30.75" customHeight="1" thickBot="1">
      <c r="A22" s="398">
        <f>1+A7</f>
        <v>2</v>
      </c>
      <c r="B22" s="398"/>
      <c r="C22" s="398"/>
      <c r="D22" s="398"/>
      <c r="E22" s="412" t="str">
        <f>VLOOKUP(A22,'REQUISITOS HAB. TECNICOS'!$A$5:$B$80,2,FALSE)</f>
        <v>CONSORCIO METRO CINCO</v>
      </c>
      <c r="F22" s="412"/>
      <c r="G22" s="412"/>
      <c r="H22" s="412"/>
      <c r="I22" s="412"/>
      <c r="J22" s="412"/>
      <c r="K22" s="412"/>
      <c r="L22" s="412"/>
      <c r="M22" s="412"/>
      <c r="N22" s="412"/>
      <c r="O22" s="412"/>
      <c r="P22" s="412"/>
      <c r="Q22" s="412"/>
      <c r="R22" s="412"/>
    </row>
    <row r="23" spans="1:18" ht="50.25" customHeight="1" thickBot="1">
      <c r="A23" s="151" t="s">
        <v>185</v>
      </c>
      <c r="B23" s="63">
        <v>4</v>
      </c>
      <c r="C23" s="152" t="s">
        <v>186</v>
      </c>
      <c r="D23" s="153">
        <f>$D$628</f>
        <v>279.72028</v>
      </c>
      <c r="E23" s="412"/>
      <c r="F23" s="412"/>
      <c r="G23" s="412"/>
      <c r="H23" s="412"/>
      <c r="I23" s="412"/>
      <c r="J23" s="412"/>
      <c r="K23" s="412"/>
      <c r="L23" s="412"/>
      <c r="M23" s="412"/>
      <c r="N23" s="412"/>
      <c r="O23" s="412"/>
      <c r="P23" s="412"/>
      <c r="Q23" s="412"/>
      <c r="R23" s="412"/>
    </row>
    <row r="24" spans="1:18" ht="23.25" customHeight="1" thickBot="1">
      <c r="A24" s="388" t="s">
        <v>187</v>
      </c>
      <c r="B24" s="388"/>
      <c r="C24" s="389">
        <f>H36/B23</f>
        <v>863.43269663845126</v>
      </c>
      <c r="D24" s="389"/>
      <c r="E24" s="412"/>
      <c r="F24" s="412"/>
      <c r="G24" s="412"/>
      <c r="H24" s="412"/>
      <c r="I24" s="412"/>
      <c r="J24" s="412"/>
      <c r="K24" s="412"/>
      <c r="L24" s="412"/>
      <c r="M24" s="412"/>
      <c r="N24" s="412"/>
      <c r="O24" s="412"/>
      <c r="P24" s="412"/>
      <c r="Q24" s="412"/>
      <c r="R24" s="412"/>
    </row>
    <row r="25" spans="1:18" ht="23.25" customHeight="1" thickBot="1">
      <c r="A25" s="390" t="s">
        <v>188</v>
      </c>
      <c r="B25" s="390"/>
      <c r="C25" s="391">
        <v>45610</v>
      </c>
      <c r="D25" s="391"/>
      <c r="E25" s="412"/>
      <c r="F25" s="412"/>
      <c r="G25" s="412"/>
      <c r="H25" s="412"/>
      <c r="I25" s="412"/>
      <c r="J25" s="412"/>
      <c r="K25" s="412"/>
      <c r="L25" s="412"/>
      <c r="M25" s="412"/>
      <c r="N25" s="412"/>
      <c r="O25" s="412"/>
      <c r="P25" s="412"/>
      <c r="Q25" s="412"/>
      <c r="R25" s="412"/>
    </row>
    <row r="26" spans="1:18" ht="38.25" customHeight="1" thickBot="1">
      <c r="A26" s="392" t="s">
        <v>189</v>
      </c>
      <c r="B26" s="392"/>
      <c r="C26" s="393" t="str">
        <f>+IF(H36&gt;D23,"CUMPLE","NO CUMPLE")</f>
        <v>CUMPLE</v>
      </c>
      <c r="D26" s="393"/>
      <c r="E26" s="412"/>
      <c r="F26" s="412"/>
      <c r="G26" s="412"/>
      <c r="H26" s="412"/>
      <c r="I26" s="412"/>
      <c r="J26" s="412"/>
      <c r="K26" s="412"/>
      <c r="L26" s="412"/>
      <c r="M26" s="412"/>
      <c r="N26" s="412"/>
      <c r="O26" s="412"/>
      <c r="P26" s="412"/>
      <c r="Q26" s="412"/>
      <c r="R26" s="412"/>
    </row>
    <row r="27" spans="1:18" ht="87" customHeight="1">
      <c r="A27" s="410" t="s">
        <v>190</v>
      </c>
      <c r="B27" s="410"/>
      <c r="C27" s="410"/>
      <c r="D27" s="410"/>
      <c r="E27" s="410"/>
      <c r="F27" s="410"/>
      <c r="G27" s="142"/>
      <c r="H27" s="142"/>
      <c r="I27" s="143" t="s">
        <v>191</v>
      </c>
      <c r="J27" s="144" t="s">
        <v>192</v>
      </c>
      <c r="K27" s="413" t="s">
        <v>193</v>
      </c>
      <c r="L27" s="413"/>
      <c r="M27" s="399" t="s">
        <v>194</v>
      </c>
      <c r="N27" s="399" t="s">
        <v>195</v>
      </c>
      <c r="O27" s="401" t="s">
        <v>196</v>
      </c>
      <c r="P27" s="402"/>
      <c r="Q27" s="399" t="s">
        <v>197</v>
      </c>
      <c r="R27" s="399" t="s">
        <v>198</v>
      </c>
    </row>
    <row r="28" spans="1:18" ht="77.25" customHeight="1" thickBot="1">
      <c r="A28" s="145" t="s">
        <v>199</v>
      </c>
      <c r="B28" s="411" t="s">
        <v>200</v>
      </c>
      <c r="C28" s="411"/>
      <c r="D28" s="146" t="s">
        <v>201</v>
      </c>
      <c r="E28" s="146" t="s">
        <v>202</v>
      </c>
      <c r="F28" s="146" t="s">
        <v>203</v>
      </c>
      <c r="G28" s="147" t="s">
        <v>204</v>
      </c>
      <c r="H28" s="147" t="s">
        <v>205</v>
      </c>
      <c r="I28" s="148" t="s">
        <v>206</v>
      </c>
      <c r="J28" s="148" t="s">
        <v>207</v>
      </c>
      <c r="K28" s="149" t="s">
        <v>208</v>
      </c>
      <c r="L28" s="150" t="s">
        <v>209</v>
      </c>
      <c r="M28" s="400"/>
      <c r="N28" s="400"/>
      <c r="O28" s="403"/>
      <c r="P28" s="404"/>
      <c r="Q28" s="400"/>
      <c r="R28" s="400"/>
    </row>
    <row r="29" spans="1:18" ht="18">
      <c r="A29" s="125" t="str">
        <f>VLOOKUP(A22,'LISTA DE OFERENTES'!$A$4:$G$80,5,FALSE)</f>
        <v>GRUPO METRO COLOMBIA S.A.S - 90%</v>
      </c>
      <c r="B29" s="26"/>
      <c r="C29" s="26"/>
      <c r="D29" s="26"/>
      <c r="E29" s="26"/>
      <c r="F29" s="26"/>
      <c r="G29" s="26"/>
      <c r="H29" s="26"/>
      <c r="I29" s="26"/>
      <c r="J29" s="26"/>
      <c r="K29" s="414">
        <f>$D$628*0.5</f>
        <v>139.86014</v>
      </c>
      <c r="L29" s="132"/>
      <c r="M29" s="416" t="s">
        <v>183</v>
      </c>
      <c r="N29" s="128"/>
      <c r="O29" s="189"/>
      <c r="P29" s="132"/>
      <c r="Q29" s="372" t="str">
        <f>IF(AND(N36="CUMPLE",O36="CUMPLE"),"CUMPLE","NO CUMPLE")</f>
        <v>CUMPLE</v>
      </c>
      <c r="R29" s="141"/>
    </row>
    <row r="30" spans="1:18" s="9" customFormat="1" ht="126">
      <c r="A30" s="118" t="s">
        <v>213</v>
      </c>
      <c r="B30" s="371" t="s">
        <v>214</v>
      </c>
      <c r="C30" s="371"/>
      <c r="D30" s="119">
        <v>1172578649</v>
      </c>
      <c r="E30" s="120">
        <v>2011</v>
      </c>
      <c r="F30" s="121">
        <f>D30/(VLOOKUP(E30,$D$654:$E$687,2,FALSE))</f>
        <v>2189.2805246452576</v>
      </c>
      <c r="G30" s="122">
        <v>0.9</v>
      </c>
      <c r="H30" s="121">
        <f>F30*G30</f>
        <v>1970.3524721807319</v>
      </c>
      <c r="I30" s="137">
        <v>40618</v>
      </c>
      <c r="J30" s="116" t="s">
        <v>183</v>
      </c>
      <c r="K30" s="415"/>
      <c r="L30" s="133">
        <f>H30</f>
        <v>1970.3524721807319</v>
      </c>
      <c r="M30" s="417"/>
      <c r="N30" s="129" t="s">
        <v>183</v>
      </c>
      <c r="O30" s="375">
        <f>$D$628*0.7</f>
        <v>195.80419599999999</v>
      </c>
      <c r="P30" s="135">
        <f>+L30</f>
        <v>1970.3524721807319</v>
      </c>
      <c r="Q30" s="373"/>
      <c r="R30" s="96"/>
    </row>
    <row r="31" spans="1:18" s="9" customFormat="1" ht="108">
      <c r="A31" s="118" t="s">
        <v>215</v>
      </c>
      <c r="B31" s="371" t="s">
        <v>214</v>
      </c>
      <c r="C31" s="371"/>
      <c r="D31" s="119">
        <f>49324650+7500000+13941505</f>
        <v>70766155</v>
      </c>
      <c r="E31" s="120">
        <v>2001</v>
      </c>
      <c r="F31" s="121">
        <f>D31/(VLOOKUP(E31,$D$654:$E$687,2,FALSE))</f>
        <v>247.43410839160839</v>
      </c>
      <c r="G31" s="122">
        <v>0.5</v>
      </c>
      <c r="H31" s="215">
        <f>F31*G31</f>
        <v>123.7170541958042</v>
      </c>
      <c r="I31" s="214">
        <v>36934</v>
      </c>
      <c r="J31" s="116" t="s">
        <v>183</v>
      </c>
      <c r="K31" s="415"/>
      <c r="L31" s="133">
        <f>H31</f>
        <v>123.7170541958042</v>
      </c>
      <c r="M31" s="417"/>
      <c r="N31" s="129" t="s">
        <v>183</v>
      </c>
      <c r="O31" s="376"/>
      <c r="P31" s="135"/>
      <c r="Q31" s="373"/>
      <c r="R31" s="96"/>
    </row>
    <row r="32" spans="1:18" s="9" customFormat="1" ht="144">
      <c r="A32" s="118" t="s">
        <v>216</v>
      </c>
      <c r="B32" s="371" t="s">
        <v>214</v>
      </c>
      <c r="C32" s="371"/>
      <c r="D32" s="119">
        <v>56254299</v>
      </c>
      <c r="E32" s="120">
        <v>2004</v>
      </c>
      <c r="F32" s="121">
        <f>D32/(VLOOKUP(E32,$D$654:$E$687,2,FALSE))</f>
        <v>157.13491340782122</v>
      </c>
      <c r="G32" s="122">
        <v>1</v>
      </c>
      <c r="H32" s="215">
        <f>F32*G32</f>
        <v>157.13491340782122</v>
      </c>
      <c r="I32" s="214">
        <v>38259</v>
      </c>
      <c r="J32" s="116" t="s">
        <v>183</v>
      </c>
      <c r="K32" s="415"/>
      <c r="L32" s="133">
        <f>H32</f>
        <v>157.13491340782122</v>
      </c>
      <c r="M32" s="417"/>
      <c r="N32" s="129" t="s">
        <v>183</v>
      </c>
      <c r="O32" s="376"/>
      <c r="P32" s="135"/>
      <c r="Q32" s="373"/>
      <c r="R32" s="96"/>
    </row>
    <row r="33" spans="1:18" s="9" customFormat="1" ht="162">
      <c r="A33" s="118" t="s">
        <v>217</v>
      </c>
      <c r="B33" s="371" t="s">
        <v>214</v>
      </c>
      <c r="C33" s="371"/>
      <c r="D33" s="119">
        <v>1356293524</v>
      </c>
      <c r="E33" s="120">
        <v>2016</v>
      </c>
      <c r="F33" s="121">
        <f>D33/(VLOOKUP(E33,$D$654:$E$687,2,FALSE))</f>
        <v>1967.196588609844</v>
      </c>
      <c r="G33" s="122">
        <v>0.5</v>
      </c>
      <c r="H33" s="215">
        <f>F33*G33</f>
        <v>983.59829430492198</v>
      </c>
      <c r="I33" s="214">
        <v>42430</v>
      </c>
      <c r="J33" s="116" t="s">
        <v>183</v>
      </c>
      <c r="K33" s="415"/>
      <c r="L33" s="133">
        <f>H33</f>
        <v>983.59829430492198</v>
      </c>
      <c r="M33" s="417"/>
      <c r="N33" s="129" t="s">
        <v>183</v>
      </c>
      <c r="O33" s="377"/>
      <c r="P33" s="135"/>
      <c r="Q33" s="373"/>
      <c r="R33" s="96"/>
    </row>
    <row r="34" spans="1:18" ht="23.25" customHeight="1">
      <c r="A34" s="125" t="str">
        <f>VLOOKUP(A22,'LISTA DE OFERENTES'!$A$4:$G$80,6,FALSE)</f>
        <v>OSCAR ALFREDO MONTOYA - 10%</v>
      </c>
      <c r="B34" s="126"/>
      <c r="C34" s="126"/>
      <c r="D34" s="126"/>
      <c r="E34" s="126"/>
      <c r="F34" s="126"/>
      <c r="G34" s="127"/>
      <c r="H34" s="126"/>
      <c r="I34" s="216"/>
      <c r="J34" s="126"/>
      <c r="K34" s="415"/>
      <c r="L34" s="134"/>
      <c r="M34" s="417"/>
      <c r="N34" s="130"/>
      <c r="O34" s="377"/>
      <c r="P34" s="136"/>
      <c r="Q34" s="373"/>
      <c r="R34" s="27"/>
    </row>
    <row r="35" spans="1:18" s="9" customFormat="1" ht="126">
      <c r="A35" s="118" t="s">
        <v>213</v>
      </c>
      <c r="B35" s="371" t="s">
        <v>214</v>
      </c>
      <c r="C35" s="371"/>
      <c r="D35" s="119">
        <v>1172578649</v>
      </c>
      <c r="E35" s="120">
        <v>2011</v>
      </c>
      <c r="F35" s="121">
        <f>D35/(VLOOKUP(E35,$D$654:$E$687,2,FALSE))</f>
        <v>2189.2805246452576</v>
      </c>
      <c r="G35" s="122">
        <v>0.1</v>
      </c>
      <c r="H35" s="121">
        <f>F35*G35</f>
        <v>218.92805246452576</v>
      </c>
      <c r="I35" s="123">
        <v>40618</v>
      </c>
      <c r="J35" s="116" t="s">
        <v>183</v>
      </c>
      <c r="K35" s="415"/>
      <c r="L35" s="133">
        <f>H35</f>
        <v>218.92805246452576</v>
      </c>
      <c r="M35" s="417"/>
      <c r="N35" s="129" t="s">
        <v>183</v>
      </c>
      <c r="O35" s="377"/>
      <c r="P35" s="135">
        <f>+L35</f>
        <v>218.92805246452576</v>
      </c>
      <c r="Q35" s="373"/>
      <c r="R35" s="96"/>
    </row>
    <row r="36" spans="1:18" s="9" customFormat="1" ht="48" customHeight="1">
      <c r="A36" s="394" t="s">
        <v>210</v>
      </c>
      <c r="B36" s="394"/>
      <c r="C36" s="394"/>
      <c r="D36" s="394"/>
      <c r="E36" s="394"/>
      <c r="F36" s="190">
        <f>+SUM(F30:F35)</f>
        <v>6750.3266596997892</v>
      </c>
      <c r="G36" s="37"/>
      <c r="H36" s="190">
        <f>+SUM(H30:H35)</f>
        <v>3453.730786553805</v>
      </c>
      <c r="I36" s="395" t="s">
        <v>211</v>
      </c>
      <c r="J36" s="396"/>
      <c r="K36" s="396"/>
      <c r="L36" s="396"/>
      <c r="M36" s="397"/>
      <c r="N36" s="138" t="s">
        <v>183</v>
      </c>
      <c r="O36" s="138" t="str">
        <f>IF(P36&gt;O30,"CUMPLE","NO CUMPLE")</f>
        <v>CUMPLE</v>
      </c>
      <c r="P36" s="139">
        <f>SUM(P30:P35)</f>
        <v>2189.2805246452576</v>
      </c>
      <c r="Q36" s="374"/>
      <c r="R36" s="140" t="str">
        <f>+IF(AND(M29="CUMPLE",Q29="CUMPLE",C26="CUMPLE"),"HABILITADO","NO HABILITADO")</f>
        <v>HABILITADO</v>
      </c>
    </row>
    <row r="37" spans="1:18" ht="16.5" thickBot="1">
      <c r="A37" s="3"/>
      <c r="B37" s="3"/>
      <c r="C37" s="3"/>
      <c r="D37" s="3"/>
      <c r="E37" s="3"/>
      <c r="F37" s="3"/>
      <c r="G37" s="3"/>
      <c r="H37" s="3"/>
      <c r="I37" s="3"/>
      <c r="J37" s="3"/>
      <c r="K37" s="3"/>
      <c r="L37" s="3"/>
      <c r="M37" s="3"/>
      <c r="N37" s="3"/>
      <c r="O37" s="3"/>
      <c r="P37" s="3"/>
      <c r="Q37" s="3"/>
      <c r="R37" s="4"/>
    </row>
    <row r="38" spans="1:18" ht="30.75" customHeight="1" thickBot="1">
      <c r="A38" s="398">
        <f>1+A22</f>
        <v>3</v>
      </c>
      <c r="B38" s="398"/>
      <c r="C38" s="398"/>
      <c r="D38" s="398"/>
      <c r="E38" s="412" t="str">
        <f>VLOOKUP(A38,'REQUISITOS HAB. TECNICOS'!$A$5:$B$80,2,FALSE)</f>
        <v xml:space="preserve"> HR INGENIERIA SAS</v>
      </c>
      <c r="F38" s="412"/>
      <c r="G38" s="412"/>
      <c r="H38" s="412"/>
      <c r="I38" s="412"/>
      <c r="J38" s="412"/>
      <c r="K38" s="412"/>
      <c r="L38" s="412"/>
      <c r="M38" s="412"/>
      <c r="N38" s="412"/>
      <c r="O38" s="412"/>
      <c r="P38" s="412"/>
      <c r="Q38" s="412"/>
      <c r="R38" s="412"/>
    </row>
    <row r="39" spans="1:18" ht="50.25" customHeight="1" thickBot="1">
      <c r="A39" s="151" t="s">
        <v>185</v>
      </c>
      <c r="B39" s="63">
        <v>1</v>
      </c>
      <c r="C39" s="152" t="s">
        <v>186</v>
      </c>
      <c r="D39" s="153">
        <f>$D$628</f>
        <v>279.72028</v>
      </c>
      <c r="E39" s="412"/>
      <c r="F39" s="412"/>
      <c r="G39" s="412"/>
      <c r="H39" s="412"/>
      <c r="I39" s="412"/>
      <c r="J39" s="412"/>
      <c r="K39" s="412"/>
      <c r="L39" s="412"/>
      <c r="M39" s="412"/>
      <c r="N39" s="412"/>
      <c r="O39" s="412"/>
      <c r="P39" s="412"/>
      <c r="Q39" s="412"/>
      <c r="R39" s="412"/>
    </row>
    <row r="40" spans="1:18" ht="23.25" customHeight="1" thickBot="1">
      <c r="A40" s="388" t="s">
        <v>187</v>
      </c>
      <c r="B40" s="388"/>
      <c r="C40" s="389">
        <f>H47/B39</f>
        <v>0</v>
      </c>
      <c r="D40" s="389"/>
      <c r="E40" s="412"/>
      <c r="F40" s="412"/>
      <c r="G40" s="412"/>
      <c r="H40" s="412"/>
      <c r="I40" s="412"/>
      <c r="J40" s="412"/>
      <c r="K40" s="412"/>
      <c r="L40" s="412"/>
      <c r="M40" s="412"/>
      <c r="N40" s="412"/>
      <c r="O40" s="412"/>
      <c r="P40" s="412"/>
      <c r="Q40" s="412"/>
      <c r="R40" s="412"/>
    </row>
    <row r="41" spans="1:18" ht="23.25" customHeight="1" thickBot="1">
      <c r="A41" s="390" t="s">
        <v>188</v>
      </c>
      <c r="B41" s="390"/>
      <c r="C41" s="391">
        <v>45610</v>
      </c>
      <c r="D41" s="391"/>
      <c r="E41" s="412"/>
      <c r="F41" s="412"/>
      <c r="G41" s="412"/>
      <c r="H41" s="412"/>
      <c r="I41" s="412"/>
      <c r="J41" s="412"/>
      <c r="K41" s="412"/>
      <c r="L41" s="412"/>
      <c r="M41" s="412"/>
      <c r="N41" s="412"/>
      <c r="O41" s="412"/>
      <c r="P41" s="412"/>
      <c r="Q41" s="412"/>
      <c r="R41" s="412"/>
    </row>
    <row r="42" spans="1:18" ht="38.25" customHeight="1" thickBot="1">
      <c r="A42" s="392" t="s">
        <v>189</v>
      </c>
      <c r="B42" s="392"/>
      <c r="C42" s="393" t="str">
        <f>+IF(H47&gt;D39,"CUMPLE","NO CUMPLE")</f>
        <v>NO CUMPLE</v>
      </c>
      <c r="D42" s="393"/>
      <c r="E42" s="412"/>
      <c r="F42" s="412"/>
      <c r="G42" s="412"/>
      <c r="H42" s="412"/>
      <c r="I42" s="412"/>
      <c r="J42" s="412"/>
      <c r="K42" s="412"/>
      <c r="L42" s="412"/>
      <c r="M42" s="412"/>
      <c r="N42" s="412"/>
      <c r="O42" s="412"/>
      <c r="P42" s="412"/>
      <c r="Q42" s="412"/>
      <c r="R42" s="412"/>
    </row>
    <row r="43" spans="1:18" ht="87" customHeight="1">
      <c r="A43" s="410" t="s">
        <v>190</v>
      </c>
      <c r="B43" s="410"/>
      <c r="C43" s="410"/>
      <c r="D43" s="410"/>
      <c r="E43" s="410"/>
      <c r="F43" s="410"/>
      <c r="G43" s="142"/>
      <c r="H43" s="142"/>
      <c r="I43" s="143" t="s">
        <v>191</v>
      </c>
      <c r="J43" s="144" t="s">
        <v>192</v>
      </c>
      <c r="K43" s="413" t="s">
        <v>193</v>
      </c>
      <c r="L43" s="413"/>
      <c r="M43" s="399" t="s">
        <v>194</v>
      </c>
      <c r="N43" s="399" t="s">
        <v>195</v>
      </c>
      <c r="O43" s="401" t="s">
        <v>196</v>
      </c>
      <c r="P43" s="402"/>
      <c r="Q43" s="399" t="s">
        <v>197</v>
      </c>
      <c r="R43" s="399" t="s">
        <v>198</v>
      </c>
    </row>
    <row r="44" spans="1:18" ht="77.25" customHeight="1" thickBot="1">
      <c r="A44" s="145" t="s">
        <v>199</v>
      </c>
      <c r="B44" s="411" t="s">
        <v>200</v>
      </c>
      <c r="C44" s="411"/>
      <c r="D44" s="146" t="s">
        <v>201</v>
      </c>
      <c r="E44" s="146" t="s">
        <v>202</v>
      </c>
      <c r="F44" s="146" t="s">
        <v>203</v>
      </c>
      <c r="G44" s="147" t="s">
        <v>204</v>
      </c>
      <c r="H44" s="147" t="s">
        <v>205</v>
      </c>
      <c r="I44" s="148" t="s">
        <v>206</v>
      </c>
      <c r="J44" s="148" t="s">
        <v>207</v>
      </c>
      <c r="K44" s="149" t="s">
        <v>208</v>
      </c>
      <c r="L44" s="150" t="s">
        <v>209</v>
      </c>
      <c r="M44" s="400"/>
      <c r="N44" s="400"/>
      <c r="O44" s="403"/>
      <c r="P44" s="404"/>
      <c r="Q44" s="400"/>
      <c r="R44" s="400"/>
    </row>
    <row r="45" spans="1:18" ht="18">
      <c r="A45" s="125" t="str">
        <f>VLOOKUP(A38,'LISTA DE OFERENTES'!$A$4:$G$80,5,FALSE)</f>
        <v xml:space="preserve"> HR INGENIERIA SAS - 100%</v>
      </c>
      <c r="B45" s="26"/>
      <c r="C45" s="26"/>
      <c r="D45" s="26"/>
      <c r="E45" s="26"/>
      <c r="F45" s="26"/>
      <c r="G45" s="26"/>
      <c r="H45" s="26"/>
      <c r="I45" s="26"/>
      <c r="J45" s="26"/>
      <c r="K45" s="414">
        <f>$D$628*0.5</f>
        <v>139.86014</v>
      </c>
      <c r="L45" s="132"/>
      <c r="M45" s="416" t="s">
        <v>184</v>
      </c>
      <c r="N45" s="128"/>
      <c r="O45" s="189"/>
      <c r="P45" s="132"/>
      <c r="Q45" s="372" t="str">
        <f>IF(AND(N47="CUMPLE",O47="CUMPLE"),"CUMPLE","NO CUMPLE")</f>
        <v>NO CUMPLE</v>
      </c>
      <c r="R45" s="141"/>
    </row>
    <row r="46" spans="1:18" s="9" customFormat="1" ht="90">
      <c r="A46" s="118" t="s">
        <v>218</v>
      </c>
      <c r="B46" s="371" t="s">
        <v>219</v>
      </c>
      <c r="C46" s="371"/>
      <c r="D46" s="119">
        <v>436564966</v>
      </c>
      <c r="E46" s="120">
        <v>2017</v>
      </c>
      <c r="F46" s="121">
        <f>D46/(VLOOKUP(E46,$D$654:$E$687,2,FALSE))</f>
        <v>591.77837300753538</v>
      </c>
      <c r="G46" s="122">
        <v>1</v>
      </c>
      <c r="H46" s="121"/>
      <c r="I46" s="123">
        <v>42787</v>
      </c>
      <c r="J46" s="116" t="s">
        <v>183</v>
      </c>
      <c r="K46" s="415"/>
      <c r="L46" s="133">
        <f>H46</f>
        <v>0</v>
      </c>
      <c r="M46" s="417"/>
      <c r="N46" s="129" t="s">
        <v>184</v>
      </c>
      <c r="O46" s="192">
        <f>$D$628*0.7</f>
        <v>195.80419599999999</v>
      </c>
      <c r="P46" s="135"/>
      <c r="Q46" s="373"/>
      <c r="R46" s="96" t="s">
        <v>501</v>
      </c>
    </row>
    <row r="47" spans="1:18" s="9" customFormat="1" ht="48" customHeight="1">
      <c r="A47" s="394" t="s">
        <v>210</v>
      </c>
      <c r="B47" s="394"/>
      <c r="C47" s="394"/>
      <c r="D47" s="394"/>
      <c r="E47" s="394"/>
      <c r="F47" s="190">
        <f>+SUM(F46:F46)</f>
        <v>591.77837300753538</v>
      </c>
      <c r="G47" s="37"/>
      <c r="H47" s="190">
        <f>+SUM(H46:H46)</f>
        <v>0</v>
      </c>
      <c r="I47" s="395" t="s">
        <v>211</v>
      </c>
      <c r="J47" s="396"/>
      <c r="K47" s="396"/>
      <c r="L47" s="396"/>
      <c r="M47" s="397"/>
      <c r="N47" s="138" t="s">
        <v>184</v>
      </c>
      <c r="O47" s="138" t="str">
        <f>IF(P47&gt;O46,"CUMPLE","NO CUMPLE")</f>
        <v>NO CUMPLE</v>
      </c>
      <c r="P47" s="139">
        <f>SUM(P46:P46)</f>
        <v>0</v>
      </c>
      <c r="Q47" s="374"/>
      <c r="R47" s="140" t="str">
        <f>+IF(AND(M45="CUMPLE",Q45="CUMPLE",C42="CUMPLE"),"HABILITADO","NO HABILITADO")</f>
        <v>NO HABILITADO</v>
      </c>
    </row>
    <row r="48" spans="1:18" ht="16.5" thickBot="1">
      <c r="A48" s="3"/>
      <c r="B48" s="3"/>
      <c r="C48" s="3"/>
      <c r="D48" s="3"/>
      <c r="E48" s="3"/>
      <c r="F48" s="3"/>
      <c r="G48" s="3"/>
      <c r="H48" s="3"/>
      <c r="I48" s="3"/>
      <c r="J48" s="3"/>
      <c r="K48" s="3"/>
      <c r="L48" s="3"/>
      <c r="M48" s="3"/>
      <c r="N48" s="3"/>
      <c r="O48" s="3"/>
      <c r="P48" s="3"/>
      <c r="Q48" s="3"/>
      <c r="R48" s="4"/>
    </row>
    <row r="49" spans="1:18" ht="30.75" customHeight="1" thickBot="1">
      <c r="A49" s="398">
        <f>1+A38</f>
        <v>4</v>
      </c>
      <c r="B49" s="398"/>
      <c r="C49" s="398"/>
      <c r="D49" s="398"/>
      <c r="E49" s="412" t="str">
        <f>VLOOKUP(A49,'REQUISITOS HAB. TECNICOS'!$A$5:$B$80,2,FALSE)</f>
        <v xml:space="preserve"> INGECO INGENIERIA DE CONSTRUCCIONES S.A.S</v>
      </c>
      <c r="F49" s="412"/>
      <c r="G49" s="412"/>
      <c r="H49" s="412"/>
      <c r="I49" s="412"/>
      <c r="J49" s="412"/>
      <c r="K49" s="412"/>
      <c r="L49" s="412"/>
      <c r="M49" s="412"/>
      <c r="N49" s="412"/>
      <c r="O49" s="412"/>
      <c r="P49" s="412"/>
      <c r="Q49" s="412"/>
      <c r="R49" s="412"/>
    </row>
    <row r="50" spans="1:18" ht="50.25" customHeight="1" thickBot="1">
      <c r="A50" s="151" t="s">
        <v>185</v>
      </c>
      <c r="B50" s="63">
        <v>1</v>
      </c>
      <c r="C50" s="152" t="s">
        <v>186</v>
      </c>
      <c r="D50" s="153">
        <f>$D$628</f>
        <v>279.72028</v>
      </c>
      <c r="E50" s="412"/>
      <c r="F50" s="412"/>
      <c r="G50" s="412"/>
      <c r="H50" s="412"/>
      <c r="I50" s="412"/>
      <c r="J50" s="412"/>
      <c r="K50" s="412"/>
      <c r="L50" s="412"/>
      <c r="M50" s="412"/>
      <c r="N50" s="412"/>
      <c r="O50" s="412"/>
      <c r="P50" s="412"/>
      <c r="Q50" s="412"/>
      <c r="R50" s="412"/>
    </row>
    <row r="51" spans="1:18" ht="23.25" customHeight="1" thickBot="1">
      <c r="A51" s="388" t="s">
        <v>187</v>
      </c>
      <c r="B51" s="388"/>
      <c r="C51" s="389">
        <f>H58/B50</f>
        <v>700.87483239405651</v>
      </c>
      <c r="D51" s="389"/>
      <c r="E51" s="412"/>
      <c r="F51" s="412"/>
      <c r="G51" s="412"/>
      <c r="H51" s="412"/>
      <c r="I51" s="412"/>
      <c r="J51" s="412"/>
      <c r="K51" s="412"/>
      <c r="L51" s="412"/>
      <c r="M51" s="412"/>
      <c r="N51" s="412"/>
      <c r="O51" s="412"/>
      <c r="P51" s="412"/>
      <c r="Q51" s="412"/>
      <c r="R51" s="412"/>
    </row>
    <row r="52" spans="1:18" ht="23.25" customHeight="1" thickBot="1">
      <c r="A52" s="390" t="s">
        <v>188</v>
      </c>
      <c r="B52" s="390"/>
      <c r="C52" s="391">
        <v>45610</v>
      </c>
      <c r="D52" s="391"/>
      <c r="E52" s="412"/>
      <c r="F52" s="412"/>
      <c r="G52" s="412"/>
      <c r="H52" s="412"/>
      <c r="I52" s="412"/>
      <c r="J52" s="412"/>
      <c r="K52" s="412"/>
      <c r="L52" s="412"/>
      <c r="M52" s="412"/>
      <c r="N52" s="412"/>
      <c r="O52" s="412"/>
      <c r="P52" s="412"/>
      <c r="Q52" s="412"/>
      <c r="R52" s="412"/>
    </row>
    <row r="53" spans="1:18" ht="38.25" customHeight="1" thickBot="1">
      <c r="A53" s="392" t="s">
        <v>189</v>
      </c>
      <c r="B53" s="392"/>
      <c r="C53" s="393" t="str">
        <f>+IF(H58&gt;D50,"CUMPLE","NO CUMPLE")</f>
        <v>CUMPLE</v>
      </c>
      <c r="D53" s="393"/>
      <c r="E53" s="412"/>
      <c r="F53" s="412"/>
      <c r="G53" s="412"/>
      <c r="H53" s="412"/>
      <c r="I53" s="412"/>
      <c r="J53" s="412"/>
      <c r="K53" s="412"/>
      <c r="L53" s="412"/>
      <c r="M53" s="412"/>
      <c r="N53" s="412"/>
      <c r="O53" s="412"/>
      <c r="P53" s="412"/>
      <c r="Q53" s="412"/>
      <c r="R53" s="412"/>
    </row>
    <row r="54" spans="1:18" ht="87" customHeight="1">
      <c r="A54" s="410" t="s">
        <v>190</v>
      </c>
      <c r="B54" s="410"/>
      <c r="C54" s="410"/>
      <c r="D54" s="410"/>
      <c r="E54" s="410"/>
      <c r="F54" s="410"/>
      <c r="G54" s="142"/>
      <c r="H54" s="142"/>
      <c r="I54" s="143" t="s">
        <v>191</v>
      </c>
      <c r="J54" s="144" t="s">
        <v>192</v>
      </c>
      <c r="K54" s="413" t="s">
        <v>193</v>
      </c>
      <c r="L54" s="413"/>
      <c r="M54" s="399" t="s">
        <v>194</v>
      </c>
      <c r="N54" s="399" t="s">
        <v>195</v>
      </c>
      <c r="O54" s="401" t="s">
        <v>196</v>
      </c>
      <c r="P54" s="402"/>
      <c r="Q54" s="399" t="s">
        <v>197</v>
      </c>
      <c r="R54" s="399" t="s">
        <v>198</v>
      </c>
    </row>
    <row r="55" spans="1:18" ht="77.25" customHeight="1" thickBot="1">
      <c r="A55" s="145" t="s">
        <v>199</v>
      </c>
      <c r="B55" s="411" t="s">
        <v>200</v>
      </c>
      <c r="C55" s="411"/>
      <c r="D55" s="146" t="s">
        <v>201</v>
      </c>
      <c r="E55" s="146" t="s">
        <v>202</v>
      </c>
      <c r="F55" s="146" t="s">
        <v>203</v>
      </c>
      <c r="G55" s="147" t="s">
        <v>204</v>
      </c>
      <c r="H55" s="147" t="s">
        <v>205</v>
      </c>
      <c r="I55" s="148" t="s">
        <v>206</v>
      </c>
      <c r="J55" s="148" t="s">
        <v>207</v>
      </c>
      <c r="K55" s="149" t="s">
        <v>208</v>
      </c>
      <c r="L55" s="150" t="s">
        <v>209</v>
      </c>
      <c r="M55" s="400"/>
      <c r="N55" s="400"/>
      <c r="O55" s="403"/>
      <c r="P55" s="404"/>
      <c r="Q55" s="400"/>
      <c r="R55" s="400"/>
    </row>
    <row r="56" spans="1:18" ht="18">
      <c r="A56" s="125" t="str">
        <f>VLOOKUP(A49,'LISTA DE OFERENTES'!$A$4:$G$80,5,FALSE)</f>
        <v xml:space="preserve"> INGECO INGENIERIA DE CONSTRUCCIONES S.A.S - 100%</v>
      </c>
      <c r="B56" s="26"/>
      <c r="C56" s="26"/>
      <c r="D56" s="26"/>
      <c r="E56" s="26"/>
      <c r="F56" s="26"/>
      <c r="G56" s="26"/>
      <c r="H56" s="26"/>
      <c r="I56" s="26"/>
      <c r="J56" s="26"/>
      <c r="K56" s="414">
        <f>$D$628*0.5</f>
        <v>139.86014</v>
      </c>
      <c r="L56" s="132"/>
      <c r="M56" s="416" t="s">
        <v>183</v>
      </c>
      <c r="N56" s="128"/>
      <c r="O56" s="189"/>
      <c r="P56" s="132"/>
      <c r="Q56" s="372" t="str">
        <f>IF(AND(N58="CUMPLE",O58="CUMPLE"),"CUMPLE","NO CUMPLE")</f>
        <v>CUMPLE</v>
      </c>
      <c r="R56" s="141"/>
    </row>
    <row r="57" spans="1:18" s="9" customFormat="1" ht="90">
      <c r="A57" s="118" t="s">
        <v>220</v>
      </c>
      <c r="B57" s="371" t="s">
        <v>221</v>
      </c>
      <c r="C57" s="371"/>
      <c r="D57" s="119">
        <v>1230460061</v>
      </c>
      <c r="E57" s="120">
        <v>2020</v>
      </c>
      <c r="F57" s="121">
        <f>D57/(VLOOKUP(E57,$D$654:$E$687,2,FALSE))</f>
        <v>1401.749664788113</v>
      </c>
      <c r="G57" s="122">
        <v>0.5</v>
      </c>
      <c r="H57" s="121">
        <f>F57*G57</f>
        <v>700.87483239405651</v>
      </c>
      <c r="I57" s="123">
        <v>44159</v>
      </c>
      <c r="J57" s="116" t="s">
        <v>183</v>
      </c>
      <c r="K57" s="415"/>
      <c r="L57" s="133">
        <f>H57</f>
        <v>700.87483239405651</v>
      </c>
      <c r="M57" s="417"/>
      <c r="N57" s="129" t="s">
        <v>183</v>
      </c>
      <c r="O57" s="192">
        <f>$D$628*0.7</f>
        <v>195.80419599999999</v>
      </c>
      <c r="P57" s="135">
        <f>+L57</f>
        <v>700.87483239405651</v>
      </c>
      <c r="Q57" s="373"/>
      <c r="R57" s="96"/>
    </row>
    <row r="58" spans="1:18" s="9" customFormat="1" ht="48" customHeight="1">
      <c r="A58" s="394" t="s">
        <v>210</v>
      </c>
      <c r="B58" s="394"/>
      <c r="C58" s="394"/>
      <c r="D58" s="394"/>
      <c r="E58" s="394"/>
      <c r="F58" s="190">
        <f>+SUM(F57:F57)</f>
        <v>1401.749664788113</v>
      </c>
      <c r="G58" s="37"/>
      <c r="H58" s="190">
        <f>+SUM(H57:H57)</f>
        <v>700.87483239405651</v>
      </c>
      <c r="I58" s="395" t="s">
        <v>211</v>
      </c>
      <c r="J58" s="396"/>
      <c r="K58" s="396"/>
      <c r="L58" s="396"/>
      <c r="M58" s="397"/>
      <c r="N58" s="138" t="s">
        <v>183</v>
      </c>
      <c r="O58" s="138" t="str">
        <f>IF(P58&gt;O57,"CUMPLE","NO CUMPLE")</f>
        <v>CUMPLE</v>
      </c>
      <c r="P58" s="139">
        <f>SUM(P57:P57)</f>
        <v>700.87483239405651</v>
      </c>
      <c r="Q58" s="374"/>
      <c r="R58" s="140" t="str">
        <f>+IF(AND(M56="CUMPLE",Q56="CUMPLE",C53="CUMPLE"),"HABILITADO","NO HABILITADO")</f>
        <v>HABILITADO</v>
      </c>
    </row>
    <row r="59" spans="1:18" ht="16.5" thickBot="1">
      <c r="A59" s="3"/>
      <c r="B59" s="3"/>
      <c r="C59" s="3"/>
      <c r="D59" s="3"/>
      <c r="E59" s="3"/>
      <c r="F59" s="3"/>
      <c r="G59" s="3"/>
      <c r="H59" s="3"/>
      <c r="I59" s="3"/>
      <c r="J59" s="3"/>
      <c r="K59" s="3"/>
      <c r="L59" s="3"/>
      <c r="M59" s="3"/>
      <c r="N59" s="3"/>
      <c r="O59" s="3"/>
      <c r="P59" s="3"/>
      <c r="Q59" s="3"/>
      <c r="R59" s="4"/>
    </row>
    <row r="60" spans="1:18" ht="30.75" customHeight="1" thickBot="1">
      <c r="A60" s="398">
        <f>1+A49</f>
        <v>5</v>
      </c>
      <c r="B60" s="398"/>
      <c r="C60" s="398"/>
      <c r="D60" s="398"/>
      <c r="E60" s="412" t="str">
        <f>VLOOKUP(A60,'REQUISITOS HAB. TECNICOS'!$A$5:$B$80,2,FALSE)</f>
        <v>A&amp;G PLUS SAS BIC</v>
      </c>
      <c r="F60" s="412"/>
      <c r="G60" s="412"/>
      <c r="H60" s="412"/>
      <c r="I60" s="412"/>
      <c r="J60" s="412"/>
      <c r="K60" s="412"/>
      <c r="L60" s="412"/>
      <c r="M60" s="412"/>
      <c r="N60" s="412"/>
      <c r="O60" s="412"/>
      <c r="P60" s="412"/>
      <c r="Q60" s="412"/>
      <c r="R60" s="412"/>
    </row>
    <row r="61" spans="1:18" ht="50.25" customHeight="1" thickBot="1">
      <c r="A61" s="151" t="s">
        <v>185</v>
      </c>
      <c r="B61" s="63">
        <v>1</v>
      </c>
      <c r="C61" s="152" t="s">
        <v>186</v>
      </c>
      <c r="D61" s="153">
        <f>$D$628</f>
        <v>279.72028</v>
      </c>
      <c r="E61" s="412"/>
      <c r="F61" s="412"/>
      <c r="G61" s="412"/>
      <c r="H61" s="412"/>
      <c r="I61" s="412"/>
      <c r="J61" s="412"/>
      <c r="K61" s="412"/>
      <c r="L61" s="412"/>
      <c r="M61" s="412"/>
      <c r="N61" s="412"/>
      <c r="O61" s="412"/>
      <c r="P61" s="412"/>
      <c r="Q61" s="412"/>
      <c r="R61" s="412"/>
    </row>
    <row r="62" spans="1:18" ht="23.25" customHeight="1" thickBot="1">
      <c r="A62" s="388" t="s">
        <v>187</v>
      </c>
      <c r="B62" s="388"/>
      <c r="C62" s="389">
        <f>H70/B61</f>
        <v>246.49465086206897</v>
      </c>
      <c r="D62" s="389"/>
      <c r="E62" s="412"/>
      <c r="F62" s="412"/>
      <c r="G62" s="412"/>
      <c r="H62" s="412"/>
      <c r="I62" s="412"/>
      <c r="J62" s="412"/>
      <c r="K62" s="412"/>
      <c r="L62" s="412"/>
      <c r="M62" s="412"/>
      <c r="N62" s="412"/>
      <c r="O62" s="412"/>
      <c r="P62" s="412"/>
      <c r="Q62" s="412"/>
      <c r="R62" s="412"/>
    </row>
    <row r="63" spans="1:18" ht="23.25" customHeight="1" thickBot="1">
      <c r="A63" s="390" t="s">
        <v>188</v>
      </c>
      <c r="B63" s="390"/>
      <c r="C63" s="391">
        <v>45610</v>
      </c>
      <c r="D63" s="391"/>
      <c r="E63" s="412"/>
      <c r="F63" s="412"/>
      <c r="G63" s="412"/>
      <c r="H63" s="412"/>
      <c r="I63" s="412"/>
      <c r="J63" s="412"/>
      <c r="K63" s="412"/>
      <c r="L63" s="412"/>
      <c r="M63" s="412"/>
      <c r="N63" s="412"/>
      <c r="O63" s="412"/>
      <c r="P63" s="412"/>
      <c r="Q63" s="412"/>
      <c r="R63" s="412"/>
    </row>
    <row r="64" spans="1:18" ht="38.25" customHeight="1" thickBot="1">
      <c r="A64" s="392" t="s">
        <v>189</v>
      </c>
      <c r="B64" s="392"/>
      <c r="C64" s="393" t="str">
        <f>+IF(H70&gt;D61,"CUMPLE","NO CUMPLE")</f>
        <v>NO CUMPLE</v>
      </c>
      <c r="D64" s="393"/>
      <c r="E64" s="412"/>
      <c r="F64" s="412"/>
      <c r="G64" s="412"/>
      <c r="H64" s="412"/>
      <c r="I64" s="412"/>
      <c r="J64" s="412"/>
      <c r="K64" s="412"/>
      <c r="L64" s="412"/>
      <c r="M64" s="412"/>
      <c r="N64" s="412"/>
      <c r="O64" s="412"/>
      <c r="P64" s="412"/>
      <c r="Q64" s="412"/>
      <c r="R64" s="412"/>
    </row>
    <row r="65" spans="1:19" ht="87" customHeight="1">
      <c r="A65" s="410" t="s">
        <v>190</v>
      </c>
      <c r="B65" s="410"/>
      <c r="C65" s="410"/>
      <c r="D65" s="410"/>
      <c r="E65" s="410"/>
      <c r="F65" s="410"/>
      <c r="G65" s="142"/>
      <c r="H65" s="142"/>
      <c r="I65" s="143" t="s">
        <v>191</v>
      </c>
      <c r="J65" s="144" t="s">
        <v>192</v>
      </c>
      <c r="K65" s="413" t="s">
        <v>193</v>
      </c>
      <c r="L65" s="413"/>
      <c r="M65" s="399" t="s">
        <v>194</v>
      </c>
      <c r="N65" s="399" t="s">
        <v>195</v>
      </c>
      <c r="O65" s="401" t="s">
        <v>196</v>
      </c>
      <c r="P65" s="402"/>
      <c r="Q65" s="399" t="s">
        <v>197</v>
      </c>
      <c r="R65" s="399" t="s">
        <v>198</v>
      </c>
    </row>
    <row r="66" spans="1:19" ht="77.25" customHeight="1" thickBot="1">
      <c r="A66" s="145" t="s">
        <v>199</v>
      </c>
      <c r="B66" s="411" t="s">
        <v>200</v>
      </c>
      <c r="C66" s="411"/>
      <c r="D66" s="146" t="s">
        <v>201</v>
      </c>
      <c r="E66" s="146" t="s">
        <v>202</v>
      </c>
      <c r="F66" s="146" t="s">
        <v>203</v>
      </c>
      <c r="G66" s="147" t="s">
        <v>204</v>
      </c>
      <c r="H66" s="147" t="s">
        <v>205</v>
      </c>
      <c r="I66" s="148" t="s">
        <v>206</v>
      </c>
      <c r="J66" s="148" t="s">
        <v>207</v>
      </c>
      <c r="K66" s="149" t="s">
        <v>208</v>
      </c>
      <c r="L66" s="150" t="s">
        <v>209</v>
      </c>
      <c r="M66" s="400"/>
      <c r="N66" s="400"/>
      <c r="O66" s="403"/>
      <c r="P66" s="404"/>
      <c r="Q66" s="400"/>
      <c r="R66" s="400"/>
    </row>
    <row r="67" spans="1:19" ht="18">
      <c r="A67" s="125" t="str">
        <f>VLOOKUP(A60,'LISTA DE OFERENTES'!$A$4:$G$80,5,FALSE)</f>
        <v>A&amp;G PLUS SAS BIC - 100%</v>
      </c>
      <c r="B67" s="26"/>
      <c r="C67" s="26"/>
      <c r="D67" s="26"/>
      <c r="E67" s="26"/>
      <c r="F67" s="26"/>
      <c r="G67" s="26"/>
      <c r="H67" s="26"/>
      <c r="I67" s="26"/>
      <c r="J67" s="26"/>
      <c r="K67" s="414">
        <f>$D$628*0.5</f>
        <v>139.86014</v>
      </c>
      <c r="L67" s="132"/>
      <c r="M67" s="416" t="s">
        <v>184</v>
      </c>
      <c r="N67" s="128"/>
      <c r="O67" s="189"/>
      <c r="P67" s="132"/>
      <c r="Q67" s="372" t="str">
        <f>IF(AND(N70="CUMPLE",O70="CUMPLE"),"CUMPLE","NO CUMPLE")</f>
        <v>CUMPLE</v>
      </c>
      <c r="R67" s="141"/>
    </row>
    <row r="68" spans="1:19" s="9" customFormat="1" ht="180">
      <c r="A68" s="118" t="s">
        <v>222</v>
      </c>
      <c r="B68" s="371" t="s">
        <v>223</v>
      </c>
      <c r="C68" s="371"/>
      <c r="D68" s="119">
        <v>571867590</v>
      </c>
      <c r="E68" s="120">
        <v>2023</v>
      </c>
      <c r="F68" s="121">
        <f>D68/(VLOOKUP(E68,$D$654:$E$687,2,FALSE))</f>
        <v>492.98930172413793</v>
      </c>
      <c r="G68" s="122">
        <v>0.5</v>
      </c>
      <c r="H68" s="121">
        <f>F68*G68</f>
        <v>246.49465086206897</v>
      </c>
      <c r="I68" s="123">
        <v>45216</v>
      </c>
      <c r="J68" s="116" t="s">
        <v>183</v>
      </c>
      <c r="K68" s="415"/>
      <c r="L68" s="133">
        <f>H68</f>
        <v>246.49465086206897</v>
      </c>
      <c r="M68" s="417"/>
      <c r="N68" s="129" t="s">
        <v>183</v>
      </c>
      <c r="O68" s="375">
        <f>$D$628*0.7</f>
        <v>195.80419599999999</v>
      </c>
      <c r="P68" s="135">
        <f>+L68</f>
        <v>246.49465086206897</v>
      </c>
      <c r="Q68" s="373"/>
      <c r="R68" s="270" t="s">
        <v>224</v>
      </c>
    </row>
    <row r="69" spans="1:19" s="9" customFormat="1" ht="132" customHeight="1" thickBot="1">
      <c r="A69" s="118" t="s">
        <v>225</v>
      </c>
      <c r="B69" s="371" t="s">
        <v>226</v>
      </c>
      <c r="C69" s="371"/>
      <c r="D69" s="119">
        <v>2322224676</v>
      </c>
      <c r="E69" s="120">
        <v>2022</v>
      </c>
      <c r="F69" s="121">
        <f>D69/(VLOOKUP(E69,$D$654:$E$687,2,FALSE))</f>
        <v>2322.2246759999998</v>
      </c>
      <c r="G69" s="122">
        <v>0.75</v>
      </c>
      <c r="H69" s="121"/>
      <c r="I69" s="124">
        <v>44923</v>
      </c>
      <c r="J69" s="131" t="s">
        <v>183</v>
      </c>
      <c r="K69" s="415"/>
      <c r="L69" s="133">
        <f>H69</f>
        <v>0</v>
      </c>
      <c r="M69" s="417"/>
      <c r="N69" s="129" t="s">
        <v>184</v>
      </c>
      <c r="O69" s="377"/>
      <c r="P69" s="135"/>
      <c r="Q69" s="373"/>
      <c r="R69" s="270" t="s">
        <v>500</v>
      </c>
      <c r="S69"/>
    </row>
    <row r="70" spans="1:19" s="9" customFormat="1" ht="48" customHeight="1" thickBot="1">
      <c r="A70" s="394" t="s">
        <v>210</v>
      </c>
      <c r="B70" s="394"/>
      <c r="C70" s="394"/>
      <c r="D70" s="394"/>
      <c r="E70" s="394"/>
      <c r="F70" s="190">
        <f>+SUM(F68:F69)</f>
        <v>2815.2139777241377</v>
      </c>
      <c r="G70" s="37"/>
      <c r="H70" s="190">
        <f>+SUM(H68:H69)</f>
        <v>246.49465086206897</v>
      </c>
      <c r="I70" s="395" t="s">
        <v>211</v>
      </c>
      <c r="J70" s="396"/>
      <c r="K70" s="396"/>
      <c r="L70" s="396"/>
      <c r="M70" s="397"/>
      <c r="N70" s="138" t="s">
        <v>183</v>
      </c>
      <c r="O70" s="138" t="str">
        <f>IF(P70&gt;O68,"CUMPLE","NO CUMPLE")</f>
        <v>CUMPLE</v>
      </c>
      <c r="P70" s="139">
        <f>SUM(P68:P69)</f>
        <v>246.49465086206897</v>
      </c>
      <c r="Q70" s="374"/>
      <c r="R70" s="140" t="str">
        <f>+IF(AND(M68="CUMPLE",Q68="CUMPLE",C65="CUMPLE"),"HABILITADO","NO HABILITADO")</f>
        <v>NO HABILITADO</v>
      </c>
    </row>
    <row r="71" spans="1:19" ht="16.5" thickBot="1">
      <c r="A71" s="3"/>
      <c r="B71" s="3"/>
      <c r="C71" s="3"/>
      <c r="D71" s="3"/>
      <c r="E71" s="3"/>
      <c r="F71" s="3"/>
      <c r="G71" s="3"/>
      <c r="H71" s="3"/>
      <c r="I71" s="3"/>
      <c r="J71" s="3"/>
      <c r="K71" s="3"/>
      <c r="L71" s="3"/>
      <c r="M71" s="3"/>
      <c r="N71" s="3"/>
      <c r="O71" s="3"/>
      <c r="P71" s="3"/>
      <c r="Q71" s="3"/>
      <c r="R71" s="4"/>
    </row>
    <row r="72" spans="1:19" ht="30.75" customHeight="1" thickBot="1">
      <c r="A72" s="398">
        <f>1+A60</f>
        <v>6</v>
      </c>
      <c r="B72" s="398"/>
      <c r="C72" s="398"/>
      <c r="D72" s="398"/>
      <c r="E72" s="412" t="str">
        <f>VLOOKUP(A72,'REQUISITOS HAB. TECNICOS'!$A$5:$B$80,2,FALSE)</f>
        <v>CONSORCIO PARQUES ENGATIVÁ 2025</v>
      </c>
      <c r="F72" s="412"/>
      <c r="G72" s="412"/>
      <c r="H72" s="412"/>
      <c r="I72" s="412"/>
      <c r="J72" s="412"/>
      <c r="K72" s="412"/>
      <c r="L72" s="412"/>
      <c r="M72" s="412"/>
      <c r="N72" s="412"/>
      <c r="O72" s="412"/>
      <c r="P72" s="412"/>
      <c r="Q72" s="412"/>
      <c r="R72" s="412"/>
    </row>
    <row r="73" spans="1:19" ht="50.25" customHeight="1" thickBot="1">
      <c r="A73" s="151" t="s">
        <v>185</v>
      </c>
      <c r="B73" s="63">
        <v>3</v>
      </c>
      <c r="C73" s="152" t="s">
        <v>186</v>
      </c>
      <c r="D73" s="153">
        <f>$D$628</f>
        <v>279.72028</v>
      </c>
      <c r="E73" s="412"/>
      <c r="F73" s="412"/>
      <c r="G73" s="412"/>
      <c r="H73" s="412"/>
      <c r="I73" s="412"/>
      <c r="J73" s="412"/>
      <c r="K73" s="412"/>
      <c r="L73" s="412"/>
      <c r="M73" s="412"/>
      <c r="N73" s="412"/>
      <c r="O73" s="412"/>
      <c r="P73" s="412"/>
      <c r="Q73" s="412"/>
      <c r="R73" s="412"/>
    </row>
    <row r="74" spans="1:19" ht="23.25" customHeight="1" thickBot="1">
      <c r="A74" s="388" t="s">
        <v>187</v>
      </c>
      <c r="B74" s="388"/>
      <c r="C74" s="389">
        <f>H84/B73</f>
        <v>365.37945087260454</v>
      </c>
      <c r="D74" s="389"/>
      <c r="E74" s="412"/>
      <c r="F74" s="412"/>
      <c r="G74" s="412"/>
      <c r="H74" s="412"/>
      <c r="I74" s="412"/>
      <c r="J74" s="412"/>
      <c r="K74" s="412"/>
      <c r="L74" s="412"/>
      <c r="M74" s="412"/>
      <c r="N74" s="412"/>
      <c r="O74" s="412"/>
      <c r="P74" s="412"/>
      <c r="Q74" s="412"/>
      <c r="R74" s="412"/>
    </row>
    <row r="75" spans="1:19" ht="23.25" customHeight="1" thickBot="1">
      <c r="A75" s="390" t="s">
        <v>188</v>
      </c>
      <c r="B75" s="390"/>
      <c r="C75" s="391">
        <v>45610</v>
      </c>
      <c r="D75" s="391"/>
      <c r="E75" s="412"/>
      <c r="F75" s="412"/>
      <c r="G75" s="412"/>
      <c r="H75" s="412"/>
      <c r="I75" s="412"/>
      <c r="J75" s="412"/>
      <c r="K75" s="412"/>
      <c r="L75" s="412"/>
      <c r="M75" s="412"/>
      <c r="N75" s="412"/>
      <c r="O75" s="412"/>
      <c r="P75" s="412"/>
      <c r="Q75" s="412"/>
      <c r="R75" s="412"/>
    </row>
    <row r="76" spans="1:19" ht="38.25" customHeight="1" thickBot="1">
      <c r="A76" s="392" t="s">
        <v>189</v>
      </c>
      <c r="B76" s="392"/>
      <c r="C76" s="393" t="str">
        <f>+IF(H84&gt;D73,"CUMPLE","NO CUMPLE")</f>
        <v>CUMPLE</v>
      </c>
      <c r="D76" s="393"/>
      <c r="E76" s="412"/>
      <c r="F76" s="412"/>
      <c r="G76" s="412"/>
      <c r="H76" s="412"/>
      <c r="I76" s="412"/>
      <c r="J76" s="412"/>
      <c r="K76" s="412"/>
      <c r="L76" s="412"/>
      <c r="M76" s="412"/>
      <c r="N76" s="412"/>
      <c r="O76" s="412"/>
      <c r="P76" s="412"/>
      <c r="Q76" s="412"/>
      <c r="R76" s="412"/>
    </row>
    <row r="77" spans="1:19" ht="87" customHeight="1">
      <c r="A77" s="410" t="s">
        <v>190</v>
      </c>
      <c r="B77" s="410"/>
      <c r="C77" s="410"/>
      <c r="D77" s="410"/>
      <c r="E77" s="410"/>
      <c r="F77" s="410"/>
      <c r="G77" s="142"/>
      <c r="H77" s="142"/>
      <c r="I77" s="143" t="s">
        <v>191</v>
      </c>
      <c r="J77" s="144" t="s">
        <v>192</v>
      </c>
      <c r="K77" s="413" t="s">
        <v>193</v>
      </c>
      <c r="L77" s="413"/>
      <c r="M77" s="399" t="s">
        <v>194</v>
      </c>
      <c r="N77" s="399" t="s">
        <v>195</v>
      </c>
      <c r="O77" s="401" t="s">
        <v>196</v>
      </c>
      <c r="P77" s="402"/>
      <c r="Q77" s="399" t="s">
        <v>197</v>
      </c>
      <c r="R77" s="399" t="s">
        <v>198</v>
      </c>
    </row>
    <row r="78" spans="1:19" ht="77.25" customHeight="1" thickBot="1">
      <c r="A78" s="145" t="s">
        <v>199</v>
      </c>
      <c r="B78" s="411" t="s">
        <v>200</v>
      </c>
      <c r="C78" s="411"/>
      <c r="D78" s="146" t="s">
        <v>201</v>
      </c>
      <c r="E78" s="146" t="s">
        <v>202</v>
      </c>
      <c r="F78" s="146" t="s">
        <v>203</v>
      </c>
      <c r="G78" s="147" t="s">
        <v>204</v>
      </c>
      <c r="H78" s="147" t="s">
        <v>205</v>
      </c>
      <c r="I78" s="148" t="s">
        <v>206</v>
      </c>
      <c r="J78" s="148" t="s">
        <v>207</v>
      </c>
      <c r="K78" s="149" t="s">
        <v>208</v>
      </c>
      <c r="L78" s="150" t="s">
        <v>209</v>
      </c>
      <c r="M78" s="400"/>
      <c r="N78" s="400"/>
      <c r="O78" s="403"/>
      <c r="P78" s="404"/>
      <c r="Q78" s="400"/>
      <c r="R78" s="400"/>
    </row>
    <row r="79" spans="1:19" ht="18">
      <c r="A79" s="125" t="str">
        <f>VLOOKUP(A72,'LISTA DE OFERENTES'!$A$4:$G$80,5,FALSE)</f>
        <v>SANDRA MONICA CARDOZO - 50%</v>
      </c>
      <c r="B79" s="26"/>
      <c r="C79" s="26"/>
      <c r="D79" s="26"/>
      <c r="E79" s="26"/>
      <c r="F79" s="26"/>
      <c r="G79" s="26"/>
      <c r="H79" s="26"/>
      <c r="I79" s="26"/>
      <c r="J79" s="26"/>
      <c r="K79" s="414">
        <f>$D$628*0.5</f>
        <v>139.86014</v>
      </c>
      <c r="L79" s="132"/>
      <c r="M79" s="416" t="s">
        <v>183</v>
      </c>
      <c r="N79" s="128"/>
      <c r="O79" s="189"/>
      <c r="P79" s="132"/>
      <c r="Q79" s="372" t="str">
        <f>IF(AND(N84="CUMPLE",O84="CUMPLE"),"CUMPLE","NO CUMPLE")</f>
        <v>CUMPLE</v>
      </c>
      <c r="R79" s="141"/>
    </row>
    <row r="80" spans="1:19" s="9" customFormat="1" ht="306">
      <c r="A80" s="118" t="s">
        <v>227</v>
      </c>
      <c r="B80" s="371" t="s">
        <v>228</v>
      </c>
      <c r="C80" s="371"/>
      <c r="D80" s="119">
        <v>95598401</v>
      </c>
      <c r="E80" s="120">
        <v>2020</v>
      </c>
      <c r="F80" s="121">
        <f>D80/(VLOOKUP(E80,$D$654:$E$687,2,FALSE))</f>
        <v>108.90644142250596</v>
      </c>
      <c r="G80" s="122">
        <v>0.51</v>
      </c>
      <c r="H80" s="121">
        <f>F80*G80</f>
        <v>55.542285125478045</v>
      </c>
      <c r="I80" s="123">
        <v>44164</v>
      </c>
      <c r="J80" s="116" t="s">
        <v>183</v>
      </c>
      <c r="K80" s="415"/>
      <c r="L80" s="133">
        <f>H80</f>
        <v>55.542285125478045</v>
      </c>
      <c r="M80" s="417"/>
      <c r="N80" s="129" t="s">
        <v>183</v>
      </c>
      <c r="O80" s="375">
        <f>$D$628*0.7</f>
        <v>195.80419599999999</v>
      </c>
      <c r="P80" s="135">
        <f>+L80</f>
        <v>55.542285125478045</v>
      </c>
      <c r="Q80" s="373"/>
      <c r="R80" s="96"/>
    </row>
    <row r="81" spans="1:18" ht="23.25" customHeight="1">
      <c r="A81" s="125" t="str">
        <f>VLOOKUP(A72,'LISTA DE OFERENTES'!$A$4:$G$80,6,FALSE)</f>
        <v>AHLA SHUGL INTERNATIONAL SAS - 50%</v>
      </c>
      <c r="B81" s="126"/>
      <c r="C81" s="126"/>
      <c r="D81" s="126"/>
      <c r="E81" s="126"/>
      <c r="F81" s="126"/>
      <c r="G81" s="127"/>
      <c r="H81" s="126"/>
      <c r="I81" s="126"/>
      <c r="J81" s="126"/>
      <c r="K81" s="415"/>
      <c r="L81" s="134"/>
      <c r="M81" s="417"/>
      <c r="N81" s="130"/>
      <c r="O81" s="377"/>
      <c r="P81" s="136"/>
      <c r="Q81" s="373"/>
      <c r="R81" s="27"/>
    </row>
    <row r="82" spans="1:18" s="9" customFormat="1" ht="126">
      <c r="A82" s="118" t="s">
        <v>229</v>
      </c>
      <c r="B82" s="371" t="s">
        <v>230</v>
      </c>
      <c r="C82" s="371"/>
      <c r="D82" s="119">
        <v>750000000</v>
      </c>
      <c r="E82" s="120">
        <v>2018</v>
      </c>
      <c r="F82" s="121">
        <f>D82/(VLOOKUP(E82,$D$654:$E$687,2,FALSE))</f>
        <v>960.00983050066429</v>
      </c>
      <c r="G82" s="122">
        <v>1</v>
      </c>
      <c r="H82" s="121">
        <f>F82*G82</f>
        <v>960.00983050066429</v>
      </c>
      <c r="I82" s="123">
        <v>43210</v>
      </c>
      <c r="J82" s="116" t="s">
        <v>183</v>
      </c>
      <c r="K82" s="415"/>
      <c r="L82" s="133">
        <f>H82</f>
        <v>960.00983050066429</v>
      </c>
      <c r="M82" s="417"/>
      <c r="N82" s="129" t="s">
        <v>183</v>
      </c>
      <c r="O82" s="377"/>
      <c r="P82" s="135">
        <f>+L82</f>
        <v>960.00983050066429</v>
      </c>
      <c r="Q82" s="373"/>
      <c r="R82" s="96"/>
    </row>
    <row r="83" spans="1:18" s="9" customFormat="1" ht="216">
      <c r="A83" s="118" t="s">
        <v>231</v>
      </c>
      <c r="B83" s="371" t="s">
        <v>228</v>
      </c>
      <c r="C83" s="371"/>
      <c r="D83" s="119">
        <v>138703609</v>
      </c>
      <c r="E83" s="120">
        <v>2020</v>
      </c>
      <c r="F83" s="121">
        <f>D83/(VLOOKUP(E83,$D$654:$E$687,2,FALSE))</f>
        <v>158.01222939543382</v>
      </c>
      <c r="G83" s="122">
        <v>0.51</v>
      </c>
      <c r="H83" s="121">
        <f>F83*G83</f>
        <v>80.586236991671257</v>
      </c>
      <c r="I83" s="124">
        <v>44164</v>
      </c>
      <c r="J83" s="131" t="s">
        <v>183</v>
      </c>
      <c r="K83" s="415"/>
      <c r="L83" s="133">
        <f>H83</f>
        <v>80.586236991671257</v>
      </c>
      <c r="M83" s="417"/>
      <c r="N83" s="129" t="s">
        <v>183</v>
      </c>
      <c r="O83" s="377"/>
      <c r="P83" s="135"/>
      <c r="Q83" s="373"/>
      <c r="R83" s="96"/>
    </row>
    <row r="84" spans="1:18" s="9" customFormat="1" ht="48" customHeight="1">
      <c r="A84" s="394" t="s">
        <v>210</v>
      </c>
      <c r="B84" s="394"/>
      <c r="C84" s="394"/>
      <c r="D84" s="394"/>
      <c r="E84" s="394"/>
      <c r="F84" s="190">
        <f>+SUM(F80:F83)</f>
        <v>1226.9285013186043</v>
      </c>
      <c r="G84" s="37"/>
      <c r="H84" s="190">
        <f>+SUM(H80:H83)</f>
        <v>1096.1383526178136</v>
      </c>
      <c r="I84" s="395" t="s">
        <v>211</v>
      </c>
      <c r="J84" s="396"/>
      <c r="K84" s="396"/>
      <c r="L84" s="396"/>
      <c r="M84" s="397"/>
      <c r="N84" s="138" t="s">
        <v>183</v>
      </c>
      <c r="O84" s="138" t="str">
        <f>IF(P84&gt;O80,"CUMPLE","NO CUMPLE")</f>
        <v>CUMPLE</v>
      </c>
      <c r="P84" s="139">
        <f>SUM(P80:P83)</f>
        <v>1015.5521156261424</v>
      </c>
      <c r="Q84" s="374"/>
      <c r="R84" s="140" t="str">
        <f>+IF(AND(M79="CUMPLE",Q79="CUMPLE",C76="CUMPLE"),"HABILITADO","NO HABILITADO")</f>
        <v>HABILITADO</v>
      </c>
    </row>
    <row r="85" spans="1:18" ht="16.5" thickBot="1">
      <c r="A85" s="3"/>
      <c r="B85" s="3"/>
      <c r="C85" s="3"/>
      <c r="D85" s="3"/>
      <c r="E85" s="3"/>
      <c r="F85" s="3"/>
      <c r="G85" s="3"/>
      <c r="H85" s="3"/>
      <c r="I85" s="3"/>
      <c r="J85" s="3"/>
      <c r="K85" s="3"/>
      <c r="L85" s="3"/>
      <c r="M85" s="3"/>
      <c r="N85" s="3"/>
      <c r="O85" s="3"/>
      <c r="P85" s="3"/>
      <c r="Q85" s="3"/>
      <c r="R85" s="4"/>
    </row>
    <row r="86" spans="1:18" ht="30.75" customHeight="1" thickBot="1">
      <c r="A86" s="398">
        <f>1+A72</f>
        <v>7</v>
      </c>
      <c r="B86" s="398"/>
      <c r="C86" s="398"/>
      <c r="D86" s="398"/>
      <c r="E86" s="412" t="str">
        <f>VLOOKUP(A86,'REQUISITOS HAB. TECNICOS'!$A$5:$B$80,2,FALSE)</f>
        <v>CONSULTORA COLOMBIANA TRIPLE C S.A.S BIC</v>
      </c>
      <c r="F86" s="412"/>
      <c r="G86" s="412"/>
      <c r="H86" s="412"/>
      <c r="I86" s="412"/>
      <c r="J86" s="412"/>
      <c r="K86" s="412"/>
      <c r="L86" s="412"/>
      <c r="M86" s="412"/>
      <c r="N86" s="412"/>
      <c r="O86" s="412"/>
      <c r="P86" s="412"/>
      <c r="Q86" s="412"/>
      <c r="R86" s="412"/>
    </row>
    <row r="87" spans="1:18" ht="50.25" customHeight="1" thickBot="1">
      <c r="A87" s="151" t="s">
        <v>185</v>
      </c>
      <c r="B87" s="63">
        <v>3</v>
      </c>
      <c r="C87" s="152" t="s">
        <v>186</v>
      </c>
      <c r="D87" s="153">
        <f>$D$628</f>
        <v>279.72028</v>
      </c>
      <c r="E87" s="412"/>
      <c r="F87" s="412"/>
      <c r="G87" s="412"/>
      <c r="H87" s="412"/>
      <c r="I87" s="412"/>
      <c r="J87" s="412"/>
      <c r="K87" s="412"/>
      <c r="L87" s="412"/>
      <c r="M87" s="412"/>
      <c r="N87" s="412"/>
      <c r="O87" s="412"/>
      <c r="P87" s="412"/>
      <c r="Q87" s="412"/>
      <c r="R87" s="412"/>
    </row>
    <row r="88" spans="1:18" ht="23.25" customHeight="1" thickBot="1">
      <c r="A88" s="388" t="s">
        <v>187</v>
      </c>
      <c r="B88" s="388"/>
      <c r="C88" s="389">
        <f>H97/B87</f>
        <v>491.22192045445598</v>
      </c>
      <c r="D88" s="389"/>
      <c r="E88" s="412"/>
      <c r="F88" s="412"/>
      <c r="G88" s="412"/>
      <c r="H88" s="412"/>
      <c r="I88" s="412"/>
      <c r="J88" s="412"/>
      <c r="K88" s="412"/>
      <c r="L88" s="412"/>
      <c r="M88" s="412"/>
      <c r="N88" s="412"/>
      <c r="O88" s="412"/>
      <c r="P88" s="412"/>
      <c r="Q88" s="412"/>
      <c r="R88" s="412"/>
    </row>
    <row r="89" spans="1:18" ht="23.25" customHeight="1" thickBot="1">
      <c r="A89" s="390" t="s">
        <v>188</v>
      </c>
      <c r="B89" s="390"/>
      <c r="C89" s="391">
        <v>45610</v>
      </c>
      <c r="D89" s="391"/>
      <c r="E89" s="412"/>
      <c r="F89" s="412"/>
      <c r="G89" s="412"/>
      <c r="H89" s="412"/>
      <c r="I89" s="412"/>
      <c r="J89" s="412"/>
      <c r="K89" s="412"/>
      <c r="L89" s="412"/>
      <c r="M89" s="412"/>
      <c r="N89" s="412"/>
      <c r="O89" s="412"/>
      <c r="P89" s="412"/>
      <c r="Q89" s="412"/>
      <c r="R89" s="412"/>
    </row>
    <row r="90" spans="1:18" ht="38.25" customHeight="1" thickBot="1">
      <c r="A90" s="392" t="s">
        <v>189</v>
      </c>
      <c r="B90" s="392"/>
      <c r="C90" s="393" t="str">
        <f>+IF(H97&gt;D87,"CUMPLE","NO CUMPLE")</f>
        <v>CUMPLE</v>
      </c>
      <c r="D90" s="393"/>
      <c r="E90" s="412"/>
      <c r="F90" s="412"/>
      <c r="G90" s="412"/>
      <c r="H90" s="412"/>
      <c r="I90" s="412"/>
      <c r="J90" s="412"/>
      <c r="K90" s="412"/>
      <c r="L90" s="412"/>
      <c r="M90" s="412"/>
      <c r="N90" s="412"/>
      <c r="O90" s="412"/>
      <c r="P90" s="412"/>
      <c r="Q90" s="412"/>
      <c r="R90" s="412"/>
    </row>
    <row r="91" spans="1:18" ht="87" customHeight="1">
      <c r="A91" s="410" t="s">
        <v>190</v>
      </c>
      <c r="B91" s="410"/>
      <c r="C91" s="410"/>
      <c r="D91" s="410"/>
      <c r="E91" s="410"/>
      <c r="F91" s="410"/>
      <c r="G91" s="142"/>
      <c r="H91" s="142"/>
      <c r="I91" s="143" t="s">
        <v>191</v>
      </c>
      <c r="J91" s="144" t="s">
        <v>192</v>
      </c>
      <c r="K91" s="413" t="s">
        <v>193</v>
      </c>
      <c r="L91" s="413"/>
      <c r="M91" s="399" t="s">
        <v>194</v>
      </c>
      <c r="N91" s="399" t="s">
        <v>195</v>
      </c>
      <c r="O91" s="401" t="s">
        <v>196</v>
      </c>
      <c r="P91" s="402"/>
      <c r="Q91" s="399" t="s">
        <v>197</v>
      </c>
      <c r="R91" s="399" t="s">
        <v>198</v>
      </c>
    </row>
    <row r="92" spans="1:18" ht="77.25" customHeight="1">
      <c r="A92" s="145" t="s">
        <v>199</v>
      </c>
      <c r="B92" s="411" t="s">
        <v>200</v>
      </c>
      <c r="C92" s="411"/>
      <c r="D92" s="146" t="s">
        <v>201</v>
      </c>
      <c r="E92" s="146" t="s">
        <v>202</v>
      </c>
      <c r="F92" s="146" t="s">
        <v>203</v>
      </c>
      <c r="G92" s="147" t="s">
        <v>204</v>
      </c>
      <c r="H92" s="147" t="s">
        <v>205</v>
      </c>
      <c r="I92" s="148" t="s">
        <v>206</v>
      </c>
      <c r="J92" s="148" t="s">
        <v>207</v>
      </c>
      <c r="K92" s="149" t="s">
        <v>208</v>
      </c>
      <c r="L92" s="150" t="s">
        <v>209</v>
      </c>
      <c r="M92" s="400"/>
      <c r="N92" s="400"/>
      <c r="O92" s="403"/>
      <c r="P92" s="404"/>
      <c r="Q92" s="400"/>
      <c r="R92" s="400"/>
    </row>
    <row r="93" spans="1:18" ht="18">
      <c r="A93" s="125" t="str">
        <f>VLOOKUP(A86,'LISTA DE OFERENTES'!$A$4:$G$80,5,FALSE)</f>
        <v>CONSULTORA COLOMBIANA TRIPLE C S.A.S BIC - 100%</v>
      </c>
      <c r="B93" s="26"/>
      <c r="C93" s="26"/>
      <c r="D93" s="26"/>
      <c r="E93" s="26"/>
      <c r="F93" s="26"/>
      <c r="G93" s="26"/>
      <c r="H93" s="26"/>
      <c r="I93" s="26"/>
      <c r="J93" s="26"/>
      <c r="K93" s="414">
        <f>$D$628*0.5</f>
        <v>139.86014</v>
      </c>
      <c r="L93" s="132"/>
      <c r="M93" s="429" t="s">
        <v>183</v>
      </c>
      <c r="N93" s="128"/>
      <c r="O93" s="189"/>
      <c r="P93" s="132"/>
      <c r="Q93" s="372" t="str">
        <f>IF(AND(N97="CUMPLE",O97="CUMPLE"),"CUMPLE","NO CUMPLE")</f>
        <v>CUMPLE</v>
      </c>
      <c r="R93" s="141"/>
    </row>
    <row r="94" spans="1:18" s="9" customFormat="1" ht="126">
      <c r="A94" s="217" t="s">
        <v>232</v>
      </c>
      <c r="B94" s="431" t="s">
        <v>233</v>
      </c>
      <c r="C94" s="432"/>
      <c r="D94" s="119">
        <v>654400473</v>
      </c>
      <c r="E94" s="218">
        <v>2019</v>
      </c>
      <c r="F94" s="121">
        <f>D94/(VLOOKUP(E94,$D$654:$E$687,2,FALSE))</f>
        <v>790.22802723289976</v>
      </c>
      <c r="G94" s="122">
        <v>0.7</v>
      </c>
      <c r="H94" s="121">
        <f>F94*G94</f>
        <v>553.15961906302982</v>
      </c>
      <c r="I94" s="220">
        <v>43683</v>
      </c>
      <c r="J94" s="116" t="s">
        <v>183</v>
      </c>
      <c r="K94" s="415"/>
      <c r="L94" s="133">
        <f>H94</f>
        <v>553.15961906302982</v>
      </c>
      <c r="M94" s="430"/>
      <c r="N94" s="129" t="s">
        <v>183</v>
      </c>
      <c r="O94" s="375">
        <f>$D$628*0.7</f>
        <v>195.80419599999999</v>
      </c>
      <c r="P94" s="135">
        <f>+L94</f>
        <v>553.15961906302982</v>
      </c>
      <c r="Q94" s="373"/>
      <c r="R94" s="96"/>
    </row>
    <row r="95" spans="1:18" s="9" customFormat="1" ht="108">
      <c r="A95" s="217" t="s">
        <v>234</v>
      </c>
      <c r="B95" s="431" t="s">
        <v>235</v>
      </c>
      <c r="C95" s="433"/>
      <c r="D95" s="119">
        <v>160131657</v>
      </c>
      <c r="E95" s="219">
        <v>2010</v>
      </c>
      <c r="F95" s="121">
        <f>D95/(VLOOKUP(E95,$D$654:$E$687,2,FALSE))</f>
        <v>310.93525631067962</v>
      </c>
      <c r="G95" s="122">
        <v>1</v>
      </c>
      <c r="H95" s="121">
        <f>F95*G95</f>
        <v>310.93525631067962</v>
      </c>
      <c r="I95" s="123">
        <v>40384</v>
      </c>
      <c r="J95" s="131" t="s">
        <v>183</v>
      </c>
      <c r="K95" s="415"/>
      <c r="L95" s="133">
        <f>H95</f>
        <v>310.93525631067962</v>
      </c>
      <c r="M95" s="430"/>
      <c r="N95" s="129" t="s">
        <v>183</v>
      </c>
      <c r="O95" s="377"/>
      <c r="P95" s="135"/>
      <c r="Q95" s="373"/>
      <c r="R95" s="96"/>
    </row>
    <row r="96" spans="1:18" s="9" customFormat="1" ht="108.75" thickBot="1">
      <c r="A96" s="217" t="s">
        <v>236</v>
      </c>
      <c r="B96" s="431" t="s">
        <v>237</v>
      </c>
      <c r="C96" s="432"/>
      <c r="D96" s="119">
        <v>600388136</v>
      </c>
      <c r="E96" s="219">
        <v>2016</v>
      </c>
      <c r="F96" s="121">
        <f>D96/(VLOOKUP(E96,$D$654:$E$687,2,FALSE))</f>
        <v>870.81555141379783</v>
      </c>
      <c r="G96" s="122">
        <v>0.7</v>
      </c>
      <c r="H96" s="121">
        <f>F96*G96</f>
        <v>609.57088598965845</v>
      </c>
      <c r="I96" s="123">
        <v>42504</v>
      </c>
      <c r="J96" s="131" t="s">
        <v>183</v>
      </c>
      <c r="K96" s="415"/>
      <c r="L96" s="133">
        <f>H96</f>
        <v>609.57088598965845</v>
      </c>
      <c r="M96" s="430"/>
      <c r="N96" s="129" t="s">
        <v>183</v>
      </c>
      <c r="O96" s="377"/>
      <c r="P96" s="135">
        <f t="shared" ref="P96" si="0">+L96</f>
        <v>609.57088598965845</v>
      </c>
      <c r="Q96" s="373"/>
      <c r="R96" s="96"/>
    </row>
    <row r="97" spans="1:18" s="9" customFormat="1" ht="48" customHeight="1" thickBot="1">
      <c r="A97" s="394" t="s">
        <v>210</v>
      </c>
      <c r="B97" s="394"/>
      <c r="C97" s="394"/>
      <c r="D97" s="394"/>
      <c r="E97" s="394"/>
      <c r="F97" s="190">
        <f>+SUM(F94:F96)</f>
        <v>1971.9788349573773</v>
      </c>
      <c r="G97" s="37"/>
      <c r="H97" s="190">
        <f>+SUM(H94:H96)</f>
        <v>1473.6657613633679</v>
      </c>
      <c r="I97" s="434" t="s">
        <v>211</v>
      </c>
      <c r="J97" s="396"/>
      <c r="K97" s="396"/>
      <c r="L97" s="396"/>
      <c r="M97" s="397"/>
      <c r="N97" s="138" t="s">
        <v>183</v>
      </c>
      <c r="O97" s="138" t="str">
        <f>IF(P97&gt;O94,"CUMPLE","NO CUMPLE")</f>
        <v>CUMPLE</v>
      </c>
      <c r="P97" s="139">
        <f>SUM(P94:P96)</f>
        <v>1162.7305050526884</v>
      </c>
      <c r="Q97" s="374"/>
      <c r="R97" s="140" t="str">
        <f>+IF(AND(M93="CUMPLE",Q93="CUMPLE",C90="CUMPLE"),"HABILITADO","NO HABILITADO")</f>
        <v>HABILITADO</v>
      </c>
    </row>
    <row r="98" spans="1:18" ht="16.5" thickBot="1">
      <c r="A98" s="3"/>
      <c r="B98" s="3"/>
      <c r="C98" s="3"/>
      <c r="D98" s="3"/>
      <c r="E98" s="3"/>
      <c r="F98" s="3"/>
      <c r="G98" s="3"/>
      <c r="H98" s="3"/>
      <c r="I98" s="3"/>
      <c r="J98" s="3"/>
      <c r="K98" s="3"/>
      <c r="L98" s="3"/>
      <c r="M98" s="3"/>
      <c r="N98" s="3"/>
      <c r="O98" s="3"/>
      <c r="P98" s="3"/>
      <c r="Q98" s="3"/>
      <c r="R98" s="4"/>
    </row>
    <row r="99" spans="1:18" ht="30.75" customHeight="1" thickBot="1">
      <c r="A99" s="398">
        <f>1+A86</f>
        <v>8</v>
      </c>
      <c r="B99" s="398"/>
      <c r="C99" s="398"/>
      <c r="D99" s="398"/>
      <c r="E99" s="412" t="str">
        <f>VLOOKUP(A99,'REQUISITOS HAB. TECNICOS'!$A$5:$B$80,2,FALSE)</f>
        <v xml:space="preserve">CONSULTORES, DESARROLLO Y AMBIENTE SAS BIC </v>
      </c>
      <c r="F99" s="412"/>
      <c r="G99" s="412"/>
      <c r="H99" s="412"/>
      <c r="I99" s="412"/>
      <c r="J99" s="412"/>
      <c r="K99" s="412"/>
      <c r="L99" s="412"/>
      <c r="M99" s="412"/>
      <c r="N99" s="412"/>
      <c r="O99" s="412"/>
      <c r="P99" s="412"/>
      <c r="Q99" s="412"/>
      <c r="R99" s="412"/>
    </row>
    <row r="100" spans="1:18" ht="50.25" customHeight="1" thickBot="1">
      <c r="A100" s="151" t="s">
        <v>185</v>
      </c>
      <c r="B100" s="63">
        <v>1</v>
      </c>
      <c r="C100" s="152" t="s">
        <v>186</v>
      </c>
      <c r="D100" s="153">
        <f>$D$628</f>
        <v>279.72028</v>
      </c>
      <c r="E100" s="412"/>
      <c r="F100" s="412"/>
      <c r="G100" s="412"/>
      <c r="H100" s="412"/>
      <c r="I100" s="412"/>
      <c r="J100" s="412"/>
      <c r="K100" s="412"/>
      <c r="L100" s="412"/>
      <c r="M100" s="412"/>
      <c r="N100" s="412"/>
      <c r="O100" s="412"/>
      <c r="P100" s="412"/>
      <c r="Q100" s="412"/>
      <c r="R100" s="412"/>
    </row>
    <row r="101" spans="1:18" ht="23.25" customHeight="1" thickBot="1">
      <c r="A101" s="388" t="s">
        <v>187</v>
      </c>
      <c r="B101" s="388"/>
      <c r="C101" s="389">
        <f>H108/B100</f>
        <v>280.71093617573962</v>
      </c>
      <c r="D101" s="389"/>
      <c r="E101" s="412"/>
      <c r="F101" s="412"/>
      <c r="G101" s="412"/>
      <c r="H101" s="412"/>
      <c r="I101" s="412"/>
      <c r="J101" s="412"/>
      <c r="K101" s="412"/>
      <c r="L101" s="412"/>
      <c r="M101" s="412"/>
      <c r="N101" s="412"/>
      <c r="O101" s="412"/>
      <c r="P101" s="412"/>
      <c r="Q101" s="412"/>
      <c r="R101" s="412"/>
    </row>
    <row r="102" spans="1:18" ht="23.25" customHeight="1" thickBot="1">
      <c r="A102" s="390" t="s">
        <v>188</v>
      </c>
      <c r="B102" s="390"/>
      <c r="C102" s="391">
        <v>45610</v>
      </c>
      <c r="D102" s="391"/>
      <c r="E102" s="412"/>
      <c r="F102" s="412"/>
      <c r="G102" s="412"/>
      <c r="H102" s="412"/>
      <c r="I102" s="412"/>
      <c r="J102" s="412"/>
      <c r="K102" s="412"/>
      <c r="L102" s="412"/>
      <c r="M102" s="412"/>
      <c r="N102" s="412"/>
      <c r="O102" s="412"/>
      <c r="P102" s="412"/>
      <c r="Q102" s="412"/>
      <c r="R102" s="412"/>
    </row>
    <row r="103" spans="1:18" ht="38.25" customHeight="1" thickBot="1">
      <c r="A103" s="392" t="s">
        <v>189</v>
      </c>
      <c r="B103" s="392"/>
      <c r="C103" s="393" t="str">
        <f>+IF(H108&gt;D100,"CUMPLE","NO CUMPLE")</f>
        <v>CUMPLE</v>
      </c>
      <c r="D103" s="393"/>
      <c r="E103" s="412"/>
      <c r="F103" s="412"/>
      <c r="G103" s="412"/>
      <c r="H103" s="412"/>
      <c r="I103" s="412"/>
      <c r="J103" s="412"/>
      <c r="K103" s="412"/>
      <c r="L103" s="412"/>
      <c r="M103" s="412"/>
      <c r="N103" s="412"/>
      <c r="O103" s="412"/>
      <c r="P103" s="412"/>
      <c r="Q103" s="412"/>
      <c r="R103" s="412"/>
    </row>
    <row r="104" spans="1:18" ht="87" customHeight="1">
      <c r="A104" s="410" t="s">
        <v>190</v>
      </c>
      <c r="B104" s="410"/>
      <c r="C104" s="410"/>
      <c r="D104" s="410"/>
      <c r="E104" s="410"/>
      <c r="F104" s="410"/>
      <c r="G104" s="142"/>
      <c r="H104" s="142"/>
      <c r="I104" s="143" t="s">
        <v>191</v>
      </c>
      <c r="J104" s="144" t="s">
        <v>192</v>
      </c>
      <c r="K104" s="413" t="s">
        <v>193</v>
      </c>
      <c r="L104" s="413"/>
      <c r="M104" s="399" t="s">
        <v>194</v>
      </c>
      <c r="N104" s="399" t="s">
        <v>195</v>
      </c>
      <c r="O104" s="401" t="s">
        <v>196</v>
      </c>
      <c r="P104" s="402"/>
      <c r="Q104" s="399" t="s">
        <v>197</v>
      </c>
      <c r="R104" s="399" t="s">
        <v>198</v>
      </c>
    </row>
    <row r="105" spans="1:18" ht="77.25" customHeight="1" thickBot="1">
      <c r="A105" s="145" t="s">
        <v>199</v>
      </c>
      <c r="B105" s="411" t="s">
        <v>200</v>
      </c>
      <c r="C105" s="411"/>
      <c r="D105" s="146" t="s">
        <v>201</v>
      </c>
      <c r="E105" s="146" t="s">
        <v>202</v>
      </c>
      <c r="F105" s="146" t="s">
        <v>203</v>
      </c>
      <c r="G105" s="147" t="s">
        <v>204</v>
      </c>
      <c r="H105" s="147" t="s">
        <v>205</v>
      </c>
      <c r="I105" s="148" t="s">
        <v>206</v>
      </c>
      <c r="J105" s="148" t="s">
        <v>207</v>
      </c>
      <c r="K105" s="149" t="s">
        <v>208</v>
      </c>
      <c r="L105" s="150" t="s">
        <v>209</v>
      </c>
      <c r="M105" s="400"/>
      <c r="N105" s="400"/>
      <c r="O105" s="403"/>
      <c r="P105" s="404"/>
      <c r="Q105" s="400"/>
      <c r="R105" s="400"/>
    </row>
    <row r="106" spans="1:18" ht="36.75" thickBot="1">
      <c r="A106" s="125" t="str">
        <f>VLOOKUP(A99,'LISTA DE OFERENTES'!$A$4:$G$80,5,FALSE)</f>
        <v>CONSULTORES, DESARROLLO Y AMBIENTE SAS BIC - 100%</v>
      </c>
      <c r="B106" s="26"/>
      <c r="C106" s="26"/>
      <c r="D106" s="26"/>
      <c r="E106" s="26"/>
      <c r="F106" s="26"/>
      <c r="G106" s="26"/>
      <c r="H106" s="26"/>
      <c r="I106" s="26"/>
      <c r="J106" s="26"/>
      <c r="K106" s="414">
        <f>$D$628*0.5</f>
        <v>139.86014</v>
      </c>
      <c r="L106" s="132"/>
      <c r="M106" s="416" t="s">
        <v>183</v>
      </c>
      <c r="N106" s="128"/>
      <c r="O106" s="189"/>
      <c r="P106" s="132"/>
      <c r="Q106" s="372" t="str">
        <f>IF(AND(N108="CUMPLE",O108="CUMPLE"),"CUMPLE","NO CUMPLE")</f>
        <v>CUMPLE</v>
      </c>
      <c r="R106" s="141"/>
    </row>
    <row r="107" spans="1:18" s="9" customFormat="1" ht="72.75" thickBot="1">
      <c r="A107" s="197" t="s">
        <v>238</v>
      </c>
      <c r="B107" s="431" t="s">
        <v>239</v>
      </c>
      <c r="C107" s="432"/>
      <c r="D107" s="119">
        <v>637582960</v>
      </c>
      <c r="E107" s="120">
        <v>2021</v>
      </c>
      <c r="F107" s="121">
        <f>D107/(VLOOKUP(E107,$D$654:$E$687,2,FALSE))</f>
        <v>701.77734043934902</v>
      </c>
      <c r="G107" s="122">
        <v>0.4</v>
      </c>
      <c r="H107" s="121">
        <f>F107*G107</f>
        <v>280.71093617573962</v>
      </c>
      <c r="I107" s="123">
        <v>44239</v>
      </c>
      <c r="J107" s="116" t="s">
        <v>183</v>
      </c>
      <c r="K107" s="415"/>
      <c r="L107" s="133">
        <f>H107</f>
        <v>280.71093617573962</v>
      </c>
      <c r="M107" s="417"/>
      <c r="N107" s="129" t="s">
        <v>183</v>
      </c>
      <c r="O107" s="192">
        <f>$D$628*0.7</f>
        <v>195.80419599999999</v>
      </c>
      <c r="P107" s="135">
        <f>+L107</f>
        <v>280.71093617573962</v>
      </c>
      <c r="Q107" s="373"/>
      <c r="R107" s="96"/>
    </row>
    <row r="108" spans="1:18" s="9" customFormat="1" ht="48" customHeight="1" thickBot="1">
      <c r="A108" s="394" t="s">
        <v>210</v>
      </c>
      <c r="B108" s="394"/>
      <c r="C108" s="394"/>
      <c r="D108" s="394"/>
      <c r="E108" s="394"/>
      <c r="F108" s="190">
        <f>+SUM(F107:F107)</f>
        <v>701.77734043934902</v>
      </c>
      <c r="G108" s="37"/>
      <c r="H108" s="190">
        <f>+SUM(H107:H107)</f>
        <v>280.71093617573962</v>
      </c>
      <c r="I108" s="395" t="s">
        <v>211</v>
      </c>
      <c r="J108" s="396"/>
      <c r="K108" s="396"/>
      <c r="L108" s="396"/>
      <c r="M108" s="397"/>
      <c r="N108" s="138" t="s">
        <v>183</v>
      </c>
      <c r="O108" s="138" t="str">
        <f>IF(P108&gt;O107,"CUMPLE","NO CUMPLE")</f>
        <v>CUMPLE</v>
      </c>
      <c r="P108" s="139">
        <f>SUM(P107:P107)</f>
        <v>280.71093617573962</v>
      </c>
      <c r="Q108" s="374"/>
      <c r="R108" s="140" t="str">
        <f>+IF(AND(M106="CUMPLE",Q106="CUMPLE",C103="CUMPLE"),"HABILITADO","NO HABILITADO")</f>
        <v>HABILITADO</v>
      </c>
    </row>
    <row r="109" spans="1:18" ht="16.5" thickBot="1">
      <c r="A109" s="3"/>
      <c r="B109" s="3"/>
      <c r="C109" s="3"/>
      <c r="D109" s="3"/>
      <c r="E109" s="3"/>
      <c r="F109" s="3"/>
      <c r="G109" s="3"/>
      <c r="H109" s="3"/>
      <c r="I109" s="3"/>
      <c r="J109" s="3"/>
      <c r="K109" s="3"/>
      <c r="L109" s="3"/>
      <c r="M109" s="3"/>
      <c r="N109" s="3"/>
      <c r="O109" s="3"/>
      <c r="P109" s="3"/>
      <c r="Q109" s="3"/>
      <c r="R109" s="4"/>
    </row>
    <row r="110" spans="1:18" ht="30.75" customHeight="1" thickBot="1">
      <c r="A110" s="398">
        <f>1+A99</f>
        <v>9</v>
      </c>
      <c r="B110" s="398"/>
      <c r="C110" s="398"/>
      <c r="D110" s="398"/>
      <c r="E110" s="412" t="str">
        <f>VLOOKUP(A110,'REQUISITOS HAB. TECNICOS'!$A$5:$B$80,2,FALSE)</f>
        <v>CONSORCIO BOGOTÁ</v>
      </c>
      <c r="F110" s="412"/>
      <c r="G110" s="412"/>
      <c r="H110" s="412"/>
      <c r="I110" s="412"/>
      <c r="J110" s="412"/>
      <c r="K110" s="412"/>
      <c r="L110" s="412"/>
      <c r="M110" s="412"/>
      <c r="N110" s="412"/>
      <c r="O110" s="412"/>
      <c r="P110" s="412"/>
      <c r="Q110" s="412"/>
      <c r="R110" s="412"/>
    </row>
    <row r="111" spans="1:18" ht="50.25" customHeight="1" thickBot="1">
      <c r="A111" s="151" t="s">
        <v>185</v>
      </c>
      <c r="B111" s="63">
        <v>3</v>
      </c>
      <c r="C111" s="152" t="s">
        <v>186</v>
      </c>
      <c r="D111" s="153">
        <f>$D$628</f>
        <v>279.72028</v>
      </c>
      <c r="E111" s="412"/>
      <c r="F111" s="412"/>
      <c r="G111" s="412"/>
      <c r="H111" s="412"/>
      <c r="I111" s="412"/>
      <c r="J111" s="412"/>
      <c r="K111" s="412"/>
      <c r="L111" s="412"/>
      <c r="M111" s="412"/>
      <c r="N111" s="412"/>
      <c r="O111" s="412"/>
      <c r="P111" s="412"/>
      <c r="Q111" s="412"/>
      <c r="R111" s="412"/>
    </row>
    <row r="112" spans="1:18" ht="23.25" customHeight="1" thickBot="1">
      <c r="A112" s="388" t="s">
        <v>187</v>
      </c>
      <c r="B112" s="388"/>
      <c r="C112" s="389">
        <f>H123/B111</f>
        <v>753.17971269866496</v>
      </c>
      <c r="D112" s="389"/>
      <c r="E112" s="412"/>
      <c r="F112" s="412"/>
      <c r="G112" s="412"/>
      <c r="H112" s="412"/>
      <c r="I112" s="412"/>
      <c r="J112" s="412"/>
      <c r="K112" s="412"/>
      <c r="L112" s="412"/>
      <c r="M112" s="412"/>
      <c r="N112" s="412"/>
      <c r="O112" s="412"/>
      <c r="P112" s="412"/>
      <c r="Q112" s="412"/>
      <c r="R112" s="412"/>
    </row>
    <row r="113" spans="1:18" ht="23.25" customHeight="1" thickBot="1">
      <c r="A113" s="390" t="s">
        <v>188</v>
      </c>
      <c r="B113" s="390"/>
      <c r="C113" s="391">
        <v>45610</v>
      </c>
      <c r="D113" s="391"/>
      <c r="E113" s="412"/>
      <c r="F113" s="412"/>
      <c r="G113" s="412"/>
      <c r="H113" s="412"/>
      <c r="I113" s="412"/>
      <c r="J113" s="412"/>
      <c r="K113" s="412"/>
      <c r="L113" s="412"/>
      <c r="M113" s="412"/>
      <c r="N113" s="412"/>
      <c r="O113" s="412"/>
      <c r="P113" s="412"/>
      <c r="Q113" s="412"/>
      <c r="R113" s="412"/>
    </row>
    <row r="114" spans="1:18" ht="38.25" customHeight="1" thickBot="1">
      <c r="A114" s="392" t="s">
        <v>189</v>
      </c>
      <c r="B114" s="392"/>
      <c r="C114" s="393" t="str">
        <f>+IF(H123&gt;D111,"CUMPLE","NO CUMPLE")</f>
        <v>CUMPLE</v>
      </c>
      <c r="D114" s="393"/>
      <c r="E114" s="412"/>
      <c r="F114" s="412"/>
      <c r="G114" s="412"/>
      <c r="H114" s="412"/>
      <c r="I114" s="412"/>
      <c r="J114" s="412"/>
      <c r="K114" s="412"/>
      <c r="L114" s="412"/>
      <c r="M114" s="412"/>
      <c r="N114" s="412"/>
      <c r="O114" s="412"/>
      <c r="P114" s="412"/>
      <c r="Q114" s="412"/>
      <c r="R114" s="412"/>
    </row>
    <row r="115" spans="1:18" ht="87" customHeight="1">
      <c r="A115" s="410" t="s">
        <v>190</v>
      </c>
      <c r="B115" s="410"/>
      <c r="C115" s="410"/>
      <c r="D115" s="410"/>
      <c r="E115" s="410"/>
      <c r="F115" s="410"/>
      <c r="G115" s="142"/>
      <c r="H115" s="142"/>
      <c r="I115" s="143" t="s">
        <v>191</v>
      </c>
      <c r="J115" s="144" t="s">
        <v>192</v>
      </c>
      <c r="K115" s="413" t="s">
        <v>193</v>
      </c>
      <c r="L115" s="413"/>
      <c r="M115" s="399" t="s">
        <v>194</v>
      </c>
      <c r="N115" s="399" t="s">
        <v>195</v>
      </c>
      <c r="O115" s="401" t="s">
        <v>196</v>
      </c>
      <c r="P115" s="402"/>
      <c r="Q115" s="399" t="s">
        <v>197</v>
      </c>
      <c r="R115" s="399" t="s">
        <v>198</v>
      </c>
    </row>
    <row r="116" spans="1:18" ht="77.25" customHeight="1" thickBot="1">
      <c r="A116" s="145" t="s">
        <v>199</v>
      </c>
      <c r="B116" s="411" t="s">
        <v>200</v>
      </c>
      <c r="C116" s="411"/>
      <c r="D116" s="146" t="s">
        <v>201</v>
      </c>
      <c r="E116" s="146" t="s">
        <v>202</v>
      </c>
      <c r="F116" s="146" t="s">
        <v>203</v>
      </c>
      <c r="G116" s="147" t="s">
        <v>204</v>
      </c>
      <c r="H116" s="147" t="s">
        <v>205</v>
      </c>
      <c r="I116" s="148" t="s">
        <v>206</v>
      </c>
      <c r="J116" s="148" t="s">
        <v>207</v>
      </c>
      <c r="K116" s="149" t="s">
        <v>208</v>
      </c>
      <c r="L116" s="150" t="s">
        <v>209</v>
      </c>
      <c r="M116" s="400"/>
      <c r="N116" s="400"/>
      <c r="O116" s="403"/>
      <c r="P116" s="404"/>
      <c r="Q116" s="400"/>
      <c r="R116" s="400"/>
    </row>
    <row r="117" spans="1:18" ht="18">
      <c r="A117" s="125" t="str">
        <f>VLOOKUP(A110,'LISTA DE OFERENTES'!$A$4:$G$80,5,FALSE)</f>
        <v>CODINE CONSTRUCCIONES SAS - 60%</v>
      </c>
      <c r="B117" s="26"/>
      <c r="C117" s="26"/>
      <c r="D117" s="26"/>
      <c r="E117" s="26"/>
      <c r="F117" s="26"/>
      <c r="G117" s="26"/>
      <c r="H117" s="26"/>
      <c r="I117" s="26"/>
      <c r="J117" s="26"/>
      <c r="K117" s="414">
        <f>$D$628*0.5</f>
        <v>139.86014</v>
      </c>
      <c r="L117" s="132"/>
      <c r="M117" s="416" t="s">
        <v>183</v>
      </c>
      <c r="N117" s="128"/>
      <c r="O117" s="189"/>
      <c r="P117" s="132"/>
      <c r="Q117" s="372" t="str">
        <f>IF(AND(N123="CUMPLE",O123="CUMPLE"),"CUMPLE","NO CUMPLE")</f>
        <v>CUMPLE</v>
      </c>
      <c r="R117" s="141"/>
    </row>
    <row r="118" spans="1:18" s="9" customFormat="1" ht="90">
      <c r="A118" s="221" t="s">
        <v>240</v>
      </c>
      <c r="B118" s="431" t="s">
        <v>241</v>
      </c>
      <c r="C118" s="432"/>
      <c r="D118" s="119">
        <v>816451455</v>
      </c>
      <c r="E118" s="120">
        <v>2002</v>
      </c>
      <c r="F118" s="121">
        <f>D118/(VLOOKUP(E118,$D$654:$E$687,2,FALSE))</f>
        <v>2642.2377184466018</v>
      </c>
      <c r="G118" s="122">
        <v>0.8</v>
      </c>
      <c r="H118" s="121">
        <f>F118*G118</f>
        <v>2113.7901747572814</v>
      </c>
      <c r="I118" s="123">
        <v>44568</v>
      </c>
      <c r="J118" s="116" t="s">
        <v>183</v>
      </c>
      <c r="K118" s="415"/>
      <c r="L118" s="133">
        <f>H118</f>
        <v>2113.7901747572814</v>
      </c>
      <c r="M118" s="417"/>
      <c r="N118" s="129" t="s">
        <v>183</v>
      </c>
      <c r="O118" s="375">
        <f>$D$628*0.7</f>
        <v>195.80419599999999</v>
      </c>
      <c r="P118" s="135">
        <f>+L118</f>
        <v>2113.7901747572814</v>
      </c>
      <c r="Q118" s="373"/>
      <c r="R118" s="96"/>
    </row>
    <row r="119" spans="1:18" s="9" customFormat="1" ht="90">
      <c r="A119" s="221" t="s">
        <v>242</v>
      </c>
      <c r="B119" s="431" t="s">
        <v>241</v>
      </c>
      <c r="C119" s="432"/>
      <c r="D119" s="119">
        <v>61507281</v>
      </c>
      <c r="E119" s="120">
        <v>2007</v>
      </c>
      <c r="F119" s="121">
        <f>D119/(VLOOKUP(E119,$D$654:$E$687,2,FALSE))</f>
        <v>141.81987779571134</v>
      </c>
      <c r="G119" s="122">
        <v>0.3</v>
      </c>
      <c r="H119" s="121">
        <f>F119*G119</f>
        <v>42.545963338713399</v>
      </c>
      <c r="I119" s="124">
        <v>39256</v>
      </c>
      <c r="J119" s="131" t="s">
        <v>183</v>
      </c>
      <c r="K119" s="415"/>
      <c r="L119" s="133">
        <f>H119</f>
        <v>42.545963338713399</v>
      </c>
      <c r="M119" s="417"/>
      <c r="N119" s="129" t="s">
        <v>183</v>
      </c>
      <c r="O119" s="377"/>
      <c r="P119" s="135"/>
      <c r="Q119" s="373"/>
      <c r="R119" s="96"/>
    </row>
    <row r="120" spans="1:18" ht="23.25" customHeight="1">
      <c r="A120" s="125" t="str">
        <f>VLOOKUP(A110,'LISTA DE OFERENTES'!$A$4:$G$80,6,FALSE)</f>
        <v>INTERCONDI SAS - 30%</v>
      </c>
      <c r="B120" s="126"/>
      <c r="C120" s="126"/>
      <c r="D120" s="126"/>
      <c r="E120" s="126"/>
      <c r="F120" s="126"/>
      <c r="G120" s="127"/>
      <c r="H120" s="126"/>
      <c r="I120" s="126"/>
      <c r="J120" s="126"/>
      <c r="K120" s="415"/>
      <c r="L120" s="134"/>
      <c r="M120" s="417"/>
      <c r="N120" s="130"/>
      <c r="O120" s="377"/>
      <c r="P120" s="136"/>
      <c r="Q120" s="373"/>
      <c r="R120" s="27"/>
    </row>
    <row r="121" spans="1:18" s="9" customFormat="1" ht="108">
      <c r="A121" s="217" t="s">
        <v>243</v>
      </c>
      <c r="B121" s="431" t="s">
        <v>244</v>
      </c>
      <c r="C121" s="432"/>
      <c r="D121" s="119">
        <v>70909125</v>
      </c>
      <c r="E121" s="120">
        <v>2019</v>
      </c>
      <c r="F121" s="121">
        <v>114.67</v>
      </c>
      <c r="G121" s="122">
        <v>0.9</v>
      </c>
      <c r="H121" s="121">
        <f>F121*G121</f>
        <v>103.203</v>
      </c>
      <c r="I121" s="123">
        <v>43822</v>
      </c>
      <c r="J121" s="116" t="s">
        <v>183</v>
      </c>
      <c r="K121" s="415"/>
      <c r="L121" s="133">
        <f>H121</f>
        <v>103.203</v>
      </c>
      <c r="M121" s="417"/>
      <c r="N121" s="129" t="s">
        <v>183</v>
      </c>
      <c r="O121" s="377"/>
      <c r="P121" s="135">
        <f>+L121</f>
        <v>103.203</v>
      </c>
      <c r="Q121" s="373"/>
      <c r="R121" s="96" t="s">
        <v>245</v>
      </c>
    </row>
    <row r="122" spans="1:18" ht="23.25" customHeight="1" thickBot="1">
      <c r="A122" s="125" t="str">
        <f>VLOOKUP(A110,'LISTA DE OFERENTES'!$A$4:$G$80,7,FALSE)</f>
        <v>DHE INGENIERIA SAS - 10%</v>
      </c>
      <c r="B122" s="126"/>
      <c r="C122" s="126"/>
      <c r="D122" s="126"/>
      <c r="E122" s="126"/>
      <c r="F122" s="126"/>
      <c r="G122" s="127"/>
      <c r="H122" s="126"/>
      <c r="I122" s="126"/>
      <c r="J122" s="126"/>
      <c r="K122" s="415"/>
      <c r="L122" s="134"/>
      <c r="M122" s="417"/>
      <c r="N122" s="130"/>
      <c r="O122" s="377"/>
      <c r="P122" s="136"/>
      <c r="Q122" s="373"/>
      <c r="R122" s="27"/>
    </row>
    <row r="123" spans="1:18" s="9" customFormat="1" ht="48" customHeight="1" thickBot="1">
      <c r="A123" s="394" t="s">
        <v>210</v>
      </c>
      <c r="B123" s="394"/>
      <c r="C123" s="394"/>
      <c r="D123" s="394"/>
      <c r="E123" s="394"/>
      <c r="F123" s="190">
        <f>+SUM(F118:F122)</f>
        <v>2898.7275962423132</v>
      </c>
      <c r="G123" s="37"/>
      <c r="H123" s="190">
        <f>+SUM(H118:H122)</f>
        <v>2259.539138095995</v>
      </c>
      <c r="I123" s="395" t="s">
        <v>211</v>
      </c>
      <c r="J123" s="396"/>
      <c r="K123" s="396"/>
      <c r="L123" s="396"/>
      <c r="M123" s="397"/>
      <c r="N123" s="138" t="s">
        <v>183</v>
      </c>
      <c r="O123" s="138" t="str">
        <f>IF(P123&gt;O118,"CUMPLE","NO CUMPLE")</f>
        <v>CUMPLE</v>
      </c>
      <c r="P123" s="139">
        <f>SUM(P118:P122)</f>
        <v>2216.9931747572814</v>
      </c>
      <c r="Q123" s="374"/>
      <c r="R123" s="140" t="str">
        <f>+IF(AND(M117="CUMPLE",Q117="CUMPLE",C114="CUMPLE"),"HABILITADO","NO HABILITADO")</f>
        <v>HABILITADO</v>
      </c>
    </row>
    <row r="124" spans="1:18" ht="16.5" thickBot="1">
      <c r="A124" s="3"/>
      <c r="B124" s="3"/>
      <c r="C124" s="3"/>
      <c r="D124" s="3"/>
      <c r="E124" s="3"/>
      <c r="F124" s="3"/>
      <c r="G124" s="3"/>
      <c r="H124" s="3"/>
      <c r="I124" s="3"/>
      <c r="J124" s="3"/>
      <c r="K124" s="3"/>
      <c r="L124" s="3"/>
      <c r="M124" s="3"/>
      <c r="N124" s="3"/>
      <c r="O124" s="3"/>
      <c r="P124" s="3"/>
      <c r="Q124" s="3"/>
      <c r="R124" s="4"/>
    </row>
    <row r="125" spans="1:18" ht="30.75" customHeight="1" thickBot="1">
      <c r="A125" s="398">
        <f>1+A110</f>
        <v>10</v>
      </c>
      <c r="B125" s="398"/>
      <c r="C125" s="398"/>
      <c r="D125" s="398"/>
      <c r="E125" s="412" t="str">
        <f>VLOOKUP(A125,'REQUISITOS HAB. TECNICOS'!$A$5:$B$80,2,FALSE)</f>
        <v>LOS ROSALES CONSTRUCTORA INMOBILIARIA SAS</v>
      </c>
      <c r="F125" s="412"/>
      <c r="G125" s="412"/>
      <c r="H125" s="412"/>
      <c r="I125" s="412"/>
      <c r="J125" s="412"/>
      <c r="K125" s="412"/>
      <c r="L125" s="412"/>
      <c r="M125" s="412"/>
      <c r="N125" s="412"/>
      <c r="O125" s="412"/>
      <c r="P125" s="412"/>
      <c r="Q125" s="412"/>
      <c r="R125" s="412"/>
    </row>
    <row r="126" spans="1:18" ht="50.25" customHeight="1" thickBot="1">
      <c r="A126" s="151" t="s">
        <v>185</v>
      </c>
      <c r="B126" s="63">
        <v>2</v>
      </c>
      <c r="C126" s="152" t="s">
        <v>186</v>
      </c>
      <c r="D126" s="153">
        <f>$D$628</f>
        <v>279.72028</v>
      </c>
      <c r="E126" s="412"/>
      <c r="F126" s="412"/>
      <c r="G126" s="412"/>
      <c r="H126" s="412"/>
      <c r="I126" s="412"/>
      <c r="J126" s="412"/>
      <c r="K126" s="412"/>
      <c r="L126" s="412"/>
      <c r="M126" s="412"/>
      <c r="N126" s="412"/>
      <c r="O126" s="412"/>
      <c r="P126" s="412"/>
      <c r="Q126" s="412"/>
      <c r="R126" s="412"/>
    </row>
    <row r="127" spans="1:18" ht="23.25" customHeight="1" thickBot="1">
      <c r="A127" s="388" t="s">
        <v>187</v>
      </c>
      <c r="B127" s="388"/>
      <c r="C127" s="389">
        <v>0</v>
      </c>
      <c r="D127" s="389"/>
      <c r="E127" s="412"/>
      <c r="F127" s="412"/>
      <c r="G127" s="412"/>
      <c r="H127" s="412"/>
      <c r="I127" s="412"/>
      <c r="J127" s="412"/>
      <c r="K127" s="412"/>
      <c r="L127" s="412"/>
      <c r="M127" s="412"/>
      <c r="N127" s="412"/>
      <c r="O127" s="412"/>
      <c r="P127" s="412"/>
      <c r="Q127" s="412"/>
      <c r="R127" s="412"/>
    </row>
    <row r="128" spans="1:18" ht="23.25" customHeight="1" thickBot="1">
      <c r="A128" s="390" t="s">
        <v>188</v>
      </c>
      <c r="B128" s="390"/>
      <c r="C128" s="391">
        <v>45610</v>
      </c>
      <c r="D128" s="391"/>
      <c r="E128" s="412"/>
      <c r="F128" s="412"/>
      <c r="G128" s="412"/>
      <c r="H128" s="412"/>
      <c r="I128" s="412"/>
      <c r="J128" s="412"/>
      <c r="K128" s="412"/>
      <c r="L128" s="412"/>
      <c r="M128" s="412"/>
      <c r="N128" s="412"/>
      <c r="O128" s="412"/>
      <c r="P128" s="412"/>
      <c r="Q128" s="412"/>
      <c r="R128" s="412"/>
    </row>
    <row r="129" spans="1:18" ht="38.25" customHeight="1" thickBot="1">
      <c r="A129" s="392" t="s">
        <v>189</v>
      </c>
      <c r="B129" s="392"/>
      <c r="C129" s="393" t="str">
        <f>+IF(H135&gt;D126,"CUMPLE","NO CUMPLE")</f>
        <v>NO CUMPLE</v>
      </c>
      <c r="D129" s="393"/>
      <c r="E129" s="412"/>
      <c r="F129" s="412"/>
      <c r="G129" s="412"/>
      <c r="H129" s="412"/>
      <c r="I129" s="412"/>
      <c r="J129" s="412"/>
      <c r="K129" s="412"/>
      <c r="L129" s="412"/>
      <c r="M129" s="412"/>
      <c r="N129" s="412"/>
      <c r="O129" s="412"/>
      <c r="P129" s="412"/>
      <c r="Q129" s="412"/>
      <c r="R129" s="412"/>
    </row>
    <row r="130" spans="1:18" ht="87" customHeight="1">
      <c r="A130" s="410" t="s">
        <v>190</v>
      </c>
      <c r="B130" s="410"/>
      <c r="C130" s="410"/>
      <c r="D130" s="410"/>
      <c r="E130" s="410"/>
      <c r="F130" s="410"/>
      <c r="G130" s="142"/>
      <c r="H130" s="142"/>
      <c r="I130" s="143" t="s">
        <v>191</v>
      </c>
      <c r="J130" s="144" t="s">
        <v>192</v>
      </c>
      <c r="K130" s="413" t="s">
        <v>193</v>
      </c>
      <c r="L130" s="413"/>
      <c r="M130" s="399" t="s">
        <v>194</v>
      </c>
      <c r="N130" s="399" t="s">
        <v>195</v>
      </c>
      <c r="O130" s="401" t="s">
        <v>196</v>
      </c>
      <c r="P130" s="402"/>
      <c r="Q130" s="399" t="s">
        <v>197</v>
      </c>
      <c r="R130" s="399" t="s">
        <v>198</v>
      </c>
    </row>
    <row r="131" spans="1:18" ht="77.25" customHeight="1" thickBot="1">
      <c r="A131" s="145" t="s">
        <v>199</v>
      </c>
      <c r="B131" s="411" t="s">
        <v>200</v>
      </c>
      <c r="C131" s="411"/>
      <c r="D131" s="146" t="s">
        <v>201</v>
      </c>
      <c r="E131" s="146" t="s">
        <v>202</v>
      </c>
      <c r="F131" s="146" t="s">
        <v>203</v>
      </c>
      <c r="G131" s="147" t="s">
        <v>204</v>
      </c>
      <c r="H131" s="147" t="s">
        <v>205</v>
      </c>
      <c r="I131" s="148" t="s">
        <v>206</v>
      </c>
      <c r="J131" s="148" t="s">
        <v>207</v>
      </c>
      <c r="K131" s="149" t="s">
        <v>208</v>
      </c>
      <c r="L131" s="150" t="s">
        <v>209</v>
      </c>
      <c r="M131" s="400"/>
      <c r="N131" s="400"/>
      <c r="O131" s="403"/>
      <c r="P131" s="404"/>
      <c r="Q131" s="400"/>
      <c r="R131" s="400"/>
    </row>
    <row r="132" spans="1:18" ht="18">
      <c r="A132" s="125" t="str">
        <f>VLOOKUP(A125,'LISTA DE OFERENTES'!$A$4:$G$80,5,FALSE)</f>
        <v>CESAR ALFONSO JIMENEZ QUINTERO - 100%</v>
      </c>
      <c r="B132" s="26"/>
      <c r="C132" s="26"/>
      <c r="D132" s="26"/>
      <c r="E132" s="26"/>
      <c r="F132" s="26"/>
      <c r="G132" s="26"/>
      <c r="H132" s="26"/>
      <c r="I132" s="26"/>
      <c r="J132" s="26"/>
      <c r="K132" s="414">
        <f>$D$628*0.5</f>
        <v>139.86014</v>
      </c>
      <c r="L132" s="132"/>
      <c r="M132" s="416" t="s">
        <v>184</v>
      </c>
      <c r="N132" s="128"/>
      <c r="O132" s="189"/>
      <c r="P132" s="132"/>
      <c r="Q132" s="372" t="str">
        <f>IF(AND(N135="CUMPLE",O135="CUMPLE"),"CUMPLE","NO CUMPLE")</f>
        <v>NO CUMPLE</v>
      </c>
      <c r="R132" s="141"/>
    </row>
    <row r="133" spans="1:18" s="9" customFormat="1" ht="73.5" customHeight="1">
      <c r="A133" s="118" t="s">
        <v>246</v>
      </c>
      <c r="B133" s="431" t="s">
        <v>247</v>
      </c>
      <c r="C133" s="432"/>
      <c r="D133" s="205" t="s">
        <v>248</v>
      </c>
      <c r="E133" s="222">
        <v>2014</v>
      </c>
      <c r="F133" s="223" t="e">
        <v>#VALUE!</v>
      </c>
      <c r="G133" s="224">
        <v>1</v>
      </c>
      <c r="H133" s="223">
        <v>0</v>
      </c>
      <c r="I133" s="225">
        <v>41765</v>
      </c>
      <c r="J133" s="116" t="s">
        <v>184</v>
      </c>
      <c r="K133" s="415"/>
      <c r="L133" s="133">
        <f>H133</f>
        <v>0</v>
      </c>
      <c r="M133" s="417"/>
      <c r="N133" s="129" t="s">
        <v>184</v>
      </c>
      <c r="O133" s="375">
        <f>$D$628*0.7</f>
        <v>195.80419599999999</v>
      </c>
      <c r="P133" s="135"/>
      <c r="Q133" s="373"/>
      <c r="R133" s="318" t="s">
        <v>249</v>
      </c>
    </row>
    <row r="134" spans="1:18" s="9" customFormat="1" ht="116.25" customHeight="1">
      <c r="A134" s="221" t="s">
        <v>250</v>
      </c>
      <c r="B134" s="431" t="s">
        <v>251</v>
      </c>
      <c r="C134" s="432"/>
      <c r="D134" s="207" t="s">
        <v>248</v>
      </c>
      <c r="E134" s="226">
        <v>2016</v>
      </c>
      <c r="F134" s="227" t="e">
        <v>#VALUE!</v>
      </c>
      <c r="G134" s="228">
        <v>1</v>
      </c>
      <c r="H134" s="227">
        <v>0</v>
      </c>
      <c r="I134" s="210">
        <v>42719</v>
      </c>
      <c r="J134" s="131" t="s">
        <v>184</v>
      </c>
      <c r="K134" s="415"/>
      <c r="L134" s="133">
        <f>H134</f>
        <v>0</v>
      </c>
      <c r="M134" s="417"/>
      <c r="N134" s="129" t="s">
        <v>184</v>
      </c>
      <c r="O134" s="377"/>
      <c r="P134" s="135"/>
      <c r="Q134" s="373"/>
      <c r="R134" s="318" t="s">
        <v>252</v>
      </c>
    </row>
    <row r="135" spans="1:18" s="9" customFormat="1" ht="48" customHeight="1">
      <c r="A135" s="394" t="s">
        <v>210</v>
      </c>
      <c r="B135" s="394"/>
      <c r="C135" s="394"/>
      <c r="D135" s="394"/>
      <c r="E135" s="394"/>
      <c r="F135" s="190" t="e">
        <f>+SUM(F133:F134)</f>
        <v>#VALUE!</v>
      </c>
      <c r="G135" s="37"/>
      <c r="H135" s="190">
        <f>+SUM(H133:H134)</f>
        <v>0</v>
      </c>
      <c r="I135" s="395" t="s">
        <v>211</v>
      </c>
      <c r="J135" s="396"/>
      <c r="K135" s="396"/>
      <c r="L135" s="396"/>
      <c r="M135" s="397"/>
      <c r="N135" s="138" t="s">
        <v>184</v>
      </c>
      <c r="O135" s="138" t="str">
        <f>IF(P135&gt;O133,"CUMPLE","NO CUMPLE")</f>
        <v>NO CUMPLE</v>
      </c>
      <c r="P135" s="139">
        <f>SUM(P133:P134)</f>
        <v>0</v>
      </c>
      <c r="Q135" s="374"/>
      <c r="R135" s="140" t="str">
        <f>+IF(AND(M132="CUMPLE",Q132="CUMPLE",C129="CUMPLE"),"HABILITADO","NO HABILITADO")</f>
        <v>NO HABILITADO</v>
      </c>
    </row>
    <row r="136" spans="1:18" ht="16.5" thickBot="1">
      <c r="A136" s="3"/>
      <c r="B136" s="3"/>
      <c r="C136" s="3"/>
      <c r="D136" s="3"/>
      <c r="E136" s="3"/>
      <c r="F136" s="3"/>
      <c r="G136" s="3"/>
      <c r="H136" s="3"/>
      <c r="I136" s="3"/>
      <c r="J136" s="3"/>
      <c r="K136" s="3"/>
      <c r="L136" s="3"/>
      <c r="M136" s="3"/>
      <c r="N136" s="3"/>
      <c r="O136" s="3"/>
      <c r="P136" s="3"/>
      <c r="Q136" s="3"/>
      <c r="R136" s="4"/>
    </row>
    <row r="137" spans="1:18" ht="30.75" customHeight="1" thickBot="1">
      <c r="A137" s="398">
        <f>1+A125</f>
        <v>11</v>
      </c>
      <c r="B137" s="398"/>
      <c r="C137" s="398"/>
      <c r="D137" s="398"/>
      <c r="E137" s="412" t="str">
        <f>VLOOKUP(A137,'REQUISITOS HAB. TECNICOS'!$A$5:$B$80,2,FALSE)</f>
        <v>CONSORCIO PARQUES JAPG 2024</v>
      </c>
      <c r="F137" s="412"/>
      <c r="G137" s="412"/>
      <c r="H137" s="412"/>
      <c r="I137" s="412"/>
      <c r="J137" s="412"/>
      <c r="K137" s="412"/>
      <c r="L137" s="412"/>
      <c r="M137" s="412"/>
      <c r="N137" s="412"/>
      <c r="O137" s="412"/>
      <c r="P137" s="412"/>
      <c r="Q137" s="412"/>
      <c r="R137" s="412"/>
    </row>
    <row r="138" spans="1:18" ht="50.25" customHeight="1" thickBot="1">
      <c r="A138" s="151" t="s">
        <v>185</v>
      </c>
      <c r="B138" s="63">
        <v>1</v>
      </c>
      <c r="C138" s="152" t="s">
        <v>186</v>
      </c>
      <c r="D138" s="153">
        <f>$D$628</f>
        <v>279.72028</v>
      </c>
      <c r="E138" s="412"/>
      <c r="F138" s="412"/>
      <c r="G138" s="412"/>
      <c r="H138" s="412"/>
      <c r="I138" s="412"/>
      <c r="J138" s="412"/>
      <c r="K138" s="412"/>
      <c r="L138" s="412"/>
      <c r="M138" s="412"/>
      <c r="N138" s="412"/>
      <c r="O138" s="412"/>
      <c r="P138" s="412"/>
      <c r="Q138" s="412"/>
      <c r="R138" s="412"/>
    </row>
    <row r="139" spans="1:18" ht="23.25" customHeight="1" thickBot="1">
      <c r="A139" s="388" t="s">
        <v>187</v>
      </c>
      <c r="B139" s="388"/>
      <c r="C139" s="389">
        <f>H147/B138</f>
        <v>671.04687151996438</v>
      </c>
      <c r="D139" s="389"/>
      <c r="E139" s="412"/>
      <c r="F139" s="412"/>
      <c r="G139" s="412"/>
      <c r="H139" s="412"/>
      <c r="I139" s="412"/>
      <c r="J139" s="412"/>
      <c r="K139" s="412"/>
      <c r="L139" s="412"/>
      <c r="M139" s="412"/>
      <c r="N139" s="412"/>
      <c r="O139" s="412"/>
      <c r="P139" s="412"/>
      <c r="Q139" s="412"/>
      <c r="R139" s="412"/>
    </row>
    <row r="140" spans="1:18" ht="23.25" customHeight="1" thickBot="1">
      <c r="A140" s="390" t="s">
        <v>188</v>
      </c>
      <c r="B140" s="390"/>
      <c r="C140" s="391">
        <v>45610</v>
      </c>
      <c r="D140" s="391"/>
      <c r="E140" s="412"/>
      <c r="F140" s="412"/>
      <c r="G140" s="412"/>
      <c r="H140" s="412"/>
      <c r="I140" s="412"/>
      <c r="J140" s="412"/>
      <c r="K140" s="412"/>
      <c r="L140" s="412"/>
      <c r="M140" s="412"/>
      <c r="N140" s="412"/>
      <c r="O140" s="412"/>
      <c r="P140" s="412"/>
      <c r="Q140" s="412"/>
      <c r="R140" s="412"/>
    </row>
    <row r="141" spans="1:18" ht="38.25" customHeight="1" thickBot="1">
      <c r="A141" s="392" t="s">
        <v>189</v>
      </c>
      <c r="B141" s="392"/>
      <c r="C141" s="393" t="str">
        <f>+IF(H147&gt;D138,"CUMPLE","NO CUMPLE")</f>
        <v>CUMPLE</v>
      </c>
      <c r="D141" s="393"/>
      <c r="E141" s="412"/>
      <c r="F141" s="412"/>
      <c r="G141" s="412"/>
      <c r="H141" s="412"/>
      <c r="I141" s="412"/>
      <c r="J141" s="412"/>
      <c r="K141" s="412"/>
      <c r="L141" s="412"/>
      <c r="M141" s="412"/>
      <c r="N141" s="412"/>
      <c r="O141" s="412"/>
      <c r="P141" s="412"/>
      <c r="Q141" s="412"/>
      <c r="R141" s="412"/>
    </row>
    <row r="142" spans="1:18" ht="87" customHeight="1">
      <c r="A142" s="410" t="s">
        <v>190</v>
      </c>
      <c r="B142" s="410"/>
      <c r="C142" s="410"/>
      <c r="D142" s="410"/>
      <c r="E142" s="410"/>
      <c r="F142" s="410"/>
      <c r="G142" s="142"/>
      <c r="H142" s="142"/>
      <c r="I142" s="143" t="s">
        <v>191</v>
      </c>
      <c r="J142" s="144" t="s">
        <v>192</v>
      </c>
      <c r="K142" s="413" t="s">
        <v>193</v>
      </c>
      <c r="L142" s="413"/>
      <c r="M142" s="399" t="s">
        <v>194</v>
      </c>
      <c r="N142" s="399" t="s">
        <v>195</v>
      </c>
      <c r="O142" s="401" t="s">
        <v>196</v>
      </c>
      <c r="P142" s="402"/>
      <c r="Q142" s="399" t="s">
        <v>197</v>
      </c>
      <c r="R142" s="399" t="s">
        <v>198</v>
      </c>
    </row>
    <row r="143" spans="1:18" ht="77.25" customHeight="1" thickBot="1">
      <c r="A143" s="145" t="s">
        <v>199</v>
      </c>
      <c r="B143" s="411" t="s">
        <v>200</v>
      </c>
      <c r="C143" s="411"/>
      <c r="D143" s="146" t="s">
        <v>201</v>
      </c>
      <c r="E143" s="146" t="s">
        <v>202</v>
      </c>
      <c r="F143" s="146" t="s">
        <v>203</v>
      </c>
      <c r="G143" s="147" t="s">
        <v>204</v>
      </c>
      <c r="H143" s="147" t="s">
        <v>205</v>
      </c>
      <c r="I143" s="148" t="s">
        <v>206</v>
      </c>
      <c r="J143" s="148" t="s">
        <v>207</v>
      </c>
      <c r="K143" s="149" t="s">
        <v>208</v>
      </c>
      <c r="L143" s="150" t="s">
        <v>209</v>
      </c>
      <c r="M143" s="400"/>
      <c r="N143" s="400"/>
      <c r="O143" s="403"/>
      <c r="P143" s="404"/>
      <c r="Q143" s="400"/>
      <c r="R143" s="400"/>
    </row>
    <row r="144" spans="1:18" ht="36.75" customHeight="1">
      <c r="A144" s="125" t="str">
        <f>VLOOKUP(A137,'LISTA DE OFERENTES'!$A$4:$G$80,5,FALSE)</f>
        <v>ENVIRONMENTAL AND GEOMECHANICAL SOLUTIONS EGS SAS - 90%</v>
      </c>
      <c r="B144" s="26"/>
      <c r="C144" s="26"/>
      <c r="D144" s="26"/>
      <c r="E144" s="26"/>
      <c r="F144" s="26"/>
      <c r="G144" s="26"/>
      <c r="H144" s="26"/>
      <c r="I144" s="26"/>
      <c r="J144" s="26"/>
      <c r="K144" s="414">
        <f>$D$628*0.5</f>
        <v>139.86014</v>
      </c>
      <c r="L144" s="132"/>
      <c r="M144" s="416" t="s">
        <v>183</v>
      </c>
      <c r="N144" s="128"/>
      <c r="O144" s="189"/>
      <c r="P144" s="132"/>
      <c r="Q144" s="372" t="s">
        <v>183</v>
      </c>
      <c r="R144" s="141"/>
    </row>
    <row r="145" spans="1:18" s="9" customFormat="1" ht="162">
      <c r="A145" s="221" t="s">
        <v>253</v>
      </c>
      <c r="B145" s="432" t="s">
        <v>254</v>
      </c>
      <c r="C145" s="432"/>
      <c r="D145" s="119">
        <v>1048500000</v>
      </c>
      <c r="E145" s="120">
        <v>2018</v>
      </c>
      <c r="F145" s="121">
        <f>D145/(VLOOKUP(E145,$D$654:$E$687,2,FALSE))</f>
        <v>1342.0937430399288</v>
      </c>
      <c r="G145" s="122">
        <v>0.5</v>
      </c>
      <c r="H145" s="121">
        <f>F145*G145</f>
        <v>671.04687151996438</v>
      </c>
      <c r="I145" s="124">
        <v>43236</v>
      </c>
      <c r="J145" s="131" t="s">
        <v>183</v>
      </c>
      <c r="K145" s="415"/>
      <c r="L145" s="133">
        <f>H145</f>
        <v>671.04687151996438</v>
      </c>
      <c r="M145" s="417"/>
      <c r="N145" s="129" t="s">
        <v>183</v>
      </c>
      <c r="O145" s="377">
        <v>195.80419599999999</v>
      </c>
      <c r="P145" s="135">
        <f>+H145</f>
        <v>671.04687151996438</v>
      </c>
      <c r="Q145" s="373"/>
      <c r="R145" s="96"/>
    </row>
    <row r="146" spans="1:18" ht="23.25" customHeight="1">
      <c r="A146" s="125" t="str">
        <f>VLOOKUP(A137,'LISTA DE OFERENTES'!$A$4:$G$80,6,FALSE)</f>
        <v>JAPG INGENIERIA SAS. - 10%</v>
      </c>
      <c r="B146" s="126"/>
      <c r="C146" s="126"/>
      <c r="D146" s="126"/>
      <c r="E146" s="126"/>
      <c r="F146" s="126"/>
      <c r="G146" s="127"/>
      <c r="H146" s="126"/>
      <c r="I146" s="126"/>
      <c r="J146" s="126"/>
      <c r="K146" s="415"/>
      <c r="L146" s="134"/>
      <c r="M146" s="417"/>
      <c r="N146" s="130"/>
      <c r="O146" s="377"/>
      <c r="P146" s="136"/>
      <c r="Q146" s="373"/>
      <c r="R146" s="27"/>
    </row>
    <row r="147" spans="1:18" s="9" customFormat="1" ht="48" customHeight="1" thickBot="1">
      <c r="A147" s="394" t="s">
        <v>210</v>
      </c>
      <c r="B147" s="394"/>
      <c r="C147" s="394"/>
      <c r="D147" s="394"/>
      <c r="E147" s="394"/>
      <c r="F147" s="190">
        <f>+SUM(F145:F146)</f>
        <v>1342.0937430399288</v>
      </c>
      <c r="G147" s="37"/>
      <c r="H147" s="190">
        <f>+SUM(H145)</f>
        <v>671.04687151996438</v>
      </c>
      <c r="I147" s="395" t="s">
        <v>211</v>
      </c>
      <c r="J147" s="396"/>
      <c r="K147" s="396"/>
      <c r="L147" s="396"/>
      <c r="M147" s="397"/>
      <c r="N147" s="138"/>
      <c r="O147" s="138" t="s">
        <v>183</v>
      </c>
      <c r="P147" s="139">
        <f>SUM(P145:P146)</f>
        <v>671.04687151996438</v>
      </c>
      <c r="Q147" s="374"/>
      <c r="R147" s="140" t="str">
        <f>+IF(AND(M144="CUMPLE",Q144="CUMPLE",C141="CUMPLE"),"HABILITADO","NO HABILITADO")</f>
        <v>HABILITADO</v>
      </c>
    </row>
    <row r="148" spans="1:18" ht="16.5" thickBot="1">
      <c r="A148" s="3"/>
      <c r="B148" s="3"/>
      <c r="C148" s="3"/>
      <c r="D148" s="3"/>
      <c r="E148" s="3"/>
      <c r="F148" s="3"/>
      <c r="G148" s="3"/>
      <c r="H148" s="3"/>
      <c r="I148" s="3"/>
      <c r="J148" s="3"/>
      <c r="K148" s="3"/>
      <c r="L148" s="3"/>
      <c r="M148" s="3"/>
      <c r="N148" s="3"/>
      <c r="O148" s="3"/>
      <c r="P148" s="3"/>
      <c r="Q148" s="3"/>
      <c r="R148" s="4"/>
    </row>
    <row r="149" spans="1:18" ht="30.75" customHeight="1" thickBot="1">
      <c r="A149" s="398">
        <f>1+A137</f>
        <v>12</v>
      </c>
      <c r="B149" s="398"/>
      <c r="C149" s="398"/>
      <c r="D149" s="398"/>
      <c r="E149" s="412" t="str">
        <f>VLOOKUP(A149,'REQUISITOS HAB. TECNICOS'!$A$5:$B$80,2,FALSE)</f>
        <v>ESTUDIOS TÉCNICOS Y CONSTRUCCIONES SAS</v>
      </c>
      <c r="F149" s="412"/>
      <c r="G149" s="412"/>
      <c r="H149" s="412"/>
      <c r="I149" s="412"/>
      <c r="J149" s="412"/>
      <c r="K149" s="412"/>
      <c r="L149" s="412"/>
      <c r="M149" s="412"/>
      <c r="N149" s="412"/>
      <c r="O149" s="412"/>
      <c r="P149" s="412"/>
      <c r="Q149" s="412"/>
      <c r="R149" s="412"/>
    </row>
    <row r="150" spans="1:18" ht="50.25" customHeight="1" thickBot="1">
      <c r="A150" s="151" t="s">
        <v>185</v>
      </c>
      <c r="B150" s="63">
        <v>1</v>
      </c>
      <c r="C150" s="152" t="s">
        <v>186</v>
      </c>
      <c r="D150" s="153">
        <f>$D$628</f>
        <v>279.72028</v>
      </c>
      <c r="E150" s="412"/>
      <c r="F150" s="412"/>
      <c r="G150" s="412"/>
      <c r="H150" s="412"/>
      <c r="I150" s="412"/>
      <c r="J150" s="412"/>
      <c r="K150" s="412"/>
      <c r="L150" s="412"/>
      <c r="M150" s="412"/>
      <c r="N150" s="412"/>
      <c r="O150" s="412"/>
      <c r="P150" s="412"/>
      <c r="Q150" s="412"/>
      <c r="R150" s="412"/>
    </row>
    <row r="151" spans="1:18" ht="23.25" customHeight="1" thickBot="1">
      <c r="A151" s="388" t="s">
        <v>187</v>
      </c>
      <c r="B151" s="388"/>
      <c r="C151" s="389">
        <f>H161/B150</f>
        <v>800.9878051724138</v>
      </c>
      <c r="D151" s="389"/>
      <c r="E151" s="412"/>
      <c r="F151" s="412"/>
      <c r="G151" s="412"/>
      <c r="H151" s="412"/>
      <c r="I151" s="412"/>
      <c r="J151" s="412"/>
      <c r="K151" s="412"/>
      <c r="L151" s="412"/>
      <c r="M151" s="412"/>
      <c r="N151" s="412"/>
      <c r="O151" s="412"/>
      <c r="P151" s="412"/>
      <c r="Q151" s="412"/>
      <c r="R151" s="412"/>
    </row>
    <row r="152" spans="1:18" ht="23.25" customHeight="1" thickBot="1">
      <c r="A152" s="390" t="s">
        <v>188</v>
      </c>
      <c r="B152" s="390"/>
      <c r="C152" s="391">
        <v>45610</v>
      </c>
      <c r="D152" s="391"/>
      <c r="E152" s="412"/>
      <c r="F152" s="412"/>
      <c r="G152" s="412"/>
      <c r="H152" s="412"/>
      <c r="I152" s="412"/>
      <c r="J152" s="412"/>
      <c r="K152" s="412"/>
      <c r="L152" s="412"/>
      <c r="M152" s="412"/>
      <c r="N152" s="412"/>
      <c r="O152" s="412"/>
      <c r="P152" s="412"/>
      <c r="Q152" s="412"/>
      <c r="R152" s="412"/>
    </row>
    <row r="153" spans="1:18" ht="38.25" customHeight="1" thickBot="1">
      <c r="A153" s="392" t="s">
        <v>189</v>
      </c>
      <c r="B153" s="392"/>
      <c r="C153" s="393" t="str">
        <f>+IF(H161&gt;D150,"CUMPLE","NO CUMPLE")</f>
        <v>CUMPLE</v>
      </c>
      <c r="D153" s="393"/>
      <c r="E153" s="412"/>
      <c r="F153" s="412"/>
      <c r="G153" s="412"/>
      <c r="H153" s="412"/>
      <c r="I153" s="412"/>
      <c r="J153" s="412"/>
      <c r="K153" s="412"/>
      <c r="L153" s="412"/>
      <c r="M153" s="412"/>
      <c r="N153" s="412"/>
      <c r="O153" s="412"/>
      <c r="P153" s="412"/>
      <c r="Q153" s="412"/>
      <c r="R153" s="412"/>
    </row>
    <row r="154" spans="1:18" ht="87" customHeight="1">
      <c r="A154" s="410" t="s">
        <v>190</v>
      </c>
      <c r="B154" s="410"/>
      <c r="C154" s="410"/>
      <c r="D154" s="410"/>
      <c r="E154" s="410"/>
      <c r="F154" s="410"/>
      <c r="G154" s="142"/>
      <c r="H154" s="142"/>
      <c r="I154" s="143" t="s">
        <v>191</v>
      </c>
      <c r="J154" s="144" t="s">
        <v>192</v>
      </c>
      <c r="K154" s="413" t="s">
        <v>193</v>
      </c>
      <c r="L154" s="413"/>
      <c r="M154" s="399" t="s">
        <v>194</v>
      </c>
      <c r="N154" s="399" t="s">
        <v>195</v>
      </c>
      <c r="O154" s="401" t="s">
        <v>196</v>
      </c>
      <c r="P154" s="402"/>
      <c r="Q154" s="399" t="s">
        <v>197</v>
      </c>
      <c r="R154" s="399" t="s">
        <v>198</v>
      </c>
    </row>
    <row r="155" spans="1:18" ht="77.25" customHeight="1" thickBot="1">
      <c r="A155" s="145" t="s">
        <v>199</v>
      </c>
      <c r="B155" s="411" t="s">
        <v>200</v>
      </c>
      <c r="C155" s="411"/>
      <c r="D155" s="146" t="s">
        <v>201</v>
      </c>
      <c r="E155" s="146" t="s">
        <v>202</v>
      </c>
      <c r="F155" s="146" t="s">
        <v>203</v>
      </c>
      <c r="G155" s="147" t="s">
        <v>204</v>
      </c>
      <c r="H155" s="147" t="s">
        <v>205</v>
      </c>
      <c r="I155" s="148" t="s">
        <v>206</v>
      </c>
      <c r="J155" s="148" t="s">
        <v>207</v>
      </c>
      <c r="K155" s="149" t="s">
        <v>208</v>
      </c>
      <c r="L155" s="150" t="s">
        <v>209</v>
      </c>
      <c r="M155" s="400"/>
      <c r="N155" s="400"/>
      <c r="O155" s="403"/>
      <c r="P155" s="404"/>
      <c r="Q155" s="400"/>
      <c r="R155" s="400"/>
    </row>
    <row r="156" spans="1:18" ht="18.75" thickBot="1">
      <c r="A156" s="125" t="str">
        <f>VLOOKUP(A149,'LISTA DE OFERENTES'!$A$4:$G$80,5,FALSE)</f>
        <v>ESTUDIOS TÉCNICOS Y CONSTRUCCIONES SAS -100%</v>
      </c>
      <c r="B156" s="26"/>
      <c r="C156" s="26"/>
      <c r="D156" s="26"/>
      <c r="E156" s="26"/>
      <c r="F156" s="26"/>
      <c r="G156" s="26"/>
      <c r="H156" s="26"/>
      <c r="I156" s="26"/>
      <c r="J156" s="26"/>
      <c r="K156" s="414">
        <f>$D$628*0.5</f>
        <v>139.86014</v>
      </c>
      <c r="L156" s="132"/>
      <c r="M156" s="416" t="s">
        <v>184</v>
      </c>
      <c r="N156" s="128"/>
      <c r="O156" s="189"/>
      <c r="P156" s="132"/>
      <c r="Q156" s="372" t="str">
        <f>IF(AND(N161="CUMPLE",O161="CUMPLE"),"CUMPLE","NO CUMPLE")</f>
        <v>NO CUMPLE</v>
      </c>
      <c r="R156" s="141"/>
    </row>
    <row r="157" spans="1:18" s="9" customFormat="1" ht="90">
      <c r="A157" s="221" t="s">
        <v>255</v>
      </c>
      <c r="B157" s="431" t="s">
        <v>256</v>
      </c>
      <c r="C157" s="432"/>
      <c r="D157" s="247">
        <v>208585409</v>
      </c>
      <c r="E157" s="208">
        <v>2007</v>
      </c>
      <c r="F157" s="316">
        <f>D157/(VLOOKUP(E157,$D$654:$E$687,2,FALSE))</f>
        <v>480.94399123818306</v>
      </c>
      <c r="G157" s="229">
        <v>1</v>
      </c>
      <c r="H157" s="316">
        <f>F157*G157</f>
        <v>480.94399123818306</v>
      </c>
      <c r="I157" s="206">
        <v>39434</v>
      </c>
      <c r="J157" s="116" t="s">
        <v>183</v>
      </c>
      <c r="K157" s="415"/>
      <c r="L157" s="133">
        <f>H157</f>
        <v>480.94399123818306</v>
      </c>
      <c r="M157" s="417"/>
      <c r="N157" s="129" t="s">
        <v>184</v>
      </c>
      <c r="O157" s="375">
        <f>$D$628*0.7</f>
        <v>195.80419599999999</v>
      </c>
      <c r="P157" s="135"/>
      <c r="Q157" s="373"/>
      <c r="R157" s="96" t="s">
        <v>493</v>
      </c>
    </row>
    <row r="158" spans="1:18" s="9" customFormat="1" ht="90">
      <c r="A158" s="251" t="s">
        <v>257</v>
      </c>
      <c r="B158" s="435" t="s">
        <v>256</v>
      </c>
      <c r="C158" s="436"/>
      <c r="D158" s="248">
        <v>159995320</v>
      </c>
      <c r="E158" s="209">
        <v>2007</v>
      </c>
      <c r="F158" s="316">
        <f>D158/(VLOOKUP(E158,$D$654:$E$687,2,FALSE))</f>
        <v>368.90781646299286</v>
      </c>
      <c r="G158" s="230">
        <v>1</v>
      </c>
      <c r="H158" s="316">
        <f>F158*G158</f>
        <v>368.90781646299286</v>
      </c>
      <c r="I158" s="210">
        <v>39447</v>
      </c>
      <c r="J158" s="131" t="s">
        <v>183</v>
      </c>
      <c r="K158" s="415"/>
      <c r="L158" s="133">
        <f>H158</f>
        <v>368.90781646299286</v>
      </c>
      <c r="M158" s="417"/>
      <c r="N158" s="129" t="s">
        <v>184</v>
      </c>
      <c r="O158" s="377"/>
      <c r="P158" s="135"/>
      <c r="Q158" s="373"/>
      <c r="R158" s="96" t="s">
        <v>493</v>
      </c>
    </row>
    <row r="159" spans="1:18" s="9" customFormat="1" ht="72">
      <c r="A159" s="266" t="s">
        <v>258</v>
      </c>
      <c r="B159" s="435" t="s">
        <v>256</v>
      </c>
      <c r="C159" s="436"/>
      <c r="D159" s="247">
        <v>839632721</v>
      </c>
      <c r="E159" s="208">
        <v>2010</v>
      </c>
      <c r="F159" s="316">
        <f>D159/(VLOOKUP(E159,$D$654:$E$687,2,FALSE))</f>
        <v>1630.3547980582525</v>
      </c>
      <c r="G159" s="250">
        <v>0.5</v>
      </c>
      <c r="H159" s="316">
        <f>F159*G159</f>
        <v>815.17739902912626</v>
      </c>
      <c r="I159" s="206">
        <v>40223</v>
      </c>
      <c r="J159" s="116" t="s">
        <v>183</v>
      </c>
      <c r="K159" s="415"/>
      <c r="L159" s="133">
        <f>H159</f>
        <v>815.17739902912626</v>
      </c>
      <c r="M159" s="417"/>
      <c r="N159" s="129" t="s">
        <v>184</v>
      </c>
      <c r="O159" s="377"/>
      <c r="P159" s="135"/>
      <c r="Q159" s="373"/>
      <c r="R159" s="96" t="s">
        <v>493</v>
      </c>
    </row>
    <row r="160" spans="1:18" s="9" customFormat="1" ht="108.75" thickBot="1">
      <c r="A160" s="267" t="s">
        <v>259</v>
      </c>
      <c r="B160" s="431" t="s">
        <v>260</v>
      </c>
      <c r="C160" s="432"/>
      <c r="D160" s="248">
        <v>929145854</v>
      </c>
      <c r="E160" s="209">
        <v>2023</v>
      </c>
      <c r="F160" s="316">
        <f>D160/(VLOOKUP(E160,$D$654:$E$687,2,FALSE))</f>
        <v>800.9878051724138</v>
      </c>
      <c r="G160" s="250">
        <v>1</v>
      </c>
      <c r="H160" s="316">
        <f>F160*G160</f>
        <v>800.9878051724138</v>
      </c>
      <c r="I160" s="211">
        <v>45254</v>
      </c>
      <c r="J160" s="131" t="s">
        <v>183</v>
      </c>
      <c r="K160" s="415"/>
      <c r="L160" s="133">
        <f>H160</f>
        <v>800.9878051724138</v>
      </c>
      <c r="M160" s="417"/>
      <c r="N160" s="129" t="s">
        <v>184</v>
      </c>
      <c r="O160" s="377"/>
      <c r="P160" s="135" t="s">
        <v>184</v>
      </c>
      <c r="Q160" s="373"/>
      <c r="R160" s="96" t="s">
        <v>493</v>
      </c>
    </row>
    <row r="161" spans="1:18" s="9" customFormat="1" ht="48" customHeight="1" thickBot="1">
      <c r="A161" s="394" t="s">
        <v>210</v>
      </c>
      <c r="B161" s="394"/>
      <c r="C161" s="394"/>
      <c r="D161" s="394"/>
      <c r="E161" s="394"/>
      <c r="F161" s="190">
        <f>+SUM(F157:F160)</f>
        <v>3281.194410931842</v>
      </c>
      <c r="G161" s="37"/>
      <c r="H161" s="190">
        <f>+SUM(H160)</f>
        <v>800.9878051724138</v>
      </c>
      <c r="I161" s="395" t="s">
        <v>211</v>
      </c>
      <c r="J161" s="396"/>
      <c r="K161" s="396"/>
      <c r="L161" s="396"/>
      <c r="M161" s="397"/>
      <c r="N161" s="138" t="s">
        <v>184</v>
      </c>
      <c r="O161" s="138" t="str">
        <f>IF(P161&gt;O157,"CUMPLE","NO CUMPLE")</f>
        <v>NO CUMPLE</v>
      </c>
      <c r="P161" s="139">
        <f>SUM(P157:P160)</f>
        <v>0</v>
      </c>
      <c r="Q161" s="374"/>
      <c r="R161" s="140" t="str">
        <f>+IF(AND(M156="CUMPLE",Q156="CUMPLE",C153="CUMPLE"),"HABILITADO","NO HABILITADO")</f>
        <v>NO HABILITADO</v>
      </c>
    </row>
    <row r="162" spans="1:18" ht="16.5" thickBot="1">
      <c r="A162" s="3"/>
      <c r="B162" s="3"/>
      <c r="C162" s="3"/>
      <c r="D162" s="3"/>
      <c r="E162" s="3"/>
      <c r="F162" s="3"/>
      <c r="G162" s="3"/>
      <c r="H162" s="3"/>
      <c r="I162" s="3"/>
      <c r="J162" s="3"/>
      <c r="K162" s="3"/>
      <c r="L162" s="3"/>
      <c r="M162" s="3"/>
      <c r="N162" s="3"/>
      <c r="O162" s="3"/>
      <c r="P162" s="3"/>
      <c r="Q162" s="3"/>
      <c r="R162" s="4"/>
    </row>
    <row r="163" spans="1:18" ht="30.75" customHeight="1" thickBot="1">
      <c r="A163" s="398">
        <f>1+A149</f>
        <v>13</v>
      </c>
      <c r="B163" s="398"/>
      <c r="C163" s="398"/>
      <c r="D163" s="398"/>
      <c r="E163" s="412" t="str">
        <f>VLOOKUP(A163,'REQUISITOS HAB. TECNICOS'!$A$5:$B$80,2,FALSE)</f>
        <v>CONSORCIO SIGMA</v>
      </c>
      <c r="F163" s="412"/>
      <c r="G163" s="412"/>
      <c r="H163" s="412"/>
      <c r="I163" s="412"/>
      <c r="J163" s="412"/>
      <c r="K163" s="412"/>
      <c r="L163" s="412"/>
      <c r="M163" s="412"/>
      <c r="N163" s="412"/>
      <c r="O163" s="412"/>
      <c r="P163" s="412"/>
      <c r="Q163" s="412"/>
      <c r="R163" s="412"/>
    </row>
    <row r="164" spans="1:18" ht="50.25" customHeight="1" thickBot="1">
      <c r="A164" s="151" t="s">
        <v>185</v>
      </c>
      <c r="B164" s="63">
        <v>3</v>
      </c>
      <c r="C164" s="152" t="s">
        <v>186</v>
      </c>
      <c r="D164" s="153">
        <f>$D$628</f>
        <v>279.72028</v>
      </c>
      <c r="E164" s="412"/>
      <c r="F164" s="412"/>
      <c r="G164" s="412"/>
      <c r="H164" s="412"/>
      <c r="I164" s="412"/>
      <c r="J164" s="412"/>
      <c r="K164" s="412"/>
      <c r="L164" s="412"/>
      <c r="M164" s="412"/>
      <c r="N164" s="412"/>
      <c r="O164" s="412"/>
      <c r="P164" s="412"/>
      <c r="Q164" s="412"/>
      <c r="R164" s="412"/>
    </row>
    <row r="165" spans="1:18" ht="23.25" customHeight="1" thickBot="1">
      <c r="A165" s="388" t="s">
        <v>187</v>
      </c>
      <c r="B165" s="388"/>
      <c r="C165" s="389">
        <f>H175/B164</f>
        <v>460.48311379732604</v>
      </c>
      <c r="D165" s="389"/>
      <c r="E165" s="412"/>
      <c r="F165" s="412"/>
      <c r="G165" s="412"/>
      <c r="H165" s="412"/>
      <c r="I165" s="412"/>
      <c r="J165" s="412"/>
      <c r="K165" s="412"/>
      <c r="L165" s="412"/>
      <c r="M165" s="412"/>
      <c r="N165" s="412"/>
      <c r="O165" s="412"/>
      <c r="P165" s="412"/>
      <c r="Q165" s="412"/>
      <c r="R165" s="412"/>
    </row>
    <row r="166" spans="1:18" ht="23.25" customHeight="1" thickBot="1">
      <c r="A166" s="390" t="s">
        <v>188</v>
      </c>
      <c r="B166" s="390"/>
      <c r="C166" s="391">
        <v>45610</v>
      </c>
      <c r="D166" s="391"/>
      <c r="E166" s="412"/>
      <c r="F166" s="412"/>
      <c r="G166" s="412"/>
      <c r="H166" s="412"/>
      <c r="I166" s="412"/>
      <c r="J166" s="412"/>
      <c r="K166" s="412"/>
      <c r="L166" s="412"/>
      <c r="M166" s="412"/>
      <c r="N166" s="412"/>
      <c r="O166" s="412"/>
      <c r="P166" s="412"/>
      <c r="Q166" s="412"/>
      <c r="R166" s="412"/>
    </row>
    <row r="167" spans="1:18" ht="38.25" customHeight="1" thickBot="1">
      <c r="A167" s="392" t="s">
        <v>189</v>
      </c>
      <c r="B167" s="392"/>
      <c r="C167" s="393" t="str">
        <f>+IF(H175&gt;D164,"CUMPLE","NO CUMPLE")</f>
        <v>CUMPLE</v>
      </c>
      <c r="D167" s="393"/>
      <c r="E167" s="412"/>
      <c r="F167" s="412"/>
      <c r="G167" s="412"/>
      <c r="H167" s="412"/>
      <c r="I167" s="412"/>
      <c r="J167" s="412"/>
      <c r="K167" s="412"/>
      <c r="L167" s="412"/>
      <c r="M167" s="412"/>
      <c r="N167" s="412"/>
      <c r="O167" s="412"/>
      <c r="P167" s="412"/>
      <c r="Q167" s="412"/>
      <c r="R167" s="412"/>
    </row>
    <row r="168" spans="1:18" ht="87" customHeight="1">
      <c r="A168" s="410" t="s">
        <v>190</v>
      </c>
      <c r="B168" s="410"/>
      <c r="C168" s="410"/>
      <c r="D168" s="410"/>
      <c r="E168" s="410"/>
      <c r="F168" s="410"/>
      <c r="G168" s="142"/>
      <c r="H168" s="142"/>
      <c r="I168" s="143" t="s">
        <v>191</v>
      </c>
      <c r="J168" s="144" t="s">
        <v>192</v>
      </c>
      <c r="K168" s="413" t="s">
        <v>193</v>
      </c>
      <c r="L168" s="413"/>
      <c r="M168" s="399" t="s">
        <v>194</v>
      </c>
      <c r="N168" s="399" t="s">
        <v>195</v>
      </c>
      <c r="O168" s="401" t="s">
        <v>196</v>
      </c>
      <c r="P168" s="402"/>
      <c r="Q168" s="399" t="s">
        <v>197</v>
      </c>
      <c r="R168" s="399" t="s">
        <v>198</v>
      </c>
    </row>
    <row r="169" spans="1:18" ht="77.25" customHeight="1" thickBot="1">
      <c r="A169" s="145" t="s">
        <v>199</v>
      </c>
      <c r="B169" s="411" t="s">
        <v>200</v>
      </c>
      <c r="C169" s="411"/>
      <c r="D169" s="146" t="s">
        <v>201</v>
      </c>
      <c r="E169" s="146" t="s">
        <v>202</v>
      </c>
      <c r="F169" s="146" t="s">
        <v>203</v>
      </c>
      <c r="G169" s="147" t="s">
        <v>204</v>
      </c>
      <c r="H169" s="147" t="s">
        <v>205</v>
      </c>
      <c r="I169" s="148" t="s">
        <v>206</v>
      </c>
      <c r="J169" s="148" t="s">
        <v>207</v>
      </c>
      <c r="K169" s="149" t="s">
        <v>208</v>
      </c>
      <c r="L169" s="150" t="s">
        <v>209</v>
      </c>
      <c r="M169" s="400"/>
      <c r="N169" s="400"/>
      <c r="O169" s="403"/>
      <c r="P169" s="404"/>
      <c r="Q169" s="400"/>
      <c r="R169" s="400"/>
    </row>
    <row r="170" spans="1:18" ht="18.75" thickBot="1">
      <c r="A170" s="125" t="str">
        <f>VLOOKUP(A163,'LISTA DE OFERENTES'!$A$4:$G$80,5,FALSE)</f>
        <v>INVERMOHES SAS BIC -51%</v>
      </c>
      <c r="B170" s="26"/>
      <c r="C170" s="26"/>
      <c r="D170" s="26"/>
      <c r="E170" s="26"/>
      <c r="F170" s="26"/>
      <c r="G170" s="26"/>
      <c r="H170" s="26"/>
      <c r="I170" s="26"/>
      <c r="J170" s="26"/>
      <c r="K170" s="414">
        <f>$D$628*0.5</f>
        <v>139.86014</v>
      </c>
      <c r="L170" s="132"/>
      <c r="M170" s="416" t="s">
        <v>183</v>
      </c>
      <c r="N170" s="128"/>
      <c r="O170" s="189"/>
      <c r="P170" s="132"/>
      <c r="Q170" s="372" t="str">
        <f>IF(AND(N175="CUMPLE",O175="CUMPLE"),"CUMPLE","NO CUMPLE")</f>
        <v>CUMPLE</v>
      </c>
      <c r="R170" s="141"/>
    </row>
    <row r="171" spans="1:18" s="9" customFormat="1" ht="72">
      <c r="A171" s="118" t="s">
        <v>261</v>
      </c>
      <c r="B171" s="431" t="s">
        <v>262</v>
      </c>
      <c r="C171" s="432"/>
      <c r="D171" s="119">
        <v>192406027</v>
      </c>
      <c r="E171" s="120">
        <v>2018</v>
      </c>
      <c r="F171" s="121">
        <f>D171/(VLOOKUP(E171,$D$654:$E$687,2,FALSE))</f>
        <v>246.28223649010167</v>
      </c>
      <c r="G171" s="122">
        <v>0.5</v>
      </c>
      <c r="H171" s="121">
        <f>F171*G171</f>
        <v>123.14111824505083</v>
      </c>
      <c r="I171" s="123">
        <v>43441</v>
      </c>
      <c r="J171" s="116" t="s">
        <v>183</v>
      </c>
      <c r="K171" s="415"/>
      <c r="L171" s="133">
        <f>H171</f>
        <v>123.14111824505083</v>
      </c>
      <c r="M171" s="417"/>
      <c r="N171" s="129" t="s">
        <v>183</v>
      </c>
      <c r="O171" s="375">
        <f>$D$628*0.7</f>
        <v>195.80419599999999</v>
      </c>
      <c r="P171" s="135">
        <f>+H171</f>
        <v>123.14111824505083</v>
      </c>
      <c r="Q171" s="373"/>
      <c r="R171" s="310"/>
    </row>
    <row r="172" spans="1:18" ht="23.25" customHeight="1">
      <c r="A172" s="125" t="str">
        <f>VLOOKUP(A163,'LISTA DE OFERENTES'!$A$4:$G$80,6,FALSE)</f>
        <v>2C INGENIEROS SA-49%</v>
      </c>
      <c r="B172" s="126"/>
      <c r="C172" s="126"/>
      <c r="D172" s="126"/>
      <c r="E172" s="126"/>
      <c r="F172" s="126"/>
      <c r="G172" s="127"/>
      <c r="H172" s="126"/>
      <c r="I172" s="252"/>
      <c r="J172" s="126"/>
      <c r="K172" s="415"/>
      <c r="L172" s="134"/>
      <c r="M172" s="417"/>
      <c r="N172" s="130"/>
      <c r="O172" s="377"/>
      <c r="P172" s="136"/>
      <c r="Q172" s="373"/>
      <c r="R172" s="136"/>
    </row>
    <row r="173" spans="1:18" s="9" customFormat="1" ht="72">
      <c r="A173" s="221" t="s">
        <v>263</v>
      </c>
      <c r="B173" s="431" t="s">
        <v>264</v>
      </c>
      <c r="C173" s="432"/>
      <c r="D173" s="119">
        <f>288647693-2900000</f>
        <v>285747693</v>
      </c>
      <c r="E173" s="120">
        <v>2016</v>
      </c>
      <c r="F173" s="121">
        <f>D173/(VLOOKUP(E173,$D$654:$E$687,2,FALSE))</f>
        <v>414.45445025418627</v>
      </c>
      <c r="G173" s="122">
        <v>1</v>
      </c>
      <c r="H173" s="121">
        <f>F173*G173</f>
        <v>414.45445025418627</v>
      </c>
      <c r="I173" s="123">
        <v>42438</v>
      </c>
      <c r="J173" s="116" t="s">
        <v>183</v>
      </c>
      <c r="K173" s="415"/>
      <c r="L173" s="133">
        <f>H173</f>
        <v>414.45445025418627</v>
      </c>
      <c r="M173" s="417"/>
      <c r="N173" s="129" t="s">
        <v>183</v>
      </c>
      <c r="O173" s="377"/>
      <c r="P173" s="135">
        <f>+H173</f>
        <v>414.45445025418627</v>
      </c>
      <c r="Q173" s="373"/>
      <c r="R173" s="310"/>
    </row>
    <row r="174" spans="1:18" s="9" customFormat="1" ht="126.75" thickBot="1">
      <c r="A174" s="251" t="s">
        <v>265</v>
      </c>
      <c r="B174" s="431" t="s">
        <v>266</v>
      </c>
      <c r="C174" s="432"/>
      <c r="D174" s="119">
        <v>389438516.19</v>
      </c>
      <c r="E174" s="120">
        <v>2008</v>
      </c>
      <c r="F174" s="121">
        <f>D174/(VLOOKUP(E174,$D$654:$E$687,2,FALSE))</f>
        <v>843.85377289274106</v>
      </c>
      <c r="G174" s="122">
        <v>1</v>
      </c>
      <c r="H174" s="121">
        <f>F174*G174</f>
        <v>843.85377289274106</v>
      </c>
      <c r="I174" s="124">
        <v>39811</v>
      </c>
      <c r="J174" s="131" t="s">
        <v>183</v>
      </c>
      <c r="K174" s="415"/>
      <c r="L174" s="133">
        <f>H174</f>
        <v>843.85377289274106</v>
      </c>
      <c r="M174" s="417"/>
      <c r="N174" s="129" t="s">
        <v>183</v>
      </c>
      <c r="O174" s="377"/>
      <c r="P174" s="135"/>
      <c r="Q174" s="373"/>
      <c r="R174" s="310"/>
    </row>
    <row r="175" spans="1:18" s="9" customFormat="1" ht="48" customHeight="1" thickBot="1">
      <c r="A175" s="394" t="s">
        <v>210</v>
      </c>
      <c r="B175" s="394"/>
      <c r="C175" s="394"/>
      <c r="D175" s="394"/>
      <c r="E175" s="394"/>
      <c r="F175" s="190">
        <f>+SUM(F171:F174)</f>
        <v>1504.590459637029</v>
      </c>
      <c r="G175" s="37"/>
      <c r="H175" s="190">
        <f>+SUM(H171:H174)</f>
        <v>1381.4493413919781</v>
      </c>
      <c r="I175" s="395" t="s">
        <v>211</v>
      </c>
      <c r="J175" s="396"/>
      <c r="K175" s="396"/>
      <c r="L175" s="396"/>
      <c r="M175" s="397"/>
      <c r="N175" s="138" t="s">
        <v>183</v>
      </c>
      <c r="O175" s="138" t="str">
        <f>IF(P175&gt;O171,"CUMPLE","NO CUMPLE")</f>
        <v>CUMPLE</v>
      </c>
      <c r="P175" s="139">
        <f>SUM(P171:P174)</f>
        <v>537.59556849923706</v>
      </c>
      <c r="Q175" s="374"/>
      <c r="R175" s="311" t="str">
        <f>+IF(AND(M170="CUMPLE",Q170="CUMPLE",C167="CUMPLE"),"HABILITADO","NO HABILITADO")</f>
        <v>HABILITADO</v>
      </c>
    </row>
    <row r="176" spans="1:18" ht="16.5" thickBot="1">
      <c r="A176" s="3"/>
      <c r="B176" s="3"/>
      <c r="C176" s="3"/>
      <c r="D176" s="3"/>
      <c r="E176" s="3"/>
      <c r="F176" s="3"/>
      <c r="G176" s="3"/>
      <c r="H176" s="3"/>
      <c r="I176" s="3"/>
      <c r="J176" s="3"/>
      <c r="K176" s="3"/>
      <c r="L176" s="3"/>
      <c r="M176" s="3"/>
      <c r="N176" s="3"/>
      <c r="O176" s="3"/>
      <c r="P176" s="3"/>
      <c r="Q176" s="3"/>
      <c r="R176" s="4"/>
    </row>
    <row r="177" spans="1:18" ht="30.75" customHeight="1" thickBot="1">
      <c r="A177" s="398">
        <f>1+A163</f>
        <v>14</v>
      </c>
      <c r="B177" s="398"/>
      <c r="C177" s="398"/>
      <c r="D177" s="398"/>
      <c r="E177" s="412" t="str">
        <f>VLOOKUP(A177,'REQUISITOS HAB. TECNICOS'!$A$5:$B$80,2,FALSE)</f>
        <v>PROJEKTA LTDA. INGENIEROS CONSULTORES</v>
      </c>
      <c r="F177" s="412"/>
      <c r="G177" s="412"/>
      <c r="H177" s="412"/>
      <c r="I177" s="412"/>
      <c r="J177" s="412"/>
      <c r="K177" s="412"/>
      <c r="L177" s="412"/>
      <c r="M177" s="412"/>
      <c r="N177" s="412"/>
      <c r="O177" s="412"/>
      <c r="P177" s="412"/>
      <c r="Q177" s="412"/>
      <c r="R177" s="412"/>
    </row>
    <row r="178" spans="1:18" ht="50.25" customHeight="1" thickBot="1">
      <c r="A178" s="151" t="s">
        <v>185</v>
      </c>
      <c r="B178" s="63">
        <v>1</v>
      </c>
      <c r="C178" s="152" t="s">
        <v>186</v>
      </c>
      <c r="D178" s="153">
        <f>$D$628</f>
        <v>279.72028</v>
      </c>
      <c r="E178" s="412"/>
      <c r="F178" s="412"/>
      <c r="G178" s="412"/>
      <c r="H178" s="412"/>
      <c r="I178" s="412"/>
      <c r="J178" s="412"/>
      <c r="K178" s="412"/>
      <c r="L178" s="412"/>
      <c r="M178" s="412"/>
      <c r="N178" s="412"/>
      <c r="O178" s="412"/>
      <c r="P178" s="412"/>
      <c r="Q178" s="412"/>
      <c r="R178" s="412"/>
    </row>
    <row r="179" spans="1:18" ht="23.25" customHeight="1" thickBot="1">
      <c r="A179" s="388" t="s">
        <v>187</v>
      </c>
      <c r="B179" s="388"/>
      <c r="C179" s="389">
        <f>H187/B178</f>
        <v>1045.0579518297236</v>
      </c>
      <c r="D179" s="389"/>
      <c r="E179" s="412"/>
      <c r="F179" s="412"/>
      <c r="G179" s="412"/>
      <c r="H179" s="412"/>
      <c r="I179" s="412"/>
      <c r="J179" s="412"/>
      <c r="K179" s="412"/>
      <c r="L179" s="412"/>
      <c r="M179" s="412"/>
      <c r="N179" s="412"/>
      <c r="O179" s="412"/>
      <c r="P179" s="412"/>
      <c r="Q179" s="412"/>
      <c r="R179" s="412"/>
    </row>
    <row r="180" spans="1:18" ht="23.25" customHeight="1" thickBot="1">
      <c r="A180" s="390" t="s">
        <v>188</v>
      </c>
      <c r="B180" s="390"/>
      <c r="C180" s="391">
        <v>45610</v>
      </c>
      <c r="D180" s="391"/>
      <c r="E180" s="412"/>
      <c r="F180" s="412"/>
      <c r="G180" s="412"/>
      <c r="H180" s="412"/>
      <c r="I180" s="412"/>
      <c r="J180" s="412"/>
      <c r="K180" s="412"/>
      <c r="L180" s="412"/>
      <c r="M180" s="412"/>
      <c r="N180" s="412"/>
      <c r="O180" s="412"/>
      <c r="P180" s="412"/>
      <c r="Q180" s="412"/>
      <c r="R180" s="412"/>
    </row>
    <row r="181" spans="1:18" ht="38.25" customHeight="1" thickBot="1">
      <c r="A181" s="392" t="s">
        <v>189</v>
      </c>
      <c r="B181" s="392"/>
      <c r="C181" s="393" t="str">
        <f>+IF(H187&gt;D178,"CUMPLE","NO CUMPLE")</f>
        <v>CUMPLE</v>
      </c>
      <c r="D181" s="393"/>
      <c r="E181" s="412"/>
      <c r="F181" s="412"/>
      <c r="G181" s="412"/>
      <c r="H181" s="412"/>
      <c r="I181" s="412"/>
      <c r="J181" s="412"/>
      <c r="K181" s="412"/>
      <c r="L181" s="412"/>
      <c r="M181" s="412"/>
      <c r="N181" s="412"/>
      <c r="O181" s="412"/>
      <c r="P181" s="412"/>
      <c r="Q181" s="412"/>
      <c r="R181" s="412"/>
    </row>
    <row r="182" spans="1:18" ht="87" customHeight="1">
      <c r="A182" s="410" t="s">
        <v>190</v>
      </c>
      <c r="B182" s="410"/>
      <c r="C182" s="410"/>
      <c r="D182" s="410"/>
      <c r="E182" s="410"/>
      <c r="F182" s="410"/>
      <c r="G182" s="142"/>
      <c r="H182" s="142"/>
      <c r="I182" s="143" t="s">
        <v>191</v>
      </c>
      <c r="J182" s="144" t="s">
        <v>192</v>
      </c>
      <c r="K182" s="413" t="s">
        <v>193</v>
      </c>
      <c r="L182" s="413"/>
      <c r="M182" s="399" t="s">
        <v>194</v>
      </c>
      <c r="N182" s="399" t="s">
        <v>195</v>
      </c>
      <c r="O182" s="401" t="s">
        <v>196</v>
      </c>
      <c r="P182" s="402"/>
      <c r="Q182" s="399" t="s">
        <v>197</v>
      </c>
      <c r="R182" s="399" t="s">
        <v>198</v>
      </c>
    </row>
    <row r="183" spans="1:18" ht="77.25" customHeight="1" thickBot="1">
      <c r="A183" s="145" t="s">
        <v>199</v>
      </c>
      <c r="B183" s="411" t="s">
        <v>200</v>
      </c>
      <c r="C183" s="411"/>
      <c r="D183" s="146" t="s">
        <v>201</v>
      </c>
      <c r="E183" s="146" t="s">
        <v>202</v>
      </c>
      <c r="F183" s="146" t="s">
        <v>203</v>
      </c>
      <c r="G183" s="147" t="s">
        <v>204</v>
      </c>
      <c r="H183" s="147" t="s">
        <v>205</v>
      </c>
      <c r="I183" s="148" t="s">
        <v>206</v>
      </c>
      <c r="J183" s="148" t="s">
        <v>207</v>
      </c>
      <c r="K183" s="149" t="s">
        <v>208</v>
      </c>
      <c r="L183" s="150" t="s">
        <v>209</v>
      </c>
      <c r="M183" s="400"/>
      <c r="N183" s="400"/>
      <c r="O183" s="403"/>
      <c r="P183" s="404"/>
      <c r="Q183" s="400"/>
      <c r="R183" s="400"/>
    </row>
    <row r="184" spans="1:18" ht="18.75" thickBot="1">
      <c r="A184" s="125" t="str">
        <f>VLOOKUP(A177,'LISTA DE OFERENTES'!$A$4:$G$80,5,FALSE)</f>
        <v>PROJEKTA LTDA. INGENIEROS CONSULTORES - 100%</v>
      </c>
      <c r="B184" s="26"/>
      <c r="C184" s="26"/>
      <c r="D184" s="26"/>
      <c r="E184" s="26"/>
      <c r="F184" s="26"/>
      <c r="G184" s="26"/>
      <c r="H184" s="26"/>
      <c r="I184" s="26"/>
      <c r="J184" s="26"/>
      <c r="K184" s="414">
        <f>$D$628*0.5</f>
        <v>139.86014</v>
      </c>
      <c r="L184" s="132"/>
      <c r="M184" s="416" t="s">
        <v>183</v>
      </c>
      <c r="N184" s="128"/>
      <c r="O184" s="189"/>
      <c r="P184" s="132"/>
      <c r="Q184" s="372" t="s">
        <v>183</v>
      </c>
      <c r="R184" s="141"/>
    </row>
    <row r="185" spans="1:18" s="9" customFormat="1" ht="108">
      <c r="A185" s="221" t="s">
        <v>267</v>
      </c>
      <c r="B185" s="432" t="s">
        <v>214</v>
      </c>
      <c r="C185" s="432"/>
      <c r="D185" s="119">
        <v>1119466078</v>
      </c>
      <c r="E185" s="120">
        <v>2011</v>
      </c>
      <c r="F185" s="121">
        <f>D185/(VLOOKUP(E185,$D$654:$E$687,2,FALSE))</f>
        <v>2090.1159036594472</v>
      </c>
      <c r="G185" s="122">
        <v>0.5</v>
      </c>
      <c r="H185" s="121">
        <f>F185*G185</f>
        <v>1045.0579518297236</v>
      </c>
      <c r="I185" s="123">
        <v>40669</v>
      </c>
      <c r="J185" s="116" t="s">
        <v>183</v>
      </c>
      <c r="K185" s="415"/>
      <c r="L185" s="133">
        <f>H185</f>
        <v>1045.0579518297236</v>
      </c>
      <c r="M185" s="417"/>
      <c r="N185" s="129" t="s">
        <v>183</v>
      </c>
      <c r="O185" s="375">
        <f>$D$628*0.7</f>
        <v>195.80419599999999</v>
      </c>
      <c r="P185" s="135">
        <f>+H185</f>
        <v>1045.0579518297236</v>
      </c>
      <c r="Q185" s="373"/>
      <c r="R185" s="96"/>
    </row>
    <row r="186" spans="1:18" s="9" customFormat="1" ht="90.75" thickBot="1">
      <c r="A186" s="251" t="s">
        <v>268</v>
      </c>
      <c r="B186" s="432" t="s">
        <v>269</v>
      </c>
      <c r="C186" s="432"/>
      <c r="D186" s="119">
        <v>122814113</v>
      </c>
      <c r="E186" s="120">
        <v>2007</v>
      </c>
      <c r="F186" s="121">
        <f>D186/(VLOOKUP(E186,$D$654:$E$687,2,FALSE))</f>
        <v>283.17757205441552</v>
      </c>
      <c r="G186" s="122">
        <v>0.75</v>
      </c>
      <c r="H186" s="121"/>
      <c r="I186" s="124">
        <v>39423</v>
      </c>
      <c r="J186" s="131" t="s">
        <v>183</v>
      </c>
      <c r="K186" s="415"/>
      <c r="L186" s="133"/>
      <c r="M186" s="417"/>
      <c r="N186" s="129" t="s">
        <v>184</v>
      </c>
      <c r="O186" s="377"/>
      <c r="P186" s="135"/>
      <c r="Q186" s="373"/>
      <c r="R186" s="270" t="s">
        <v>502</v>
      </c>
    </row>
    <row r="187" spans="1:18" s="9" customFormat="1" ht="48" customHeight="1" thickBot="1">
      <c r="A187" s="394" t="s">
        <v>210</v>
      </c>
      <c r="B187" s="394"/>
      <c r="C187" s="394"/>
      <c r="D187" s="394"/>
      <c r="E187" s="394"/>
      <c r="F187" s="190">
        <f>+SUM(F185:F186)</f>
        <v>2373.2934757138628</v>
      </c>
      <c r="G187" s="37"/>
      <c r="H187" s="190">
        <f>+SUM(H185:H186)</f>
        <v>1045.0579518297236</v>
      </c>
      <c r="I187" s="395" t="s">
        <v>211</v>
      </c>
      <c r="J187" s="396"/>
      <c r="K187" s="396"/>
      <c r="L187" s="396"/>
      <c r="M187" s="397"/>
      <c r="N187" s="138" t="s">
        <v>183</v>
      </c>
      <c r="O187" s="138" t="str">
        <f>IF(P187&gt;O185,"CUMPLE","NO CUMPLE")</f>
        <v>CUMPLE</v>
      </c>
      <c r="P187" s="139">
        <f>SUM(P185:P186)</f>
        <v>1045.0579518297236</v>
      </c>
      <c r="Q187" s="374"/>
      <c r="R187" s="140" t="str">
        <f>+IF(AND(M184="CUMPLE",Q184="CUMPLE",C181="CUMPLE"),"HABILITADO","NO HABILITADO")</f>
        <v>HABILITADO</v>
      </c>
    </row>
    <row r="188" spans="1:18" ht="16.5" thickBot="1">
      <c r="A188" s="3"/>
      <c r="B188" s="3"/>
      <c r="C188" s="3"/>
      <c r="D188" s="3"/>
      <c r="E188" s="3"/>
      <c r="F188" s="3"/>
      <c r="G188" s="3"/>
      <c r="H188" s="3"/>
      <c r="I188" s="3"/>
      <c r="J188" s="3"/>
      <c r="K188" s="3"/>
      <c r="L188" s="3"/>
      <c r="M188" s="3"/>
      <c r="N188" s="3"/>
      <c r="O188" s="3"/>
      <c r="P188" s="3"/>
      <c r="Q188" s="3"/>
      <c r="R188" s="4"/>
    </row>
    <row r="189" spans="1:18" ht="30.75" customHeight="1" thickBot="1">
      <c r="A189" s="398">
        <f>1+A177</f>
        <v>15</v>
      </c>
      <c r="B189" s="398"/>
      <c r="C189" s="398"/>
      <c r="D189" s="398"/>
      <c r="E189" s="412" t="str">
        <f>VLOOKUP(A189,'REQUISITOS HAB. TECNICOS'!$A$5:$B$80,2,FALSE)</f>
        <v>PRAN CONSTRUCCIONES S.A.S.</v>
      </c>
      <c r="F189" s="412"/>
      <c r="G189" s="412"/>
      <c r="H189" s="412"/>
      <c r="I189" s="412"/>
      <c r="J189" s="412"/>
      <c r="K189" s="412"/>
      <c r="L189" s="412"/>
      <c r="M189" s="412"/>
      <c r="N189" s="412"/>
      <c r="O189" s="412"/>
      <c r="P189" s="412"/>
      <c r="Q189" s="412"/>
      <c r="R189" s="412"/>
    </row>
    <row r="190" spans="1:18" ht="50.25" customHeight="1" thickBot="1">
      <c r="A190" s="151" t="s">
        <v>185</v>
      </c>
      <c r="B190" s="63">
        <v>1</v>
      </c>
      <c r="C190" s="152" t="s">
        <v>186</v>
      </c>
      <c r="D190" s="153">
        <f>$D$628</f>
        <v>279.72028</v>
      </c>
      <c r="E190" s="412"/>
      <c r="F190" s="412"/>
      <c r="G190" s="412"/>
      <c r="H190" s="412"/>
      <c r="I190" s="412"/>
      <c r="J190" s="412"/>
      <c r="K190" s="412"/>
      <c r="L190" s="412"/>
      <c r="M190" s="412"/>
      <c r="N190" s="412"/>
      <c r="O190" s="412"/>
      <c r="P190" s="412"/>
      <c r="Q190" s="412"/>
      <c r="R190" s="412"/>
    </row>
    <row r="191" spans="1:18" ht="23.25" customHeight="1" thickBot="1">
      <c r="A191" s="388" t="s">
        <v>187</v>
      </c>
      <c r="B191" s="388"/>
      <c r="C191" s="389">
        <f>H198/B190</f>
        <v>572.03</v>
      </c>
      <c r="D191" s="389"/>
      <c r="E191" s="412"/>
      <c r="F191" s="412"/>
      <c r="G191" s="412"/>
      <c r="H191" s="412"/>
      <c r="I191" s="412"/>
      <c r="J191" s="412"/>
      <c r="K191" s="412"/>
      <c r="L191" s="412"/>
      <c r="M191" s="412"/>
      <c r="N191" s="412"/>
      <c r="O191" s="412"/>
      <c r="P191" s="412"/>
      <c r="Q191" s="412"/>
      <c r="R191" s="412"/>
    </row>
    <row r="192" spans="1:18" ht="23.25" customHeight="1" thickBot="1">
      <c r="A192" s="390" t="s">
        <v>188</v>
      </c>
      <c r="B192" s="390"/>
      <c r="C192" s="391">
        <v>45610</v>
      </c>
      <c r="D192" s="391"/>
      <c r="E192" s="412"/>
      <c r="F192" s="412"/>
      <c r="G192" s="412"/>
      <c r="H192" s="412"/>
      <c r="I192" s="412"/>
      <c r="J192" s="412"/>
      <c r="K192" s="412"/>
      <c r="L192" s="412"/>
      <c r="M192" s="412"/>
      <c r="N192" s="412"/>
      <c r="O192" s="412"/>
      <c r="P192" s="412"/>
      <c r="Q192" s="412"/>
      <c r="R192" s="412"/>
    </row>
    <row r="193" spans="1:18" ht="38.25" customHeight="1" thickBot="1">
      <c r="A193" s="392" t="s">
        <v>189</v>
      </c>
      <c r="B193" s="392"/>
      <c r="C193" s="393" t="str">
        <f>+IF(H198&gt;D190,"CUMPLE","NO CUMPLE")</f>
        <v>CUMPLE</v>
      </c>
      <c r="D193" s="393"/>
      <c r="E193" s="412"/>
      <c r="F193" s="412"/>
      <c r="G193" s="412"/>
      <c r="H193" s="412"/>
      <c r="I193" s="412"/>
      <c r="J193" s="412"/>
      <c r="K193" s="412"/>
      <c r="L193" s="412"/>
      <c r="M193" s="412"/>
      <c r="N193" s="412"/>
      <c r="O193" s="412"/>
      <c r="P193" s="412"/>
      <c r="Q193" s="412"/>
      <c r="R193" s="412"/>
    </row>
    <row r="194" spans="1:18" ht="87" customHeight="1">
      <c r="A194" s="410" t="s">
        <v>190</v>
      </c>
      <c r="B194" s="410"/>
      <c r="C194" s="410"/>
      <c r="D194" s="410"/>
      <c r="E194" s="410"/>
      <c r="F194" s="410"/>
      <c r="G194" s="142"/>
      <c r="H194" s="142"/>
      <c r="I194" s="143" t="s">
        <v>191</v>
      </c>
      <c r="J194" s="144" t="s">
        <v>192</v>
      </c>
      <c r="K194" s="413" t="s">
        <v>193</v>
      </c>
      <c r="L194" s="413"/>
      <c r="M194" s="399" t="s">
        <v>194</v>
      </c>
      <c r="N194" s="399" t="s">
        <v>195</v>
      </c>
      <c r="O194" s="401" t="s">
        <v>196</v>
      </c>
      <c r="P194" s="402"/>
      <c r="Q194" s="399" t="s">
        <v>197</v>
      </c>
      <c r="R194" s="399" t="s">
        <v>198</v>
      </c>
    </row>
    <row r="195" spans="1:18" ht="77.25" customHeight="1" thickBot="1">
      <c r="A195" s="145" t="s">
        <v>199</v>
      </c>
      <c r="B195" s="411" t="s">
        <v>200</v>
      </c>
      <c r="C195" s="411"/>
      <c r="D195" s="146" t="s">
        <v>201</v>
      </c>
      <c r="E195" s="146" t="s">
        <v>202</v>
      </c>
      <c r="F195" s="146" t="s">
        <v>203</v>
      </c>
      <c r="G195" s="147" t="s">
        <v>204</v>
      </c>
      <c r="H195" s="147" t="s">
        <v>205</v>
      </c>
      <c r="I195" s="148" t="s">
        <v>206</v>
      </c>
      <c r="J195" s="148" t="s">
        <v>207</v>
      </c>
      <c r="K195" s="149" t="s">
        <v>208</v>
      </c>
      <c r="L195" s="150" t="s">
        <v>209</v>
      </c>
      <c r="M195" s="400"/>
      <c r="N195" s="400"/>
      <c r="O195" s="403"/>
      <c r="P195" s="404"/>
      <c r="Q195" s="400"/>
      <c r="R195" s="400"/>
    </row>
    <row r="196" spans="1:18" ht="18">
      <c r="A196" s="125" t="str">
        <f>VLOOKUP(A189,'LISTA DE OFERENTES'!$A$4:$G$80,5,FALSE)</f>
        <v>PRAN CONSTRUCCIONES S.A.S. - 100%</v>
      </c>
      <c r="B196" s="26"/>
      <c r="C196" s="26"/>
      <c r="D196" s="26"/>
      <c r="E196" s="26"/>
      <c r="F196" s="26"/>
      <c r="G196" s="26"/>
      <c r="H196" s="26"/>
      <c r="I196" s="26"/>
      <c r="J196" s="26"/>
      <c r="K196" s="414">
        <f>$D$628*0.5</f>
        <v>139.86014</v>
      </c>
      <c r="L196" s="132"/>
      <c r="M196" s="416" t="s">
        <v>183</v>
      </c>
      <c r="N196" s="128"/>
      <c r="O196" s="189"/>
      <c r="P196" s="132"/>
      <c r="Q196" s="372" t="s">
        <v>183</v>
      </c>
      <c r="R196" s="141"/>
    </row>
    <row r="197" spans="1:18" s="9" customFormat="1" ht="108">
      <c r="A197" s="221" t="s">
        <v>270</v>
      </c>
      <c r="B197" s="432" t="s">
        <v>271</v>
      </c>
      <c r="C197" s="432"/>
      <c r="D197" s="119">
        <v>422003532.68000001</v>
      </c>
      <c r="E197" s="120">
        <v>2017</v>
      </c>
      <c r="F197" s="121">
        <v>572.03</v>
      </c>
      <c r="G197" s="122">
        <v>1</v>
      </c>
      <c r="H197" s="121">
        <f>F197*G197</f>
        <v>572.03</v>
      </c>
      <c r="I197" s="206">
        <v>42856</v>
      </c>
      <c r="J197" s="116" t="s">
        <v>183</v>
      </c>
      <c r="K197" s="415"/>
      <c r="L197" s="133">
        <f>H197</f>
        <v>572.03</v>
      </c>
      <c r="M197" s="417"/>
      <c r="N197" s="129" t="s">
        <v>183</v>
      </c>
      <c r="O197" s="192">
        <f>$D$628*0.7</f>
        <v>195.80419599999999</v>
      </c>
      <c r="P197" s="135">
        <f>+H197</f>
        <v>572.03</v>
      </c>
      <c r="Q197" s="373"/>
      <c r="R197" s="270" t="s">
        <v>245</v>
      </c>
    </row>
    <row r="198" spans="1:18" s="9" customFormat="1" ht="48" customHeight="1" thickBot="1">
      <c r="A198" s="394" t="s">
        <v>210</v>
      </c>
      <c r="B198" s="394"/>
      <c r="C198" s="394"/>
      <c r="D198" s="394"/>
      <c r="E198" s="394"/>
      <c r="F198" s="190">
        <f>+SUM(F197:F197)</f>
        <v>572.03</v>
      </c>
      <c r="G198" s="37"/>
      <c r="H198" s="190">
        <f>+SUM(H197)</f>
        <v>572.03</v>
      </c>
      <c r="I198" s="395" t="s">
        <v>211</v>
      </c>
      <c r="J198" s="396"/>
      <c r="K198" s="396"/>
      <c r="L198" s="396"/>
      <c r="M198" s="397"/>
      <c r="N198" s="138"/>
      <c r="O198" s="138" t="str">
        <f>IF(P198&gt;O197,"CUMPLE","NO CUMPLE")</f>
        <v>CUMPLE</v>
      </c>
      <c r="P198" s="139">
        <f>SUM(P197:P197)</f>
        <v>572.03</v>
      </c>
      <c r="Q198" s="374"/>
      <c r="R198" s="140" t="str">
        <f>+IF(AND(M196="CUMPLE",Q196="CUMPLE",C193="CUMPLE"),"HABILITADO","NO HABILITADO")</f>
        <v>HABILITADO</v>
      </c>
    </row>
    <row r="199" spans="1:18" ht="16.5" thickBot="1">
      <c r="A199" s="3"/>
      <c r="B199" s="3"/>
      <c r="C199" s="3"/>
      <c r="D199" s="3"/>
      <c r="E199" s="3"/>
      <c r="F199" s="3"/>
      <c r="G199" s="3"/>
      <c r="H199" s="3"/>
      <c r="I199" s="3"/>
      <c r="J199" s="3"/>
      <c r="K199" s="3"/>
      <c r="L199" s="3"/>
      <c r="M199" s="3"/>
      <c r="N199" s="3"/>
      <c r="O199" s="3"/>
      <c r="P199" s="3"/>
      <c r="Q199" s="3"/>
      <c r="R199" s="4"/>
    </row>
    <row r="200" spans="1:18" ht="30.75" customHeight="1" thickBot="1">
      <c r="A200" s="398">
        <f>1+A189</f>
        <v>16</v>
      </c>
      <c r="B200" s="398"/>
      <c r="C200" s="398"/>
      <c r="D200" s="398"/>
      <c r="E200" s="412" t="str">
        <f>VLOOKUP(A200,'REQUISITOS HAB. TECNICOS'!$A$5:$B$80,2,FALSE)</f>
        <v>CONSORCIO INTER 1</v>
      </c>
      <c r="F200" s="412"/>
      <c r="G200" s="412"/>
      <c r="H200" s="412"/>
      <c r="I200" s="412"/>
      <c r="J200" s="412"/>
      <c r="K200" s="412"/>
      <c r="L200" s="412"/>
      <c r="M200" s="412"/>
      <c r="N200" s="412"/>
      <c r="O200" s="412"/>
      <c r="P200" s="412"/>
      <c r="Q200" s="412"/>
      <c r="R200" s="412"/>
    </row>
    <row r="201" spans="1:18" ht="50.25" customHeight="1" thickBot="1">
      <c r="A201" s="151" t="s">
        <v>185</v>
      </c>
      <c r="B201" s="63">
        <v>2</v>
      </c>
      <c r="C201" s="152" t="s">
        <v>186</v>
      </c>
      <c r="D201" s="153">
        <f>$D$628</f>
        <v>279.72028</v>
      </c>
      <c r="E201" s="412"/>
      <c r="F201" s="412"/>
      <c r="G201" s="412"/>
      <c r="H201" s="412"/>
      <c r="I201" s="412"/>
      <c r="J201" s="412"/>
      <c r="K201" s="412"/>
      <c r="L201" s="412"/>
      <c r="M201" s="412"/>
      <c r="N201" s="412"/>
      <c r="O201" s="412"/>
      <c r="P201" s="412"/>
      <c r="Q201" s="412"/>
      <c r="R201" s="412"/>
    </row>
    <row r="202" spans="1:18" ht="23.25" customHeight="1" thickBot="1">
      <c r="A202" s="388" t="s">
        <v>187</v>
      </c>
      <c r="B202" s="388"/>
      <c r="C202" s="389">
        <f>H212/B201</f>
        <v>506.71610129916257</v>
      </c>
      <c r="D202" s="389"/>
      <c r="E202" s="412"/>
      <c r="F202" s="412"/>
      <c r="G202" s="412"/>
      <c r="H202" s="412"/>
      <c r="I202" s="412"/>
      <c r="J202" s="412"/>
      <c r="K202" s="412"/>
      <c r="L202" s="412"/>
      <c r="M202" s="412"/>
      <c r="N202" s="412"/>
      <c r="O202" s="412"/>
      <c r="P202" s="412"/>
      <c r="Q202" s="412"/>
      <c r="R202" s="412"/>
    </row>
    <row r="203" spans="1:18" ht="23.25" customHeight="1" thickBot="1">
      <c r="A203" s="390" t="s">
        <v>188</v>
      </c>
      <c r="B203" s="390"/>
      <c r="C203" s="391">
        <v>45610</v>
      </c>
      <c r="D203" s="391"/>
      <c r="E203" s="412"/>
      <c r="F203" s="412"/>
      <c r="G203" s="412"/>
      <c r="H203" s="412"/>
      <c r="I203" s="412"/>
      <c r="J203" s="412"/>
      <c r="K203" s="412"/>
      <c r="L203" s="412"/>
      <c r="M203" s="412"/>
      <c r="N203" s="412"/>
      <c r="O203" s="412"/>
      <c r="P203" s="412"/>
      <c r="Q203" s="412"/>
      <c r="R203" s="412"/>
    </row>
    <row r="204" spans="1:18" ht="38.25" customHeight="1" thickBot="1">
      <c r="A204" s="392" t="s">
        <v>189</v>
      </c>
      <c r="B204" s="392"/>
      <c r="C204" s="393" t="str">
        <f>+IF(H212&gt;D201,"CUMPLE","NO CUMPLE")</f>
        <v>CUMPLE</v>
      </c>
      <c r="D204" s="393"/>
      <c r="E204" s="412"/>
      <c r="F204" s="412"/>
      <c r="G204" s="412"/>
      <c r="H204" s="412"/>
      <c r="I204" s="412"/>
      <c r="J204" s="412"/>
      <c r="K204" s="412"/>
      <c r="L204" s="412"/>
      <c r="M204" s="412"/>
      <c r="N204" s="412"/>
      <c r="O204" s="412"/>
      <c r="P204" s="412"/>
      <c r="Q204" s="412"/>
      <c r="R204" s="412"/>
    </row>
    <row r="205" spans="1:18" ht="87" customHeight="1">
      <c r="A205" s="410" t="s">
        <v>190</v>
      </c>
      <c r="B205" s="410"/>
      <c r="C205" s="410"/>
      <c r="D205" s="410"/>
      <c r="E205" s="410"/>
      <c r="F205" s="410"/>
      <c r="G205" s="142"/>
      <c r="H205" s="142"/>
      <c r="I205" s="143" t="s">
        <v>191</v>
      </c>
      <c r="J205" s="144" t="s">
        <v>192</v>
      </c>
      <c r="K205" s="413" t="s">
        <v>193</v>
      </c>
      <c r="L205" s="413"/>
      <c r="M205" s="399" t="s">
        <v>194</v>
      </c>
      <c r="N205" s="399" t="s">
        <v>195</v>
      </c>
      <c r="O205" s="401" t="s">
        <v>196</v>
      </c>
      <c r="P205" s="402"/>
      <c r="Q205" s="399" t="s">
        <v>197</v>
      </c>
      <c r="R205" s="399" t="s">
        <v>198</v>
      </c>
    </row>
    <row r="206" spans="1:18" ht="77.25" customHeight="1" thickBot="1">
      <c r="A206" s="145" t="s">
        <v>199</v>
      </c>
      <c r="B206" s="411" t="s">
        <v>200</v>
      </c>
      <c r="C206" s="411"/>
      <c r="D206" s="146" t="s">
        <v>201</v>
      </c>
      <c r="E206" s="146" t="s">
        <v>202</v>
      </c>
      <c r="F206" s="146" t="s">
        <v>203</v>
      </c>
      <c r="G206" s="147" t="s">
        <v>204</v>
      </c>
      <c r="H206" s="147" t="s">
        <v>205</v>
      </c>
      <c r="I206" s="148" t="s">
        <v>206</v>
      </c>
      <c r="J206" s="148" t="s">
        <v>207</v>
      </c>
      <c r="K206" s="149" t="s">
        <v>208</v>
      </c>
      <c r="L206" s="150" t="s">
        <v>209</v>
      </c>
      <c r="M206" s="400"/>
      <c r="N206" s="400"/>
      <c r="O206" s="403"/>
      <c r="P206" s="404"/>
      <c r="Q206" s="400"/>
      <c r="R206" s="400"/>
    </row>
    <row r="207" spans="1:18" ht="18">
      <c r="A207" s="125" t="str">
        <f>VLOOKUP(A200,'LISTA DE OFERENTES'!$A$4:$G$80,5,FALSE)</f>
        <v>GABRIEL DUARTE DIAZ - 5%</v>
      </c>
      <c r="B207" s="26"/>
      <c r="C207" s="26"/>
      <c r="D207" s="26"/>
      <c r="E207" s="26"/>
      <c r="F207" s="26"/>
      <c r="G207" s="26"/>
      <c r="H207" s="26"/>
      <c r="I207" s="26"/>
      <c r="J207" s="26"/>
      <c r="K207" s="414">
        <f>$D$628*0.5</f>
        <v>139.86014</v>
      </c>
      <c r="L207" s="132"/>
      <c r="M207" s="416" t="s">
        <v>183</v>
      </c>
      <c r="N207" s="128"/>
      <c r="O207" s="189"/>
      <c r="P207" s="132"/>
      <c r="Q207" s="372" t="s">
        <v>183</v>
      </c>
      <c r="R207" s="141"/>
    </row>
    <row r="208" spans="1:18" s="9" customFormat="1" ht="90">
      <c r="A208" s="118" t="s">
        <v>272</v>
      </c>
      <c r="B208" s="371" t="s">
        <v>273</v>
      </c>
      <c r="C208" s="371"/>
      <c r="D208" s="119">
        <v>299999630</v>
      </c>
      <c r="E208" s="120">
        <v>2024</v>
      </c>
      <c r="F208" s="121">
        <f>D208/(VLOOKUP(E208,$D$654:$E$687,2,FALSE))-0.01</f>
        <v>230.75894615384615</v>
      </c>
      <c r="G208" s="122">
        <v>0.05</v>
      </c>
      <c r="H208" s="121">
        <f>F208*G208</f>
        <v>11.537947307692308</v>
      </c>
      <c r="I208" s="123">
        <v>45391</v>
      </c>
      <c r="J208" s="116" t="s">
        <v>183</v>
      </c>
      <c r="K208" s="415"/>
      <c r="L208" s="133">
        <f>H208</f>
        <v>11.537947307692308</v>
      </c>
      <c r="M208" s="417"/>
      <c r="N208" s="129" t="s">
        <v>183</v>
      </c>
      <c r="O208" s="375">
        <f>$D$628*0.7</f>
        <v>195.80419599999999</v>
      </c>
      <c r="P208" s="135"/>
      <c r="Q208" s="373"/>
      <c r="R208" s="96"/>
    </row>
    <row r="209" spans="1:18" s="9" customFormat="1" ht="90">
      <c r="A209" s="118" t="s">
        <v>274</v>
      </c>
      <c r="B209" s="371" t="s">
        <v>275</v>
      </c>
      <c r="C209" s="371"/>
      <c r="D209" s="119">
        <v>504315512.79000002</v>
      </c>
      <c r="E209" s="120">
        <v>2015</v>
      </c>
      <c r="F209" s="121">
        <f>D209/(VLOOKUP(E209,$D$654:$E$687,2,FALSE))</f>
        <v>782.67325644447897</v>
      </c>
      <c r="G209" s="122">
        <v>1</v>
      </c>
      <c r="H209" s="121">
        <f>F209*G209</f>
        <v>782.67325644447897</v>
      </c>
      <c r="I209" s="124">
        <v>42366</v>
      </c>
      <c r="J209" s="131" t="s">
        <v>183</v>
      </c>
      <c r="K209" s="415"/>
      <c r="L209" s="133">
        <f>H209</f>
        <v>782.67325644447897</v>
      </c>
      <c r="M209" s="417"/>
      <c r="N209" s="129" t="s">
        <v>183</v>
      </c>
      <c r="O209" s="377"/>
      <c r="P209" s="135">
        <f>L209</f>
        <v>782.67325644447897</v>
      </c>
      <c r="Q209" s="373"/>
      <c r="R209" s="96"/>
    </row>
    <row r="210" spans="1:18" ht="23.25" customHeight="1">
      <c r="A210" s="125" t="str">
        <f>VLOOKUP(A200,'LISTA DE OFERENTES'!$A$4:$G$80,6,FALSE)</f>
        <v>CARING S.A.S - 95%</v>
      </c>
      <c r="B210" s="126"/>
      <c r="C210" s="126"/>
      <c r="D210" s="126"/>
      <c r="E210" s="126"/>
      <c r="F210" s="126"/>
      <c r="G210" s="127"/>
      <c r="H210" s="126"/>
      <c r="I210" s="126"/>
      <c r="J210" s="126"/>
      <c r="K210" s="415"/>
      <c r="L210" s="134"/>
      <c r="M210" s="417"/>
      <c r="N210" s="130"/>
      <c r="O210" s="377"/>
      <c r="P210" s="136"/>
      <c r="Q210" s="373"/>
      <c r="R210" s="27"/>
    </row>
    <row r="211" spans="1:18" s="9" customFormat="1" ht="90">
      <c r="A211" s="118" t="s">
        <v>272</v>
      </c>
      <c r="B211" s="371" t="s">
        <v>273</v>
      </c>
      <c r="C211" s="371"/>
      <c r="D211" s="119">
        <v>299999630</v>
      </c>
      <c r="E211" s="120">
        <v>2024</v>
      </c>
      <c r="F211" s="121">
        <f>D211/(VLOOKUP(E211,$D$654:$E$687,2,FALSE))-0.01</f>
        <v>230.75894615384615</v>
      </c>
      <c r="G211" s="122">
        <v>0.95</v>
      </c>
      <c r="H211" s="121">
        <f>F211*G211</f>
        <v>219.22099884615383</v>
      </c>
      <c r="I211" s="123">
        <v>45391</v>
      </c>
      <c r="J211" s="116" t="s">
        <v>183</v>
      </c>
      <c r="K211" s="415"/>
      <c r="L211" s="133">
        <f>H211</f>
        <v>219.22099884615383</v>
      </c>
      <c r="M211" s="417"/>
      <c r="N211" s="129" t="s">
        <v>183</v>
      </c>
      <c r="O211" s="377"/>
      <c r="P211" s="135">
        <f>L211</f>
        <v>219.22099884615383</v>
      </c>
      <c r="Q211" s="373"/>
      <c r="R211" s="96"/>
    </row>
    <row r="212" spans="1:18" s="9" customFormat="1" ht="48" customHeight="1">
      <c r="A212" s="394" t="s">
        <v>210</v>
      </c>
      <c r="B212" s="394"/>
      <c r="C212" s="394"/>
      <c r="D212" s="394"/>
      <c r="E212" s="394"/>
      <c r="F212" s="190">
        <f>+SUM(F208:F211)</f>
        <v>1244.1911487521713</v>
      </c>
      <c r="G212" s="37"/>
      <c r="H212" s="190">
        <f>+SUM(H208:H211)</f>
        <v>1013.4322025983251</v>
      </c>
      <c r="I212" s="395" t="s">
        <v>211</v>
      </c>
      <c r="J212" s="396"/>
      <c r="K212" s="396"/>
      <c r="L212" s="396"/>
      <c r="M212" s="397"/>
      <c r="N212" s="138"/>
      <c r="O212" s="138" t="str">
        <f>IF(P212&gt;O208,"CUMPLE","NO CUMPLE")</f>
        <v>CUMPLE</v>
      </c>
      <c r="P212" s="139">
        <f>SUM(P208:P211)</f>
        <v>1001.8942552906328</v>
      </c>
      <c r="Q212" s="374"/>
      <c r="R212" s="140" t="str">
        <f>+IF(AND(M207="CUMPLE",Q207="CUMPLE",C204="CUMPLE"),"HABILITADO","NO HABILITADO")</f>
        <v>HABILITADO</v>
      </c>
    </row>
    <row r="213" spans="1:18" ht="16.5" thickBot="1">
      <c r="A213" s="3"/>
      <c r="B213" s="3"/>
      <c r="C213" s="3"/>
      <c r="D213" s="3"/>
      <c r="E213" s="3"/>
      <c r="F213" s="3"/>
      <c r="G213" s="3"/>
      <c r="H213" s="3"/>
      <c r="I213" s="3"/>
      <c r="J213" s="3"/>
      <c r="K213" s="3"/>
      <c r="L213" s="3"/>
      <c r="M213" s="3"/>
      <c r="N213" s="3"/>
      <c r="O213" s="3"/>
      <c r="P213" s="3"/>
      <c r="Q213" s="3"/>
      <c r="R213" s="4"/>
    </row>
    <row r="214" spans="1:18" ht="30.75" customHeight="1" thickBot="1">
      <c r="A214" s="398">
        <f>1+A200</f>
        <v>17</v>
      </c>
      <c r="B214" s="398"/>
      <c r="C214" s="398"/>
      <c r="D214" s="398"/>
      <c r="E214" s="412" t="str">
        <f>VLOOKUP(A214,'REQUISITOS HAB. TECNICOS'!$A$5:$B$80,2,FALSE)</f>
        <v>CONSORCIO EG-795 KM</v>
      </c>
      <c r="F214" s="412"/>
      <c r="G214" s="412"/>
      <c r="H214" s="412"/>
      <c r="I214" s="412"/>
      <c r="J214" s="412"/>
      <c r="K214" s="412"/>
      <c r="L214" s="412"/>
      <c r="M214" s="412"/>
      <c r="N214" s="412"/>
      <c r="O214" s="412"/>
      <c r="P214" s="412"/>
      <c r="Q214" s="412"/>
      <c r="R214" s="412"/>
    </row>
    <row r="215" spans="1:18" ht="50.25" customHeight="1" thickBot="1">
      <c r="A215" s="151" t="s">
        <v>185</v>
      </c>
      <c r="B215" s="63">
        <v>5</v>
      </c>
      <c r="C215" s="152" t="s">
        <v>186</v>
      </c>
      <c r="D215" s="153">
        <f>$D$628</f>
        <v>279.72028</v>
      </c>
      <c r="E215" s="412"/>
      <c r="F215" s="412"/>
      <c r="G215" s="412"/>
      <c r="H215" s="412"/>
      <c r="I215" s="412"/>
      <c r="J215" s="412"/>
      <c r="K215" s="412"/>
      <c r="L215" s="412"/>
      <c r="M215" s="412"/>
      <c r="N215" s="412"/>
      <c r="O215" s="412"/>
      <c r="P215" s="412"/>
      <c r="Q215" s="412"/>
      <c r="R215" s="412"/>
    </row>
    <row r="216" spans="1:18" ht="23.25" customHeight="1" thickBot="1">
      <c r="A216" s="388" t="s">
        <v>187</v>
      </c>
      <c r="B216" s="388"/>
      <c r="C216" s="389">
        <f>H229/B215</f>
        <v>912.52861123608761</v>
      </c>
      <c r="D216" s="389"/>
      <c r="E216" s="412"/>
      <c r="F216" s="412"/>
      <c r="G216" s="412"/>
      <c r="H216" s="412"/>
      <c r="I216" s="412"/>
      <c r="J216" s="412"/>
      <c r="K216" s="412"/>
      <c r="L216" s="412"/>
      <c r="M216" s="412"/>
      <c r="N216" s="412"/>
      <c r="O216" s="412"/>
      <c r="P216" s="412"/>
      <c r="Q216" s="412"/>
      <c r="R216" s="412"/>
    </row>
    <row r="217" spans="1:18" ht="23.25" customHeight="1" thickBot="1">
      <c r="A217" s="390" t="s">
        <v>188</v>
      </c>
      <c r="B217" s="390"/>
      <c r="C217" s="391">
        <v>45610</v>
      </c>
      <c r="D217" s="391"/>
      <c r="E217" s="412"/>
      <c r="F217" s="412"/>
      <c r="G217" s="412"/>
      <c r="H217" s="412"/>
      <c r="I217" s="412"/>
      <c r="J217" s="412"/>
      <c r="K217" s="412"/>
      <c r="L217" s="412"/>
      <c r="M217" s="412"/>
      <c r="N217" s="412"/>
      <c r="O217" s="412"/>
      <c r="P217" s="412"/>
      <c r="Q217" s="412"/>
      <c r="R217" s="412"/>
    </row>
    <row r="218" spans="1:18" ht="38.25" customHeight="1" thickBot="1">
      <c r="A218" s="392" t="s">
        <v>189</v>
      </c>
      <c r="B218" s="392"/>
      <c r="C218" s="393" t="str">
        <f>+IF(H229&gt;D215,"CUMPLE","NO CUMPLE")</f>
        <v>CUMPLE</v>
      </c>
      <c r="D218" s="393"/>
      <c r="E218" s="412"/>
      <c r="F218" s="412"/>
      <c r="G218" s="412"/>
      <c r="H218" s="412"/>
      <c r="I218" s="412"/>
      <c r="J218" s="412"/>
      <c r="K218" s="412"/>
      <c r="L218" s="412"/>
      <c r="M218" s="412"/>
      <c r="N218" s="412"/>
      <c r="O218" s="412"/>
      <c r="P218" s="412"/>
      <c r="Q218" s="412"/>
      <c r="R218" s="412"/>
    </row>
    <row r="219" spans="1:18" ht="87" customHeight="1">
      <c r="A219" s="410" t="s">
        <v>190</v>
      </c>
      <c r="B219" s="410"/>
      <c r="C219" s="410"/>
      <c r="D219" s="410"/>
      <c r="E219" s="410"/>
      <c r="F219" s="410"/>
      <c r="G219" s="142"/>
      <c r="H219" s="142"/>
      <c r="I219" s="143" t="s">
        <v>191</v>
      </c>
      <c r="J219" s="144" t="s">
        <v>192</v>
      </c>
      <c r="K219" s="413" t="s">
        <v>193</v>
      </c>
      <c r="L219" s="413"/>
      <c r="M219" s="399" t="s">
        <v>194</v>
      </c>
      <c r="N219" s="399" t="s">
        <v>195</v>
      </c>
      <c r="O219" s="401" t="s">
        <v>196</v>
      </c>
      <c r="P219" s="402"/>
      <c r="Q219" s="399" t="s">
        <v>197</v>
      </c>
      <c r="R219" s="399" t="s">
        <v>198</v>
      </c>
    </row>
    <row r="220" spans="1:18" ht="77.25" customHeight="1" thickBot="1">
      <c r="A220" s="145" t="s">
        <v>199</v>
      </c>
      <c r="B220" s="411" t="s">
        <v>200</v>
      </c>
      <c r="C220" s="411"/>
      <c r="D220" s="146" t="s">
        <v>201</v>
      </c>
      <c r="E220" s="146" t="s">
        <v>202</v>
      </c>
      <c r="F220" s="146" t="s">
        <v>203</v>
      </c>
      <c r="G220" s="147" t="s">
        <v>204</v>
      </c>
      <c r="H220" s="147" t="s">
        <v>205</v>
      </c>
      <c r="I220" s="148" t="s">
        <v>206</v>
      </c>
      <c r="J220" s="148" t="s">
        <v>207</v>
      </c>
      <c r="K220" s="149" t="s">
        <v>208</v>
      </c>
      <c r="L220" s="150" t="s">
        <v>209</v>
      </c>
      <c r="M220" s="400"/>
      <c r="N220" s="400"/>
      <c r="O220" s="403"/>
      <c r="P220" s="404"/>
      <c r="Q220" s="400"/>
      <c r="R220" s="400"/>
    </row>
    <row r="221" spans="1:18" ht="39.75" customHeight="1" thickBot="1">
      <c r="A221" s="125" t="str">
        <f>VLOOKUP(A214,'LISTA DE OFERENTES'!$A$4:$G$80,5,FALSE)</f>
        <v>KALPA INGENIERIA SAS SOCIEDAD DE BENEFICIO E INTERES COLECTIVO - BIC - 99%</v>
      </c>
      <c r="B221" s="26"/>
      <c r="C221" s="26"/>
      <c r="D221" s="26"/>
      <c r="E221" s="26"/>
      <c r="F221" s="26"/>
      <c r="G221" s="26"/>
      <c r="H221" s="26"/>
      <c r="I221" s="26"/>
      <c r="J221" s="26"/>
      <c r="K221" s="414">
        <f>$D$628*0.5</f>
        <v>139.86014</v>
      </c>
      <c r="L221" s="132"/>
      <c r="M221" s="416" t="s">
        <v>183</v>
      </c>
      <c r="N221" s="128"/>
      <c r="O221" s="189"/>
      <c r="P221" s="132"/>
      <c r="Q221" s="372" t="s">
        <v>183</v>
      </c>
      <c r="R221" s="141"/>
    </row>
    <row r="222" spans="1:18" s="9" customFormat="1" ht="108">
      <c r="A222" s="118" t="s">
        <v>276</v>
      </c>
      <c r="B222" s="371" t="s">
        <v>277</v>
      </c>
      <c r="C222" s="371"/>
      <c r="D222" s="119">
        <v>838316052</v>
      </c>
      <c r="E222" s="120">
        <v>2018</v>
      </c>
      <c r="F222" s="121">
        <f>D222/(VLOOKUP(E222,$D$654:$E$687,2,FALSE))</f>
        <v>1073.0555346486749</v>
      </c>
      <c r="G222" s="122">
        <v>1</v>
      </c>
      <c r="H222" s="121">
        <f>F222*G222</f>
        <v>1073.0555346486749</v>
      </c>
      <c r="I222" s="123">
        <v>43427</v>
      </c>
      <c r="J222" s="116" t="s">
        <v>183</v>
      </c>
      <c r="K222" s="415"/>
      <c r="L222" s="133">
        <f>H222</f>
        <v>1073.0555346486749</v>
      </c>
      <c r="M222" s="417"/>
      <c r="N222" s="129" t="s">
        <v>183</v>
      </c>
      <c r="O222" s="375">
        <f>$D$628*0.7</f>
        <v>195.80419599999999</v>
      </c>
      <c r="P222" s="135"/>
      <c r="Q222" s="373"/>
      <c r="R222" s="263"/>
    </row>
    <row r="223" spans="1:18" s="9" customFormat="1" ht="72">
      <c r="A223" s="118" t="s">
        <v>278</v>
      </c>
      <c r="B223" s="371" t="s">
        <v>279</v>
      </c>
      <c r="C223" s="371"/>
      <c r="D223" s="119">
        <v>105637163</v>
      </c>
      <c r="E223" s="120">
        <v>2007</v>
      </c>
      <c r="F223" s="121">
        <f t="shared" ref="F223:F224" si="1">D223/(VLOOKUP(E223,$D$654:$E$687,2,FALSE))</f>
        <v>243.57196910306664</v>
      </c>
      <c r="G223" s="122">
        <v>1</v>
      </c>
      <c r="H223" s="121">
        <f t="shared" ref="H223:H224" si="2">F223*G223</f>
        <v>243.57196910306664</v>
      </c>
      <c r="I223" s="123">
        <v>39273</v>
      </c>
      <c r="J223" s="116" t="s">
        <v>183</v>
      </c>
      <c r="K223" s="415"/>
      <c r="L223" s="133">
        <f t="shared" ref="L223:L224" si="3">H223</f>
        <v>243.57196910306664</v>
      </c>
      <c r="M223" s="417"/>
      <c r="N223" s="129" t="s">
        <v>183</v>
      </c>
      <c r="O223" s="376"/>
      <c r="P223" s="135"/>
      <c r="Q223" s="373"/>
      <c r="R223" s="96"/>
    </row>
    <row r="224" spans="1:18" s="9" customFormat="1" ht="180">
      <c r="A224" s="118" t="s">
        <v>280</v>
      </c>
      <c r="B224" s="371" t="s">
        <v>281</v>
      </c>
      <c r="C224" s="371"/>
      <c r="D224" s="119">
        <v>1583563218</v>
      </c>
      <c r="E224" s="120">
        <v>2018</v>
      </c>
      <c r="F224" s="121">
        <f t="shared" si="1"/>
        <v>2026.9816753323555</v>
      </c>
      <c r="G224" s="122">
        <v>1</v>
      </c>
      <c r="H224" s="121">
        <f t="shared" si="2"/>
        <v>2026.9816753323555</v>
      </c>
      <c r="I224" s="123">
        <v>43261</v>
      </c>
      <c r="J224" s="116" t="s">
        <v>183</v>
      </c>
      <c r="K224" s="415"/>
      <c r="L224" s="133">
        <f t="shared" si="3"/>
        <v>2026.9816753323555</v>
      </c>
      <c r="M224" s="417"/>
      <c r="N224" s="129" t="s">
        <v>183</v>
      </c>
      <c r="O224" s="376"/>
      <c r="P224" s="135">
        <f>L224</f>
        <v>2026.9816753323555</v>
      </c>
      <c r="Q224" s="373"/>
      <c r="R224" s="96"/>
    </row>
    <row r="225" spans="1:18" s="9" customFormat="1" ht="198">
      <c r="A225" s="118" t="s">
        <v>282</v>
      </c>
      <c r="B225" s="371" t="s">
        <v>279</v>
      </c>
      <c r="C225" s="371"/>
      <c r="D225" s="119">
        <v>179668508</v>
      </c>
      <c r="E225" s="120">
        <v>2011</v>
      </c>
      <c r="F225" s="121">
        <f>D225/(VLOOKUP(E225,$D$654:$E$687,2,FALSE))</f>
        <v>335.45277819268108</v>
      </c>
      <c r="G225" s="122">
        <v>0.5</v>
      </c>
      <c r="H225" s="121">
        <f>F225*G225</f>
        <v>167.72638909634054</v>
      </c>
      <c r="I225" s="124">
        <v>40663</v>
      </c>
      <c r="J225" s="131" t="s">
        <v>183</v>
      </c>
      <c r="K225" s="415"/>
      <c r="L225" s="133">
        <f>H225</f>
        <v>167.72638909634054</v>
      </c>
      <c r="M225" s="417"/>
      <c r="N225" s="129" t="s">
        <v>183</v>
      </c>
      <c r="O225" s="377"/>
      <c r="P225" s="135"/>
      <c r="Q225" s="373"/>
      <c r="R225" s="96"/>
    </row>
    <row r="226" spans="1:18" s="9" customFormat="1" ht="108">
      <c r="A226" s="253" t="s">
        <v>283</v>
      </c>
      <c r="B226" s="437" t="s">
        <v>284</v>
      </c>
      <c r="C226" s="437"/>
      <c r="D226" s="254">
        <v>1051307488</v>
      </c>
      <c r="E226" s="255">
        <v>2022</v>
      </c>
      <c r="F226" s="256">
        <f>D226/(VLOOKUP(E226,$D$654:$E$687,2,FALSE))</f>
        <v>1051.3074879999999</v>
      </c>
      <c r="G226" s="257">
        <v>0.5</v>
      </c>
      <c r="H226" s="256">
        <f>F226*G226</f>
        <v>525.65374399999996</v>
      </c>
      <c r="I226" s="262">
        <v>44926</v>
      </c>
      <c r="J226" s="258" t="s">
        <v>183</v>
      </c>
      <c r="K226" s="415"/>
      <c r="L226" s="259">
        <f>H226</f>
        <v>525.65374399999996</v>
      </c>
      <c r="M226" s="417"/>
      <c r="N226" s="260" t="s">
        <v>183</v>
      </c>
      <c r="O226" s="377"/>
      <c r="P226" s="261"/>
      <c r="Q226" s="373"/>
      <c r="R226" s="312" t="s">
        <v>492</v>
      </c>
    </row>
    <row r="227" spans="1:18" ht="23.25" customHeight="1">
      <c r="A227" s="125" t="str">
        <f>VLOOKUP(A214,'LISTA DE OFERENTES'!$A$4:$G$80,6,FALSE)</f>
        <v>MEDINA &amp; RIVERA INGENIEROS ASOCIADOS SAS - 1%</v>
      </c>
      <c r="B227" s="126"/>
      <c r="C227" s="126"/>
      <c r="D227" s="126"/>
      <c r="E227" s="126"/>
      <c r="F227" s="126"/>
      <c r="G227" s="127"/>
      <c r="H227" s="126"/>
      <c r="I227" s="126"/>
      <c r="J227" s="126"/>
      <c r="K227" s="415"/>
      <c r="L227" s="134"/>
      <c r="M227" s="417"/>
      <c r="N227" s="130"/>
      <c r="O227" s="377"/>
      <c r="P227" s="136"/>
      <c r="Q227" s="373"/>
      <c r="R227" s="27"/>
    </row>
    <row r="228" spans="1:18" s="9" customFormat="1" ht="108">
      <c r="A228" s="118" t="s">
        <v>283</v>
      </c>
      <c r="B228" s="371" t="s">
        <v>284</v>
      </c>
      <c r="C228" s="371"/>
      <c r="D228" s="119">
        <v>1051307488</v>
      </c>
      <c r="E228" s="120">
        <v>2022</v>
      </c>
      <c r="F228" s="121">
        <f>D228/(VLOOKUP(E228,$D$654:$E$687,2,FALSE))</f>
        <v>1051.3074879999999</v>
      </c>
      <c r="G228" s="122">
        <v>0.5</v>
      </c>
      <c r="H228" s="121">
        <f>F228*G228</f>
        <v>525.65374399999996</v>
      </c>
      <c r="I228" s="123">
        <v>44926</v>
      </c>
      <c r="J228" s="116" t="s">
        <v>183</v>
      </c>
      <c r="K228" s="415"/>
      <c r="L228" s="133">
        <f>H228</f>
        <v>525.65374399999996</v>
      </c>
      <c r="M228" s="417"/>
      <c r="N228" s="129" t="s">
        <v>183</v>
      </c>
      <c r="O228" s="377"/>
      <c r="P228" s="135">
        <f>L228</f>
        <v>525.65374399999996</v>
      </c>
      <c r="Q228" s="373"/>
      <c r="R228" s="312" t="s">
        <v>492</v>
      </c>
    </row>
    <row r="229" spans="1:18" s="9" customFormat="1" ht="48" customHeight="1">
      <c r="A229" s="394" t="s">
        <v>210</v>
      </c>
      <c r="B229" s="394"/>
      <c r="C229" s="394"/>
      <c r="D229" s="394"/>
      <c r="E229" s="394"/>
      <c r="F229" s="190">
        <f>+SUM(F222:F228)</f>
        <v>5781.6769332767781</v>
      </c>
      <c r="G229" s="37"/>
      <c r="H229" s="190">
        <f>+SUM(H222:H228)</f>
        <v>4562.6430561804382</v>
      </c>
      <c r="I229" s="395" t="s">
        <v>211</v>
      </c>
      <c r="J229" s="396"/>
      <c r="K229" s="396"/>
      <c r="L229" s="396"/>
      <c r="M229" s="397"/>
      <c r="N229" s="138"/>
      <c r="O229" s="138" t="str">
        <f>IF(P229&gt;O222,"CUMPLE","NO CUMPLE")</f>
        <v>CUMPLE</v>
      </c>
      <c r="P229" s="139">
        <f>SUM(P222:P228)</f>
        <v>2552.6354193323555</v>
      </c>
      <c r="Q229" s="374"/>
      <c r="R229" s="140" t="str">
        <f>+IF(AND(M221="CUMPLE",Q221="CUMPLE",C218="CUMPLE"),"HABILITADO","NO HABILITADO")</f>
        <v>HABILITADO</v>
      </c>
    </row>
    <row r="230" spans="1:18" ht="16.5" thickBot="1">
      <c r="A230" s="3"/>
      <c r="B230" s="3"/>
      <c r="C230" s="3"/>
      <c r="D230" s="3"/>
      <c r="E230" s="3"/>
      <c r="F230" s="3"/>
      <c r="G230" s="3"/>
      <c r="H230" s="3"/>
      <c r="I230" s="3"/>
      <c r="J230" s="3"/>
      <c r="K230" s="3"/>
      <c r="L230" s="3"/>
      <c r="M230" s="3"/>
      <c r="N230" s="3"/>
      <c r="O230" s="3"/>
      <c r="P230" s="3"/>
      <c r="Q230" s="3"/>
      <c r="R230" s="4"/>
    </row>
    <row r="231" spans="1:18" ht="30.75" customHeight="1" thickBot="1">
      <c r="A231" s="398">
        <f>1+A214</f>
        <v>18</v>
      </c>
      <c r="B231" s="398"/>
      <c r="C231" s="398"/>
      <c r="D231" s="398"/>
      <c r="E231" s="412" t="str">
        <f>VLOOKUP(A231,'REQUISITOS HAB. TECNICOS'!$A$5:$B$80,2,FALSE)</f>
        <v>CONSORCIO INTERENGATIVA E&amp;D</v>
      </c>
      <c r="F231" s="412"/>
      <c r="G231" s="412"/>
      <c r="H231" s="412"/>
      <c r="I231" s="412"/>
      <c r="J231" s="412"/>
      <c r="K231" s="412"/>
      <c r="L231" s="412"/>
      <c r="M231" s="412"/>
      <c r="N231" s="412"/>
      <c r="O231" s="412"/>
      <c r="P231" s="412"/>
      <c r="Q231" s="412"/>
      <c r="R231" s="412"/>
    </row>
    <row r="232" spans="1:18" ht="50.25" customHeight="1" thickBot="1">
      <c r="A232" s="151" t="s">
        <v>185</v>
      </c>
      <c r="B232" s="63">
        <v>2</v>
      </c>
      <c r="C232" s="152" t="s">
        <v>186</v>
      </c>
      <c r="D232" s="153">
        <f>$D$628</f>
        <v>279.72028</v>
      </c>
      <c r="E232" s="412"/>
      <c r="F232" s="412"/>
      <c r="G232" s="412"/>
      <c r="H232" s="412"/>
      <c r="I232" s="412"/>
      <c r="J232" s="412"/>
      <c r="K232" s="412"/>
      <c r="L232" s="412"/>
      <c r="M232" s="412"/>
      <c r="N232" s="412"/>
      <c r="O232" s="412"/>
      <c r="P232" s="412"/>
      <c r="Q232" s="412"/>
      <c r="R232" s="412"/>
    </row>
    <row r="233" spans="1:18" ht="23.25" customHeight="1" thickBot="1">
      <c r="A233" s="388" t="s">
        <v>187</v>
      </c>
      <c r="B233" s="388"/>
      <c r="C233" s="389">
        <f>H243/B232</f>
        <v>538.12401941184498</v>
      </c>
      <c r="D233" s="389"/>
      <c r="E233" s="412"/>
      <c r="F233" s="412"/>
      <c r="G233" s="412"/>
      <c r="H233" s="412"/>
      <c r="I233" s="412"/>
      <c r="J233" s="412"/>
      <c r="K233" s="412"/>
      <c r="L233" s="412"/>
      <c r="M233" s="412"/>
      <c r="N233" s="412"/>
      <c r="O233" s="412"/>
      <c r="P233" s="412"/>
      <c r="Q233" s="412"/>
      <c r="R233" s="412"/>
    </row>
    <row r="234" spans="1:18" ht="23.25" customHeight="1" thickBot="1">
      <c r="A234" s="390" t="s">
        <v>188</v>
      </c>
      <c r="B234" s="390"/>
      <c r="C234" s="391">
        <v>45610</v>
      </c>
      <c r="D234" s="391"/>
      <c r="E234" s="412"/>
      <c r="F234" s="412"/>
      <c r="G234" s="412"/>
      <c r="H234" s="412"/>
      <c r="I234" s="412"/>
      <c r="J234" s="412"/>
      <c r="K234" s="412"/>
      <c r="L234" s="412"/>
      <c r="M234" s="412"/>
      <c r="N234" s="412"/>
      <c r="O234" s="412"/>
      <c r="P234" s="412"/>
      <c r="Q234" s="412"/>
      <c r="R234" s="412"/>
    </row>
    <row r="235" spans="1:18" ht="38.25" customHeight="1" thickBot="1">
      <c r="A235" s="392" t="s">
        <v>189</v>
      </c>
      <c r="B235" s="392"/>
      <c r="C235" s="393" t="str">
        <f>+IF(H243&gt;D232,"CUMPLE","NO CUMPLE")</f>
        <v>CUMPLE</v>
      </c>
      <c r="D235" s="393"/>
      <c r="E235" s="412"/>
      <c r="F235" s="412"/>
      <c r="G235" s="412"/>
      <c r="H235" s="412"/>
      <c r="I235" s="412"/>
      <c r="J235" s="412"/>
      <c r="K235" s="412"/>
      <c r="L235" s="412"/>
      <c r="M235" s="412"/>
      <c r="N235" s="412"/>
      <c r="O235" s="412"/>
      <c r="P235" s="412"/>
      <c r="Q235" s="412"/>
      <c r="R235" s="412"/>
    </row>
    <row r="236" spans="1:18" ht="87" customHeight="1">
      <c r="A236" s="410" t="s">
        <v>190</v>
      </c>
      <c r="B236" s="410"/>
      <c r="C236" s="410"/>
      <c r="D236" s="410"/>
      <c r="E236" s="410"/>
      <c r="F236" s="410"/>
      <c r="G236" s="142"/>
      <c r="H236" s="142"/>
      <c r="I236" s="143" t="s">
        <v>191</v>
      </c>
      <c r="J236" s="144" t="s">
        <v>192</v>
      </c>
      <c r="K236" s="413" t="s">
        <v>193</v>
      </c>
      <c r="L236" s="413"/>
      <c r="M236" s="399" t="s">
        <v>194</v>
      </c>
      <c r="N236" s="399" t="s">
        <v>195</v>
      </c>
      <c r="O236" s="401" t="s">
        <v>196</v>
      </c>
      <c r="P236" s="402"/>
      <c r="Q236" s="399" t="s">
        <v>197</v>
      </c>
      <c r="R236" s="399" t="s">
        <v>198</v>
      </c>
    </row>
    <row r="237" spans="1:18" ht="77.25" customHeight="1" thickBot="1">
      <c r="A237" s="145" t="s">
        <v>199</v>
      </c>
      <c r="B237" s="411" t="s">
        <v>200</v>
      </c>
      <c r="C237" s="411"/>
      <c r="D237" s="146" t="s">
        <v>201</v>
      </c>
      <c r="E237" s="146" t="s">
        <v>202</v>
      </c>
      <c r="F237" s="146" t="s">
        <v>203</v>
      </c>
      <c r="G237" s="147" t="s">
        <v>204</v>
      </c>
      <c r="H237" s="147" t="s">
        <v>205</v>
      </c>
      <c r="I237" s="148" t="s">
        <v>206</v>
      </c>
      <c r="J237" s="148" t="s">
        <v>207</v>
      </c>
      <c r="K237" s="149" t="s">
        <v>208</v>
      </c>
      <c r="L237" s="150" t="s">
        <v>209</v>
      </c>
      <c r="M237" s="400"/>
      <c r="N237" s="400"/>
      <c r="O237" s="403"/>
      <c r="P237" s="404"/>
      <c r="Q237" s="400"/>
      <c r="R237" s="400"/>
    </row>
    <row r="238" spans="1:18" ht="18">
      <c r="A238" s="125" t="str">
        <f>VLOOKUP(A231,'LISTA DE OFERENTES'!$A$4:$G$80,5,FALSE)</f>
        <v>EIS CONSTRUCTORES SAS - 90%</v>
      </c>
      <c r="B238" s="26"/>
      <c r="C238" s="26"/>
      <c r="D238" s="26"/>
      <c r="E238" s="26"/>
      <c r="F238" s="26"/>
      <c r="G238" s="26"/>
      <c r="H238" s="26"/>
      <c r="I238" s="26"/>
      <c r="J238" s="26"/>
      <c r="K238" s="414">
        <f>$D$628*0.5</f>
        <v>139.86014</v>
      </c>
      <c r="L238" s="132"/>
      <c r="M238" s="416" t="s">
        <v>183</v>
      </c>
      <c r="N238" s="128"/>
      <c r="O238" s="189"/>
      <c r="P238" s="132"/>
      <c r="Q238" s="372" t="s">
        <v>183</v>
      </c>
      <c r="R238" s="141"/>
    </row>
    <row r="239" spans="1:18" s="9" customFormat="1" ht="162">
      <c r="A239" s="118" t="s">
        <v>285</v>
      </c>
      <c r="B239" s="371" t="s">
        <v>286</v>
      </c>
      <c r="C239" s="371"/>
      <c r="D239" s="119">
        <v>1820056295</v>
      </c>
      <c r="E239" s="120">
        <v>2023</v>
      </c>
      <c r="F239" s="121">
        <f>D239/(VLOOKUP(E239,$D$654:$E$687,2,FALSE))</f>
        <v>1569.0140474137932</v>
      </c>
      <c r="G239" s="122">
        <v>0.15</v>
      </c>
      <c r="H239" s="121">
        <f>F239*G239</f>
        <v>235.35210711206895</v>
      </c>
      <c r="I239" s="123">
        <v>45282</v>
      </c>
      <c r="J239" s="116" t="s">
        <v>183</v>
      </c>
      <c r="K239" s="415"/>
      <c r="L239" s="133">
        <f>H239</f>
        <v>235.35210711206895</v>
      </c>
      <c r="M239" s="417"/>
      <c r="N239" s="129" t="s">
        <v>183</v>
      </c>
      <c r="O239" s="375">
        <f>$D$628*0.7</f>
        <v>195.80419599999999</v>
      </c>
      <c r="P239" s="135">
        <f>L239</f>
        <v>235.35210711206895</v>
      </c>
      <c r="Q239" s="373"/>
      <c r="R239" s="312" t="s">
        <v>492</v>
      </c>
    </row>
    <row r="240" spans="1:18" ht="23.25" customHeight="1">
      <c r="A240" s="125" t="str">
        <f>VLOOKUP(A231,'LISTA DE OFERENTES'!$A$4:$G$80,6,FALSE)</f>
        <v>DAM SOLUCIONES E INGENIERIA SAS - 10%</v>
      </c>
      <c r="B240" s="126"/>
      <c r="C240" s="126"/>
      <c r="D240" s="126"/>
      <c r="E240" s="126"/>
      <c r="F240" s="126"/>
      <c r="G240" s="127"/>
      <c r="H240" s="126"/>
      <c r="I240" s="126"/>
      <c r="J240" s="126"/>
      <c r="K240" s="415"/>
      <c r="L240" s="134"/>
      <c r="M240" s="417"/>
      <c r="N240" s="130"/>
      <c r="O240" s="377"/>
      <c r="P240" s="136"/>
      <c r="Q240" s="373"/>
      <c r="R240" s="27"/>
    </row>
    <row r="241" spans="1:18" s="9" customFormat="1" ht="162">
      <c r="A241" s="118" t="s">
        <v>285</v>
      </c>
      <c r="B241" s="371" t="s">
        <v>286</v>
      </c>
      <c r="C241" s="371"/>
      <c r="D241" s="119">
        <v>1820056295</v>
      </c>
      <c r="E241" s="120">
        <v>2023</v>
      </c>
      <c r="F241" s="121">
        <f>D241/(VLOOKUP(E241,$D$654:$E$687,2,FALSE))</f>
        <v>1569.0140474137932</v>
      </c>
      <c r="G241" s="122">
        <v>0.35</v>
      </c>
      <c r="H241" s="121">
        <f>F241*G241</f>
        <v>549.15491659482757</v>
      </c>
      <c r="I241" s="123">
        <v>45282</v>
      </c>
      <c r="J241" s="116" t="s">
        <v>183</v>
      </c>
      <c r="K241" s="415"/>
      <c r="L241" s="133">
        <f>H241</f>
        <v>549.15491659482757</v>
      </c>
      <c r="M241" s="417"/>
      <c r="N241" s="129" t="s">
        <v>183</v>
      </c>
      <c r="O241" s="377"/>
      <c r="P241" s="135"/>
      <c r="Q241" s="373"/>
      <c r="R241" s="312" t="s">
        <v>492</v>
      </c>
    </row>
    <row r="242" spans="1:18" s="9" customFormat="1" ht="162">
      <c r="A242" s="118" t="s">
        <v>287</v>
      </c>
      <c r="B242" s="371" t="s">
        <v>288</v>
      </c>
      <c r="C242" s="371"/>
      <c r="D242" s="119">
        <v>530108595</v>
      </c>
      <c r="E242" s="120">
        <v>2021</v>
      </c>
      <c r="F242" s="121">
        <f>D242/(VLOOKUP(E242,$D$654:$E$687,2,FALSE))</f>
        <v>583.48203023358712</v>
      </c>
      <c r="G242" s="122">
        <v>0.5</v>
      </c>
      <c r="H242" s="121">
        <f>F242*G242</f>
        <v>291.74101511679356</v>
      </c>
      <c r="I242" s="124">
        <v>44215</v>
      </c>
      <c r="J242" s="131" t="s">
        <v>183</v>
      </c>
      <c r="K242" s="415"/>
      <c r="L242" s="133">
        <f>H242</f>
        <v>291.74101511679356</v>
      </c>
      <c r="M242" s="417"/>
      <c r="N242" s="129" t="s">
        <v>183</v>
      </c>
      <c r="O242" s="377"/>
      <c r="P242" s="135">
        <f>L242</f>
        <v>291.74101511679356</v>
      </c>
      <c r="Q242" s="373"/>
      <c r="R242" s="96"/>
    </row>
    <row r="243" spans="1:18" s="9" customFormat="1" ht="48" customHeight="1">
      <c r="A243" s="394" t="s">
        <v>210</v>
      </c>
      <c r="B243" s="394"/>
      <c r="C243" s="394"/>
      <c r="D243" s="394"/>
      <c r="E243" s="394"/>
      <c r="F243" s="190">
        <f>+SUM(F239:F242)</f>
        <v>3721.5101250611733</v>
      </c>
      <c r="G243" s="37"/>
      <c r="H243" s="190">
        <f>+SUM(H239:H242)</f>
        <v>1076.24803882369</v>
      </c>
      <c r="I243" s="395" t="s">
        <v>211</v>
      </c>
      <c r="J243" s="396"/>
      <c r="K243" s="396"/>
      <c r="L243" s="396"/>
      <c r="M243" s="397"/>
      <c r="N243" s="138"/>
      <c r="O243" s="138" t="str">
        <f>IF(P243&gt;O239,"CUMPLE","NO CUMPLE")</f>
        <v>CUMPLE</v>
      </c>
      <c r="P243" s="139">
        <f>SUM(P239:P242)</f>
        <v>527.09312222886251</v>
      </c>
      <c r="Q243" s="374"/>
      <c r="R243" s="140" t="str">
        <f>+IF(AND(M238="CUMPLE",Q238="CUMPLE",C235="CUMPLE"),"HABILITADO","NO HABILITADO")</f>
        <v>HABILITADO</v>
      </c>
    </row>
    <row r="244" spans="1:18" ht="16.5" thickBot="1">
      <c r="A244" s="3"/>
      <c r="B244" s="3"/>
      <c r="C244" s="3"/>
      <c r="D244" s="3"/>
      <c r="E244" s="3"/>
      <c r="F244" s="3"/>
      <c r="G244" s="3"/>
      <c r="H244" s="3"/>
      <c r="I244" s="3"/>
      <c r="J244" s="3"/>
      <c r="K244" s="3"/>
      <c r="L244" s="3"/>
      <c r="M244" s="3"/>
      <c r="N244" s="3"/>
      <c r="O244" s="3"/>
      <c r="P244" s="3"/>
      <c r="Q244" s="3"/>
      <c r="R244" s="4"/>
    </row>
    <row r="245" spans="1:18" ht="30.75" customHeight="1" thickBot="1">
      <c r="A245" s="398">
        <f>1+A231</f>
        <v>19</v>
      </c>
      <c r="B245" s="398"/>
      <c r="C245" s="398"/>
      <c r="D245" s="398"/>
      <c r="E245" s="412" t="str">
        <f>VLOOKUP(A245,'REQUISITOS HAB. TECNICOS'!$A$5:$B$80,2,FALSE)</f>
        <v xml:space="preserve">COVILCO INGENIERIA S.A.S </v>
      </c>
      <c r="F245" s="412"/>
      <c r="G245" s="412"/>
      <c r="H245" s="412"/>
      <c r="I245" s="412"/>
      <c r="J245" s="412"/>
      <c r="K245" s="412"/>
      <c r="L245" s="412"/>
      <c r="M245" s="412"/>
      <c r="N245" s="412"/>
      <c r="O245" s="412"/>
      <c r="P245" s="412"/>
      <c r="Q245" s="412"/>
      <c r="R245" s="412"/>
    </row>
    <row r="246" spans="1:18" ht="50.25" customHeight="1" thickBot="1">
      <c r="A246" s="151" t="s">
        <v>185</v>
      </c>
      <c r="B246" s="63">
        <v>1</v>
      </c>
      <c r="C246" s="152" t="s">
        <v>186</v>
      </c>
      <c r="D246" s="153">
        <f>$D$628</f>
        <v>279.72028</v>
      </c>
      <c r="E246" s="412"/>
      <c r="F246" s="412"/>
      <c r="G246" s="412"/>
      <c r="H246" s="412"/>
      <c r="I246" s="412"/>
      <c r="J246" s="412"/>
      <c r="K246" s="412"/>
      <c r="L246" s="412"/>
      <c r="M246" s="412"/>
      <c r="N246" s="412"/>
      <c r="O246" s="412"/>
      <c r="P246" s="412"/>
      <c r="Q246" s="412"/>
      <c r="R246" s="412"/>
    </row>
    <row r="247" spans="1:18" ht="23.25" customHeight="1" thickBot="1">
      <c r="A247" s="388" t="s">
        <v>187</v>
      </c>
      <c r="B247" s="388"/>
      <c r="C247" s="389">
        <f>H254/B246</f>
        <v>785.44367647058823</v>
      </c>
      <c r="D247" s="389"/>
      <c r="E247" s="412"/>
      <c r="F247" s="412"/>
      <c r="G247" s="412"/>
      <c r="H247" s="412"/>
      <c r="I247" s="412"/>
      <c r="J247" s="412"/>
      <c r="K247" s="412"/>
      <c r="L247" s="412"/>
      <c r="M247" s="412"/>
      <c r="N247" s="412"/>
      <c r="O247" s="412"/>
      <c r="P247" s="412"/>
      <c r="Q247" s="412"/>
      <c r="R247" s="412"/>
    </row>
    <row r="248" spans="1:18" ht="23.25" customHeight="1" thickBot="1">
      <c r="A248" s="390" t="s">
        <v>188</v>
      </c>
      <c r="B248" s="390"/>
      <c r="C248" s="391">
        <v>45610</v>
      </c>
      <c r="D248" s="391"/>
      <c r="E248" s="412"/>
      <c r="F248" s="412"/>
      <c r="G248" s="412"/>
      <c r="H248" s="412"/>
      <c r="I248" s="412"/>
      <c r="J248" s="412"/>
      <c r="K248" s="412"/>
      <c r="L248" s="412"/>
      <c r="M248" s="412"/>
      <c r="N248" s="412"/>
      <c r="O248" s="412"/>
      <c r="P248" s="412"/>
      <c r="Q248" s="412"/>
      <c r="R248" s="412"/>
    </row>
    <row r="249" spans="1:18" ht="38.25" customHeight="1" thickBot="1">
      <c r="A249" s="392" t="s">
        <v>189</v>
      </c>
      <c r="B249" s="392"/>
      <c r="C249" s="393" t="str">
        <f>+IF(H254&gt;D246,"CUMPLE","NO CUMPLE")</f>
        <v>CUMPLE</v>
      </c>
      <c r="D249" s="393"/>
      <c r="E249" s="412"/>
      <c r="F249" s="412"/>
      <c r="G249" s="412"/>
      <c r="H249" s="412"/>
      <c r="I249" s="412"/>
      <c r="J249" s="412"/>
      <c r="K249" s="412"/>
      <c r="L249" s="412"/>
      <c r="M249" s="412"/>
      <c r="N249" s="412"/>
      <c r="O249" s="412"/>
      <c r="P249" s="412"/>
      <c r="Q249" s="412"/>
      <c r="R249" s="412"/>
    </row>
    <row r="250" spans="1:18" ht="87" customHeight="1">
      <c r="A250" s="410" t="s">
        <v>190</v>
      </c>
      <c r="B250" s="410"/>
      <c r="C250" s="410"/>
      <c r="D250" s="410"/>
      <c r="E250" s="410"/>
      <c r="F250" s="410"/>
      <c r="G250" s="142"/>
      <c r="H250" s="142"/>
      <c r="I250" s="143" t="s">
        <v>191</v>
      </c>
      <c r="J250" s="144" t="s">
        <v>192</v>
      </c>
      <c r="K250" s="413" t="s">
        <v>193</v>
      </c>
      <c r="L250" s="413"/>
      <c r="M250" s="399" t="s">
        <v>194</v>
      </c>
      <c r="N250" s="399" t="s">
        <v>195</v>
      </c>
      <c r="O250" s="401" t="s">
        <v>196</v>
      </c>
      <c r="P250" s="402"/>
      <c r="Q250" s="399" t="s">
        <v>197</v>
      </c>
      <c r="R250" s="399" t="s">
        <v>198</v>
      </c>
    </row>
    <row r="251" spans="1:18" ht="77.25" customHeight="1" thickBot="1">
      <c r="A251" s="145" t="s">
        <v>199</v>
      </c>
      <c r="B251" s="411" t="s">
        <v>200</v>
      </c>
      <c r="C251" s="411"/>
      <c r="D251" s="146" t="s">
        <v>201</v>
      </c>
      <c r="E251" s="146" t="s">
        <v>202</v>
      </c>
      <c r="F251" s="146" t="s">
        <v>203</v>
      </c>
      <c r="G251" s="147" t="s">
        <v>204</v>
      </c>
      <c r="H251" s="147" t="s">
        <v>205</v>
      </c>
      <c r="I251" s="148" t="s">
        <v>206</v>
      </c>
      <c r="J251" s="148" t="s">
        <v>207</v>
      </c>
      <c r="K251" s="149" t="s">
        <v>208</v>
      </c>
      <c r="L251" s="150" t="s">
        <v>209</v>
      </c>
      <c r="M251" s="400"/>
      <c r="N251" s="400"/>
      <c r="O251" s="403"/>
      <c r="P251" s="404"/>
      <c r="Q251" s="400"/>
      <c r="R251" s="400"/>
    </row>
    <row r="252" spans="1:18" ht="18">
      <c r="A252" s="125" t="str">
        <f>VLOOKUP(A245,'LISTA DE OFERENTES'!$A$4:$G$80,5,FALSE)</f>
        <v>COVILCO INGENIERIA S.A.S  - 100%</v>
      </c>
      <c r="B252" s="26"/>
      <c r="C252" s="26"/>
      <c r="D252" s="26"/>
      <c r="E252" s="26"/>
      <c r="F252" s="26"/>
      <c r="G252" s="26"/>
      <c r="H252" s="26"/>
      <c r="I252" s="26"/>
      <c r="J252" s="26"/>
      <c r="K252" s="414">
        <f>$D$628*0.5</f>
        <v>139.86014</v>
      </c>
      <c r="L252" s="132"/>
      <c r="M252" s="416" t="s">
        <v>183</v>
      </c>
      <c r="N252" s="128"/>
      <c r="O252" s="189"/>
      <c r="P252" s="132"/>
      <c r="Q252" s="372" t="s">
        <v>183</v>
      </c>
      <c r="R252" s="141"/>
    </row>
    <row r="253" spans="1:18" s="9" customFormat="1" ht="72">
      <c r="A253" s="118" t="s">
        <v>289</v>
      </c>
      <c r="B253" s="371" t="s">
        <v>290</v>
      </c>
      <c r="C253" s="371"/>
      <c r="D253" s="119">
        <v>320461020</v>
      </c>
      <c r="E253" s="120">
        <v>2006</v>
      </c>
      <c r="F253" s="121">
        <f>D253/(VLOOKUP(E253,$D$654:$E$687,2,FALSE))</f>
        <v>785.44367647058823</v>
      </c>
      <c r="G253" s="122">
        <v>1</v>
      </c>
      <c r="H253" s="121">
        <f>F253*G253</f>
        <v>785.44367647058823</v>
      </c>
      <c r="I253" s="123">
        <v>38779</v>
      </c>
      <c r="J253" s="116" t="s">
        <v>183</v>
      </c>
      <c r="K253" s="415"/>
      <c r="L253" s="133">
        <f>H253</f>
        <v>785.44367647058823</v>
      </c>
      <c r="M253" s="417"/>
      <c r="N253" s="129" t="s">
        <v>183</v>
      </c>
      <c r="O253" s="192">
        <f>$D$628*0.7</f>
        <v>195.80419599999999</v>
      </c>
      <c r="P253" s="135">
        <f>L253</f>
        <v>785.44367647058823</v>
      </c>
      <c r="Q253" s="373"/>
      <c r="R253" s="96" t="s">
        <v>291</v>
      </c>
    </row>
    <row r="254" spans="1:18" s="9" customFormat="1" ht="48" customHeight="1">
      <c r="A254" s="394" t="s">
        <v>210</v>
      </c>
      <c r="B254" s="394"/>
      <c r="C254" s="394"/>
      <c r="D254" s="394"/>
      <c r="E254" s="394"/>
      <c r="F254" s="190">
        <f>+SUM(F253:F253)</f>
        <v>785.44367647058823</v>
      </c>
      <c r="G254" s="37"/>
      <c r="H254" s="190">
        <f>+SUM(H253:H253)</f>
        <v>785.44367647058823</v>
      </c>
      <c r="I254" s="395" t="s">
        <v>211</v>
      </c>
      <c r="J254" s="396"/>
      <c r="K254" s="396"/>
      <c r="L254" s="396"/>
      <c r="M254" s="397"/>
      <c r="N254" s="138"/>
      <c r="O254" s="138" t="str">
        <f>IF(P254&gt;O253,"CUMPLE","NO CUMPLE")</f>
        <v>CUMPLE</v>
      </c>
      <c r="P254" s="139">
        <f>SUM(P253:P253)</f>
        <v>785.44367647058823</v>
      </c>
      <c r="Q254" s="374"/>
      <c r="R254" s="140" t="str">
        <f>+IF(AND(M252="CUMPLE",Q252="CUMPLE",C249="CUMPLE"),"HABILITADO","NO HABILITADO")</f>
        <v>HABILITADO</v>
      </c>
    </row>
    <row r="255" spans="1:18" ht="16.5" thickBot="1">
      <c r="A255" s="3"/>
      <c r="B255" s="3"/>
      <c r="C255" s="3"/>
      <c r="D255" s="3"/>
      <c r="E255" s="3"/>
      <c r="F255" s="3"/>
      <c r="G255" s="3"/>
      <c r="H255" s="3"/>
      <c r="I255" s="3"/>
      <c r="J255" s="3"/>
      <c r="K255" s="3"/>
      <c r="L255" s="3"/>
      <c r="M255" s="3"/>
      <c r="N255" s="3"/>
      <c r="O255" s="3"/>
      <c r="P255" s="3"/>
      <c r="Q255" s="3"/>
      <c r="R255" s="4"/>
    </row>
    <row r="256" spans="1:18" ht="30.75" customHeight="1" thickBot="1">
      <c r="A256" s="398">
        <f>1+A245</f>
        <v>20</v>
      </c>
      <c r="B256" s="398"/>
      <c r="C256" s="398"/>
      <c r="D256" s="398"/>
      <c r="E256" s="412" t="str">
        <f>VLOOKUP(A256,'REQUISITOS HAB. TECNICOS'!$A$5:$B$80,2,FALSE)</f>
        <v>CONSORCIO PRO-TEV 24</v>
      </c>
      <c r="F256" s="412"/>
      <c r="G256" s="412"/>
      <c r="H256" s="412"/>
      <c r="I256" s="412"/>
      <c r="J256" s="412"/>
      <c r="K256" s="412"/>
      <c r="L256" s="412"/>
      <c r="M256" s="412"/>
      <c r="N256" s="412"/>
      <c r="O256" s="412"/>
      <c r="P256" s="412"/>
      <c r="Q256" s="412"/>
      <c r="R256" s="412"/>
    </row>
    <row r="257" spans="1:18" ht="50.25" customHeight="1" thickBot="1">
      <c r="A257" s="151" t="s">
        <v>185</v>
      </c>
      <c r="B257" s="63">
        <v>2</v>
      </c>
      <c r="C257" s="152" t="s">
        <v>186</v>
      </c>
      <c r="D257" s="153">
        <f>$D$628</f>
        <v>279.72028</v>
      </c>
      <c r="E257" s="412"/>
      <c r="F257" s="412"/>
      <c r="G257" s="412"/>
      <c r="H257" s="412"/>
      <c r="I257" s="412"/>
      <c r="J257" s="412"/>
      <c r="K257" s="412"/>
      <c r="L257" s="412"/>
      <c r="M257" s="412"/>
      <c r="N257" s="412"/>
      <c r="O257" s="412"/>
      <c r="P257" s="412"/>
      <c r="Q257" s="412"/>
      <c r="R257" s="412"/>
    </row>
    <row r="258" spans="1:18" ht="23.25" customHeight="1" thickBot="1">
      <c r="A258" s="388" t="s">
        <v>187</v>
      </c>
      <c r="B258" s="388"/>
      <c r="C258" s="389">
        <f>H267/B257</f>
        <v>547.29524618822268</v>
      </c>
      <c r="D258" s="389"/>
      <c r="E258" s="412"/>
      <c r="F258" s="412"/>
      <c r="G258" s="412"/>
      <c r="H258" s="412"/>
      <c r="I258" s="412"/>
      <c r="J258" s="412"/>
      <c r="K258" s="412"/>
      <c r="L258" s="412"/>
      <c r="M258" s="412"/>
      <c r="N258" s="412"/>
      <c r="O258" s="412"/>
      <c r="P258" s="412"/>
      <c r="Q258" s="412"/>
      <c r="R258" s="412"/>
    </row>
    <row r="259" spans="1:18" ht="23.25" customHeight="1" thickBot="1">
      <c r="A259" s="390" t="s">
        <v>188</v>
      </c>
      <c r="B259" s="390"/>
      <c r="C259" s="391">
        <v>45610</v>
      </c>
      <c r="D259" s="391"/>
      <c r="E259" s="412"/>
      <c r="F259" s="412"/>
      <c r="G259" s="412"/>
      <c r="H259" s="412"/>
      <c r="I259" s="412"/>
      <c r="J259" s="412"/>
      <c r="K259" s="412"/>
      <c r="L259" s="412"/>
      <c r="M259" s="412"/>
      <c r="N259" s="412"/>
      <c r="O259" s="412"/>
      <c r="P259" s="412"/>
      <c r="Q259" s="412"/>
      <c r="R259" s="412"/>
    </row>
    <row r="260" spans="1:18" ht="38.25" customHeight="1" thickBot="1">
      <c r="A260" s="392" t="s">
        <v>189</v>
      </c>
      <c r="B260" s="392"/>
      <c r="C260" s="393" t="str">
        <f>+IF(H267&gt;D257,"CUMPLE","NO CUMPLE")</f>
        <v>CUMPLE</v>
      </c>
      <c r="D260" s="393"/>
      <c r="E260" s="412"/>
      <c r="F260" s="412"/>
      <c r="G260" s="412"/>
      <c r="H260" s="412"/>
      <c r="I260" s="412"/>
      <c r="J260" s="412"/>
      <c r="K260" s="412"/>
      <c r="L260" s="412"/>
      <c r="M260" s="412"/>
      <c r="N260" s="412"/>
      <c r="O260" s="412"/>
      <c r="P260" s="412"/>
      <c r="Q260" s="412"/>
      <c r="R260" s="412"/>
    </row>
    <row r="261" spans="1:18" ht="87" customHeight="1">
      <c r="A261" s="410" t="s">
        <v>190</v>
      </c>
      <c r="B261" s="410"/>
      <c r="C261" s="410"/>
      <c r="D261" s="410"/>
      <c r="E261" s="410"/>
      <c r="F261" s="410"/>
      <c r="G261" s="142"/>
      <c r="H261" s="142"/>
      <c r="I261" s="143" t="s">
        <v>191</v>
      </c>
      <c r="J261" s="144" t="s">
        <v>192</v>
      </c>
      <c r="K261" s="413" t="s">
        <v>193</v>
      </c>
      <c r="L261" s="413"/>
      <c r="M261" s="399" t="s">
        <v>194</v>
      </c>
      <c r="N261" s="399" t="s">
        <v>195</v>
      </c>
      <c r="O261" s="401" t="s">
        <v>196</v>
      </c>
      <c r="P261" s="402"/>
      <c r="Q261" s="399" t="s">
        <v>197</v>
      </c>
      <c r="R261" s="399" t="s">
        <v>198</v>
      </c>
    </row>
    <row r="262" spans="1:18" ht="77.25" customHeight="1" thickBot="1">
      <c r="A262" s="145" t="s">
        <v>199</v>
      </c>
      <c r="B262" s="411" t="s">
        <v>200</v>
      </c>
      <c r="C262" s="411"/>
      <c r="D262" s="146" t="s">
        <v>201</v>
      </c>
      <c r="E262" s="146" t="s">
        <v>202</v>
      </c>
      <c r="F262" s="146" t="s">
        <v>203</v>
      </c>
      <c r="G262" s="147" t="s">
        <v>204</v>
      </c>
      <c r="H262" s="147" t="s">
        <v>205</v>
      </c>
      <c r="I262" s="148" t="s">
        <v>206</v>
      </c>
      <c r="J262" s="148" t="s">
        <v>207</v>
      </c>
      <c r="K262" s="149" t="s">
        <v>208</v>
      </c>
      <c r="L262" s="150" t="s">
        <v>209</v>
      </c>
      <c r="M262" s="400"/>
      <c r="N262" s="400"/>
      <c r="O262" s="403"/>
      <c r="P262" s="404"/>
      <c r="Q262" s="400"/>
      <c r="R262" s="400"/>
    </row>
    <row r="263" spans="1:18" ht="18">
      <c r="A263" s="125" t="str">
        <f>VLOOKUP(A256,'LISTA DE OFERENTES'!$A$4:$G$80,5,FALSE)</f>
        <v>PROYECTISTAS ASOCIADOS SAS - 91%</v>
      </c>
      <c r="B263" s="26"/>
      <c r="C263" s="26"/>
      <c r="D263" s="26"/>
      <c r="E263" s="26"/>
      <c r="F263" s="26"/>
      <c r="G263" s="26"/>
      <c r="H263" s="26"/>
      <c r="I263" s="26"/>
      <c r="J263" s="26"/>
      <c r="K263" s="414">
        <f>$D$628*0.5</f>
        <v>139.86014</v>
      </c>
      <c r="L263" s="132"/>
      <c r="M263" s="416" t="s">
        <v>183</v>
      </c>
      <c r="N263" s="128"/>
      <c r="O263" s="189"/>
      <c r="P263" s="132"/>
      <c r="Q263" s="372" t="s">
        <v>183</v>
      </c>
      <c r="R263" s="141"/>
    </row>
    <row r="264" spans="1:18" s="9" customFormat="1" ht="108">
      <c r="A264" s="118" t="s">
        <v>292</v>
      </c>
      <c r="B264" s="371" t="s">
        <v>293</v>
      </c>
      <c r="C264" s="371"/>
      <c r="D264" s="119">
        <v>517350106</v>
      </c>
      <c r="E264" s="120">
        <v>2016</v>
      </c>
      <c r="F264" s="121">
        <f>D264/(VLOOKUP(E264,$D$654:$E$687,2,FALSE))</f>
        <v>750.37545017441312</v>
      </c>
      <c r="G264" s="122">
        <v>1</v>
      </c>
      <c r="H264" s="121">
        <f>F264*G264</f>
        <v>750.37545017441312</v>
      </c>
      <c r="I264" s="123">
        <v>42551</v>
      </c>
      <c r="J264" s="116" t="s">
        <v>183</v>
      </c>
      <c r="K264" s="415"/>
      <c r="L264" s="133">
        <f>H264</f>
        <v>750.37545017441312</v>
      </c>
      <c r="M264" s="417"/>
      <c r="N264" s="129" t="s">
        <v>183</v>
      </c>
      <c r="O264" s="375">
        <f>$D$628*0.7</f>
        <v>195.80419599999999</v>
      </c>
      <c r="P264" s="135">
        <f>L264</f>
        <v>750.37545017441312</v>
      </c>
      <c r="Q264" s="373"/>
      <c r="R264" s="96"/>
    </row>
    <row r="265" spans="1:18" s="202" customFormat="1" ht="90">
      <c r="A265" s="203" t="s">
        <v>294</v>
      </c>
      <c r="B265" s="438" t="s">
        <v>295</v>
      </c>
      <c r="C265" s="438"/>
      <c r="D265" s="204">
        <v>448192080</v>
      </c>
      <c r="E265" s="233">
        <v>2018</v>
      </c>
      <c r="F265" s="121">
        <f>D265/(VLOOKUP(E265,$D$654:$E$687,2,FALSE))</f>
        <v>573.69173700338695</v>
      </c>
      <c r="G265" s="122">
        <v>0.6</v>
      </c>
      <c r="H265" s="121">
        <f>F265*G265</f>
        <v>344.21504220203218</v>
      </c>
      <c r="I265" s="201">
        <v>43434</v>
      </c>
      <c r="J265" s="131" t="s">
        <v>183</v>
      </c>
      <c r="K265" s="415"/>
      <c r="L265" s="133">
        <f>H265</f>
        <v>344.21504220203218</v>
      </c>
      <c r="M265" s="417"/>
      <c r="N265" s="129" t="s">
        <v>183</v>
      </c>
      <c r="O265" s="377"/>
      <c r="P265" s="135">
        <f>L265</f>
        <v>344.21504220203218</v>
      </c>
      <c r="Q265" s="373"/>
      <c r="R265" s="96"/>
    </row>
    <row r="266" spans="1:18" ht="33.75" customHeight="1">
      <c r="A266" s="125" t="str">
        <f>VLOOKUP(A256,'LISTA DE OFERENTES'!$A$4:$G$80,6,FALSE)</f>
        <v>CONSTRUCTORA TEATINO VARGAS – CONSTRUTEV SAS - 9%</v>
      </c>
      <c r="B266" s="126"/>
      <c r="C266" s="126"/>
      <c r="D266" s="126"/>
      <c r="E266" s="126"/>
      <c r="F266" s="126"/>
      <c r="G266" s="127"/>
      <c r="H266" s="126"/>
      <c r="I266" s="126"/>
      <c r="J266" s="126"/>
      <c r="K266" s="415"/>
      <c r="L266" s="134"/>
      <c r="M266" s="417"/>
      <c r="N266" s="130"/>
      <c r="O266" s="377"/>
      <c r="P266" s="136"/>
      <c r="Q266" s="373"/>
      <c r="R266" s="27"/>
    </row>
    <row r="267" spans="1:18" s="9" customFormat="1" ht="48" customHeight="1" thickBot="1">
      <c r="A267" s="394" t="s">
        <v>210</v>
      </c>
      <c r="B267" s="394"/>
      <c r="C267" s="394"/>
      <c r="D267" s="394"/>
      <c r="E267" s="394"/>
      <c r="F267" s="190">
        <f>+SUM(F264:F266)</f>
        <v>1324.0671871778</v>
      </c>
      <c r="G267" s="37"/>
      <c r="H267" s="190">
        <f>+SUM(H264:H266)</f>
        <v>1094.5904923764454</v>
      </c>
      <c r="I267" s="395" t="s">
        <v>211</v>
      </c>
      <c r="J267" s="396"/>
      <c r="K267" s="396"/>
      <c r="L267" s="396"/>
      <c r="M267" s="397"/>
      <c r="N267" s="138"/>
      <c r="O267" s="138" t="str">
        <f>IF(P267&gt;O264,"CUMPLE","NO CUMPLE")</f>
        <v>CUMPLE</v>
      </c>
      <c r="P267" s="139">
        <f>SUM(P264:P266)</f>
        <v>1094.5904923764454</v>
      </c>
      <c r="Q267" s="374"/>
      <c r="R267" s="140" t="str">
        <f>+IF(AND(M263="CUMPLE",Q263="CUMPLE",C260="CUMPLE"),"HABILITADO","NO HABILITADO")</f>
        <v>HABILITADO</v>
      </c>
    </row>
    <row r="268" spans="1:18" ht="16.5" thickBot="1">
      <c r="A268" s="3"/>
      <c r="B268" s="3"/>
      <c r="C268" s="3"/>
      <c r="D268" s="3"/>
      <c r="E268" s="3"/>
      <c r="F268" s="3"/>
      <c r="G268" s="3"/>
      <c r="H268" s="3"/>
      <c r="I268" s="3"/>
      <c r="J268" s="3"/>
      <c r="K268" s="3"/>
      <c r="L268" s="3"/>
      <c r="M268" s="3"/>
      <c r="N268" s="3"/>
      <c r="O268" s="3"/>
      <c r="P268" s="3"/>
      <c r="Q268" s="3"/>
      <c r="R268" s="4"/>
    </row>
    <row r="269" spans="1:18" ht="30.75" customHeight="1" thickBot="1">
      <c r="A269" s="398">
        <f>1+A256</f>
        <v>21</v>
      </c>
      <c r="B269" s="398"/>
      <c r="C269" s="398"/>
      <c r="D269" s="398"/>
      <c r="E269" s="412" t="str">
        <f>VLOOKUP(A269,'REQUISITOS HAB. TECNICOS'!$A$5:$B$80,2,FALSE)</f>
        <v>CONSORCIO INTER PARQUES ENGATIVA G&amp;L</v>
      </c>
      <c r="F269" s="412"/>
      <c r="G269" s="412"/>
      <c r="H269" s="412"/>
      <c r="I269" s="412"/>
      <c r="J269" s="412"/>
      <c r="K269" s="412"/>
      <c r="L269" s="412"/>
      <c r="M269" s="412"/>
      <c r="N269" s="412"/>
      <c r="O269" s="412"/>
      <c r="P269" s="412"/>
      <c r="Q269" s="412"/>
      <c r="R269" s="412"/>
    </row>
    <row r="270" spans="1:18" ht="50.25" customHeight="1" thickBot="1">
      <c r="A270" s="151" t="s">
        <v>185</v>
      </c>
      <c r="B270" s="63">
        <v>2</v>
      </c>
      <c r="C270" s="152" t="s">
        <v>186</v>
      </c>
      <c r="D270" s="153">
        <f>$D$628</f>
        <v>279.72028</v>
      </c>
      <c r="E270" s="412"/>
      <c r="F270" s="412"/>
      <c r="G270" s="412"/>
      <c r="H270" s="412"/>
      <c r="I270" s="412"/>
      <c r="J270" s="412"/>
      <c r="K270" s="412"/>
      <c r="L270" s="412"/>
      <c r="M270" s="412"/>
      <c r="N270" s="412"/>
      <c r="O270" s="412"/>
      <c r="P270" s="412"/>
      <c r="Q270" s="412"/>
      <c r="R270" s="412"/>
    </row>
    <row r="271" spans="1:18" ht="23.25" customHeight="1" thickBot="1">
      <c r="A271" s="388" t="s">
        <v>187</v>
      </c>
      <c r="B271" s="388"/>
      <c r="C271" s="389">
        <f>H280/B270</f>
        <v>606.07706967084641</v>
      </c>
      <c r="D271" s="389"/>
      <c r="E271" s="412"/>
      <c r="F271" s="412"/>
      <c r="G271" s="412"/>
      <c r="H271" s="412"/>
      <c r="I271" s="412"/>
      <c r="J271" s="412"/>
      <c r="K271" s="412"/>
      <c r="L271" s="412"/>
      <c r="M271" s="412"/>
      <c r="N271" s="412"/>
      <c r="O271" s="412"/>
      <c r="P271" s="412"/>
      <c r="Q271" s="412"/>
      <c r="R271" s="412"/>
    </row>
    <row r="272" spans="1:18" ht="23.25" customHeight="1" thickBot="1">
      <c r="A272" s="390" t="s">
        <v>188</v>
      </c>
      <c r="B272" s="390"/>
      <c r="C272" s="391">
        <v>45610</v>
      </c>
      <c r="D272" s="391"/>
      <c r="E272" s="412"/>
      <c r="F272" s="412"/>
      <c r="G272" s="412"/>
      <c r="H272" s="412"/>
      <c r="I272" s="412"/>
      <c r="J272" s="412"/>
      <c r="K272" s="412"/>
      <c r="L272" s="412"/>
      <c r="M272" s="412"/>
      <c r="N272" s="412"/>
      <c r="O272" s="412"/>
      <c r="P272" s="412"/>
      <c r="Q272" s="412"/>
      <c r="R272" s="412"/>
    </row>
    <row r="273" spans="1:18" ht="38.25" customHeight="1" thickBot="1">
      <c r="A273" s="392" t="s">
        <v>189</v>
      </c>
      <c r="B273" s="392"/>
      <c r="C273" s="393" t="str">
        <f>+IF(H280&gt;D270,"CUMPLE","NO CUMPLE")</f>
        <v>CUMPLE</v>
      </c>
      <c r="D273" s="393"/>
      <c r="E273" s="412"/>
      <c r="F273" s="412"/>
      <c r="G273" s="412"/>
      <c r="H273" s="412"/>
      <c r="I273" s="412"/>
      <c r="J273" s="412"/>
      <c r="K273" s="412"/>
      <c r="L273" s="412"/>
      <c r="M273" s="412"/>
      <c r="N273" s="412"/>
      <c r="O273" s="412"/>
      <c r="P273" s="412"/>
      <c r="Q273" s="412"/>
      <c r="R273" s="412"/>
    </row>
    <row r="274" spans="1:18" ht="87" customHeight="1">
      <c r="A274" s="410" t="s">
        <v>190</v>
      </c>
      <c r="B274" s="410"/>
      <c r="C274" s="410"/>
      <c r="D274" s="410"/>
      <c r="E274" s="410"/>
      <c r="F274" s="410"/>
      <c r="G274" s="142"/>
      <c r="H274" s="142"/>
      <c r="I274" s="143" t="s">
        <v>191</v>
      </c>
      <c r="J274" s="144" t="s">
        <v>192</v>
      </c>
      <c r="K274" s="413" t="s">
        <v>193</v>
      </c>
      <c r="L274" s="413"/>
      <c r="M274" s="399" t="s">
        <v>194</v>
      </c>
      <c r="N274" s="399" t="s">
        <v>195</v>
      </c>
      <c r="O274" s="401" t="s">
        <v>196</v>
      </c>
      <c r="P274" s="402"/>
      <c r="Q274" s="399" t="s">
        <v>197</v>
      </c>
      <c r="R274" s="399" t="s">
        <v>198</v>
      </c>
    </row>
    <row r="275" spans="1:18" ht="77.25" customHeight="1" thickBot="1">
      <c r="A275" s="145" t="s">
        <v>199</v>
      </c>
      <c r="B275" s="411" t="s">
        <v>200</v>
      </c>
      <c r="C275" s="411"/>
      <c r="D275" s="146" t="s">
        <v>201</v>
      </c>
      <c r="E275" s="146" t="s">
        <v>202</v>
      </c>
      <c r="F275" s="146" t="s">
        <v>203</v>
      </c>
      <c r="G275" s="147" t="s">
        <v>204</v>
      </c>
      <c r="H275" s="147" t="s">
        <v>205</v>
      </c>
      <c r="I275" s="148" t="s">
        <v>206</v>
      </c>
      <c r="J275" s="148" t="s">
        <v>207</v>
      </c>
      <c r="K275" s="149" t="s">
        <v>208</v>
      </c>
      <c r="L275" s="150" t="s">
        <v>209</v>
      </c>
      <c r="M275" s="400"/>
      <c r="N275" s="400"/>
      <c r="O275" s="403"/>
      <c r="P275" s="404"/>
      <c r="Q275" s="400"/>
      <c r="R275" s="400"/>
    </row>
    <row r="276" spans="1:18" ht="18.75" thickBot="1">
      <c r="A276" s="125" t="str">
        <f>VLOOKUP(A269,'LISTA DE OFERENTES'!$A$4:$G$80,5,FALSE)</f>
        <v>GNG SERVICIOS DE INGENIERÍA S.A.S. - 60%</v>
      </c>
      <c r="B276" s="26"/>
      <c r="C276" s="26"/>
      <c r="D276" s="26"/>
      <c r="E276" s="26"/>
      <c r="F276" s="26"/>
      <c r="G276" s="26"/>
      <c r="H276" s="26"/>
      <c r="I276" s="26"/>
      <c r="J276" s="26"/>
      <c r="K276" s="414">
        <f>$D$628*0.5</f>
        <v>139.86014</v>
      </c>
      <c r="L276" s="132"/>
      <c r="M276" s="416" t="s">
        <v>184</v>
      </c>
      <c r="N276" s="128"/>
      <c r="O276" s="189"/>
      <c r="P276" s="132"/>
      <c r="Q276" s="372" t="s">
        <v>183</v>
      </c>
      <c r="R276" s="141"/>
    </row>
    <row r="277" spans="1:18" s="9" customFormat="1" ht="115.5" customHeight="1">
      <c r="A277" s="118" t="s">
        <v>296</v>
      </c>
      <c r="B277" s="371" t="s">
        <v>297</v>
      </c>
      <c r="C277" s="371"/>
      <c r="D277" s="119">
        <v>1275948162</v>
      </c>
      <c r="E277" s="120">
        <v>2023</v>
      </c>
      <c r="F277" s="121">
        <f>D277/(VLOOKUP(E277,$D$654:$E$687,2,FALSE))</f>
        <v>1099.9553120689654</v>
      </c>
      <c r="G277" s="122">
        <v>1</v>
      </c>
      <c r="H277" s="121">
        <f>F277*G277</f>
        <v>1099.9553120689654</v>
      </c>
      <c r="I277" s="123">
        <v>45204</v>
      </c>
      <c r="J277" s="116" t="s">
        <v>183</v>
      </c>
      <c r="K277" s="415"/>
      <c r="L277" s="133">
        <f>H277</f>
        <v>1099.9553120689654</v>
      </c>
      <c r="M277" s="417"/>
      <c r="N277" s="129" t="s">
        <v>183</v>
      </c>
      <c r="O277" s="375">
        <f>$D$628*0.7</f>
        <v>195.80419599999999</v>
      </c>
      <c r="P277" s="135">
        <f>L277</f>
        <v>1099.9553120689654</v>
      </c>
      <c r="Q277" s="373"/>
      <c r="R277" s="96" t="s">
        <v>298</v>
      </c>
    </row>
    <row r="278" spans="1:18" ht="23.25" customHeight="1">
      <c r="A278" s="125" t="str">
        <f>VLOOKUP(A269,'LISTA DE OFERENTES'!$A$4:$G$80,6,FALSE)</f>
        <v>LUIS GUILLERMO NARVÁEZ RICARDO - 40%</v>
      </c>
      <c r="B278" s="126"/>
      <c r="C278" s="126"/>
      <c r="D278" s="126"/>
      <c r="E278" s="126"/>
      <c r="F278" s="126"/>
      <c r="G278" s="127"/>
      <c r="H278" s="126"/>
      <c r="I278" s="126"/>
      <c r="J278" s="126"/>
      <c r="K278" s="415"/>
      <c r="L278" s="134"/>
      <c r="M278" s="417"/>
      <c r="N278" s="130"/>
      <c r="O278" s="377"/>
      <c r="P278" s="136"/>
      <c r="Q278" s="373"/>
      <c r="R278" s="136"/>
    </row>
    <row r="279" spans="1:18" s="9" customFormat="1" ht="219" customHeight="1" thickBot="1">
      <c r="A279" s="118" t="s">
        <v>299</v>
      </c>
      <c r="B279" s="371" t="s">
        <v>300</v>
      </c>
      <c r="C279" s="371"/>
      <c r="D279" s="119">
        <v>76793864</v>
      </c>
      <c r="E279" s="120">
        <v>2014</v>
      </c>
      <c r="F279" s="121">
        <f>D279/(VLOOKUP(E279,$D$654:$E$687,2,FALSE))</f>
        <v>124.66536363636364</v>
      </c>
      <c r="G279" s="122">
        <v>0.9</v>
      </c>
      <c r="H279" s="121">
        <f>F279*G279</f>
        <v>112.19882727272727</v>
      </c>
      <c r="I279" s="123">
        <v>41802</v>
      </c>
      <c r="J279" s="116" t="s">
        <v>184</v>
      </c>
      <c r="K279" s="415"/>
      <c r="L279" s="133">
        <f>H279</f>
        <v>112.19882727272727</v>
      </c>
      <c r="M279" s="417"/>
      <c r="N279" s="129" t="s">
        <v>183</v>
      </c>
      <c r="O279" s="377"/>
      <c r="P279" s="135">
        <f>L279</f>
        <v>112.19882727272727</v>
      </c>
      <c r="Q279" s="373"/>
      <c r="R279" s="96" t="s">
        <v>301</v>
      </c>
    </row>
    <row r="280" spans="1:18" s="9" customFormat="1" ht="48" customHeight="1" thickBot="1">
      <c r="A280" s="394" t="s">
        <v>210</v>
      </c>
      <c r="B280" s="394"/>
      <c r="C280" s="394"/>
      <c r="D280" s="394"/>
      <c r="E280" s="394"/>
      <c r="F280" s="190">
        <f>+SUM(F277:F279)</f>
        <v>1224.6206757053292</v>
      </c>
      <c r="G280" s="37"/>
      <c r="H280" s="190">
        <f>+SUM(H277:H279)</f>
        <v>1212.1541393416928</v>
      </c>
      <c r="I280" s="395" t="s">
        <v>211</v>
      </c>
      <c r="J280" s="396"/>
      <c r="K280" s="396"/>
      <c r="L280" s="396"/>
      <c r="M280" s="397"/>
      <c r="N280" s="138"/>
      <c r="O280" s="138" t="str">
        <f>IF(P280&gt;O277,"CUMPLE","NO CUMPLE")</f>
        <v>CUMPLE</v>
      </c>
      <c r="P280" s="139">
        <f>SUM(P277:P279)</f>
        <v>1212.1541393416928</v>
      </c>
      <c r="Q280" s="374"/>
      <c r="R280" s="140" t="str">
        <f>+IF(AND(M276="CUMPLE",Q276="CUMPLE",C273="CUMPLE"),"HABILITADO","NO HABILITADO")</f>
        <v>NO HABILITADO</v>
      </c>
    </row>
    <row r="281" spans="1:18" ht="16.5" thickBot="1">
      <c r="A281" s="3"/>
      <c r="B281" s="3"/>
      <c r="C281" s="3"/>
      <c r="D281" s="3"/>
      <c r="E281" s="3"/>
      <c r="F281" s="3"/>
      <c r="G281" s="3"/>
      <c r="H281" s="3"/>
      <c r="I281" s="3"/>
      <c r="J281" s="3"/>
      <c r="K281" s="3"/>
      <c r="L281" s="3"/>
      <c r="M281" s="3"/>
      <c r="N281" s="3"/>
      <c r="O281" s="3"/>
      <c r="P281" s="3"/>
      <c r="Q281" s="3"/>
      <c r="R281" s="4"/>
    </row>
    <row r="282" spans="1:18" ht="30.75" customHeight="1" thickBot="1">
      <c r="A282" s="398">
        <f>1+A269</f>
        <v>22</v>
      </c>
      <c r="B282" s="398"/>
      <c r="C282" s="398"/>
      <c r="D282" s="398"/>
      <c r="E282" s="412" t="str">
        <f>VLOOKUP(A282,'REQUISITOS HAB. TECNICOS'!$A$5:$B$80,2,FALSE)</f>
        <v>SOLUCIONES PARA LA INGENIERÍA S.A.S.</v>
      </c>
      <c r="F282" s="412"/>
      <c r="G282" s="412"/>
      <c r="H282" s="412"/>
      <c r="I282" s="412"/>
      <c r="J282" s="412"/>
      <c r="K282" s="412"/>
      <c r="L282" s="412"/>
      <c r="M282" s="412"/>
      <c r="N282" s="412"/>
      <c r="O282" s="412"/>
      <c r="P282" s="412"/>
      <c r="Q282" s="412"/>
      <c r="R282" s="412"/>
    </row>
    <row r="283" spans="1:18" ht="50.25" customHeight="1" thickBot="1">
      <c r="A283" s="151" t="s">
        <v>185</v>
      </c>
      <c r="B283" s="63">
        <v>1</v>
      </c>
      <c r="C283" s="152" t="s">
        <v>186</v>
      </c>
      <c r="D283" s="153">
        <f>$D$628</f>
        <v>279.72028</v>
      </c>
      <c r="E283" s="412"/>
      <c r="F283" s="412"/>
      <c r="G283" s="412"/>
      <c r="H283" s="412"/>
      <c r="I283" s="412"/>
      <c r="J283" s="412"/>
      <c r="K283" s="412"/>
      <c r="L283" s="412"/>
      <c r="M283" s="412"/>
      <c r="N283" s="412"/>
      <c r="O283" s="412"/>
      <c r="P283" s="412"/>
      <c r="Q283" s="412"/>
      <c r="R283" s="412"/>
    </row>
    <row r="284" spans="1:18" ht="23.25" customHeight="1" thickBot="1">
      <c r="A284" s="388" t="s">
        <v>187</v>
      </c>
      <c r="B284" s="388"/>
      <c r="C284" s="389">
        <f>H292/B283</f>
        <v>1421.6003506755092</v>
      </c>
      <c r="D284" s="389"/>
      <c r="E284" s="412"/>
      <c r="F284" s="412"/>
      <c r="G284" s="412"/>
      <c r="H284" s="412"/>
      <c r="I284" s="412"/>
      <c r="J284" s="412"/>
      <c r="K284" s="412"/>
      <c r="L284" s="412"/>
      <c r="M284" s="412"/>
      <c r="N284" s="412"/>
      <c r="O284" s="412"/>
      <c r="P284" s="412"/>
      <c r="Q284" s="412"/>
      <c r="R284" s="412"/>
    </row>
    <row r="285" spans="1:18" ht="23.25" customHeight="1" thickBot="1">
      <c r="A285" s="390" t="s">
        <v>188</v>
      </c>
      <c r="B285" s="390"/>
      <c r="C285" s="391">
        <v>45610</v>
      </c>
      <c r="D285" s="391"/>
      <c r="E285" s="412"/>
      <c r="F285" s="412"/>
      <c r="G285" s="412"/>
      <c r="H285" s="412"/>
      <c r="I285" s="412"/>
      <c r="J285" s="412"/>
      <c r="K285" s="412"/>
      <c r="L285" s="412"/>
      <c r="M285" s="412"/>
      <c r="N285" s="412"/>
      <c r="O285" s="412"/>
      <c r="P285" s="412"/>
      <c r="Q285" s="412"/>
      <c r="R285" s="412"/>
    </row>
    <row r="286" spans="1:18" ht="38.25" customHeight="1" thickBot="1">
      <c r="A286" s="392" t="s">
        <v>189</v>
      </c>
      <c r="B286" s="392"/>
      <c r="C286" s="393" t="str">
        <f>+IF(H292&gt;D283,"CUMPLE","NO CUMPLE")</f>
        <v>CUMPLE</v>
      </c>
      <c r="D286" s="393"/>
      <c r="E286" s="412"/>
      <c r="F286" s="412"/>
      <c r="G286" s="412"/>
      <c r="H286" s="412"/>
      <c r="I286" s="412"/>
      <c r="J286" s="412"/>
      <c r="K286" s="412"/>
      <c r="L286" s="412"/>
      <c r="M286" s="412"/>
      <c r="N286" s="412"/>
      <c r="O286" s="412"/>
      <c r="P286" s="412"/>
      <c r="Q286" s="412"/>
      <c r="R286" s="412"/>
    </row>
    <row r="287" spans="1:18" ht="87" customHeight="1">
      <c r="A287" s="410" t="s">
        <v>190</v>
      </c>
      <c r="B287" s="410"/>
      <c r="C287" s="410"/>
      <c r="D287" s="410"/>
      <c r="E287" s="410"/>
      <c r="F287" s="410"/>
      <c r="G287" s="142"/>
      <c r="H287" s="142"/>
      <c r="I287" s="143" t="s">
        <v>191</v>
      </c>
      <c r="J287" s="144" t="s">
        <v>192</v>
      </c>
      <c r="K287" s="413" t="s">
        <v>193</v>
      </c>
      <c r="L287" s="413"/>
      <c r="M287" s="399" t="s">
        <v>194</v>
      </c>
      <c r="N287" s="399" t="s">
        <v>195</v>
      </c>
      <c r="O287" s="401" t="s">
        <v>196</v>
      </c>
      <c r="P287" s="402"/>
      <c r="Q287" s="399" t="s">
        <v>197</v>
      </c>
      <c r="R287" s="399" t="s">
        <v>198</v>
      </c>
    </row>
    <row r="288" spans="1:18" ht="77.25" customHeight="1" thickBot="1">
      <c r="A288" s="145" t="s">
        <v>199</v>
      </c>
      <c r="B288" s="411" t="s">
        <v>200</v>
      </c>
      <c r="C288" s="411"/>
      <c r="D288" s="146" t="s">
        <v>201</v>
      </c>
      <c r="E288" s="146" t="s">
        <v>202</v>
      </c>
      <c r="F288" s="146" t="s">
        <v>203</v>
      </c>
      <c r="G288" s="147" t="s">
        <v>204</v>
      </c>
      <c r="H288" s="147" t="s">
        <v>205</v>
      </c>
      <c r="I288" s="148" t="s">
        <v>206</v>
      </c>
      <c r="J288" s="148" t="s">
        <v>207</v>
      </c>
      <c r="K288" s="149" t="s">
        <v>208</v>
      </c>
      <c r="L288" s="150" t="s">
        <v>209</v>
      </c>
      <c r="M288" s="400"/>
      <c r="N288" s="400"/>
      <c r="O288" s="403"/>
      <c r="P288" s="404"/>
      <c r="Q288" s="400"/>
      <c r="R288" s="400"/>
    </row>
    <row r="289" spans="1:18" ht="18.75" thickBot="1">
      <c r="A289" s="125" t="str">
        <f>VLOOKUP(A282,'LISTA DE OFERENTES'!$A$4:$G$80,5,FALSE)</f>
        <v>SOLUCIONES PARA LA INGENIERÍA S.A.S. - 100%</v>
      </c>
      <c r="B289" s="26"/>
      <c r="C289" s="26"/>
      <c r="D289" s="26"/>
      <c r="E289" s="26"/>
      <c r="F289" s="26"/>
      <c r="G289" s="26"/>
      <c r="H289" s="26"/>
      <c r="I289" s="26"/>
      <c r="J289" s="26"/>
      <c r="K289" s="414">
        <f>$D$628*0.5</f>
        <v>139.86014</v>
      </c>
      <c r="L289" s="132"/>
      <c r="M289" s="416" t="s">
        <v>183</v>
      </c>
      <c r="N289" s="128"/>
      <c r="O289" s="189"/>
      <c r="P289" s="132"/>
      <c r="Q289" s="372" t="s">
        <v>183</v>
      </c>
      <c r="R289" s="141"/>
    </row>
    <row r="290" spans="1:18" s="9" customFormat="1" ht="144">
      <c r="A290" s="118" t="s">
        <v>302</v>
      </c>
      <c r="B290" s="371" t="s">
        <v>303</v>
      </c>
      <c r="C290" s="371"/>
      <c r="D290" s="119">
        <v>499148000</v>
      </c>
      <c r="E290" s="120">
        <v>2018</v>
      </c>
      <c r="F290" s="121">
        <f>D290/(VLOOKUP(E290,$D$654:$E$687,2,FALSE))</f>
        <v>638.9159824996608</v>
      </c>
      <c r="G290" s="122">
        <v>0.75</v>
      </c>
      <c r="H290" s="121"/>
      <c r="I290" s="123">
        <v>43152</v>
      </c>
      <c r="J290" s="116" t="s">
        <v>183</v>
      </c>
      <c r="K290" s="415"/>
      <c r="L290" s="133">
        <f>H290</f>
        <v>0</v>
      </c>
      <c r="M290" s="417"/>
      <c r="N290" s="129" t="s">
        <v>184</v>
      </c>
      <c r="O290" s="375">
        <f>$D$628*0.7</f>
        <v>195.80419599999999</v>
      </c>
      <c r="P290" s="135"/>
      <c r="Q290" s="373"/>
      <c r="R290" s="96" t="s">
        <v>494</v>
      </c>
    </row>
    <row r="291" spans="1:18" s="9" customFormat="1" ht="108.75" thickBot="1">
      <c r="A291" s="118" t="s">
        <v>304</v>
      </c>
      <c r="B291" s="371" t="s">
        <v>305</v>
      </c>
      <c r="C291" s="371"/>
      <c r="D291" s="119">
        <v>1177249996</v>
      </c>
      <c r="E291" s="120">
        <v>2019</v>
      </c>
      <c r="F291" s="121">
        <f>D291/(VLOOKUP(E291,$D$654:$E$687,2,FALSE))</f>
        <v>1421.6003506755092</v>
      </c>
      <c r="G291" s="122">
        <v>1</v>
      </c>
      <c r="H291" s="121">
        <f>F291*G291</f>
        <v>1421.6003506755092</v>
      </c>
      <c r="I291" s="124">
        <v>43521</v>
      </c>
      <c r="J291" s="131" t="s">
        <v>183</v>
      </c>
      <c r="K291" s="415"/>
      <c r="L291" s="133">
        <f>H291</f>
        <v>1421.6003506755092</v>
      </c>
      <c r="M291" s="417"/>
      <c r="N291" s="129" t="s">
        <v>183</v>
      </c>
      <c r="O291" s="377"/>
      <c r="P291" s="135">
        <f>+L291</f>
        <v>1421.6003506755092</v>
      </c>
      <c r="Q291" s="373"/>
      <c r="R291" s="96"/>
    </row>
    <row r="292" spans="1:18" s="9" customFormat="1" ht="48" customHeight="1" thickBot="1">
      <c r="A292" s="394" t="s">
        <v>210</v>
      </c>
      <c r="B292" s="394"/>
      <c r="C292" s="394"/>
      <c r="D292" s="394"/>
      <c r="E292" s="394"/>
      <c r="F292" s="190">
        <f>+SUM(F290:F291)</f>
        <v>2060.5163331751701</v>
      </c>
      <c r="G292" s="37"/>
      <c r="H292" s="190">
        <f>+SUM(H290:H291)</f>
        <v>1421.6003506755092</v>
      </c>
      <c r="I292" s="395" t="s">
        <v>211</v>
      </c>
      <c r="J292" s="396"/>
      <c r="K292" s="396"/>
      <c r="L292" s="396"/>
      <c r="M292" s="397"/>
      <c r="N292" s="138" t="s">
        <v>183</v>
      </c>
      <c r="O292" s="138" t="str">
        <f>IF(P292&gt;O290,"CUMPLE","NO CUMPLE")</f>
        <v>CUMPLE</v>
      </c>
      <c r="P292" s="139">
        <f>SUM(P290:P291)</f>
        <v>1421.6003506755092</v>
      </c>
      <c r="Q292" s="374"/>
      <c r="R292" s="140" t="str">
        <f>+IF(AND(M289="CUMPLE",Q289="CUMPLE",C286="CUMPLE"),"HABILITADO","NO HABILITADO")</f>
        <v>HABILITADO</v>
      </c>
    </row>
    <row r="293" spans="1:18" ht="16.5" thickBot="1">
      <c r="A293" s="3"/>
      <c r="B293" s="3"/>
      <c r="C293" s="3"/>
      <c r="D293" s="3"/>
      <c r="E293" s="3"/>
      <c r="F293" s="3"/>
      <c r="G293" s="3"/>
      <c r="H293" s="3"/>
      <c r="I293" s="3"/>
      <c r="J293" s="3"/>
      <c r="K293" s="3"/>
      <c r="L293" s="3"/>
      <c r="M293" s="3"/>
      <c r="N293" s="3"/>
      <c r="O293" s="3"/>
      <c r="P293" s="3"/>
      <c r="Q293" s="3"/>
      <c r="R293" s="4"/>
    </row>
    <row r="294" spans="1:18" ht="30.75" customHeight="1" thickBot="1">
      <c r="A294" s="398">
        <f>1+A282</f>
        <v>23</v>
      </c>
      <c r="B294" s="398"/>
      <c r="C294" s="398"/>
      <c r="D294" s="398"/>
      <c r="E294" s="412" t="str">
        <f>VLOOKUP(A294,'REQUISITOS HAB. TECNICOS'!$A$5:$B$80,2,FALSE)</f>
        <v>CONSORCIO SAN MARTIN 795</v>
      </c>
      <c r="F294" s="412"/>
      <c r="G294" s="412"/>
      <c r="H294" s="412"/>
      <c r="I294" s="412"/>
      <c r="J294" s="412"/>
      <c r="K294" s="412"/>
      <c r="L294" s="412"/>
      <c r="M294" s="412"/>
      <c r="N294" s="412"/>
      <c r="O294" s="412"/>
      <c r="P294" s="412"/>
      <c r="Q294" s="412"/>
      <c r="R294" s="412"/>
    </row>
    <row r="295" spans="1:18" ht="50.25" customHeight="1" thickBot="1">
      <c r="A295" s="151" t="s">
        <v>185</v>
      </c>
      <c r="B295" s="63">
        <v>2</v>
      </c>
      <c r="C295" s="152" t="s">
        <v>186</v>
      </c>
      <c r="D295" s="153">
        <f>$D$628</f>
        <v>279.72028</v>
      </c>
      <c r="E295" s="412"/>
      <c r="F295" s="412"/>
      <c r="G295" s="412"/>
      <c r="H295" s="412"/>
      <c r="I295" s="412"/>
      <c r="J295" s="412"/>
      <c r="K295" s="412"/>
      <c r="L295" s="412"/>
      <c r="M295" s="412"/>
      <c r="N295" s="412"/>
      <c r="O295" s="412"/>
      <c r="P295" s="412"/>
      <c r="Q295" s="412"/>
      <c r="R295" s="412"/>
    </row>
    <row r="296" spans="1:18" ht="23.25" customHeight="1" thickBot="1">
      <c r="A296" s="388" t="s">
        <v>187</v>
      </c>
      <c r="B296" s="388"/>
      <c r="C296" s="389">
        <f>H305/B295</f>
        <v>413.09070201400544</v>
      </c>
      <c r="D296" s="389"/>
      <c r="E296" s="412"/>
      <c r="F296" s="412"/>
      <c r="G296" s="412"/>
      <c r="H296" s="412"/>
      <c r="I296" s="412"/>
      <c r="J296" s="412"/>
      <c r="K296" s="412"/>
      <c r="L296" s="412"/>
      <c r="M296" s="412"/>
      <c r="N296" s="412"/>
      <c r="O296" s="412"/>
      <c r="P296" s="412"/>
      <c r="Q296" s="412"/>
      <c r="R296" s="412"/>
    </row>
    <row r="297" spans="1:18" ht="23.25" customHeight="1" thickBot="1">
      <c r="A297" s="390" t="s">
        <v>188</v>
      </c>
      <c r="B297" s="390"/>
      <c r="C297" s="391">
        <v>45610</v>
      </c>
      <c r="D297" s="391"/>
      <c r="E297" s="412"/>
      <c r="F297" s="412"/>
      <c r="G297" s="412"/>
      <c r="H297" s="412"/>
      <c r="I297" s="412"/>
      <c r="J297" s="412"/>
      <c r="K297" s="412"/>
      <c r="L297" s="412"/>
      <c r="M297" s="412"/>
      <c r="N297" s="412"/>
      <c r="O297" s="412"/>
      <c r="P297" s="412"/>
      <c r="Q297" s="412"/>
      <c r="R297" s="412"/>
    </row>
    <row r="298" spans="1:18" ht="38.25" customHeight="1" thickBot="1">
      <c r="A298" s="392" t="s">
        <v>189</v>
      </c>
      <c r="B298" s="392"/>
      <c r="C298" s="393" t="str">
        <f>+IF(H305&gt;D295,"CUMPLE","NO CUMPLE")</f>
        <v>CUMPLE</v>
      </c>
      <c r="D298" s="393"/>
      <c r="E298" s="412"/>
      <c r="F298" s="412"/>
      <c r="G298" s="412"/>
      <c r="H298" s="412"/>
      <c r="I298" s="412"/>
      <c r="J298" s="412"/>
      <c r="K298" s="412"/>
      <c r="L298" s="412"/>
      <c r="M298" s="412"/>
      <c r="N298" s="412"/>
      <c r="O298" s="412"/>
      <c r="P298" s="412"/>
      <c r="Q298" s="412"/>
      <c r="R298" s="412"/>
    </row>
    <row r="299" spans="1:18" ht="87" customHeight="1">
      <c r="A299" s="410" t="s">
        <v>190</v>
      </c>
      <c r="B299" s="410"/>
      <c r="C299" s="410"/>
      <c r="D299" s="410"/>
      <c r="E299" s="410"/>
      <c r="F299" s="410"/>
      <c r="G299" s="142"/>
      <c r="H299" s="142"/>
      <c r="I299" s="143" t="s">
        <v>191</v>
      </c>
      <c r="J299" s="144" t="s">
        <v>192</v>
      </c>
      <c r="K299" s="413" t="s">
        <v>193</v>
      </c>
      <c r="L299" s="413"/>
      <c r="M299" s="399" t="s">
        <v>194</v>
      </c>
      <c r="N299" s="399" t="s">
        <v>195</v>
      </c>
      <c r="O299" s="401" t="s">
        <v>196</v>
      </c>
      <c r="P299" s="402"/>
      <c r="Q299" s="399" t="s">
        <v>197</v>
      </c>
      <c r="R299" s="399" t="s">
        <v>198</v>
      </c>
    </row>
    <row r="300" spans="1:18" ht="77.25" customHeight="1" thickBot="1">
      <c r="A300" s="145" t="s">
        <v>199</v>
      </c>
      <c r="B300" s="411" t="s">
        <v>200</v>
      </c>
      <c r="C300" s="411"/>
      <c r="D300" s="146" t="s">
        <v>201</v>
      </c>
      <c r="E300" s="146" t="s">
        <v>202</v>
      </c>
      <c r="F300" s="146" t="s">
        <v>203</v>
      </c>
      <c r="G300" s="147" t="s">
        <v>204</v>
      </c>
      <c r="H300" s="147" t="s">
        <v>205</v>
      </c>
      <c r="I300" s="148" t="s">
        <v>206</v>
      </c>
      <c r="J300" s="148" t="s">
        <v>207</v>
      </c>
      <c r="K300" s="149" t="s">
        <v>208</v>
      </c>
      <c r="L300" s="150" t="s">
        <v>209</v>
      </c>
      <c r="M300" s="400"/>
      <c r="N300" s="400"/>
      <c r="O300" s="403"/>
      <c r="P300" s="404"/>
      <c r="Q300" s="400"/>
      <c r="R300" s="400"/>
    </row>
    <row r="301" spans="1:18" ht="18">
      <c r="A301" s="125" t="str">
        <f>VLOOKUP(A294,'LISTA DE OFERENTES'!$A$4:$G$80,5,FALSE)</f>
        <v>SOLIUN S.A.S. - 90% </v>
      </c>
      <c r="B301" s="26"/>
      <c r="C301" s="26"/>
      <c r="D301" s="26"/>
      <c r="E301" s="26"/>
      <c r="F301" s="26"/>
      <c r="G301" s="26"/>
      <c r="H301" s="26"/>
      <c r="I301" s="26"/>
      <c r="J301" s="26"/>
      <c r="K301" s="414">
        <f>$D$628*0.5</f>
        <v>139.86014</v>
      </c>
      <c r="L301" s="132"/>
      <c r="M301" s="416" t="s">
        <v>183</v>
      </c>
      <c r="N301" s="128"/>
      <c r="O301" s="189"/>
      <c r="P301" s="132"/>
      <c r="Q301" s="372" t="s">
        <v>183</v>
      </c>
      <c r="R301" s="141"/>
    </row>
    <row r="302" spans="1:18" s="9" customFormat="1" ht="126">
      <c r="A302" s="118" t="s">
        <v>306</v>
      </c>
      <c r="B302" s="371" t="s">
        <v>307</v>
      </c>
      <c r="C302" s="371"/>
      <c r="D302" s="119">
        <v>946449961</v>
      </c>
      <c r="E302" s="120">
        <v>2020</v>
      </c>
      <c r="F302" s="121">
        <f>D302/(VLOOKUP(E302,$D$654:$E$687,2,FALSE))</f>
        <v>1078.2031515043809</v>
      </c>
      <c r="G302" s="122">
        <v>0.5</v>
      </c>
      <c r="H302" s="121">
        <f>F302*G302</f>
        <v>539.10157575219046</v>
      </c>
      <c r="I302" s="123">
        <v>43866</v>
      </c>
      <c r="J302" s="116" t="s">
        <v>183</v>
      </c>
      <c r="K302" s="415"/>
      <c r="L302" s="133">
        <f>H302</f>
        <v>539.10157575219046</v>
      </c>
      <c r="M302" s="417"/>
      <c r="N302" s="129" t="s">
        <v>183</v>
      </c>
      <c r="O302" s="375">
        <f>$D$628*0.7</f>
        <v>195.80419599999999</v>
      </c>
      <c r="P302" s="135">
        <f>L302</f>
        <v>539.10157575219046</v>
      </c>
      <c r="Q302" s="373"/>
      <c r="R302" s="96"/>
    </row>
    <row r="303" spans="1:18" s="9" customFormat="1" ht="90">
      <c r="A303" s="118" t="s">
        <v>308</v>
      </c>
      <c r="B303" s="371" t="s">
        <v>307</v>
      </c>
      <c r="C303" s="371"/>
      <c r="D303" s="119">
        <v>503999069</v>
      </c>
      <c r="E303" s="120">
        <v>2020</v>
      </c>
      <c r="F303" s="121">
        <f>D303/(VLOOKUP(E303,$D$654:$E$687,2,FALSE))</f>
        <v>574.15965655164086</v>
      </c>
      <c r="G303" s="122">
        <v>0.5</v>
      </c>
      <c r="H303" s="121">
        <f>F303*G303</f>
        <v>287.07982827582043</v>
      </c>
      <c r="I303" s="124">
        <v>44177</v>
      </c>
      <c r="J303" s="131" t="s">
        <v>183</v>
      </c>
      <c r="K303" s="415"/>
      <c r="L303" s="133">
        <f>H303</f>
        <v>287.07982827582043</v>
      </c>
      <c r="M303" s="417"/>
      <c r="N303" s="129" t="s">
        <v>183</v>
      </c>
      <c r="O303" s="377"/>
      <c r="P303" s="135">
        <f>L303</f>
        <v>287.07982827582043</v>
      </c>
      <c r="Q303" s="373"/>
      <c r="R303" s="96"/>
    </row>
    <row r="304" spans="1:18" ht="23.25" customHeight="1">
      <c r="A304" s="125" t="str">
        <f>VLOOKUP(A294,'LISTA DE OFERENTES'!$A$4:$G$80,6,FALSE)</f>
        <v>INGENIERIA CMC S.A.S. - 10%</v>
      </c>
      <c r="B304" s="126"/>
      <c r="C304" s="126"/>
      <c r="D304" s="126"/>
      <c r="E304" s="126"/>
      <c r="F304" s="126"/>
      <c r="G304" s="127"/>
      <c r="H304" s="126"/>
      <c r="I304" s="126"/>
      <c r="J304" s="126"/>
      <c r="K304" s="415"/>
      <c r="L304" s="134"/>
      <c r="M304" s="417"/>
      <c r="N304" s="130"/>
      <c r="O304" s="377"/>
      <c r="P304" s="136"/>
      <c r="Q304" s="373"/>
      <c r="R304" s="27"/>
    </row>
    <row r="305" spans="1:18" s="9" customFormat="1" ht="48" customHeight="1" thickBot="1">
      <c r="A305" s="394" t="s">
        <v>210</v>
      </c>
      <c r="B305" s="394"/>
      <c r="C305" s="394"/>
      <c r="D305" s="394"/>
      <c r="E305" s="394"/>
      <c r="F305" s="190">
        <f>+SUM(F302:F304)</f>
        <v>1652.3628080560218</v>
      </c>
      <c r="G305" s="37"/>
      <c r="H305" s="190">
        <f>+SUM(H302:H304)</f>
        <v>826.18140402801089</v>
      </c>
      <c r="I305" s="395" t="s">
        <v>211</v>
      </c>
      <c r="J305" s="396"/>
      <c r="K305" s="396"/>
      <c r="L305" s="396"/>
      <c r="M305" s="397"/>
      <c r="N305" s="138"/>
      <c r="O305" s="138" t="str">
        <f>IF(P305&gt;O302,"CUMPLE","NO CUMPLE")</f>
        <v>CUMPLE</v>
      </c>
      <c r="P305" s="139">
        <f>SUM(P302:P304)</f>
        <v>826.18140402801089</v>
      </c>
      <c r="Q305" s="374"/>
      <c r="R305" s="140" t="str">
        <f>+IF(AND(M301="CUMPLE",Q301="CUMPLE",C298="CUMPLE"),"HABILITADO","NO HABILITADO")</f>
        <v>HABILITADO</v>
      </c>
    </row>
    <row r="306" spans="1:18" ht="16.5" thickBot="1">
      <c r="A306" s="3"/>
      <c r="B306" s="3"/>
      <c r="C306" s="3"/>
      <c r="D306" s="3"/>
      <c r="E306" s="3"/>
      <c r="F306" s="3"/>
      <c r="G306" s="3"/>
      <c r="H306" s="3"/>
      <c r="I306" s="3"/>
      <c r="J306" s="3"/>
      <c r="K306" s="3"/>
      <c r="L306" s="3"/>
      <c r="M306" s="3"/>
      <c r="N306" s="3"/>
      <c r="O306" s="3"/>
      <c r="P306" s="3"/>
      <c r="Q306" s="3"/>
      <c r="R306" s="4"/>
    </row>
    <row r="307" spans="1:18" ht="30.75" customHeight="1" thickBot="1">
      <c r="A307" s="398">
        <f>1+A294</f>
        <v>24</v>
      </c>
      <c r="B307" s="398"/>
      <c r="C307" s="398"/>
      <c r="D307" s="398"/>
      <c r="E307" s="412" t="str">
        <f>VLOOKUP(A307,'REQUISITOS HAB. TECNICOS'!$A$5:$B$80,2,FALSE)</f>
        <v>CONSORCIO GTC INTERPARK</v>
      </c>
      <c r="F307" s="412"/>
      <c r="G307" s="412"/>
      <c r="H307" s="412"/>
      <c r="I307" s="412"/>
      <c r="J307" s="412"/>
      <c r="K307" s="412"/>
      <c r="L307" s="412"/>
      <c r="M307" s="412"/>
      <c r="N307" s="412"/>
      <c r="O307" s="412"/>
      <c r="P307" s="412"/>
      <c r="Q307" s="412"/>
      <c r="R307" s="412"/>
    </row>
    <row r="308" spans="1:18" ht="50.25" customHeight="1" thickBot="1">
      <c r="A308" s="151" t="s">
        <v>185</v>
      </c>
      <c r="B308" s="63">
        <v>4</v>
      </c>
      <c r="C308" s="152" t="s">
        <v>186</v>
      </c>
      <c r="D308" s="153">
        <f>$D$628</f>
        <v>279.72028</v>
      </c>
      <c r="E308" s="412"/>
      <c r="F308" s="412"/>
      <c r="G308" s="412"/>
      <c r="H308" s="412"/>
      <c r="I308" s="412"/>
      <c r="J308" s="412"/>
      <c r="K308" s="412"/>
      <c r="L308" s="412"/>
      <c r="M308" s="412"/>
      <c r="N308" s="412"/>
      <c r="O308" s="412"/>
      <c r="P308" s="412"/>
      <c r="Q308" s="412"/>
      <c r="R308" s="412"/>
    </row>
    <row r="309" spans="1:18" ht="23.25" customHeight="1" thickBot="1">
      <c r="A309" s="388" t="s">
        <v>187</v>
      </c>
      <c r="B309" s="388"/>
      <c r="C309" s="389">
        <f>H322/B308</f>
        <v>165.83154381654307</v>
      </c>
      <c r="D309" s="389"/>
      <c r="E309" s="412"/>
      <c r="F309" s="412"/>
      <c r="G309" s="412"/>
      <c r="H309" s="412"/>
      <c r="I309" s="412"/>
      <c r="J309" s="412"/>
      <c r="K309" s="412"/>
      <c r="L309" s="412"/>
      <c r="M309" s="412"/>
      <c r="N309" s="412"/>
      <c r="O309" s="412"/>
      <c r="P309" s="412"/>
      <c r="Q309" s="412"/>
      <c r="R309" s="412"/>
    </row>
    <row r="310" spans="1:18" ht="23.25" customHeight="1" thickBot="1">
      <c r="A310" s="390" t="s">
        <v>188</v>
      </c>
      <c r="B310" s="390"/>
      <c r="C310" s="391">
        <v>45610</v>
      </c>
      <c r="D310" s="391"/>
      <c r="E310" s="412"/>
      <c r="F310" s="412"/>
      <c r="G310" s="412"/>
      <c r="H310" s="412"/>
      <c r="I310" s="412"/>
      <c r="J310" s="412"/>
      <c r="K310" s="412"/>
      <c r="L310" s="412"/>
      <c r="M310" s="412"/>
      <c r="N310" s="412"/>
      <c r="O310" s="412"/>
      <c r="P310" s="412"/>
      <c r="Q310" s="412"/>
      <c r="R310" s="412"/>
    </row>
    <row r="311" spans="1:18" ht="38.25" customHeight="1" thickBot="1">
      <c r="A311" s="392" t="s">
        <v>189</v>
      </c>
      <c r="B311" s="392"/>
      <c r="C311" s="393" t="str">
        <f>+IF(H322&gt;D308,"CUMPLE","NO CUMPLE")</f>
        <v>CUMPLE</v>
      </c>
      <c r="D311" s="393"/>
      <c r="E311" s="412"/>
      <c r="F311" s="412"/>
      <c r="G311" s="412"/>
      <c r="H311" s="412"/>
      <c r="I311" s="412"/>
      <c r="J311" s="412"/>
      <c r="K311" s="412"/>
      <c r="L311" s="412"/>
      <c r="M311" s="412"/>
      <c r="N311" s="412"/>
      <c r="O311" s="412"/>
      <c r="P311" s="412"/>
      <c r="Q311" s="412"/>
      <c r="R311" s="412"/>
    </row>
    <row r="312" spans="1:18" ht="87" customHeight="1">
      <c r="A312" s="410" t="s">
        <v>190</v>
      </c>
      <c r="B312" s="410"/>
      <c r="C312" s="410"/>
      <c r="D312" s="410"/>
      <c r="E312" s="410"/>
      <c r="F312" s="410"/>
      <c r="G312" s="142"/>
      <c r="H312" s="142"/>
      <c r="I312" s="143" t="s">
        <v>191</v>
      </c>
      <c r="J312" s="144" t="s">
        <v>192</v>
      </c>
      <c r="K312" s="413" t="s">
        <v>193</v>
      </c>
      <c r="L312" s="413"/>
      <c r="M312" s="399" t="s">
        <v>194</v>
      </c>
      <c r="N312" s="399" t="s">
        <v>195</v>
      </c>
      <c r="O312" s="401" t="s">
        <v>196</v>
      </c>
      <c r="P312" s="402"/>
      <c r="Q312" s="399" t="s">
        <v>197</v>
      </c>
      <c r="R312" s="399" t="s">
        <v>198</v>
      </c>
    </row>
    <row r="313" spans="1:18" ht="77.25" customHeight="1" thickBot="1">
      <c r="A313" s="145" t="s">
        <v>199</v>
      </c>
      <c r="B313" s="411" t="s">
        <v>200</v>
      </c>
      <c r="C313" s="411"/>
      <c r="D313" s="146" t="s">
        <v>201</v>
      </c>
      <c r="E313" s="146" t="s">
        <v>202</v>
      </c>
      <c r="F313" s="146" t="s">
        <v>203</v>
      </c>
      <c r="G313" s="147" t="s">
        <v>204</v>
      </c>
      <c r="H313" s="147" t="s">
        <v>205</v>
      </c>
      <c r="I313" s="148" t="s">
        <v>206</v>
      </c>
      <c r="J313" s="148" t="s">
        <v>207</v>
      </c>
      <c r="K313" s="149" t="s">
        <v>208</v>
      </c>
      <c r="L313" s="150" t="s">
        <v>209</v>
      </c>
      <c r="M313" s="400"/>
      <c r="N313" s="400"/>
      <c r="O313" s="403"/>
      <c r="P313" s="404"/>
      <c r="Q313" s="400"/>
      <c r="R313" s="400"/>
    </row>
    <row r="314" spans="1:18" ht="18">
      <c r="A314" s="125" t="str">
        <f>VLOOKUP(A307,'LISTA DE OFERENTES'!$A$4:$G$80,5,FALSE)</f>
        <v>NELSON ERNESTO PEÑA RODRÍGUEZ - 70%</v>
      </c>
      <c r="B314" s="26"/>
      <c r="C314" s="26"/>
      <c r="D314" s="26"/>
      <c r="E314" s="26"/>
      <c r="F314" s="26"/>
      <c r="G314" s="26"/>
      <c r="H314" s="26"/>
      <c r="I314" s="26"/>
      <c r="J314" s="26"/>
      <c r="K314" s="414">
        <f>$D$628*0.5</f>
        <v>139.86014</v>
      </c>
      <c r="L314" s="132"/>
      <c r="M314" s="416" t="s">
        <v>183</v>
      </c>
      <c r="N314" s="128"/>
      <c r="O314" s="189"/>
      <c r="P314" s="132"/>
      <c r="Q314" s="372" t="s">
        <v>183</v>
      </c>
      <c r="R314" s="141"/>
    </row>
    <row r="315" spans="1:18" s="9" customFormat="1" ht="270">
      <c r="A315" s="118" t="s">
        <v>309</v>
      </c>
      <c r="B315" s="371" t="s">
        <v>310</v>
      </c>
      <c r="C315" s="371"/>
      <c r="D315" s="119">
        <v>377041136</v>
      </c>
      <c r="E315" s="120">
        <v>2019</v>
      </c>
      <c r="F315" s="121">
        <f>D315/(VLOOKUP(E315,$D$654:$E$687,2,FALSE))</f>
        <v>455.29990484424889</v>
      </c>
      <c r="G315" s="122">
        <v>0.5</v>
      </c>
      <c r="H315" s="121">
        <f>F315*G315</f>
        <v>227.64995242212444</v>
      </c>
      <c r="I315" s="123">
        <v>43535</v>
      </c>
      <c r="J315" s="116" t="s">
        <v>183</v>
      </c>
      <c r="K315" s="415"/>
      <c r="L315" s="133">
        <f>H315</f>
        <v>227.64995242212444</v>
      </c>
      <c r="M315" s="417"/>
      <c r="N315" s="129" t="s">
        <v>183</v>
      </c>
      <c r="O315" s="375">
        <f>$D$628*0.7</f>
        <v>195.80419599999999</v>
      </c>
      <c r="P315" s="135">
        <f>L315</f>
        <v>227.64995242212444</v>
      </c>
      <c r="Q315" s="373"/>
      <c r="R315" s="96"/>
    </row>
    <row r="316" spans="1:18" s="9" customFormat="1" ht="144">
      <c r="A316" s="118" t="s">
        <v>311</v>
      </c>
      <c r="B316" s="371" t="s">
        <v>312</v>
      </c>
      <c r="C316" s="439"/>
      <c r="D316" s="119">
        <v>195513721</v>
      </c>
      <c r="E316" s="120">
        <v>2023</v>
      </c>
      <c r="F316" s="121">
        <f>D316/(VLOOKUP(E316,$D$654:$E$687,2,FALSE))</f>
        <v>168.54631120689655</v>
      </c>
      <c r="G316" s="122">
        <v>0.5</v>
      </c>
      <c r="H316" s="121">
        <f>F316*G316</f>
        <v>84.273155603448274</v>
      </c>
      <c r="I316" s="123">
        <v>45107</v>
      </c>
      <c r="J316" s="116" t="s">
        <v>183</v>
      </c>
      <c r="K316" s="415"/>
      <c r="L316" s="133">
        <f>H316</f>
        <v>84.273155603448274</v>
      </c>
      <c r="M316" s="417"/>
      <c r="N316" s="129" t="s">
        <v>183</v>
      </c>
      <c r="O316" s="376"/>
      <c r="P316" s="135"/>
      <c r="Q316" s="373"/>
      <c r="R316" s="96"/>
    </row>
    <row r="317" spans="1:18" s="9" customFormat="1" ht="234">
      <c r="A317" s="118" t="s">
        <v>313</v>
      </c>
      <c r="B317" s="371" t="s">
        <v>314</v>
      </c>
      <c r="C317" s="371"/>
      <c r="D317" s="119">
        <v>306123694</v>
      </c>
      <c r="E317" s="120">
        <v>2021</v>
      </c>
      <c r="F317" s="121">
        <v>348.73</v>
      </c>
      <c r="G317" s="122">
        <v>0.2</v>
      </c>
      <c r="H317" s="121">
        <f>F317*G317</f>
        <v>69.746000000000009</v>
      </c>
      <c r="I317" s="124">
        <v>44212</v>
      </c>
      <c r="J317" s="131" t="s">
        <v>183</v>
      </c>
      <c r="K317" s="415"/>
      <c r="L317" s="133">
        <f>H317</f>
        <v>69.746000000000009</v>
      </c>
      <c r="M317" s="417"/>
      <c r="N317" s="129" t="s">
        <v>183</v>
      </c>
      <c r="O317" s="377"/>
      <c r="P317" s="135"/>
      <c r="Q317" s="373"/>
      <c r="R317" s="312" t="s">
        <v>492</v>
      </c>
    </row>
    <row r="318" spans="1:18" ht="23.25" customHeight="1">
      <c r="A318" s="125" t="str">
        <f>VLOOKUP(A307,'LISTA DE OFERENTES'!$A$4:$G$80,6,FALSE)</f>
        <v>HERNANDO LANCHEROS IBAÑEZ - 20%</v>
      </c>
      <c r="B318" s="126"/>
      <c r="C318" s="126"/>
      <c r="D318" s="126"/>
      <c r="E318" s="126"/>
      <c r="F318" s="126"/>
      <c r="G318" s="127"/>
      <c r="H318" s="126"/>
      <c r="I318" s="126"/>
      <c r="J318" s="126"/>
      <c r="K318" s="415"/>
      <c r="L318" s="134"/>
      <c r="M318" s="417"/>
      <c r="N318" s="130"/>
      <c r="O318" s="377"/>
      <c r="P318" s="136"/>
      <c r="Q318" s="373"/>
      <c r="R318" s="27"/>
    </row>
    <row r="319" spans="1:18" s="9" customFormat="1" ht="234">
      <c r="A319" s="118" t="s">
        <v>313</v>
      </c>
      <c r="B319" s="371" t="s">
        <v>314</v>
      </c>
      <c r="C319" s="371"/>
      <c r="D319" s="119">
        <v>306123694</v>
      </c>
      <c r="E319" s="120">
        <v>2021</v>
      </c>
      <c r="F319" s="121">
        <v>348.73</v>
      </c>
      <c r="G319" s="122">
        <v>0.5</v>
      </c>
      <c r="H319" s="121">
        <f>F319*G319</f>
        <v>174.36500000000001</v>
      </c>
      <c r="I319" s="123">
        <v>44212</v>
      </c>
      <c r="J319" s="116" t="s">
        <v>183</v>
      </c>
      <c r="K319" s="415"/>
      <c r="L319" s="133">
        <f>H319</f>
        <v>174.36500000000001</v>
      </c>
      <c r="M319" s="417"/>
      <c r="N319" s="129" t="s">
        <v>183</v>
      </c>
      <c r="O319" s="377"/>
      <c r="P319" s="135">
        <f>L319</f>
        <v>174.36500000000001</v>
      </c>
      <c r="Q319" s="373"/>
      <c r="R319" s="312" t="s">
        <v>492</v>
      </c>
    </row>
    <row r="320" spans="1:18" s="9" customFormat="1" ht="180">
      <c r="A320" s="118" t="s">
        <v>315</v>
      </c>
      <c r="B320" s="371" t="s">
        <v>316</v>
      </c>
      <c r="C320" s="371"/>
      <c r="D320" s="119">
        <v>188362597</v>
      </c>
      <c r="E320" s="120">
        <v>2020</v>
      </c>
      <c r="F320" s="121">
        <f>D320/(VLOOKUP(E320,$D$654:$E$687,2,FALSE))</f>
        <v>214.58413448119907</v>
      </c>
      <c r="G320" s="122">
        <v>0.5</v>
      </c>
      <c r="H320" s="121">
        <f>F320*G320</f>
        <v>107.29206724059954</v>
      </c>
      <c r="I320" s="124">
        <v>44141</v>
      </c>
      <c r="J320" s="131" t="s">
        <v>183</v>
      </c>
      <c r="K320" s="415"/>
      <c r="L320" s="133">
        <f>H320</f>
        <v>107.29206724059954</v>
      </c>
      <c r="M320" s="417"/>
      <c r="N320" s="129" t="s">
        <v>183</v>
      </c>
      <c r="O320" s="377"/>
      <c r="P320" s="135"/>
      <c r="Q320" s="373"/>
      <c r="R320" s="96"/>
    </row>
    <row r="321" spans="1:18" ht="23.25" customHeight="1">
      <c r="A321" s="125" t="str">
        <f>VLOOKUP(A307,'LISTA DE OFERENTES'!$A$4:$G$80,7,FALSE)</f>
        <v>GESTIÓN TOTAL CORPORATIVA SAS BIC - 10%</v>
      </c>
      <c r="B321" s="126"/>
      <c r="C321" s="126"/>
      <c r="D321" s="126"/>
      <c r="E321" s="126"/>
      <c r="F321" s="126"/>
      <c r="G321" s="127"/>
      <c r="H321" s="126"/>
      <c r="I321" s="126"/>
      <c r="J321" s="126"/>
      <c r="K321" s="415"/>
      <c r="L321" s="134"/>
      <c r="M321" s="417"/>
      <c r="N321" s="130"/>
      <c r="O321" s="377"/>
      <c r="P321" s="136"/>
      <c r="Q321" s="373"/>
      <c r="R321" s="27"/>
    </row>
    <row r="322" spans="1:18" s="9" customFormat="1" ht="48" customHeight="1" thickBot="1">
      <c r="A322" s="394" t="s">
        <v>210</v>
      </c>
      <c r="B322" s="394"/>
      <c r="C322" s="394"/>
      <c r="D322" s="394"/>
      <c r="E322" s="394"/>
      <c r="F322" s="190">
        <f>+SUM(F315:F321)</f>
        <v>1535.8903505323444</v>
      </c>
      <c r="G322" s="37"/>
      <c r="H322" s="190">
        <f>+SUM(H315:H321)</f>
        <v>663.3261752661723</v>
      </c>
      <c r="I322" s="395" t="s">
        <v>211</v>
      </c>
      <c r="J322" s="396"/>
      <c r="K322" s="396"/>
      <c r="L322" s="396"/>
      <c r="M322" s="397"/>
      <c r="N322" s="138"/>
      <c r="O322" s="138" t="str">
        <f>IF(P322&gt;O315,"CUMPLE","NO CUMPLE")</f>
        <v>CUMPLE</v>
      </c>
      <c r="P322" s="139">
        <f>SUM(P315:P321)</f>
        <v>402.01495242212445</v>
      </c>
      <c r="Q322" s="374"/>
      <c r="R322" s="140" t="str">
        <f>+IF(AND(M314="CUMPLE",Q314="CUMPLE",C311="CUMPLE"),"HABILITADO","NO HABILITADO")</f>
        <v>HABILITADO</v>
      </c>
    </row>
    <row r="323" spans="1:18" ht="16.5" thickBot="1">
      <c r="A323" s="3"/>
      <c r="B323" s="3"/>
      <c r="C323" s="3"/>
      <c r="D323" s="3"/>
      <c r="E323" s="3"/>
      <c r="F323" s="3"/>
      <c r="G323" s="3"/>
      <c r="H323" s="3"/>
      <c r="I323" s="3"/>
      <c r="J323" s="3"/>
      <c r="K323" s="3"/>
      <c r="L323" s="3"/>
      <c r="M323" s="3"/>
      <c r="N323" s="3"/>
      <c r="O323" s="3"/>
      <c r="P323" s="3"/>
      <c r="Q323" s="3"/>
      <c r="R323" s="4"/>
    </row>
    <row r="324" spans="1:18" ht="30.75" customHeight="1" thickBot="1">
      <c r="A324" s="398">
        <f>1+A307</f>
        <v>25</v>
      </c>
      <c r="B324" s="398"/>
      <c r="C324" s="398"/>
      <c r="D324" s="398"/>
      <c r="E324" s="412" t="str">
        <f>VLOOKUP(A324,'REQUISITOS HAB. TECNICOS'!$A$5:$B$80,2,FALSE)</f>
        <v>CIAF LTDA INGENIERIA</v>
      </c>
      <c r="F324" s="412"/>
      <c r="G324" s="412"/>
      <c r="H324" s="412"/>
      <c r="I324" s="412"/>
      <c r="J324" s="412"/>
      <c r="K324" s="412"/>
      <c r="L324" s="412"/>
      <c r="M324" s="412"/>
      <c r="N324" s="412"/>
      <c r="O324" s="412"/>
      <c r="P324" s="412"/>
      <c r="Q324" s="412"/>
      <c r="R324" s="412"/>
    </row>
    <row r="325" spans="1:18" ht="50.25" customHeight="1" thickBot="1">
      <c r="A325" s="151" t="s">
        <v>185</v>
      </c>
      <c r="B325" s="63">
        <v>1</v>
      </c>
      <c r="C325" s="152" t="s">
        <v>186</v>
      </c>
      <c r="D325" s="153">
        <f>$D$628</f>
        <v>279.72028</v>
      </c>
      <c r="E325" s="412"/>
      <c r="F325" s="412"/>
      <c r="G325" s="412"/>
      <c r="H325" s="412"/>
      <c r="I325" s="412"/>
      <c r="J325" s="412"/>
      <c r="K325" s="412"/>
      <c r="L325" s="412"/>
      <c r="M325" s="412"/>
      <c r="N325" s="412"/>
      <c r="O325" s="412"/>
      <c r="P325" s="412"/>
      <c r="Q325" s="412"/>
      <c r="R325" s="412"/>
    </row>
    <row r="326" spans="1:18" ht="23.25" customHeight="1" thickBot="1">
      <c r="A326" s="388" t="s">
        <v>187</v>
      </c>
      <c r="B326" s="388"/>
      <c r="C326" s="389">
        <f>H333/B325</f>
        <v>398.92312599999997</v>
      </c>
      <c r="D326" s="389"/>
      <c r="E326" s="412"/>
      <c r="F326" s="412"/>
      <c r="G326" s="412"/>
      <c r="H326" s="412"/>
      <c r="I326" s="412"/>
      <c r="J326" s="412"/>
      <c r="K326" s="412"/>
      <c r="L326" s="412"/>
      <c r="M326" s="412"/>
      <c r="N326" s="412"/>
      <c r="O326" s="412"/>
      <c r="P326" s="412"/>
      <c r="Q326" s="412"/>
      <c r="R326" s="412"/>
    </row>
    <row r="327" spans="1:18" ht="23.25" customHeight="1" thickBot="1">
      <c r="A327" s="390" t="s">
        <v>188</v>
      </c>
      <c r="B327" s="390"/>
      <c r="C327" s="391">
        <v>45610</v>
      </c>
      <c r="D327" s="391"/>
      <c r="E327" s="412"/>
      <c r="F327" s="412"/>
      <c r="G327" s="412"/>
      <c r="H327" s="412"/>
      <c r="I327" s="412"/>
      <c r="J327" s="412"/>
      <c r="K327" s="412"/>
      <c r="L327" s="412"/>
      <c r="M327" s="412"/>
      <c r="N327" s="412"/>
      <c r="O327" s="412"/>
      <c r="P327" s="412"/>
      <c r="Q327" s="412"/>
      <c r="R327" s="412"/>
    </row>
    <row r="328" spans="1:18" ht="38.25" customHeight="1" thickBot="1">
      <c r="A328" s="392" t="s">
        <v>189</v>
      </c>
      <c r="B328" s="392"/>
      <c r="C328" s="393" t="str">
        <f>+IF(H333&gt;D325,"CUMPLE","NO CUMPLE")</f>
        <v>CUMPLE</v>
      </c>
      <c r="D328" s="393"/>
      <c r="E328" s="412"/>
      <c r="F328" s="412"/>
      <c r="G328" s="412"/>
      <c r="H328" s="412"/>
      <c r="I328" s="412"/>
      <c r="J328" s="412"/>
      <c r="K328" s="412"/>
      <c r="L328" s="412"/>
      <c r="M328" s="412"/>
      <c r="N328" s="412"/>
      <c r="O328" s="412"/>
      <c r="P328" s="412"/>
      <c r="Q328" s="412"/>
      <c r="R328" s="412"/>
    </row>
    <row r="329" spans="1:18" ht="87" customHeight="1">
      <c r="A329" s="410" t="s">
        <v>190</v>
      </c>
      <c r="B329" s="410"/>
      <c r="C329" s="410"/>
      <c r="D329" s="410"/>
      <c r="E329" s="410"/>
      <c r="F329" s="410"/>
      <c r="G329" s="142"/>
      <c r="H329" s="142"/>
      <c r="I329" s="143" t="s">
        <v>191</v>
      </c>
      <c r="J329" s="144" t="s">
        <v>192</v>
      </c>
      <c r="K329" s="413" t="s">
        <v>193</v>
      </c>
      <c r="L329" s="413"/>
      <c r="M329" s="399" t="s">
        <v>194</v>
      </c>
      <c r="N329" s="399" t="s">
        <v>195</v>
      </c>
      <c r="O329" s="401" t="s">
        <v>196</v>
      </c>
      <c r="P329" s="402"/>
      <c r="Q329" s="399" t="s">
        <v>197</v>
      </c>
      <c r="R329" s="399" t="s">
        <v>198</v>
      </c>
    </row>
    <row r="330" spans="1:18" ht="77.25" customHeight="1">
      <c r="A330" s="145" t="s">
        <v>199</v>
      </c>
      <c r="B330" s="411" t="s">
        <v>200</v>
      </c>
      <c r="C330" s="411"/>
      <c r="D330" s="146" t="s">
        <v>201</v>
      </c>
      <c r="E330" s="146" t="s">
        <v>202</v>
      </c>
      <c r="F330" s="146" t="s">
        <v>203</v>
      </c>
      <c r="G330" s="147" t="s">
        <v>204</v>
      </c>
      <c r="H330" s="147" t="s">
        <v>205</v>
      </c>
      <c r="I330" s="148" t="s">
        <v>206</v>
      </c>
      <c r="J330" s="148" t="s">
        <v>207</v>
      </c>
      <c r="K330" s="149" t="s">
        <v>208</v>
      </c>
      <c r="L330" s="150" t="s">
        <v>209</v>
      </c>
      <c r="M330" s="400"/>
      <c r="N330" s="400"/>
      <c r="O330" s="403"/>
      <c r="P330" s="404"/>
      <c r="Q330" s="400"/>
      <c r="R330" s="400"/>
    </row>
    <row r="331" spans="1:18" ht="18" customHeight="1">
      <c r="A331" s="125" t="str">
        <f>VLOOKUP(A324,'LISTA DE OFERENTES'!$A$4:$G$80,5,FALSE)</f>
        <v>CIAF LTDA INGENIERIA - 100%</v>
      </c>
      <c r="B331" s="26"/>
      <c r="C331" s="26"/>
      <c r="D331" s="26"/>
      <c r="E331" s="26"/>
      <c r="F331" s="26"/>
      <c r="G331" s="26"/>
      <c r="H331" s="26"/>
      <c r="I331" s="26"/>
      <c r="J331" s="26"/>
      <c r="K331" s="440">
        <f>$D$628*0.5</f>
        <v>139.86014</v>
      </c>
      <c r="L331" s="132"/>
      <c r="M331" s="372" t="s">
        <v>183</v>
      </c>
      <c r="N331" s="128"/>
      <c r="O331" s="189"/>
      <c r="P331" s="132"/>
      <c r="Q331" s="372" t="s">
        <v>183</v>
      </c>
      <c r="R331" s="141"/>
    </row>
    <row r="332" spans="1:18" s="9" customFormat="1" ht="90">
      <c r="A332" s="118" t="s">
        <v>317</v>
      </c>
      <c r="B332" s="371" t="s">
        <v>318</v>
      </c>
      <c r="C332" s="439"/>
      <c r="D332" s="119">
        <v>419919080</v>
      </c>
      <c r="E332" s="120">
        <v>2022</v>
      </c>
      <c r="F332" s="121">
        <f>D332/(VLOOKUP(E332,$D$654:$E$687,2,FALSE))</f>
        <v>419.91908000000001</v>
      </c>
      <c r="G332" s="122">
        <v>0.95</v>
      </c>
      <c r="H332" s="121">
        <f>F332*G332</f>
        <v>398.92312599999997</v>
      </c>
      <c r="I332" s="123">
        <v>44847</v>
      </c>
      <c r="J332" s="116" t="s">
        <v>183</v>
      </c>
      <c r="K332" s="441"/>
      <c r="L332" s="133">
        <f>H332</f>
        <v>398.92312599999997</v>
      </c>
      <c r="M332" s="373"/>
      <c r="N332" s="129" t="s">
        <v>183</v>
      </c>
      <c r="O332" s="244">
        <f>$D$628*0.7</f>
        <v>195.80419599999999</v>
      </c>
      <c r="P332" s="135">
        <f>L332</f>
        <v>398.92312599999997</v>
      </c>
      <c r="Q332" s="373"/>
      <c r="R332" s="96"/>
    </row>
    <row r="333" spans="1:18" s="9" customFormat="1" ht="48" customHeight="1">
      <c r="A333" s="193" t="s">
        <v>210</v>
      </c>
      <c r="B333" s="198"/>
      <c r="C333" s="198"/>
      <c r="D333" s="198"/>
      <c r="E333" s="199"/>
      <c r="F333" s="190">
        <f>+SUM(F332:F332)</f>
        <v>419.91908000000001</v>
      </c>
      <c r="G333" s="37"/>
      <c r="H333" s="190">
        <f>+SUM(H332:H332)</f>
        <v>398.92312599999997</v>
      </c>
      <c r="I333" s="194" t="s">
        <v>211</v>
      </c>
      <c r="J333" s="195"/>
      <c r="K333" s="195"/>
      <c r="L333" s="195"/>
      <c r="M333" s="196"/>
      <c r="N333" s="138"/>
      <c r="O333" s="138" t="str">
        <f>IF(P333&gt;O332,"CUMPLE","NO CUMPLE")</f>
        <v>CUMPLE</v>
      </c>
      <c r="P333" s="139">
        <f>SUM(P332:P332)</f>
        <v>398.92312599999997</v>
      </c>
      <c r="Q333" s="374"/>
      <c r="R333" s="140" t="str">
        <f>+IF(AND(M331="CUMPLE",Q331="CUMPLE",C328="CUMPLE"),"HABILITADO","NO HABILITADO")</f>
        <v>HABILITADO</v>
      </c>
    </row>
    <row r="334" spans="1:18" ht="15.75">
      <c r="A334" s="3"/>
      <c r="B334" s="3"/>
      <c r="C334" s="3"/>
      <c r="D334" s="3"/>
      <c r="E334" s="3"/>
      <c r="F334" s="3"/>
      <c r="G334" s="3"/>
      <c r="H334" s="3"/>
      <c r="I334" s="3"/>
      <c r="J334" s="3"/>
      <c r="K334" s="3"/>
      <c r="L334" s="3"/>
      <c r="M334" s="3"/>
      <c r="N334" s="3"/>
      <c r="O334" s="3"/>
      <c r="P334" s="3"/>
      <c r="Q334" s="3"/>
      <c r="R334" s="4"/>
    </row>
    <row r="335" spans="1:18" ht="30.75" customHeight="1" thickBot="1">
      <c r="A335" s="398">
        <f>1+A324</f>
        <v>26</v>
      </c>
      <c r="B335" s="398"/>
      <c r="C335" s="398"/>
      <c r="D335" s="398"/>
      <c r="E335" s="412" t="str">
        <f>VLOOKUP(A335,'REQUISITOS HAB. TECNICOS'!$A$5:$B$80,2,FALSE)</f>
        <v>JESAK SAS</v>
      </c>
      <c r="F335" s="412"/>
      <c r="G335" s="412"/>
      <c r="H335" s="412"/>
      <c r="I335" s="412"/>
      <c r="J335" s="412"/>
      <c r="K335" s="412"/>
      <c r="L335" s="412"/>
      <c r="M335" s="412"/>
      <c r="N335" s="412"/>
      <c r="O335" s="412"/>
      <c r="P335" s="412"/>
      <c r="Q335" s="412"/>
      <c r="R335" s="412"/>
    </row>
    <row r="336" spans="1:18" ht="50.25" customHeight="1" thickBot="1">
      <c r="A336" s="151" t="s">
        <v>185</v>
      </c>
      <c r="B336" s="63">
        <v>3</v>
      </c>
      <c r="C336" s="152" t="s">
        <v>186</v>
      </c>
      <c r="D336" s="153">
        <f>$D$628</f>
        <v>279.72028</v>
      </c>
      <c r="E336" s="412"/>
      <c r="F336" s="412"/>
      <c r="G336" s="412"/>
      <c r="H336" s="412"/>
      <c r="I336" s="412"/>
      <c r="J336" s="412"/>
      <c r="K336" s="412"/>
      <c r="L336" s="412"/>
      <c r="M336" s="412"/>
      <c r="N336" s="412"/>
      <c r="O336" s="412"/>
      <c r="P336" s="412"/>
      <c r="Q336" s="412"/>
      <c r="R336" s="412"/>
    </row>
    <row r="337" spans="1:18" ht="23.25" customHeight="1" thickBot="1">
      <c r="A337" s="388" t="s">
        <v>187</v>
      </c>
      <c r="B337" s="388"/>
      <c r="C337" s="389">
        <f>H346/B336</f>
        <v>1060.5808964437001</v>
      </c>
      <c r="D337" s="389"/>
      <c r="E337" s="412"/>
      <c r="F337" s="412"/>
      <c r="G337" s="412"/>
      <c r="H337" s="412"/>
      <c r="I337" s="412"/>
      <c r="J337" s="412"/>
      <c r="K337" s="412"/>
      <c r="L337" s="412"/>
      <c r="M337" s="412"/>
      <c r="N337" s="412"/>
      <c r="O337" s="412"/>
      <c r="P337" s="412"/>
      <c r="Q337" s="412"/>
      <c r="R337" s="412"/>
    </row>
    <row r="338" spans="1:18" ht="23.25" customHeight="1" thickBot="1">
      <c r="A338" s="390" t="s">
        <v>188</v>
      </c>
      <c r="B338" s="390"/>
      <c r="C338" s="391">
        <v>45610</v>
      </c>
      <c r="D338" s="391"/>
      <c r="E338" s="412"/>
      <c r="F338" s="412"/>
      <c r="G338" s="412"/>
      <c r="H338" s="412"/>
      <c r="I338" s="412"/>
      <c r="J338" s="412"/>
      <c r="K338" s="412"/>
      <c r="L338" s="412"/>
      <c r="M338" s="412"/>
      <c r="N338" s="412"/>
      <c r="O338" s="412"/>
      <c r="P338" s="412"/>
      <c r="Q338" s="412"/>
      <c r="R338" s="412"/>
    </row>
    <row r="339" spans="1:18" ht="38.25" customHeight="1" thickBot="1">
      <c r="A339" s="392" t="s">
        <v>189</v>
      </c>
      <c r="B339" s="392"/>
      <c r="C339" s="393" t="str">
        <f>+IF(H346&gt;D336,"CUMPLE","NO CUMPLE")</f>
        <v>CUMPLE</v>
      </c>
      <c r="D339" s="393"/>
      <c r="E339" s="412"/>
      <c r="F339" s="412"/>
      <c r="G339" s="412"/>
      <c r="H339" s="412"/>
      <c r="I339" s="412"/>
      <c r="J339" s="412"/>
      <c r="K339" s="412"/>
      <c r="L339" s="412"/>
      <c r="M339" s="412"/>
      <c r="N339" s="412"/>
      <c r="O339" s="412"/>
      <c r="P339" s="412"/>
      <c r="Q339" s="412"/>
      <c r="R339" s="412"/>
    </row>
    <row r="340" spans="1:18" ht="87" customHeight="1">
      <c r="A340" s="410" t="s">
        <v>190</v>
      </c>
      <c r="B340" s="410"/>
      <c r="C340" s="410"/>
      <c r="D340" s="410"/>
      <c r="E340" s="410"/>
      <c r="F340" s="410"/>
      <c r="G340" s="142"/>
      <c r="H340" s="142"/>
      <c r="I340" s="143" t="s">
        <v>191</v>
      </c>
      <c r="J340" s="144" t="s">
        <v>192</v>
      </c>
      <c r="K340" s="413" t="s">
        <v>193</v>
      </c>
      <c r="L340" s="413"/>
      <c r="M340" s="399" t="s">
        <v>194</v>
      </c>
      <c r="N340" s="399" t="s">
        <v>195</v>
      </c>
      <c r="O340" s="401" t="s">
        <v>196</v>
      </c>
      <c r="P340" s="402"/>
      <c r="Q340" s="399" t="s">
        <v>197</v>
      </c>
      <c r="R340" s="399" t="s">
        <v>198</v>
      </c>
    </row>
    <row r="341" spans="1:18" ht="77.25" customHeight="1" thickBot="1">
      <c r="A341" s="145" t="s">
        <v>199</v>
      </c>
      <c r="B341" s="411" t="s">
        <v>200</v>
      </c>
      <c r="C341" s="411"/>
      <c r="D341" s="146" t="s">
        <v>201</v>
      </c>
      <c r="E341" s="146" t="s">
        <v>202</v>
      </c>
      <c r="F341" s="146" t="s">
        <v>203</v>
      </c>
      <c r="G341" s="147" t="s">
        <v>204</v>
      </c>
      <c r="H341" s="147" t="s">
        <v>205</v>
      </c>
      <c r="I341" s="148" t="s">
        <v>206</v>
      </c>
      <c r="J341" s="148" t="s">
        <v>207</v>
      </c>
      <c r="K341" s="149" t="s">
        <v>208</v>
      </c>
      <c r="L341" s="150" t="s">
        <v>209</v>
      </c>
      <c r="M341" s="400"/>
      <c r="N341" s="400"/>
      <c r="O341" s="403"/>
      <c r="P341" s="404"/>
      <c r="Q341" s="400"/>
      <c r="R341" s="400"/>
    </row>
    <row r="342" spans="1:18" ht="18">
      <c r="A342" s="125" t="str">
        <f>VLOOKUP(A335,'LISTA DE OFERENTES'!$A$4:$G$80,5,FALSE)</f>
        <v>JESAK SAS-100%</v>
      </c>
      <c r="B342" s="26"/>
      <c r="C342" s="26"/>
      <c r="D342" s="26"/>
      <c r="E342" s="26"/>
      <c r="F342" s="26"/>
      <c r="G342" s="26"/>
      <c r="H342" s="26"/>
      <c r="I342" s="26"/>
      <c r="J342" s="26"/>
      <c r="K342" s="414">
        <f>$D$628*0.5</f>
        <v>139.86014</v>
      </c>
      <c r="L342" s="132"/>
      <c r="M342" s="416" t="s">
        <v>183</v>
      </c>
      <c r="N342" s="128"/>
      <c r="O342" s="189"/>
      <c r="P342" s="132"/>
      <c r="Q342" s="372" t="s">
        <v>183</v>
      </c>
      <c r="R342" s="141"/>
    </row>
    <row r="343" spans="1:18" s="9" customFormat="1" ht="108">
      <c r="A343" s="118" t="s">
        <v>319</v>
      </c>
      <c r="B343" s="371" t="s">
        <v>214</v>
      </c>
      <c r="C343" s="439"/>
      <c r="D343" s="119">
        <v>873415655</v>
      </c>
      <c r="E343" s="120">
        <v>2014</v>
      </c>
      <c r="F343" s="121">
        <f>D343/(VLOOKUP(E343,$D$654:$E$687,2,FALSE))</f>
        <v>1417.8825568181819</v>
      </c>
      <c r="G343" s="122">
        <v>1</v>
      </c>
      <c r="H343" s="121">
        <f>F343*G343</f>
        <v>1417.8825568181819</v>
      </c>
      <c r="I343" s="123">
        <v>41793</v>
      </c>
      <c r="J343" s="116" t="s">
        <v>183</v>
      </c>
      <c r="K343" s="415"/>
      <c r="L343" s="133">
        <f>H343</f>
        <v>1417.8825568181819</v>
      </c>
      <c r="M343" s="417"/>
      <c r="N343" s="129" t="s">
        <v>183</v>
      </c>
      <c r="O343" s="375">
        <f>$D$628*0.7</f>
        <v>195.80419599999999</v>
      </c>
      <c r="P343" s="135">
        <f>L343</f>
        <v>1417.8825568181819</v>
      </c>
      <c r="Q343" s="373"/>
      <c r="R343" s="96"/>
    </row>
    <row r="344" spans="1:18" s="9" customFormat="1" ht="162">
      <c r="A344" s="118" t="s">
        <v>320</v>
      </c>
      <c r="B344" s="371" t="s">
        <v>214</v>
      </c>
      <c r="C344" s="439"/>
      <c r="D344" s="119">
        <v>1007588993</v>
      </c>
      <c r="E344" s="120">
        <v>2015</v>
      </c>
      <c r="F344" s="121">
        <f>D344/(VLOOKUP(E344,$D$654:$E$687,2,FALSE))</f>
        <v>1563.7293287809421</v>
      </c>
      <c r="G344" s="122">
        <v>1</v>
      </c>
      <c r="H344" s="121">
        <f>F344*G344</f>
        <v>1563.7293287809421</v>
      </c>
      <c r="I344" s="123">
        <v>42319</v>
      </c>
      <c r="J344" s="116" t="s">
        <v>183</v>
      </c>
      <c r="K344" s="415"/>
      <c r="L344" s="133">
        <f>H344</f>
        <v>1563.7293287809421</v>
      </c>
      <c r="M344" s="417"/>
      <c r="N344" s="129" t="s">
        <v>183</v>
      </c>
      <c r="O344" s="377"/>
      <c r="P344" s="135">
        <f t="shared" ref="P344" si="4">L344</f>
        <v>1563.7293287809421</v>
      </c>
      <c r="Q344" s="373"/>
      <c r="R344" s="339"/>
    </row>
    <row r="345" spans="1:18" s="9" customFormat="1" ht="180.75" thickBot="1">
      <c r="A345" s="118" t="s">
        <v>321</v>
      </c>
      <c r="B345" s="442" t="s">
        <v>214</v>
      </c>
      <c r="C345" s="442"/>
      <c r="D345" s="119">
        <v>294942772</v>
      </c>
      <c r="E345" s="120">
        <v>2013</v>
      </c>
      <c r="F345" s="121">
        <f>D345/(VLOOKUP(E345,$D$654:$E$687,2,FALSE))</f>
        <v>500.32700932994061</v>
      </c>
      <c r="G345" s="122">
        <v>0.4</v>
      </c>
      <c r="H345" s="121">
        <f>F345*G345</f>
        <v>200.13080373197624</v>
      </c>
      <c r="I345" s="123">
        <v>41330</v>
      </c>
      <c r="J345" s="116" t="s">
        <v>183</v>
      </c>
      <c r="K345" s="415"/>
      <c r="L345" s="133">
        <f>H345</f>
        <v>200.13080373197624</v>
      </c>
      <c r="M345" s="417"/>
      <c r="N345" s="129" t="s">
        <v>183</v>
      </c>
      <c r="O345" s="377"/>
      <c r="P345" s="317"/>
      <c r="Q345" s="373"/>
      <c r="R345" s="337"/>
    </row>
    <row r="346" spans="1:18" s="9" customFormat="1" ht="48" customHeight="1">
      <c r="A346" s="394" t="s">
        <v>210</v>
      </c>
      <c r="B346" s="394"/>
      <c r="C346" s="394"/>
      <c r="D346" s="394"/>
      <c r="E346" s="394"/>
      <c r="F346" s="190">
        <f>+SUM(F343:F345)</f>
        <v>3481.9388949290646</v>
      </c>
      <c r="G346" s="37"/>
      <c r="H346" s="190">
        <f>+SUM(H343:H345)</f>
        <v>3181.7426893311003</v>
      </c>
      <c r="I346" s="395" t="s">
        <v>211</v>
      </c>
      <c r="J346" s="396"/>
      <c r="K346" s="396"/>
      <c r="L346" s="396"/>
      <c r="M346" s="397"/>
      <c r="N346" s="138" t="s">
        <v>183</v>
      </c>
      <c r="O346" s="138" t="str">
        <f>IF(P346&gt;O343,"CUMPLE","NO CUMPLE")</f>
        <v>CUMPLE</v>
      </c>
      <c r="P346" s="139">
        <f>SUM(P343:P345)</f>
        <v>2981.611885599124</v>
      </c>
      <c r="Q346" s="374"/>
      <c r="R346" s="338" t="s">
        <v>499</v>
      </c>
    </row>
    <row r="347" spans="1:18" ht="16.5" thickBot="1">
      <c r="A347" s="3"/>
      <c r="B347" s="3"/>
      <c r="C347" s="3"/>
      <c r="D347" s="3"/>
      <c r="E347" s="3"/>
      <c r="F347" s="3"/>
      <c r="G347" s="3"/>
      <c r="H347" s="3"/>
      <c r="I347" s="3"/>
      <c r="J347" s="3"/>
      <c r="K347" s="3"/>
      <c r="L347" s="3"/>
      <c r="M347" s="3"/>
      <c r="N347" s="3"/>
      <c r="O347" s="3"/>
      <c r="P347" s="3"/>
      <c r="Q347" s="3"/>
      <c r="R347" s="4"/>
    </row>
    <row r="348" spans="1:18" ht="30.75" customHeight="1" thickBot="1">
      <c r="A348" s="398">
        <f>1+A335</f>
        <v>27</v>
      </c>
      <c r="B348" s="398"/>
      <c r="C348" s="398"/>
      <c r="D348" s="398"/>
      <c r="E348" s="412" t="str">
        <f>VLOOKUP(A348,'REQUISITOS HAB. TECNICOS'!$A$5:$B$80,2,FALSE)</f>
        <v>INTERVENTORIA Y CONSTRUCIVILES SAS</v>
      </c>
      <c r="F348" s="412"/>
      <c r="G348" s="412"/>
      <c r="H348" s="412"/>
      <c r="I348" s="412"/>
      <c r="J348" s="412"/>
      <c r="K348" s="412"/>
      <c r="L348" s="412"/>
      <c r="M348" s="412"/>
      <c r="N348" s="412"/>
      <c r="O348" s="412"/>
      <c r="P348" s="412"/>
      <c r="Q348" s="412"/>
      <c r="R348" s="412"/>
    </row>
    <row r="349" spans="1:18" ht="50.25" customHeight="1" thickBot="1">
      <c r="A349" s="151" t="s">
        <v>185</v>
      </c>
      <c r="B349" s="63">
        <v>2</v>
      </c>
      <c r="C349" s="152" t="s">
        <v>186</v>
      </c>
      <c r="D349" s="153">
        <f>$D$628</f>
        <v>279.72028</v>
      </c>
      <c r="E349" s="412"/>
      <c r="F349" s="412"/>
      <c r="G349" s="412"/>
      <c r="H349" s="412"/>
      <c r="I349" s="412"/>
      <c r="J349" s="412"/>
      <c r="K349" s="412"/>
      <c r="L349" s="412"/>
      <c r="M349" s="412"/>
      <c r="N349" s="412"/>
      <c r="O349" s="412"/>
      <c r="P349" s="412"/>
      <c r="Q349" s="412"/>
      <c r="R349" s="412"/>
    </row>
    <row r="350" spans="1:18" ht="23.25" customHeight="1" thickBot="1">
      <c r="A350" s="388" t="s">
        <v>187</v>
      </c>
      <c r="B350" s="388"/>
      <c r="C350" s="389">
        <f>H358/B349</f>
        <v>287.01497121664664</v>
      </c>
      <c r="D350" s="389"/>
      <c r="E350" s="412"/>
      <c r="F350" s="412"/>
      <c r="G350" s="412"/>
      <c r="H350" s="412"/>
      <c r="I350" s="412"/>
      <c r="J350" s="412"/>
      <c r="K350" s="412"/>
      <c r="L350" s="412"/>
      <c r="M350" s="412"/>
      <c r="N350" s="412"/>
      <c r="O350" s="412"/>
      <c r="P350" s="412"/>
      <c r="Q350" s="412"/>
      <c r="R350" s="412"/>
    </row>
    <row r="351" spans="1:18" ht="23.25" customHeight="1" thickBot="1">
      <c r="A351" s="390" t="s">
        <v>188</v>
      </c>
      <c r="B351" s="390"/>
      <c r="C351" s="391">
        <v>45610</v>
      </c>
      <c r="D351" s="391"/>
      <c r="E351" s="412"/>
      <c r="F351" s="412"/>
      <c r="G351" s="412"/>
      <c r="H351" s="412"/>
      <c r="I351" s="412"/>
      <c r="J351" s="412"/>
      <c r="K351" s="412"/>
      <c r="L351" s="412"/>
      <c r="M351" s="412"/>
      <c r="N351" s="412"/>
      <c r="O351" s="412"/>
      <c r="P351" s="412"/>
      <c r="Q351" s="412"/>
      <c r="R351" s="412"/>
    </row>
    <row r="352" spans="1:18" ht="38.25" customHeight="1" thickBot="1">
      <c r="A352" s="392" t="s">
        <v>189</v>
      </c>
      <c r="B352" s="392"/>
      <c r="C352" s="393" t="str">
        <f>+IF(H358&gt;D349,"CUMPLE","NO CUMPLE")</f>
        <v>CUMPLE</v>
      </c>
      <c r="D352" s="393"/>
      <c r="E352" s="412"/>
      <c r="F352" s="412"/>
      <c r="G352" s="412"/>
      <c r="H352" s="412"/>
      <c r="I352" s="412"/>
      <c r="J352" s="412"/>
      <c r="K352" s="412"/>
      <c r="L352" s="412"/>
      <c r="M352" s="412"/>
      <c r="N352" s="412"/>
      <c r="O352" s="412"/>
      <c r="P352" s="412"/>
      <c r="Q352" s="412"/>
      <c r="R352" s="412"/>
    </row>
    <row r="353" spans="1:18" ht="87" customHeight="1">
      <c r="A353" s="410" t="s">
        <v>190</v>
      </c>
      <c r="B353" s="410"/>
      <c r="C353" s="410"/>
      <c r="D353" s="410"/>
      <c r="E353" s="410"/>
      <c r="F353" s="410"/>
      <c r="G353" s="142"/>
      <c r="H353" s="142"/>
      <c r="I353" s="143" t="s">
        <v>191</v>
      </c>
      <c r="J353" s="144" t="s">
        <v>192</v>
      </c>
      <c r="K353" s="413" t="s">
        <v>193</v>
      </c>
      <c r="L353" s="413"/>
      <c r="M353" s="399" t="s">
        <v>194</v>
      </c>
      <c r="N353" s="399" t="s">
        <v>195</v>
      </c>
      <c r="O353" s="401" t="s">
        <v>196</v>
      </c>
      <c r="P353" s="402"/>
      <c r="Q353" s="399" t="s">
        <v>197</v>
      </c>
      <c r="R353" s="399" t="s">
        <v>198</v>
      </c>
    </row>
    <row r="354" spans="1:18" ht="77.25" customHeight="1" thickBot="1">
      <c r="A354" s="145" t="s">
        <v>199</v>
      </c>
      <c r="B354" s="411" t="s">
        <v>200</v>
      </c>
      <c r="C354" s="411"/>
      <c r="D354" s="146" t="s">
        <v>201</v>
      </c>
      <c r="E354" s="146" t="s">
        <v>202</v>
      </c>
      <c r="F354" s="146" t="s">
        <v>203</v>
      </c>
      <c r="G354" s="147" t="s">
        <v>204</v>
      </c>
      <c r="H354" s="147" t="s">
        <v>205</v>
      </c>
      <c r="I354" s="148" t="s">
        <v>206</v>
      </c>
      <c r="J354" s="148" t="s">
        <v>207</v>
      </c>
      <c r="K354" s="149" t="s">
        <v>208</v>
      </c>
      <c r="L354" s="150" t="s">
        <v>209</v>
      </c>
      <c r="M354" s="400"/>
      <c r="N354" s="400"/>
      <c r="O354" s="403"/>
      <c r="P354" s="404"/>
      <c r="Q354" s="400"/>
      <c r="R354" s="400"/>
    </row>
    <row r="355" spans="1:18" ht="18">
      <c r="A355" s="125" t="str">
        <f>VLOOKUP(A348,'LISTA DE OFERENTES'!$A$4:$G$80,5,FALSE)</f>
        <v>INTERVENTORIA Y CONSTRUCIVILES SAS -100%</v>
      </c>
      <c r="B355" s="26"/>
      <c r="C355" s="26"/>
      <c r="D355" s="26"/>
      <c r="E355" s="26"/>
      <c r="F355" s="26"/>
      <c r="G355" s="26"/>
      <c r="H355" s="26"/>
      <c r="I355" s="26"/>
      <c r="J355" s="26"/>
      <c r="K355" s="414">
        <f>$D$628*0.5</f>
        <v>139.86014</v>
      </c>
      <c r="L355" s="132"/>
      <c r="M355" s="416" t="s">
        <v>183</v>
      </c>
      <c r="N355" s="128"/>
      <c r="O355" s="189"/>
      <c r="P355" s="132"/>
      <c r="Q355" s="372" t="str">
        <f>IF(AND(N358="CUMPLE",O358="CUMPLE"),"CUMPLE","NO CUMPLE")</f>
        <v>CUMPLE</v>
      </c>
      <c r="R355" s="141"/>
    </row>
    <row r="356" spans="1:18" s="9" customFormat="1" ht="198">
      <c r="A356" s="118" t="s">
        <v>322</v>
      </c>
      <c r="B356" s="371" t="s">
        <v>323</v>
      </c>
      <c r="C356" s="439"/>
      <c r="D356" s="119">
        <v>266591605</v>
      </c>
      <c r="E356" s="120">
        <v>2009</v>
      </c>
      <c r="F356" s="121">
        <f>D356/(VLOOKUP(E356,$D$654:$E$687,2,FALSE))</f>
        <v>536.50956932984502</v>
      </c>
      <c r="G356" s="122">
        <v>1</v>
      </c>
      <c r="H356" s="121">
        <f>F356*G356</f>
        <v>536.50956932984502</v>
      </c>
      <c r="I356" s="123">
        <v>39918</v>
      </c>
      <c r="J356" s="116" t="s">
        <v>183</v>
      </c>
      <c r="K356" s="415"/>
      <c r="L356" s="133">
        <f>H356</f>
        <v>536.50956932984502</v>
      </c>
      <c r="M356" s="417"/>
      <c r="N356" s="129" t="s">
        <v>183</v>
      </c>
      <c r="O356" s="375">
        <f>$D$628*0.7</f>
        <v>195.80419599999999</v>
      </c>
      <c r="P356" s="135">
        <f>L356</f>
        <v>536.50956932984502</v>
      </c>
      <c r="Q356" s="373"/>
      <c r="R356" s="96"/>
    </row>
    <row r="357" spans="1:18" s="9" customFormat="1" ht="198">
      <c r="A357" s="118" t="s">
        <v>324</v>
      </c>
      <c r="B357" s="371" t="s">
        <v>288</v>
      </c>
      <c r="C357" s="439"/>
      <c r="D357" s="119">
        <v>435236328</v>
      </c>
      <c r="E357" s="120">
        <v>2023</v>
      </c>
      <c r="F357" s="121">
        <f>D357/(VLOOKUP(E357,$D$654:$E$687,2,FALSE))</f>
        <v>375.20373103448276</v>
      </c>
      <c r="G357" s="122">
        <v>0.1</v>
      </c>
      <c r="H357" s="121">
        <f>F357*G357</f>
        <v>37.520373103448279</v>
      </c>
      <c r="I357" s="124">
        <v>45168</v>
      </c>
      <c r="J357" s="131" t="s">
        <v>183</v>
      </c>
      <c r="K357" s="415"/>
      <c r="L357" s="133">
        <f>H357</f>
        <v>37.520373103448279</v>
      </c>
      <c r="M357" s="417"/>
      <c r="N357" s="129" t="s">
        <v>183</v>
      </c>
      <c r="O357" s="377"/>
      <c r="P357" s="135">
        <f>L357</f>
        <v>37.520373103448279</v>
      </c>
      <c r="Q357" s="373"/>
      <c r="R357" s="96"/>
    </row>
    <row r="358" spans="1:18" s="9" customFormat="1" ht="48" customHeight="1">
      <c r="A358" s="394" t="s">
        <v>210</v>
      </c>
      <c r="B358" s="394"/>
      <c r="C358" s="394"/>
      <c r="D358" s="394"/>
      <c r="E358" s="394"/>
      <c r="F358" s="190">
        <f>+SUM(F356:F357)</f>
        <v>911.71330036432778</v>
      </c>
      <c r="G358" s="37"/>
      <c r="H358" s="190">
        <f>+SUM(H356:H357)</f>
        <v>574.02994243329329</v>
      </c>
      <c r="I358" s="395" t="s">
        <v>211</v>
      </c>
      <c r="J358" s="396"/>
      <c r="K358" s="396"/>
      <c r="L358" s="396"/>
      <c r="M358" s="397"/>
      <c r="N358" s="138" t="s">
        <v>183</v>
      </c>
      <c r="O358" s="138" t="str">
        <f>IF(P358&gt;O356,"CUMPLE","NO CUMPLE")</f>
        <v>CUMPLE</v>
      </c>
      <c r="P358" s="139">
        <f>SUM(P356:P357)</f>
        <v>574.02994243329329</v>
      </c>
      <c r="Q358" s="374"/>
      <c r="R358" s="140" t="str">
        <f>+IF(AND(M355="CUMPLE",Q355="CUMPLE",C352="CUMPLE"),"HABILITADO","NO HABILITADO")</f>
        <v>HABILITADO</v>
      </c>
    </row>
    <row r="359" spans="1:18" ht="16.5" thickBot="1">
      <c r="A359" s="3"/>
      <c r="B359" s="3"/>
      <c r="C359" s="3"/>
      <c r="D359" s="3"/>
      <c r="E359" s="3"/>
      <c r="F359" s="3"/>
      <c r="G359" s="3"/>
      <c r="H359" s="3"/>
      <c r="I359" s="3"/>
      <c r="J359" s="3"/>
      <c r="K359" s="3"/>
      <c r="L359" s="3"/>
      <c r="M359" s="3"/>
      <c r="N359" s="3"/>
      <c r="O359" s="3"/>
      <c r="P359" s="3"/>
      <c r="Q359" s="3"/>
      <c r="R359" s="4"/>
    </row>
    <row r="360" spans="1:18" ht="30.75" customHeight="1" thickBot="1">
      <c r="A360" s="398">
        <f>1+A348</f>
        <v>28</v>
      </c>
      <c r="B360" s="398"/>
      <c r="C360" s="398"/>
      <c r="D360" s="398"/>
      <c r="E360" s="412" t="str">
        <f>VLOOKUP(A360,'REQUISITOS HAB. TECNICOS'!$A$5:$B$80,2,FALSE)</f>
        <v>CONSORCIO INTER-PARQUES OCCIDENTE</v>
      </c>
      <c r="F360" s="412"/>
      <c r="G360" s="412"/>
      <c r="H360" s="412"/>
      <c r="I360" s="412"/>
      <c r="J360" s="412"/>
      <c r="K360" s="412"/>
      <c r="L360" s="412"/>
      <c r="M360" s="412"/>
      <c r="N360" s="412"/>
      <c r="O360" s="412"/>
      <c r="P360" s="412"/>
      <c r="Q360" s="412"/>
      <c r="R360" s="412"/>
    </row>
    <row r="361" spans="1:18" ht="50.25" customHeight="1" thickBot="1">
      <c r="A361" s="151" t="s">
        <v>185</v>
      </c>
      <c r="B361" s="63">
        <v>1</v>
      </c>
      <c r="C361" s="152" t="s">
        <v>186</v>
      </c>
      <c r="D361" s="153">
        <f>$D$628</f>
        <v>279.72028</v>
      </c>
      <c r="E361" s="412"/>
      <c r="F361" s="412"/>
      <c r="G361" s="412"/>
      <c r="H361" s="412"/>
      <c r="I361" s="412"/>
      <c r="J361" s="412"/>
      <c r="K361" s="412"/>
      <c r="L361" s="412"/>
      <c r="M361" s="412"/>
      <c r="N361" s="412"/>
      <c r="O361" s="412"/>
      <c r="P361" s="412"/>
      <c r="Q361" s="412"/>
      <c r="R361" s="412"/>
    </row>
    <row r="362" spans="1:18" ht="23.25" customHeight="1" thickBot="1">
      <c r="A362" s="388" t="s">
        <v>187</v>
      </c>
      <c r="B362" s="388"/>
      <c r="C362" s="389">
        <f>H370/B361</f>
        <v>462.09412134613353</v>
      </c>
      <c r="D362" s="389"/>
      <c r="E362" s="412"/>
      <c r="F362" s="412"/>
      <c r="G362" s="412"/>
      <c r="H362" s="412"/>
      <c r="I362" s="412"/>
      <c r="J362" s="412"/>
      <c r="K362" s="412"/>
      <c r="L362" s="412"/>
      <c r="M362" s="412"/>
      <c r="N362" s="412"/>
      <c r="O362" s="412"/>
      <c r="P362" s="412"/>
      <c r="Q362" s="412"/>
      <c r="R362" s="412"/>
    </row>
    <row r="363" spans="1:18" ht="23.25" customHeight="1" thickBot="1">
      <c r="A363" s="390" t="s">
        <v>188</v>
      </c>
      <c r="B363" s="390"/>
      <c r="C363" s="391">
        <v>45610</v>
      </c>
      <c r="D363" s="391"/>
      <c r="E363" s="412"/>
      <c r="F363" s="412"/>
      <c r="G363" s="412"/>
      <c r="H363" s="412"/>
      <c r="I363" s="412"/>
      <c r="J363" s="412"/>
      <c r="K363" s="412"/>
      <c r="L363" s="412"/>
      <c r="M363" s="412"/>
      <c r="N363" s="412"/>
      <c r="O363" s="412"/>
      <c r="P363" s="412"/>
      <c r="Q363" s="412"/>
      <c r="R363" s="412"/>
    </row>
    <row r="364" spans="1:18" ht="38.25" customHeight="1" thickBot="1">
      <c r="A364" s="392" t="s">
        <v>189</v>
      </c>
      <c r="B364" s="392"/>
      <c r="C364" s="393" t="str">
        <f>+IF(H370&gt;D361,"CUMPLE","NO CUMPLE")</f>
        <v>CUMPLE</v>
      </c>
      <c r="D364" s="393"/>
      <c r="E364" s="412"/>
      <c r="F364" s="412"/>
      <c r="G364" s="412"/>
      <c r="H364" s="412"/>
      <c r="I364" s="412"/>
      <c r="J364" s="412"/>
      <c r="K364" s="412"/>
      <c r="L364" s="412"/>
      <c r="M364" s="412"/>
      <c r="N364" s="412"/>
      <c r="O364" s="412"/>
      <c r="P364" s="412"/>
      <c r="Q364" s="412"/>
      <c r="R364" s="412"/>
    </row>
    <row r="365" spans="1:18" ht="87" customHeight="1">
      <c r="A365" s="410" t="s">
        <v>190</v>
      </c>
      <c r="B365" s="410"/>
      <c r="C365" s="410"/>
      <c r="D365" s="410"/>
      <c r="E365" s="410"/>
      <c r="F365" s="410"/>
      <c r="G365" s="142"/>
      <c r="H365" s="142"/>
      <c r="I365" s="143" t="s">
        <v>191</v>
      </c>
      <c r="J365" s="144" t="s">
        <v>192</v>
      </c>
      <c r="K365" s="413" t="s">
        <v>193</v>
      </c>
      <c r="L365" s="413"/>
      <c r="M365" s="399" t="s">
        <v>194</v>
      </c>
      <c r="N365" s="399" t="s">
        <v>195</v>
      </c>
      <c r="O365" s="401" t="s">
        <v>196</v>
      </c>
      <c r="P365" s="402"/>
      <c r="Q365" s="399" t="s">
        <v>197</v>
      </c>
      <c r="R365" s="399" t="s">
        <v>198</v>
      </c>
    </row>
    <row r="366" spans="1:18" ht="77.25" customHeight="1" thickBot="1">
      <c r="A366" s="145" t="s">
        <v>199</v>
      </c>
      <c r="B366" s="411" t="s">
        <v>200</v>
      </c>
      <c r="C366" s="411"/>
      <c r="D366" s="146" t="s">
        <v>201</v>
      </c>
      <c r="E366" s="146" t="s">
        <v>202</v>
      </c>
      <c r="F366" s="146" t="s">
        <v>203</v>
      </c>
      <c r="G366" s="147" t="s">
        <v>204</v>
      </c>
      <c r="H366" s="147" t="s">
        <v>205</v>
      </c>
      <c r="I366" s="148" t="s">
        <v>206</v>
      </c>
      <c r="J366" s="148" t="s">
        <v>207</v>
      </c>
      <c r="K366" s="149" t="s">
        <v>208</v>
      </c>
      <c r="L366" s="150" t="s">
        <v>209</v>
      </c>
      <c r="M366" s="400"/>
      <c r="N366" s="400"/>
      <c r="O366" s="403"/>
      <c r="P366" s="404"/>
      <c r="Q366" s="400"/>
      <c r="R366" s="400"/>
    </row>
    <row r="367" spans="1:18" ht="18">
      <c r="A367" s="125" t="str">
        <f>VLOOKUP(A360,'LISTA DE OFERENTES'!$A$4:$G$80,5,FALSE)</f>
        <v>GEAGOR SAS BIC-90%</v>
      </c>
      <c r="B367" s="26"/>
      <c r="C367" s="26"/>
      <c r="D367" s="26"/>
      <c r="E367" s="26"/>
      <c r="F367" s="26"/>
      <c r="G367" s="26"/>
      <c r="H367" s="26"/>
      <c r="I367" s="26"/>
      <c r="J367" s="26"/>
      <c r="K367" s="414">
        <f>$D$628*0.5</f>
        <v>139.86014</v>
      </c>
      <c r="L367" s="132"/>
      <c r="M367" s="416" t="s">
        <v>183</v>
      </c>
      <c r="N367" s="128"/>
      <c r="O367" s="189"/>
      <c r="P367" s="132"/>
      <c r="Q367" s="372" t="str">
        <f>IF(AND(N370="CUMPLE",O370="CUMPLE"),"CUMPLE","NO CUMPLE")</f>
        <v>CUMPLE</v>
      </c>
      <c r="R367" s="141"/>
    </row>
    <row r="368" spans="1:18" s="9" customFormat="1" ht="90">
      <c r="A368" s="197" t="s">
        <v>325</v>
      </c>
      <c r="B368" s="443" t="s">
        <v>326</v>
      </c>
      <c r="C368" s="443"/>
      <c r="D368" s="119">
        <v>1014069015</v>
      </c>
      <c r="E368" s="120">
        <v>2020</v>
      </c>
      <c r="F368" s="121">
        <f>D368/(VLOOKUP(E368,$D$654:$E$687,2,FALSE))</f>
        <v>1155.2353033653337</v>
      </c>
      <c r="G368" s="122">
        <v>0.4</v>
      </c>
      <c r="H368" s="121">
        <f>F368*G368</f>
        <v>462.09412134613353</v>
      </c>
      <c r="I368" s="123">
        <v>44186</v>
      </c>
      <c r="J368" s="116" t="s">
        <v>183</v>
      </c>
      <c r="K368" s="415"/>
      <c r="L368" s="133">
        <f>H368</f>
        <v>462.09412134613353</v>
      </c>
      <c r="M368" s="417"/>
      <c r="N368" s="129" t="s">
        <v>183</v>
      </c>
      <c r="O368" s="375">
        <f>$D$628*0.7</f>
        <v>195.80419599999999</v>
      </c>
      <c r="P368" s="135">
        <f>L368</f>
        <v>462.09412134613353</v>
      </c>
      <c r="Q368" s="373"/>
      <c r="R368" s="96"/>
    </row>
    <row r="369" spans="1:18" ht="28.5" customHeight="1" thickBot="1">
      <c r="A369" s="444" t="str">
        <f>VLOOKUP(A360,'LISTA DE OFERENTES'!$A$4:$G$80,6,FALSE)</f>
        <v>C&amp;J DISEÑO Y  CONSTRUCCION DE OBRAS  CIVILES LTDA - 10%</v>
      </c>
      <c r="B369" s="445"/>
      <c r="C369" s="445"/>
      <c r="D369" s="126"/>
      <c r="E369" s="126"/>
      <c r="F369" s="126"/>
      <c r="G369" s="127"/>
      <c r="H369" s="126"/>
      <c r="I369" s="126"/>
      <c r="J369" s="126"/>
      <c r="K369" s="415"/>
      <c r="L369" s="134"/>
      <c r="M369" s="417"/>
      <c r="N369" s="130"/>
      <c r="O369" s="377"/>
      <c r="P369" s="136"/>
      <c r="Q369" s="373"/>
      <c r="R369" s="27"/>
    </row>
    <row r="370" spans="1:18" s="9" customFormat="1" ht="48" customHeight="1" thickBot="1">
      <c r="A370" s="394" t="s">
        <v>210</v>
      </c>
      <c r="B370" s="394"/>
      <c r="C370" s="394"/>
      <c r="D370" s="394"/>
      <c r="E370" s="394"/>
      <c r="F370" s="190">
        <f>+SUM(F368:F369)</f>
        <v>1155.2353033653337</v>
      </c>
      <c r="G370" s="37"/>
      <c r="H370" s="190">
        <f>+SUM(H368:H369)</f>
        <v>462.09412134613353</v>
      </c>
      <c r="I370" s="395" t="s">
        <v>211</v>
      </c>
      <c r="J370" s="396"/>
      <c r="K370" s="396"/>
      <c r="L370" s="396"/>
      <c r="M370" s="397"/>
      <c r="N370" s="138" t="s">
        <v>183</v>
      </c>
      <c r="O370" s="138" t="s">
        <v>183</v>
      </c>
      <c r="P370" s="139">
        <f>SUM(P368:P369)</f>
        <v>462.09412134613353</v>
      </c>
      <c r="Q370" s="374"/>
      <c r="R370" s="140" t="str">
        <f>+IF(AND(M367="CUMPLE",Q367="CUMPLE",C364="CUMPLE"),"HABILITADO","NO HABILITADO")</f>
        <v>HABILITADO</v>
      </c>
    </row>
    <row r="371" spans="1:18" ht="16.5" thickBot="1">
      <c r="A371" s="3"/>
      <c r="B371" s="3"/>
      <c r="C371" s="3"/>
      <c r="D371" s="3"/>
      <c r="E371" s="3"/>
      <c r="F371" s="3"/>
      <c r="G371" s="3"/>
      <c r="H371" s="3"/>
      <c r="I371" s="3"/>
      <c r="J371" s="3"/>
      <c r="K371" s="3"/>
      <c r="L371" s="3"/>
      <c r="M371" s="3"/>
      <c r="N371" s="3"/>
      <c r="O371" s="3"/>
      <c r="P371" s="3"/>
      <c r="Q371" s="3"/>
      <c r="R371" s="4"/>
    </row>
    <row r="372" spans="1:18" ht="30.75" customHeight="1" thickBot="1">
      <c r="A372" s="398">
        <f>1+A360</f>
        <v>29</v>
      </c>
      <c r="B372" s="398"/>
      <c r="C372" s="398"/>
      <c r="D372" s="398"/>
      <c r="E372" s="412" t="str">
        <f>VLOOKUP(A372,'REQUISITOS HAB. TECNICOS'!$A$5:$B$80,2,FALSE)</f>
        <v>CONSORCIO EPSILON ENGATIVA</v>
      </c>
      <c r="F372" s="412"/>
      <c r="G372" s="412"/>
      <c r="H372" s="412"/>
      <c r="I372" s="412"/>
      <c r="J372" s="412"/>
      <c r="K372" s="412"/>
      <c r="L372" s="412"/>
      <c r="M372" s="412"/>
      <c r="N372" s="412"/>
      <c r="O372" s="412"/>
      <c r="P372" s="412"/>
      <c r="Q372" s="412"/>
      <c r="R372" s="412"/>
    </row>
    <row r="373" spans="1:18" ht="50.25" customHeight="1" thickBot="1">
      <c r="A373" s="151" t="s">
        <v>185</v>
      </c>
      <c r="B373" s="63">
        <v>2</v>
      </c>
      <c r="C373" s="152" t="s">
        <v>186</v>
      </c>
      <c r="D373" s="153">
        <f>$D$628</f>
        <v>279.72028</v>
      </c>
      <c r="E373" s="412"/>
      <c r="F373" s="412"/>
      <c r="G373" s="412"/>
      <c r="H373" s="412"/>
      <c r="I373" s="412"/>
      <c r="J373" s="412"/>
      <c r="K373" s="412"/>
      <c r="L373" s="412"/>
      <c r="M373" s="412"/>
      <c r="N373" s="412"/>
      <c r="O373" s="412"/>
      <c r="P373" s="412"/>
      <c r="Q373" s="412"/>
      <c r="R373" s="412"/>
    </row>
    <row r="374" spans="1:18" ht="23.25" customHeight="1" thickBot="1">
      <c r="A374" s="388" t="s">
        <v>187</v>
      </c>
      <c r="B374" s="388"/>
      <c r="C374" s="389">
        <f>H384/B373</f>
        <v>738.28760199470275</v>
      </c>
      <c r="D374" s="389"/>
      <c r="E374" s="412"/>
      <c r="F374" s="412"/>
      <c r="G374" s="412"/>
      <c r="H374" s="412"/>
      <c r="I374" s="412"/>
      <c r="J374" s="412"/>
      <c r="K374" s="412"/>
      <c r="L374" s="412"/>
      <c r="M374" s="412"/>
      <c r="N374" s="412"/>
      <c r="O374" s="412"/>
      <c r="P374" s="412"/>
      <c r="Q374" s="412"/>
      <c r="R374" s="412"/>
    </row>
    <row r="375" spans="1:18" ht="23.25" customHeight="1" thickBot="1">
      <c r="A375" s="390" t="s">
        <v>188</v>
      </c>
      <c r="B375" s="390"/>
      <c r="C375" s="391">
        <v>45610</v>
      </c>
      <c r="D375" s="391"/>
      <c r="E375" s="412"/>
      <c r="F375" s="412"/>
      <c r="G375" s="412"/>
      <c r="H375" s="412"/>
      <c r="I375" s="412"/>
      <c r="J375" s="412"/>
      <c r="K375" s="412"/>
      <c r="L375" s="412"/>
      <c r="M375" s="412"/>
      <c r="N375" s="412"/>
      <c r="O375" s="412"/>
      <c r="P375" s="412"/>
      <c r="Q375" s="412"/>
      <c r="R375" s="412"/>
    </row>
    <row r="376" spans="1:18" ht="38.25" customHeight="1" thickBot="1">
      <c r="A376" s="392" t="s">
        <v>189</v>
      </c>
      <c r="B376" s="392"/>
      <c r="C376" s="393" t="str">
        <f>+IF(H384&gt;D373,"CUMPLE","NO CUMPLE")</f>
        <v>CUMPLE</v>
      </c>
      <c r="D376" s="393"/>
      <c r="E376" s="412"/>
      <c r="F376" s="412"/>
      <c r="G376" s="412"/>
      <c r="H376" s="412"/>
      <c r="I376" s="412"/>
      <c r="J376" s="412"/>
      <c r="K376" s="412"/>
      <c r="L376" s="412"/>
      <c r="M376" s="412"/>
      <c r="N376" s="412"/>
      <c r="O376" s="412"/>
      <c r="P376" s="412"/>
      <c r="Q376" s="412"/>
      <c r="R376" s="412"/>
    </row>
    <row r="377" spans="1:18" ht="87" customHeight="1">
      <c r="A377" s="410" t="s">
        <v>190</v>
      </c>
      <c r="B377" s="410"/>
      <c r="C377" s="410"/>
      <c r="D377" s="410"/>
      <c r="E377" s="410"/>
      <c r="F377" s="410"/>
      <c r="G377" s="142"/>
      <c r="H377" s="142"/>
      <c r="I377" s="143" t="s">
        <v>191</v>
      </c>
      <c r="J377" s="144" t="s">
        <v>192</v>
      </c>
      <c r="K377" s="413" t="s">
        <v>193</v>
      </c>
      <c r="L377" s="413"/>
      <c r="M377" s="399" t="s">
        <v>194</v>
      </c>
      <c r="N377" s="399" t="s">
        <v>195</v>
      </c>
      <c r="O377" s="401" t="s">
        <v>196</v>
      </c>
      <c r="P377" s="402"/>
      <c r="Q377" s="399" t="s">
        <v>197</v>
      </c>
      <c r="R377" s="399" t="s">
        <v>198</v>
      </c>
    </row>
    <row r="378" spans="1:18" ht="77.25" customHeight="1" thickBot="1">
      <c r="A378" s="145" t="s">
        <v>199</v>
      </c>
      <c r="B378" s="411" t="s">
        <v>200</v>
      </c>
      <c r="C378" s="411"/>
      <c r="D378" s="146" t="s">
        <v>201</v>
      </c>
      <c r="E378" s="146" t="s">
        <v>202</v>
      </c>
      <c r="F378" s="146" t="s">
        <v>203</v>
      </c>
      <c r="G378" s="147" t="s">
        <v>204</v>
      </c>
      <c r="H378" s="147" t="s">
        <v>205</v>
      </c>
      <c r="I378" s="148" t="s">
        <v>206</v>
      </c>
      <c r="J378" s="148" t="s">
        <v>207</v>
      </c>
      <c r="K378" s="149" t="s">
        <v>208</v>
      </c>
      <c r="L378" s="150" t="s">
        <v>209</v>
      </c>
      <c r="M378" s="400"/>
      <c r="N378" s="400"/>
      <c r="O378" s="403"/>
      <c r="P378" s="404"/>
      <c r="Q378" s="400"/>
      <c r="R378" s="400"/>
    </row>
    <row r="379" spans="1:18" ht="18">
      <c r="A379" s="125" t="str">
        <f>VLOOKUP(A372,'LISTA DE OFERENTES'!$A$4:$G$80,5,FALSE)</f>
        <v>PROYECTOS E INTERVENTORÍAS S.A.S – PI S.A.S - 70%</v>
      </c>
      <c r="B379" s="26"/>
      <c r="C379" s="26"/>
      <c r="D379" s="26"/>
      <c r="E379" s="26"/>
      <c r="F379" s="26"/>
      <c r="G379" s="26"/>
      <c r="H379" s="26"/>
      <c r="I379" s="26"/>
      <c r="J379" s="26"/>
      <c r="K379" s="414">
        <f>$D$628*0.5</f>
        <v>139.86014</v>
      </c>
      <c r="L379" s="132"/>
      <c r="M379" s="416" t="s">
        <v>183</v>
      </c>
      <c r="N379" s="128"/>
      <c r="O379" s="189"/>
      <c r="P379" s="132"/>
      <c r="Q379" s="372" t="str">
        <f>IF(AND(N384="CUMPLE",O384="CUMPLE"),"CUMPLE","NO CUMPLE")</f>
        <v>CUMPLE</v>
      </c>
      <c r="R379" s="141"/>
    </row>
    <row r="380" spans="1:18" s="9" customFormat="1" ht="90">
      <c r="A380" s="118" t="s">
        <v>327</v>
      </c>
      <c r="B380" s="371" t="s">
        <v>214</v>
      </c>
      <c r="C380" s="439"/>
      <c r="D380" s="119">
        <v>921384146</v>
      </c>
      <c r="E380" s="120">
        <v>2017</v>
      </c>
      <c r="F380" s="121">
        <f>D380/(VLOOKUP(E380,$D$654:$E$687,2,FALSE))</f>
        <v>1248.9669426080734</v>
      </c>
      <c r="G380" s="122">
        <v>0.5</v>
      </c>
      <c r="H380" s="121">
        <f>F380*G380</f>
        <v>624.4834713040367</v>
      </c>
      <c r="I380" s="123">
        <v>42859</v>
      </c>
      <c r="J380" s="116" t="s">
        <v>183</v>
      </c>
      <c r="K380" s="415"/>
      <c r="L380" s="133">
        <f>H380</f>
        <v>624.4834713040367</v>
      </c>
      <c r="M380" s="417"/>
      <c r="N380" s="129" t="s">
        <v>183</v>
      </c>
      <c r="O380" s="375">
        <f>$D$628*0.7</f>
        <v>195.80419599999999</v>
      </c>
      <c r="P380" s="135">
        <f>L380</f>
        <v>624.4834713040367</v>
      </c>
      <c r="Q380" s="373"/>
      <c r="R380" s="312" t="s">
        <v>492</v>
      </c>
    </row>
    <row r="381" spans="1:18" s="9" customFormat="1" ht="90">
      <c r="A381" s="118" t="s">
        <v>328</v>
      </c>
      <c r="B381" s="371" t="s">
        <v>329</v>
      </c>
      <c r="C381" s="439"/>
      <c r="D381" s="119">
        <v>270543515</v>
      </c>
      <c r="E381" s="120">
        <v>2012</v>
      </c>
      <c r="F381" s="121">
        <f>D381/(VLOOKUP(E381,$D$654:$E$687,2,FALSE))</f>
        <v>477.40164990294687</v>
      </c>
      <c r="G381" s="122">
        <v>1</v>
      </c>
      <c r="H381" s="121">
        <f>F381*G381</f>
        <v>477.40164990294687</v>
      </c>
      <c r="I381" s="124">
        <v>41058</v>
      </c>
      <c r="J381" s="116" t="s">
        <v>183</v>
      </c>
      <c r="K381" s="415"/>
      <c r="L381" s="133">
        <f>H381</f>
        <v>477.40164990294687</v>
      </c>
      <c r="M381" s="417"/>
      <c r="N381" s="129" t="s">
        <v>183</v>
      </c>
      <c r="O381" s="377"/>
      <c r="P381" s="135"/>
      <c r="Q381" s="373"/>
      <c r="R381" s="96"/>
    </row>
    <row r="382" spans="1:18" ht="36">
      <c r="A382" s="125" t="str">
        <f>VLOOKUP(A372,'LISTA DE OFERENTES'!$A$4:$G$80,6,FALSE)</f>
        <v>INGENIERÍA DE ESTUDIOS Y ASESORIAS S.A.S. INESAS S.A.S - 30%</v>
      </c>
      <c r="B382" s="126"/>
      <c r="C382" s="126"/>
      <c r="D382" s="126"/>
      <c r="E382" s="126"/>
      <c r="F382" s="126"/>
      <c r="G382" s="127"/>
      <c r="H382" s="126"/>
      <c r="I382" s="126"/>
      <c r="J382" s="126"/>
      <c r="K382" s="415"/>
      <c r="L382" s="134"/>
      <c r="M382" s="417"/>
      <c r="N382" s="130"/>
      <c r="O382" s="377"/>
      <c r="P382" s="136"/>
      <c r="Q382" s="373"/>
      <c r="R382" s="27"/>
    </row>
    <row r="383" spans="1:18" s="9" customFormat="1" ht="90">
      <c r="A383" s="118" t="s">
        <v>327</v>
      </c>
      <c r="B383" s="371" t="s">
        <v>214</v>
      </c>
      <c r="C383" s="439"/>
      <c r="D383" s="119">
        <v>921384146</v>
      </c>
      <c r="E383" s="120">
        <v>2017</v>
      </c>
      <c r="F383" s="121">
        <f>D383/(VLOOKUP(E383,$D$654:$E$687,2,FALSE))</f>
        <v>1248.9669426080734</v>
      </c>
      <c r="G383" s="122">
        <v>0.3</v>
      </c>
      <c r="H383" s="121">
        <f>F383*G383</f>
        <v>374.690082782422</v>
      </c>
      <c r="I383" s="123">
        <v>42859</v>
      </c>
      <c r="J383" s="116" t="s">
        <v>183</v>
      </c>
      <c r="K383" s="415"/>
      <c r="L383" s="133">
        <f>H383</f>
        <v>374.690082782422</v>
      </c>
      <c r="M383" s="417"/>
      <c r="N383" s="129" t="s">
        <v>183</v>
      </c>
      <c r="O383" s="377"/>
      <c r="P383" s="135">
        <f>L383</f>
        <v>374.690082782422</v>
      </c>
      <c r="Q383" s="373"/>
      <c r="R383" s="312" t="s">
        <v>492</v>
      </c>
    </row>
    <row r="384" spans="1:18" s="9" customFormat="1" ht="48" customHeight="1">
      <c r="A384" s="394" t="s">
        <v>210</v>
      </c>
      <c r="B384" s="394"/>
      <c r="C384" s="394"/>
      <c r="D384" s="394"/>
      <c r="E384" s="394"/>
      <c r="F384" s="190">
        <f>+SUM(F380:F383)</f>
        <v>2975.3355351190939</v>
      </c>
      <c r="G384" s="37"/>
      <c r="H384" s="190">
        <f>+SUM(H380:H383)</f>
        <v>1476.5752039894055</v>
      </c>
      <c r="I384" s="395" t="s">
        <v>211</v>
      </c>
      <c r="J384" s="396"/>
      <c r="K384" s="396"/>
      <c r="L384" s="396"/>
      <c r="M384" s="397"/>
      <c r="N384" s="138" t="s">
        <v>183</v>
      </c>
      <c r="O384" s="138" t="str">
        <f>IF(P384&gt;O380,"CUMPLE","NO CUMPLE")</f>
        <v>CUMPLE</v>
      </c>
      <c r="P384" s="139">
        <f>SUM(P380:P383)</f>
        <v>999.17355408645869</v>
      </c>
      <c r="Q384" s="374"/>
      <c r="R384" s="140" t="str">
        <f>+IF(AND(M379="CUMPLE",Q379="CUMPLE",C376="CUMPLE"),"HABILITADO","NO HABILITADO")</f>
        <v>HABILITADO</v>
      </c>
    </row>
    <row r="385" spans="1:18" ht="16.5" thickBot="1">
      <c r="A385" s="3"/>
      <c r="B385" s="3"/>
      <c r="C385" s="3"/>
      <c r="D385" s="3"/>
      <c r="E385" s="3"/>
      <c r="F385" s="3"/>
      <c r="G385" s="3"/>
      <c r="H385" s="3"/>
      <c r="I385" s="3"/>
      <c r="J385" s="3"/>
      <c r="K385" s="3"/>
      <c r="L385" s="3"/>
      <c r="M385" s="3"/>
      <c r="N385" s="3"/>
      <c r="O385" s="3"/>
      <c r="P385" s="3"/>
      <c r="Q385" s="3"/>
      <c r="R385" s="4"/>
    </row>
    <row r="386" spans="1:18" ht="30.75" customHeight="1" thickBot="1">
      <c r="A386" s="398">
        <f>1+A372</f>
        <v>30</v>
      </c>
      <c r="B386" s="398"/>
      <c r="C386" s="398"/>
      <c r="D386" s="398"/>
      <c r="E386" s="412" t="str">
        <f>VLOOKUP(A386,'REQUISITOS HAB. TECNICOS'!$A$5:$B$80,2,FALSE)</f>
        <v>CONSORCIO IA PLUS 2024</v>
      </c>
      <c r="F386" s="412"/>
      <c r="G386" s="412"/>
      <c r="H386" s="412"/>
      <c r="I386" s="412"/>
      <c r="J386" s="412"/>
      <c r="K386" s="412"/>
      <c r="L386" s="412"/>
      <c r="M386" s="412"/>
      <c r="N386" s="412"/>
      <c r="O386" s="412"/>
      <c r="P386" s="412"/>
      <c r="Q386" s="412"/>
      <c r="R386" s="412"/>
    </row>
    <row r="387" spans="1:18" ht="50.25" customHeight="1" thickBot="1">
      <c r="A387" s="151" t="s">
        <v>185</v>
      </c>
      <c r="B387" s="63">
        <v>5</v>
      </c>
      <c r="C387" s="152" t="s">
        <v>186</v>
      </c>
      <c r="D387" s="153">
        <f>$D$628</f>
        <v>279.72028</v>
      </c>
      <c r="E387" s="412"/>
      <c r="F387" s="412"/>
      <c r="G387" s="412"/>
      <c r="H387" s="412"/>
      <c r="I387" s="412"/>
      <c r="J387" s="412"/>
      <c r="K387" s="412"/>
      <c r="L387" s="412"/>
      <c r="M387" s="412"/>
      <c r="N387" s="412"/>
      <c r="O387" s="412"/>
      <c r="P387" s="412"/>
      <c r="Q387" s="412"/>
      <c r="R387" s="412"/>
    </row>
    <row r="388" spans="1:18" ht="23.25" customHeight="1" thickBot="1">
      <c r="A388" s="388" t="s">
        <v>187</v>
      </c>
      <c r="B388" s="388"/>
      <c r="C388" s="389" t="e">
        <f>H399/B387</f>
        <v>#N/A</v>
      </c>
      <c r="D388" s="389"/>
      <c r="E388" s="412"/>
      <c r="F388" s="412"/>
      <c r="G388" s="412"/>
      <c r="H388" s="412"/>
      <c r="I388" s="412"/>
      <c r="J388" s="412"/>
      <c r="K388" s="412"/>
      <c r="L388" s="412"/>
      <c r="M388" s="412"/>
      <c r="N388" s="412"/>
      <c r="O388" s="412"/>
      <c r="P388" s="412"/>
      <c r="Q388" s="412"/>
      <c r="R388" s="412"/>
    </row>
    <row r="389" spans="1:18" ht="23.25" customHeight="1" thickBot="1">
      <c r="A389" s="390" t="s">
        <v>188</v>
      </c>
      <c r="B389" s="390"/>
      <c r="C389" s="391">
        <v>45610</v>
      </c>
      <c r="D389" s="391"/>
      <c r="E389" s="412"/>
      <c r="F389" s="412"/>
      <c r="G389" s="412"/>
      <c r="H389" s="412"/>
      <c r="I389" s="412"/>
      <c r="J389" s="412"/>
      <c r="K389" s="412"/>
      <c r="L389" s="412"/>
      <c r="M389" s="412"/>
      <c r="N389" s="412"/>
      <c r="O389" s="412"/>
      <c r="P389" s="412"/>
      <c r="Q389" s="412"/>
      <c r="R389" s="412"/>
    </row>
    <row r="390" spans="1:18" ht="38.25" customHeight="1" thickBot="1">
      <c r="A390" s="392" t="s">
        <v>189</v>
      </c>
      <c r="B390" s="392"/>
      <c r="C390" s="393" t="e">
        <f>+IF(H399&gt;D387,"CUMPLE","NO CUMPLE")</f>
        <v>#N/A</v>
      </c>
      <c r="D390" s="393"/>
      <c r="E390" s="412"/>
      <c r="F390" s="412"/>
      <c r="G390" s="412"/>
      <c r="H390" s="412"/>
      <c r="I390" s="412"/>
      <c r="J390" s="412"/>
      <c r="K390" s="412"/>
      <c r="L390" s="412"/>
      <c r="M390" s="412"/>
      <c r="N390" s="412"/>
      <c r="O390" s="412"/>
      <c r="P390" s="412"/>
      <c r="Q390" s="412"/>
      <c r="R390" s="412"/>
    </row>
    <row r="391" spans="1:18" ht="87" customHeight="1">
      <c r="A391" s="410" t="s">
        <v>190</v>
      </c>
      <c r="B391" s="410"/>
      <c r="C391" s="410"/>
      <c r="D391" s="410"/>
      <c r="E391" s="410"/>
      <c r="F391" s="410"/>
      <c r="G391" s="142"/>
      <c r="H391" s="142"/>
      <c r="I391" s="143" t="s">
        <v>191</v>
      </c>
      <c r="J391" s="144" t="s">
        <v>192</v>
      </c>
      <c r="K391" s="413" t="s">
        <v>193</v>
      </c>
      <c r="L391" s="413"/>
      <c r="M391" s="399" t="s">
        <v>194</v>
      </c>
      <c r="N391" s="399" t="s">
        <v>195</v>
      </c>
      <c r="O391" s="401" t="s">
        <v>196</v>
      </c>
      <c r="P391" s="402"/>
      <c r="Q391" s="399" t="s">
        <v>197</v>
      </c>
      <c r="R391" s="399" t="s">
        <v>198</v>
      </c>
    </row>
    <row r="392" spans="1:18" ht="77.25" customHeight="1">
      <c r="A392" s="145" t="s">
        <v>199</v>
      </c>
      <c r="B392" s="411" t="s">
        <v>200</v>
      </c>
      <c r="C392" s="411"/>
      <c r="D392" s="146" t="s">
        <v>201</v>
      </c>
      <c r="E392" s="146" t="s">
        <v>202</v>
      </c>
      <c r="F392" s="146" t="s">
        <v>203</v>
      </c>
      <c r="G392" s="147" t="s">
        <v>204</v>
      </c>
      <c r="H392" s="147" t="s">
        <v>205</v>
      </c>
      <c r="I392" s="148" t="s">
        <v>206</v>
      </c>
      <c r="J392" s="148" t="s">
        <v>207</v>
      </c>
      <c r="K392" s="149" t="s">
        <v>208</v>
      </c>
      <c r="L392" s="150" t="s">
        <v>209</v>
      </c>
      <c r="M392" s="400"/>
      <c r="N392" s="400"/>
      <c r="O392" s="403"/>
      <c r="P392" s="404"/>
      <c r="Q392" s="400"/>
      <c r="R392" s="400"/>
    </row>
    <row r="393" spans="1:18" ht="36.75" customHeight="1">
      <c r="A393" s="125" t="str">
        <f>VLOOKUP(A386,'LISTA DE OFERENTES'!$A$4:$G$80,5,FALSE)</f>
        <v>IA INGENIERIA Y ARQUITECTURA DE COLOMBIA SAS - 50%</v>
      </c>
      <c r="B393" s="26"/>
      <c r="C393" s="26"/>
      <c r="D393" s="26"/>
      <c r="E393" s="26"/>
      <c r="F393" s="26"/>
      <c r="G393" s="26"/>
      <c r="H393" s="26"/>
      <c r="I393" s="26"/>
      <c r="J393" s="26"/>
      <c r="K393" s="414">
        <f>$D$628*0.5</f>
        <v>139.86014</v>
      </c>
      <c r="L393" s="132"/>
      <c r="M393" s="416"/>
      <c r="N393" s="128"/>
      <c r="O393" s="189"/>
      <c r="P393" s="132"/>
      <c r="Q393" s="372" t="str">
        <f>IF(AND(N399="CUMPLE",O399="CUMPLE"),"CUMPLE","NO CUMPLE")</f>
        <v>NO CUMPLE</v>
      </c>
      <c r="R393" s="446" t="s">
        <v>330</v>
      </c>
    </row>
    <row r="394" spans="1:18" s="9" customFormat="1" ht="23.25">
      <c r="A394" s="118"/>
      <c r="B394" s="371"/>
      <c r="C394" s="371"/>
      <c r="D394" s="119"/>
      <c r="E394" s="120"/>
      <c r="F394" s="121" t="e">
        <f>D394/(VLOOKUP(E394,$D$654:$E$687,2,FALSE))</f>
        <v>#N/A</v>
      </c>
      <c r="G394" s="122">
        <v>0.2</v>
      </c>
      <c r="H394" s="121" t="e">
        <f>F394*G394</f>
        <v>#N/A</v>
      </c>
      <c r="I394" s="123"/>
      <c r="J394" s="116"/>
      <c r="K394" s="415"/>
      <c r="L394" s="133" t="e">
        <f>H394</f>
        <v>#N/A</v>
      </c>
      <c r="M394" s="417"/>
      <c r="N394" s="129"/>
      <c r="O394" s="375">
        <f>$D$628*0.7</f>
        <v>195.80419599999999</v>
      </c>
      <c r="P394" s="135"/>
      <c r="Q394" s="373"/>
      <c r="R394" s="447"/>
    </row>
    <row r="395" spans="1:18" s="9" customFormat="1" ht="23.25">
      <c r="A395" s="118"/>
      <c r="B395" s="371"/>
      <c r="C395" s="371"/>
      <c r="D395" s="119"/>
      <c r="E395" s="120"/>
      <c r="F395" s="121" t="e">
        <f>D395/(VLOOKUP(E395,$D$654:$E$687,2,FALSE))</f>
        <v>#N/A</v>
      </c>
      <c r="G395" s="122">
        <v>0.2</v>
      </c>
      <c r="H395" s="121" t="e">
        <f>F395*G395</f>
        <v>#N/A</v>
      </c>
      <c r="I395" s="124"/>
      <c r="J395" s="131"/>
      <c r="K395" s="415"/>
      <c r="L395" s="133" t="e">
        <f>H395</f>
        <v>#N/A</v>
      </c>
      <c r="M395" s="417"/>
      <c r="N395" s="129"/>
      <c r="O395" s="377"/>
      <c r="P395" s="135"/>
      <c r="Q395" s="373"/>
      <c r="R395" s="447"/>
    </row>
    <row r="396" spans="1:18" ht="23.25" customHeight="1">
      <c r="A396" s="125" t="str">
        <f>VLOOKUP(A386,'LISTA DE OFERENTES'!$A$4:$G$80,6,FALSE)</f>
        <v>DIEZ PLUS INGENIERÍA SAS - 50%</v>
      </c>
      <c r="B396" s="126"/>
      <c r="C396" s="126"/>
      <c r="D396" s="126"/>
      <c r="E396" s="126"/>
      <c r="F396" s="126"/>
      <c r="G396" s="127"/>
      <c r="H396" s="126"/>
      <c r="I396" s="126"/>
      <c r="J396" s="126"/>
      <c r="K396" s="415"/>
      <c r="L396" s="134"/>
      <c r="M396" s="417"/>
      <c r="N396" s="130"/>
      <c r="O396" s="377"/>
      <c r="P396" s="136"/>
      <c r="Q396" s="373"/>
      <c r="R396" s="447"/>
    </row>
    <row r="397" spans="1:18" s="9" customFormat="1" ht="23.25">
      <c r="A397" s="118"/>
      <c r="B397" s="371"/>
      <c r="C397" s="371"/>
      <c r="D397" s="119"/>
      <c r="E397" s="120"/>
      <c r="F397" s="121" t="e">
        <f>D397/(VLOOKUP(E397,$D$654:$E$687,2,FALSE))</f>
        <v>#N/A</v>
      </c>
      <c r="G397" s="122">
        <v>0.2</v>
      </c>
      <c r="H397" s="121" t="e">
        <f>F397*G397</f>
        <v>#N/A</v>
      </c>
      <c r="I397" s="123"/>
      <c r="J397" s="116"/>
      <c r="K397" s="415"/>
      <c r="L397" s="133" t="e">
        <f>H397</f>
        <v>#N/A</v>
      </c>
      <c r="M397" s="417"/>
      <c r="N397" s="129"/>
      <c r="O397" s="377"/>
      <c r="P397" s="135"/>
      <c r="Q397" s="373"/>
      <c r="R397" s="447"/>
    </row>
    <row r="398" spans="1:18" s="9" customFormat="1" ht="23.25">
      <c r="A398" s="118"/>
      <c r="B398" s="371"/>
      <c r="C398" s="371"/>
      <c r="D398" s="119"/>
      <c r="E398" s="120"/>
      <c r="F398" s="121" t="e">
        <f>D398/(VLOOKUP(E398,$D$654:$E$687,2,FALSE))</f>
        <v>#N/A</v>
      </c>
      <c r="G398" s="122">
        <v>0.2</v>
      </c>
      <c r="H398" s="121" t="e">
        <f>F398*G398</f>
        <v>#N/A</v>
      </c>
      <c r="I398" s="124"/>
      <c r="J398" s="131"/>
      <c r="K398" s="415"/>
      <c r="L398" s="133" t="e">
        <f>H398</f>
        <v>#N/A</v>
      </c>
      <c r="M398" s="417"/>
      <c r="N398" s="129"/>
      <c r="O398" s="377"/>
      <c r="P398" s="135"/>
      <c r="Q398" s="373"/>
      <c r="R398" s="448"/>
    </row>
    <row r="399" spans="1:18" s="9" customFormat="1" ht="48" customHeight="1">
      <c r="A399" s="394" t="s">
        <v>210</v>
      </c>
      <c r="B399" s="394"/>
      <c r="C399" s="394"/>
      <c r="D399" s="394"/>
      <c r="E399" s="394"/>
      <c r="F399" s="190" t="e">
        <f>+SUM(F394:F398)</f>
        <v>#N/A</v>
      </c>
      <c r="G399" s="37"/>
      <c r="H399" s="190" t="e">
        <f>+SUM(H394:H398)</f>
        <v>#N/A</v>
      </c>
      <c r="I399" s="395" t="s">
        <v>211</v>
      </c>
      <c r="J399" s="396"/>
      <c r="K399" s="396"/>
      <c r="L399" s="396"/>
      <c r="M399" s="397"/>
      <c r="N399" s="138"/>
      <c r="O399" s="138" t="str">
        <f>IF(P399&gt;O394,"CUMPLE","NO CUMPLE")</f>
        <v>NO CUMPLE</v>
      </c>
      <c r="P399" s="139">
        <f>SUM(P394:P398)</f>
        <v>0</v>
      </c>
      <c r="Q399" s="374"/>
      <c r="R399" s="140" t="s">
        <v>212</v>
      </c>
    </row>
    <row r="400" spans="1:18" ht="16.5" thickBot="1">
      <c r="A400" s="3"/>
      <c r="B400" s="3"/>
      <c r="C400" s="3"/>
      <c r="D400" s="3"/>
      <c r="E400" s="3"/>
      <c r="F400" s="3"/>
      <c r="G400" s="3"/>
      <c r="H400" s="3"/>
      <c r="I400" s="3"/>
      <c r="J400" s="3"/>
      <c r="K400" s="3"/>
      <c r="L400" s="3"/>
      <c r="M400" s="3"/>
      <c r="N400" s="3"/>
      <c r="O400" s="3"/>
      <c r="P400" s="3"/>
      <c r="Q400" s="3"/>
      <c r="R400" s="4"/>
    </row>
    <row r="401" spans="1:18" ht="30.75" customHeight="1" thickBot="1">
      <c r="A401" s="398">
        <f>1+A386</f>
        <v>31</v>
      </c>
      <c r="B401" s="398"/>
      <c r="C401" s="398"/>
      <c r="D401" s="398"/>
      <c r="E401" s="412" t="str">
        <f>VLOOKUP(A401,'REQUISITOS HAB. TECNICOS'!$A$5:$B$80,2,FALSE)</f>
        <v>APP CONSULTORES &amp; ESTRUCTURADORES S.A.S</v>
      </c>
      <c r="F401" s="412"/>
      <c r="G401" s="412"/>
      <c r="H401" s="412"/>
      <c r="I401" s="412"/>
      <c r="J401" s="412"/>
      <c r="K401" s="412"/>
      <c r="L401" s="412"/>
      <c r="M401" s="412"/>
      <c r="N401" s="412"/>
      <c r="O401" s="412"/>
      <c r="P401" s="412"/>
      <c r="Q401" s="412"/>
      <c r="R401" s="412"/>
    </row>
    <row r="402" spans="1:18" ht="50.25" customHeight="1" thickBot="1">
      <c r="A402" s="151" t="s">
        <v>185</v>
      </c>
      <c r="B402" s="63">
        <v>1</v>
      </c>
      <c r="C402" s="152" t="s">
        <v>186</v>
      </c>
      <c r="D402" s="153">
        <f>$D$628</f>
        <v>279.72028</v>
      </c>
      <c r="E402" s="412"/>
      <c r="F402" s="412"/>
      <c r="G402" s="412"/>
      <c r="H402" s="412"/>
      <c r="I402" s="412"/>
      <c r="J402" s="412"/>
      <c r="K402" s="412"/>
      <c r="L402" s="412"/>
      <c r="M402" s="412"/>
      <c r="N402" s="412"/>
      <c r="O402" s="412"/>
      <c r="P402" s="412"/>
      <c r="Q402" s="412"/>
      <c r="R402" s="412"/>
    </row>
    <row r="403" spans="1:18" ht="23.25" customHeight="1" thickBot="1">
      <c r="A403" s="388" t="s">
        <v>187</v>
      </c>
      <c r="B403" s="388"/>
      <c r="C403" s="389">
        <f>H410/B402</f>
        <v>567.04840202950459</v>
      </c>
      <c r="D403" s="389"/>
      <c r="E403" s="412"/>
      <c r="F403" s="412"/>
      <c r="G403" s="412"/>
      <c r="H403" s="412"/>
      <c r="I403" s="412"/>
      <c r="J403" s="412"/>
      <c r="K403" s="412"/>
      <c r="L403" s="412"/>
      <c r="M403" s="412"/>
      <c r="N403" s="412"/>
      <c r="O403" s="412"/>
      <c r="P403" s="412"/>
      <c r="Q403" s="412"/>
      <c r="R403" s="412"/>
    </row>
    <row r="404" spans="1:18" ht="23.25" customHeight="1" thickBot="1">
      <c r="A404" s="390" t="s">
        <v>188</v>
      </c>
      <c r="B404" s="390"/>
      <c r="C404" s="391">
        <v>45610</v>
      </c>
      <c r="D404" s="391"/>
      <c r="E404" s="412"/>
      <c r="F404" s="412"/>
      <c r="G404" s="412"/>
      <c r="H404" s="412"/>
      <c r="I404" s="412"/>
      <c r="J404" s="412"/>
      <c r="K404" s="412"/>
      <c r="L404" s="412"/>
      <c r="M404" s="412"/>
      <c r="N404" s="412"/>
      <c r="O404" s="412"/>
      <c r="P404" s="412"/>
      <c r="Q404" s="412"/>
      <c r="R404" s="412"/>
    </row>
    <row r="405" spans="1:18" ht="38.25" customHeight="1" thickBot="1">
      <c r="A405" s="392" t="s">
        <v>189</v>
      </c>
      <c r="B405" s="392"/>
      <c r="C405" s="393" t="str">
        <f>+IF(H410&gt;D402,"CUMPLE","NO CUMPLE")</f>
        <v>CUMPLE</v>
      </c>
      <c r="D405" s="393"/>
      <c r="E405" s="412"/>
      <c r="F405" s="412"/>
      <c r="G405" s="412"/>
      <c r="H405" s="412"/>
      <c r="I405" s="412"/>
      <c r="J405" s="412"/>
      <c r="K405" s="412"/>
      <c r="L405" s="412"/>
      <c r="M405" s="412"/>
      <c r="N405" s="412"/>
      <c r="O405" s="412"/>
      <c r="P405" s="412"/>
      <c r="Q405" s="412"/>
      <c r="R405" s="412"/>
    </row>
    <row r="406" spans="1:18" ht="87" customHeight="1">
      <c r="A406" s="410" t="s">
        <v>190</v>
      </c>
      <c r="B406" s="410"/>
      <c r="C406" s="410"/>
      <c r="D406" s="410"/>
      <c r="E406" s="410"/>
      <c r="F406" s="410"/>
      <c r="G406" s="142"/>
      <c r="H406" s="142"/>
      <c r="I406" s="143" t="s">
        <v>191</v>
      </c>
      <c r="J406" s="144" t="s">
        <v>192</v>
      </c>
      <c r="K406" s="413" t="s">
        <v>193</v>
      </c>
      <c r="L406" s="413"/>
      <c r="M406" s="399" t="s">
        <v>194</v>
      </c>
      <c r="N406" s="399" t="s">
        <v>195</v>
      </c>
      <c r="O406" s="401" t="s">
        <v>196</v>
      </c>
      <c r="P406" s="402"/>
      <c r="Q406" s="399" t="s">
        <v>197</v>
      </c>
      <c r="R406" s="399" t="s">
        <v>198</v>
      </c>
    </row>
    <row r="407" spans="1:18" ht="77.25" customHeight="1" thickBot="1">
      <c r="A407" s="145" t="s">
        <v>199</v>
      </c>
      <c r="B407" s="411" t="s">
        <v>200</v>
      </c>
      <c r="C407" s="411"/>
      <c r="D407" s="146" t="s">
        <v>201</v>
      </c>
      <c r="E407" s="146" t="s">
        <v>202</v>
      </c>
      <c r="F407" s="146" t="s">
        <v>203</v>
      </c>
      <c r="G407" s="147" t="s">
        <v>204</v>
      </c>
      <c r="H407" s="147" t="s">
        <v>205</v>
      </c>
      <c r="I407" s="148" t="s">
        <v>206</v>
      </c>
      <c r="J407" s="148" t="s">
        <v>207</v>
      </c>
      <c r="K407" s="149" t="s">
        <v>208</v>
      </c>
      <c r="L407" s="150" t="s">
        <v>209</v>
      </c>
      <c r="M407" s="400"/>
      <c r="N407" s="400"/>
      <c r="O407" s="403"/>
      <c r="P407" s="404"/>
      <c r="Q407" s="400"/>
      <c r="R407" s="400"/>
    </row>
    <row r="408" spans="1:18" ht="36">
      <c r="A408" s="125" t="s">
        <v>331</v>
      </c>
      <c r="B408" s="26"/>
      <c r="C408" s="26"/>
      <c r="D408" s="26"/>
      <c r="E408" s="26"/>
      <c r="F408" s="26"/>
      <c r="G408" s="26"/>
      <c r="H408" s="26"/>
      <c r="I408" s="26"/>
      <c r="J408" s="26"/>
      <c r="K408" s="414">
        <f>$D$628*0.5</f>
        <v>139.86014</v>
      </c>
      <c r="L408" s="132"/>
      <c r="M408" s="416" t="s">
        <v>183</v>
      </c>
      <c r="N408" s="128"/>
      <c r="O408" s="189"/>
      <c r="P408" s="132"/>
      <c r="Q408" s="372" t="str">
        <f>IF(AND(N410="CUMPLE",O410="CUMPLE"),"CUMPLE","NO CUMPLE")</f>
        <v>CUMPLE</v>
      </c>
      <c r="R408" s="141"/>
    </row>
    <row r="409" spans="1:18" s="9" customFormat="1" ht="72">
      <c r="A409" s="118" t="s">
        <v>332</v>
      </c>
      <c r="B409" s="371" t="s">
        <v>333</v>
      </c>
      <c r="C409" s="371"/>
      <c r="D409" s="119">
        <v>418321246</v>
      </c>
      <c r="E409" s="120">
        <v>2017</v>
      </c>
      <c r="F409" s="121">
        <f>D409/(VLOOKUP(E409,$D$654:$E$687,2,FALSE))</f>
        <v>567.04840202950459</v>
      </c>
      <c r="G409" s="122">
        <v>1</v>
      </c>
      <c r="H409" s="121">
        <f>F409*G409</f>
        <v>567.04840202950459</v>
      </c>
      <c r="I409" s="123">
        <v>42845</v>
      </c>
      <c r="J409" s="116" t="s">
        <v>183</v>
      </c>
      <c r="K409" s="415"/>
      <c r="L409" s="133">
        <f>H409</f>
        <v>567.04840202950459</v>
      </c>
      <c r="M409" s="417"/>
      <c r="N409" s="129" t="s">
        <v>183</v>
      </c>
      <c r="O409" s="192">
        <f>$D$628*0.7</f>
        <v>195.80419599999999</v>
      </c>
      <c r="P409" s="135" t="str">
        <f>+M408</f>
        <v>CUMPLE</v>
      </c>
      <c r="Q409" s="373"/>
      <c r="R409" s="96"/>
    </row>
    <row r="410" spans="1:18" s="9" customFormat="1" ht="48" customHeight="1">
      <c r="A410" s="394" t="s">
        <v>210</v>
      </c>
      <c r="B410" s="394"/>
      <c r="C410" s="394"/>
      <c r="D410" s="394"/>
      <c r="E410" s="394"/>
      <c r="F410" s="190">
        <f>+SUM(F409:F409)</f>
        <v>567.04840202950459</v>
      </c>
      <c r="G410" s="37"/>
      <c r="H410" s="190">
        <f>+SUM(H409:H409)</f>
        <v>567.04840202950459</v>
      </c>
      <c r="I410" s="395" t="s">
        <v>211</v>
      </c>
      <c r="J410" s="396"/>
      <c r="K410" s="396"/>
      <c r="L410" s="396"/>
      <c r="M410" s="397"/>
      <c r="N410" s="138" t="s">
        <v>183</v>
      </c>
      <c r="O410" s="138" t="s">
        <v>183</v>
      </c>
      <c r="P410" s="139">
        <f>SUM(P409:P409)</f>
        <v>0</v>
      </c>
      <c r="Q410" s="374"/>
      <c r="R410" s="140" t="str">
        <f>+IF(AND(M408="CUMPLE",Q408="CUMPLE",C405="CUMPLE"),"HABILITADO","NO HABILITADO")</f>
        <v>HABILITADO</v>
      </c>
    </row>
    <row r="411" spans="1:18" ht="16.5" thickBot="1">
      <c r="A411" s="3"/>
      <c r="B411" s="3"/>
      <c r="C411" s="3"/>
      <c r="D411" s="3"/>
      <c r="E411" s="3"/>
      <c r="F411" s="3"/>
      <c r="G411" s="3"/>
      <c r="H411" s="3"/>
      <c r="I411" s="3"/>
      <c r="J411" s="3"/>
      <c r="K411" s="3"/>
      <c r="L411" s="3"/>
      <c r="M411" s="3"/>
      <c r="N411" s="3"/>
      <c r="O411" s="3"/>
      <c r="P411" s="3"/>
      <c r="Q411" s="3"/>
      <c r="R411" s="4"/>
    </row>
    <row r="412" spans="1:18" ht="30.75" customHeight="1" thickBot="1">
      <c r="A412" s="398">
        <f>1+A401</f>
        <v>32</v>
      </c>
      <c r="B412" s="398"/>
      <c r="C412" s="398"/>
      <c r="D412" s="398"/>
      <c r="E412" s="412" t="str">
        <f>VLOOKUP(A412,'REQUISITOS HAB. TECNICOS'!$A$5:$B$80,2,FALSE)</f>
        <v xml:space="preserve">ARQUITECTURA URBANA LTDA </v>
      </c>
      <c r="F412" s="412"/>
      <c r="G412" s="412"/>
      <c r="H412" s="412"/>
      <c r="I412" s="412"/>
      <c r="J412" s="412"/>
      <c r="K412" s="412"/>
      <c r="L412" s="412"/>
      <c r="M412" s="412"/>
      <c r="N412" s="412"/>
      <c r="O412" s="412"/>
      <c r="P412" s="412"/>
      <c r="Q412" s="412"/>
      <c r="R412" s="412"/>
    </row>
    <row r="413" spans="1:18" ht="50.25" customHeight="1" thickBot="1">
      <c r="A413" s="151" t="s">
        <v>185</v>
      </c>
      <c r="B413" s="63">
        <v>3</v>
      </c>
      <c r="C413" s="152" t="s">
        <v>186</v>
      </c>
      <c r="D413" s="153">
        <f>$D$628</f>
        <v>279.72028</v>
      </c>
      <c r="E413" s="412"/>
      <c r="F413" s="412"/>
      <c r="G413" s="412"/>
      <c r="H413" s="412"/>
      <c r="I413" s="412"/>
      <c r="J413" s="412"/>
      <c r="K413" s="412"/>
      <c r="L413" s="412"/>
      <c r="M413" s="412"/>
      <c r="N413" s="412"/>
      <c r="O413" s="412"/>
      <c r="P413" s="412"/>
      <c r="Q413" s="412"/>
      <c r="R413" s="412"/>
    </row>
    <row r="414" spans="1:18" ht="23.25" customHeight="1" thickBot="1">
      <c r="A414" s="388" t="s">
        <v>187</v>
      </c>
      <c r="B414" s="388"/>
      <c r="C414" s="389">
        <f>H423/B413</f>
        <v>606.64897237470325</v>
      </c>
      <c r="D414" s="389"/>
      <c r="E414" s="412"/>
      <c r="F414" s="412"/>
      <c r="G414" s="412"/>
      <c r="H414" s="412"/>
      <c r="I414" s="412"/>
      <c r="J414" s="412"/>
      <c r="K414" s="412"/>
      <c r="L414" s="412"/>
      <c r="M414" s="412"/>
      <c r="N414" s="412"/>
      <c r="O414" s="412"/>
      <c r="P414" s="412"/>
      <c r="Q414" s="412"/>
      <c r="R414" s="412"/>
    </row>
    <row r="415" spans="1:18" ht="23.25" customHeight="1" thickBot="1">
      <c r="A415" s="390" t="s">
        <v>188</v>
      </c>
      <c r="B415" s="390"/>
      <c r="C415" s="391">
        <v>45610</v>
      </c>
      <c r="D415" s="391"/>
      <c r="E415" s="412"/>
      <c r="F415" s="412"/>
      <c r="G415" s="412"/>
      <c r="H415" s="412"/>
      <c r="I415" s="412"/>
      <c r="J415" s="412"/>
      <c r="K415" s="412"/>
      <c r="L415" s="412"/>
      <c r="M415" s="412"/>
      <c r="N415" s="412"/>
      <c r="O415" s="412"/>
      <c r="P415" s="412"/>
      <c r="Q415" s="412"/>
      <c r="R415" s="412"/>
    </row>
    <row r="416" spans="1:18" ht="38.25" customHeight="1" thickBot="1">
      <c r="A416" s="392" t="s">
        <v>189</v>
      </c>
      <c r="B416" s="392"/>
      <c r="C416" s="393" t="str">
        <f>+IF(H423&gt;D413,"CUMPLE","NO CUMPLE")</f>
        <v>CUMPLE</v>
      </c>
      <c r="D416" s="393"/>
      <c r="E416" s="412"/>
      <c r="F416" s="412"/>
      <c r="G416" s="412"/>
      <c r="H416" s="412"/>
      <c r="I416" s="412"/>
      <c r="J416" s="412"/>
      <c r="K416" s="412"/>
      <c r="L416" s="412"/>
      <c r="M416" s="412"/>
      <c r="N416" s="412"/>
      <c r="O416" s="412"/>
      <c r="P416" s="412"/>
      <c r="Q416" s="412"/>
      <c r="R416" s="412"/>
    </row>
    <row r="417" spans="1:18" ht="87" customHeight="1">
      <c r="A417" s="410" t="s">
        <v>190</v>
      </c>
      <c r="B417" s="410"/>
      <c r="C417" s="410"/>
      <c r="D417" s="410"/>
      <c r="E417" s="410"/>
      <c r="F417" s="410"/>
      <c r="G417" s="142"/>
      <c r="H417" s="142"/>
      <c r="I417" s="143" t="s">
        <v>191</v>
      </c>
      <c r="J417" s="144" t="s">
        <v>192</v>
      </c>
      <c r="K417" s="413" t="s">
        <v>193</v>
      </c>
      <c r="L417" s="413"/>
      <c r="M417" s="399" t="s">
        <v>194</v>
      </c>
      <c r="N417" s="399" t="s">
        <v>195</v>
      </c>
      <c r="O417" s="401" t="s">
        <v>196</v>
      </c>
      <c r="P417" s="402"/>
      <c r="Q417" s="399" t="s">
        <v>197</v>
      </c>
      <c r="R417" s="399" t="s">
        <v>198</v>
      </c>
    </row>
    <row r="418" spans="1:18" ht="77.25" customHeight="1" thickBot="1">
      <c r="A418" s="145" t="s">
        <v>199</v>
      </c>
      <c r="B418" s="411" t="s">
        <v>200</v>
      </c>
      <c r="C418" s="411"/>
      <c r="D418" s="146" t="s">
        <v>201</v>
      </c>
      <c r="E418" s="146" t="s">
        <v>202</v>
      </c>
      <c r="F418" s="146" t="s">
        <v>203</v>
      </c>
      <c r="G418" s="147" t="s">
        <v>204</v>
      </c>
      <c r="H418" s="147" t="s">
        <v>205</v>
      </c>
      <c r="I418" s="148" t="s">
        <v>206</v>
      </c>
      <c r="J418" s="148" t="s">
        <v>207</v>
      </c>
      <c r="K418" s="149" t="s">
        <v>208</v>
      </c>
      <c r="L418" s="150" t="s">
        <v>209</v>
      </c>
      <c r="M418" s="400"/>
      <c r="N418" s="400"/>
      <c r="O418" s="403"/>
      <c r="P418" s="404"/>
      <c r="Q418" s="400"/>
      <c r="R418" s="400"/>
    </row>
    <row r="419" spans="1:18" ht="18.75" thickBot="1">
      <c r="A419" s="241" t="s">
        <v>334</v>
      </c>
      <c r="B419" s="278"/>
      <c r="C419" s="278"/>
      <c r="D419" s="278"/>
      <c r="E419" s="278"/>
      <c r="F419" s="278"/>
      <c r="G419" s="278"/>
      <c r="H419" s="278"/>
      <c r="I419" s="278"/>
      <c r="J419" s="278"/>
      <c r="K419" s="414">
        <f>$D$628*0.5</f>
        <v>139.86014</v>
      </c>
      <c r="L419" s="132"/>
      <c r="M419" s="416" t="s">
        <v>183</v>
      </c>
      <c r="N419" s="128"/>
      <c r="O419" s="189"/>
      <c r="P419" s="132"/>
      <c r="Q419" s="372" t="str">
        <f>IF(AND(N423="CUMPLE",O423="CUMPLE"),"CUMPLE","NO CUMPLE")</f>
        <v>CUMPLE</v>
      </c>
      <c r="R419" s="141"/>
    </row>
    <row r="420" spans="1:18" s="9" customFormat="1" ht="90" customHeight="1">
      <c r="A420" s="273" t="s">
        <v>335</v>
      </c>
      <c r="B420" s="450" t="s">
        <v>336</v>
      </c>
      <c r="C420" s="451"/>
      <c r="D420" s="274">
        <v>715480350</v>
      </c>
      <c r="E420" s="275">
        <v>2014</v>
      </c>
      <c r="F420" s="276">
        <f>D420/(VLOOKUP(E420,$D$654:$E$687,2,FALSE))</f>
        <v>1161.4940746753248</v>
      </c>
      <c r="G420" s="277">
        <v>0.5</v>
      </c>
      <c r="H420" s="276">
        <f>F420*G420</f>
        <v>580.74703733766239</v>
      </c>
      <c r="I420" s="214">
        <v>41724</v>
      </c>
      <c r="J420" s="313" t="s">
        <v>183</v>
      </c>
      <c r="K420" s="415"/>
      <c r="L420" s="133">
        <f>H420</f>
        <v>580.74703733766239</v>
      </c>
      <c r="M420" s="417"/>
      <c r="N420" s="129" t="s">
        <v>183</v>
      </c>
      <c r="O420" s="375">
        <f>$D$628*0.7</f>
        <v>195.80419599999999</v>
      </c>
      <c r="P420" s="135">
        <f>+L420</f>
        <v>580.74703733766239</v>
      </c>
      <c r="Q420" s="373"/>
      <c r="R420" s="96"/>
    </row>
    <row r="421" spans="1:18" s="9" customFormat="1" ht="144">
      <c r="A421" s="118" t="s">
        <v>337</v>
      </c>
      <c r="B421" s="371" t="s">
        <v>338</v>
      </c>
      <c r="C421" s="371"/>
      <c r="D421" s="119">
        <v>969727793</v>
      </c>
      <c r="E421" s="120">
        <v>2021</v>
      </c>
      <c r="F421" s="121">
        <f>D421/(VLOOKUP(E421,$D$654:$E$687,2,FALSE))</f>
        <v>1067.36383218532</v>
      </c>
      <c r="G421" s="250">
        <v>1</v>
      </c>
      <c r="H421" s="121">
        <f>F421*G421</f>
        <v>1067.36383218532</v>
      </c>
      <c r="I421" s="123">
        <v>44549</v>
      </c>
      <c r="J421" s="116" t="s">
        <v>183</v>
      </c>
      <c r="K421" s="415"/>
      <c r="L421" s="133">
        <f>H421</f>
        <v>1067.36383218532</v>
      </c>
      <c r="M421" s="417"/>
      <c r="N421" s="129" t="s">
        <v>183</v>
      </c>
      <c r="O421" s="377"/>
      <c r="P421" s="135">
        <f t="shared" ref="P421" si="5">+L421</f>
        <v>1067.36383218532</v>
      </c>
      <c r="Q421" s="373"/>
      <c r="R421" s="96"/>
    </row>
    <row r="422" spans="1:18" s="9" customFormat="1" ht="72.75" thickBot="1">
      <c r="A422" s="279" t="s">
        <v>339</v>
      </c>
      <c r="B422" s="452" t="s">
        <v>336</v>
      </c>
      <c r="C422" s="452"/>
      <c r="D422" s="280">
        <v>268491075</v>
      </c>
      <c r="E422" s="281">
        <v>2018</v>
      </c>
      <c r="F422" s="282">
        <f>D422/(VLOOKUP(E422,$D$654:$E$687,2,FALSE))</f>
        <v>343.67209520225487</v>
      </c>
      <c r="G422" s="230">
        <v>0.5</v>
      </c>
      <c r="H422" s="282">
        <f>F422*G422</f>
        <v>171.83604760112743</v>
      </c>
      <c r="I422" s="243">
        <v>43465</v>
      </c>
      <c r="J422" s="283" t="s">
        <v>183</v>
      </c>
      <c r="K422" s="449"/>
      <c r="L422" s="133">
        <f>H422</f>
        <v>171.83604760112743</v>
      </c>
      <c r="M422" s="417"/>
      <c r="N422" s="129" t="s">
        <v>183</v>
      </c>
      <c r="O422" s="377"/>
      <c r="P422" s="135"/>
      <c r="Q422" s="373"/>
      <c r="R422" s="96"/>
    </row>
    <row r="423" spans="1:18" s="9" customFormat="1" ht="48" customHeight="1" thickBot="1">
      <c r="A423" s="394" t="s">
        <v>210</v>
      </c>
      <c r="B423" s="394"/>
      <c r="C423" s="394"/>
      <c r="D423" s="394"/>
      <c r="E423" s="394"/>
      <c r="F423" s="190">
        <f>+SUM(F420:F422)</f>
        <v>2572.5300020628997</v>
      </c>
      <c r="G423" s="37"/>
      <c r="H423" s="190">
        <f>+SUM(H420:H422)</f>
        <v>1819.9469171241096</v>
      </c>
      <c r="I423" s="395" t="s">
        <v>211</v>
      </c>
      <c r="J423" s="396"/>
      <c r="K423" s="396"/>
      <c r="L423" s="396"/>
      <c r="M423" s="397"/>
      <c r="N423" s="138" t="s">
        <v>183</v>
      </c>
      <c r="O423" s="138" t="str">
        <f>IF(P423&gt;O420,"CUMPLE","NO CUMPLE")</f>
        <v>CUMPLE</v>
      </c>
      <c r="P423" s="139">
        <f>SUM(P420:P422)</f>
        <v>1648.1108695229823</v>
      </c>
      <c r="Q423" s="374"/>
      <c r="R423" s="140" t="str">
        <f>+IF(AND(M419="CUMPLE",Q419="CUMPLE",C416="CUMPLE"),"HABILITADO","NO HABILITADO")</f>
        <v>HABILITADO</v>
      </c>
    </row>
    <row r="424" spans="1:18" ht="16.5" thickBot="1">
      <c r="A424" s="3"/>
      <c r="B424" s="3"/>
      <c r="C424" s="3"/>
      <c r="D424" s="3"/>
      <c r="E424" s="3"/>
      <c r="F424" s="3"/>
      <c r="G424" s="3"/>
      <c r="H424" s="3"/>
      <c r="I424" s="3"/>
      <c r="J424" s="3"/>
      <c r="K424" s="3"/>
      <c r="L424" s="3"/>
      <c r="M424" s="3"/>
      <c r="N424" s="3"/>
      <c r="O424" s="3"/>
      <c r="P424" s="3"/>
      <c r="Q424" s="3"/>
      <c r="R424" s="4"/>
    </row>
    <row r="425" spans="1:18" ht="30.75" customHeight="1" thickBot="1">
      <c r="A425" s="398">
        <f>1+A412</f>
        <v>33</v>
      </c>
      <c r="B425" s="398"/>
      <c r="C425" s="398"/>
      <c r="D425" s="398"/>
      <c r="E425" s="412" t="str">
        <f>VLOOKUP(A425,'REQUISITOS HAB. TECNICOS'!$A$5:$B$80,2,FALSE)</f>
        <v>CONSORCIO TABORA</v>
      </c>
      <c r="F425" s="412"/>
      <c r="G425" s="412"/>
      <c r="H425" s="412"/>
      <c r="I425" s="412"/>
      <c r="J425" s="412"/>
      <c r="K425" s="412"/>
      <c r="L425" s="412"/>
      <c r="M425" s="412"/>
      <c r="N425" s="412"/>
      <c r="O425" s="412"/>
      <c r="P425" s="412"/>
      <c r="Q425" s="412"/>
      <c r="R425" s="412"/>
    </row>
    <row r="426" spans="1:18" ht="50.25" customHeight="1" thickBot="1">
      <c r="A426" s="151" t="s">
        <v>185</v>
      </c>
      <c r="B426" s="63">
        <v>1</v>
      </c>
      <c r="C426" s="152" t="s">
        <v>186</v>
      </c>
      <c r="D426" s="153">
        <f>$D$628</f>
        <v>279.72028</v>
      </c>
      <c r="E426" s="412"/>
      <c r="F426" s="412"/>
      <c r="G426" s="412"/>
      <c r="H426" s="412"/>
      <c r="I426" s="412"/>
      <c r="J426" s="412"/>
      <c r="K426" s="412"/>
      <c r="L426" s="412"/>
      <c r="M426" s="412"/>
      <c r="N426" s="412"/>
      <c r="O426" s="412"/>
      <c r="P426" s="412"/>
      <c r="Q426" s="412"/>
      <c r="R426" s="412"/>
    </row>
    <row r="427" spans="1:18" ht="23.25" customHeight="1" thickBot="1">
      <c r="A427" s="388" t="s">
        <v>187</v>
      </c>
      <c r="B427" s="388"/>
      <c r="C427" s="389">
        <f>H434/B426</f>
        <v>741.83333251097633</v>
      </c>
      <c r="D427" s="389"/>
      <c r="E427" s="412"/>
      <c r="F427" s="412"/>
      <c r="G427" s="412"/>
      <c r="H427" s="412"/>
      <c r="I427" s="412"/>
      <c r="J427" s="412"/>
      <c r="K427" s="412"/>
      <c r="L427" s="412"/>
      <c r="M427" s="412"/>
      <c r="N427" s="412"/>
      <c r="O427" s="412"/>
      <c r="P427" s="412"/>
      <c r="Q427" s="412"/>
      <c r="R427" s="412"/>
    </row>
    <row r="428" spans="1:18" ht="23.25" customHeight="1" thickBot="1">
      <c r="A428" s="390" t="s">
        <v>188</v>
      </c>
      <c r="B428" s="390"/>
      <c r="C428" s="391">
        <v>45610</v>
      </c>
      <c r="D428" s="391"/>
      <c r="E428" s="412"/>
      <c r="F428" s="412"/>
      <c r="G428" s="412"/>
      <c r="H428" s="412"/>
      <c r="I428" s="412"/>
      <c r="J428" s="412"/>
      <c r="K428" s="412"/>
      <c r="L428" s="412"/>
      <c r="M428" s="412"/>
      <c r="N428" s="412"/>
      <c r="O428" s="412"/>
      <c r="P428" s="412"/>
      <c r="Q428" s="412"/>
      <c r="R428" s="412"/>
    </row>
    <row r="429" spans="1:18" ht="38.25" customHeight="1" thickBot="1">
      <c r="A429" s="392" t="s">
        <v>189</v>
      </c>
      <c r="B429" s="392"/>
      <c r="C429" s="393" t="str">
        <f>+IF(H434&gt;D426,"CUMPLE","NO CUMPLE")</f>
        <v>CUMPLE</v>
      </c>
      <c r="D429" s="393"/>
      <c r="E429" s="412"/>
      <c r="F429" s="412"/>
      <c r="G429" s="412"/>
      <c r="H429" s="412"/>
      <c r="I429" s="412"/>
      <c r="J429" s="412"/>
      <c r="K429" s="412"/>
      <c r="L429" s="412"/>
      <c r="M429" s="412"/>
      <c r="N429" s="412"/>
      <c r="O429" s="412"/>
      <c r="P429" s="412"/>
      <c r="Q429" s="412"/>
      <c r="R429" s="412"/>
    </row>
    <row r="430" spans="1:18" ht="87" customHeight="1">
      <c r="A430" s="410" t="s">
        <v>190</v>
      </c>
      <c r="B430" s="410"/>
      <c r="C430" s="410"/>
      <c r="D430" s="410"/>
      <c r="E430" s="410"/>
      <c r="F430" s="410"/>
      <c r="G430" s="142"/>
      <c r="H430" s="142"/>
      <c r="I430" s="143" t="s">
        <v>191</v>
      </c>
      <c r="J430" s="144" t="s">
        <v>192</v>
      </c>
      <c r="K430" s="413" t="s">
        <v>193</v>
      </c>
      <c r="L430" s="413"/>
      <c r="M430" s="399" t="s">
        <v>194</v>
      </c>
      <c r="N430" s="399" t="s">
        <v>195</v>
      </c>
      <c r="O430" s="401" t="s">
        <v>196</v>
      </c>
      <c r="P430" s="402"/>
      <c r="Q430" s="399" t="s">
        <v>197</v>
      </c>
      <c r="R430" s="399" t="s">
        <v>198</v>
      </c>
    </row>
    <row r="431" spans="1:18" ht="77.25" customHeight="1" thickBot="1">
      <c r="A431" s="145" t="s">
        <v>199</v>
      </c>
      <c r="B431" s="411" t="s">
        <v>200</v>
      </c>
      <c r="C431" s="411"/>
      <c r="D431" s="146" t="s">
        <v>201</v>
      </c>
      <c r="E431" s="146" t="s">
        <v>202</v>
      </c>
      <c r="F431" s="146" t="s">
        <v>203</v>
      </c>
      <c r="G431" s="147" t="s">
        <v>204</v>
      </c>
      <c r="H431" s="147" t="s">
        <v>205</v>
      </c>
      <c r="I431" s="148" t="s">
        <v>206</v>
      </c>
      <c r="J431" s="148" t="s">
        <v>207</v>
      </c>
      <c r="K431" s="149" t="s">
        <v>208</v>
      </c>
      <c r="L431" s="150" t="s">
        <v>209</v>
      </c>
      <c r="M431" s="400"/>
      <c r="N431" s="400"/>
      <c r="O431" s="403"/>
      <c r="P431" s="404"/>
      <c r="Q431" s="400"/>
      <c r="R431" s="400"/>
    </row>
    <row r="432" spans="1:18" ht="18">
      <c r="A432" s="125" t="str">
        <f>VLOOKUP(A425,'LISTA DE OFERENTES'!$A$4:$G$80,5,FALSE)</f>
        <v>GRUPO CONSULTOR KAPITAL SAS - 90%</v>
      </c>
      <c r="B432" s="26"/>
      <c r="C432" s="26"/>
      <c r="D432" s="26"/>
      <c r="E432" s="26"/>
      <c r="F432" s="26"/>
      <c r="G432" s="26"/>
      <c r="H432" s="26"/>
      <c r="I432" s="26"/>
      <c r="J432" s="26"/>
      <c r="K432" s="414">
        <f>$D$628*0.5</f>
        <v>139.86014</v>
      </c>
      <c r="L432" s="132"/>
      <c r="M432" s="416" t="s">
        <v>183</v>
      </c>
      <c r="N432" s="128"/>
      <c r="O432" s="189"/>
      <c r="P432" s="132"/>
      <c r="Q432" s="372" t="str">
        <f>IF(AND(N434="CUMPLE",O434="CUMPLE"),"CUMPLE","NO CUMPLE")</f>
        <v>CUMPLE</v>
      </c>
      <c r="R432" s="141"/>
    </row>
    <row r="433" spans="1:18" s="9" customFormat="1" ht="198">
      <c r="A433" s="118" t="s">
        <v>340</v>
      </c>
      <c r="B433" s="371" t="s">
        <v>341</v>
      </c>
      <c r="C433" s="371"/>
      <c r="D433" s="119">
        <v>636352396</v>
      </c>
      <c r="E433" s="120">
        <v>2017</v>
      </c>
      <c r="F433" s="121">
        <f>D433/(VLOOKUP(E433,$D$654:$E$687,2,FALSE))</f>
        <v>862.59689826857721</v>
      </c>
      <c r="G433" s="250">
        <v>0.86</v>
      </c>
      <c r="H433" s="121">
        <f>F433*G433</f>
        <v>741.83333251097633</v>
      </c>
      <c r="I433" s="123">
        <v>43069</v>
      </c>
      <c r="J433" s="116" t="s">
        <v>183</v>
      </c>
      <c r="K433" s="415"/>
      <c r="L433" s="133">
        <f>H433</f>
        <v>741.83333251097633</v>
      </c>
      <c r="M433" s="417"/>
      <c r="N433" s="129" t="s">
        <v>183</v>
      </c>
      <c r="O433" s="192">
        <f>$D$628*0.7</f>
        <v>195.80419599999999</v>
      </c>
      <c r="P433" s="135">
        <f>+L433</f>
        <v>741.83333251097633</v>
      </c>
      <c r="Q433" s="373"/>
      <c r="R433" s="96"/>
    </row>
    <row r="434" spans="1:18" s="9" customFormat="1" ht="48" customHeight="1" thickBot="1">
      <c r="A434" s="394" t="s">
        <v>210</v>
      </c>
      <c r="B434" s="394"/>
      <c r="C434" s="394"/>
      <c r="D434" s="394"/>
      <c r="E434" s="394"/>
      <c r="F434" s="190">
        <f>+SUM(F433:F433)</f>
        <v>862.59689826857721</v>
      </c>
      <c r="G434" s="37"/>
      <c r="H434" s="190">
        <f>+SUM(H433:H433)</f>
        <v>741.83333251097633</v>
      </c>
      <c r="I434" s="395" t="s">
        <v>211</v>
      </c>
      <c r="J434" s="396"/>
      <c r="K434" s="396"/>
      <c r="L434" s="396"/>
      <c r="M434" s="397"/>
      <c r="N434" s="138" t="s">
        <v>183</v>
      </c>
      <c r="O434" s="138" t="str">
        <f>IF(P434&gt;O433,"CUMPLE","NO CUMPLE")</f>
        <v>CUMPLE</v>
      </c>
      <c r="P434" s="139">
        <f>SUM(P433:P433)</f>
        <v>741.83333251097633</v>
      </c>
      <c r="Q434" s="374"/>
      <c r="R434" s="140" t="str">
        <f>+IF(AND(M432="CUMPLE",Q432="CUMPLE",C429="CUMPLE"),"HABILITADO","NO HABILITADO")</f>
        <v>HABILITADO</v>
      </c>
    </row>
    <row r="435" spans="1:18" ht="16.5" thickBot="1">
      <c r="A435" s="3"/>
      <c r="B435" s="3"/>
      <c r="C435" s="3"/>
      <c r="D435" s="3"/>
      <c r="E435" s="3"/>
      <c r="F435" s="3"/>
      <c r="G435" s="3"/>
      <c r="H435" s="3"/>
      <c r="I435" s="3"/>
      <c r="J435" s="3"/>
      <c r="K435" s="3"/>
      <c r="L435" s="3"/>
      <c r="M435" s="3"/>
      <c r="N435" s="3"/>
      <c r="O435" s="3"/>
      <c r="P435" s="3"/>
      <c r="Q435" s="3"/>
      <c r="R435" s="4"/>
    </row>
    <row r="436" spans="1:18" ht="30.75" customHeight="1" thickBot="1">
      <c r="A436" s="398">
        <f>1+A425</f>
        <v>34</v>
      </c>
      <c r="B436" s="398"/>
      <c r="C436" s="398"/>
      <c r="D436" s="398"/>
      <c r="E436" s="412" t="str">
        <f>VLOOKUP(A436,'REQUISITOS HAB. TECNICOS'!$A$5:$B$80,2,FALSE)</f>
        <v>CONSORCIO CT</v>
      </c>
      <c r="F436" s="412"/>
      <c r="G436" s="412"/>
      <c r="H436" s="412"/>
      <c r="I436" s="412"/>
      <c r="J436" s="412"/>
      <c r="K436" s="412"/>
      <c r="L436" s="412"/>
      <c r="M436" s="412"/>
      <c r="N436" s="412"/>
      <c r="O436" s="412"/>
      <c r="P436" s="412"/>
      <c r="Q436" s="412"/>
      <c r="R436" s="412"/>
    </row>
    <row r="437" spans="1:18" ht="50.25" customHeight="1" thickBot="1">
      <c r="A437" s="151" t="s">
        <v>185</v>
      </c>
      <c r="B437" s="63">
        <v>3</v>
      </c>
      <c r="C437" s="152" t="s">
        <v>186</v>
      </c>
      <c r="D437" s="153">
        <f>$D$628</f>
        <v>279.72028</v>
      </c>
      <c r="E437" s="412"/>
      <c r="F437" s="412"/>
      <c r="G437" s="412"/>
      <c r="H437" s="412"/>
      <c r="I437" s="412"/>
      <c r="J437" s="412"/>
      <c r="K437" s="412"/>
      <c r="L437" s="412"/>
      <c r="M437" s="412"/>
      <c r="N437" s="412"/>
      <c r="O437" s="412"/>
      <c r="P437" s="412"/>
      <c r="Q437" s="412"/>
      <c r="R437" s="412"/>
    </row>
    <row r="438" spans="1:18" ht="23.25" customHeight="1" thickBot="1">
      <c r="A438" s="388" t="s">
        <v>187</v>
      </c>
      <c r="B438" s="388"/>
      <c r="C438" s="389">
        <f>H448/B437</f>
        <v>512.5672469879421</v>
      </c>
      <c r="D438" s="389"/>
      <c r="E438" s="412"/>
      <c r="F438" s="412"/>
      <c r="G438" s="412"/>
      <c r="H438" s="412"/>
      <c r="I438" s="412"/>
      <c r="J438" s="412"/>
      <c r="K438" s="412"/>
      <c r="L438" s="412"/>
      <c r="M438" s="412"/>
      <c r="N438" s="412"/>
      <c r="O438" s="412"/>
      <c r="P438" s="412"/>
      <c r="Q438" s="412"/>
      <c r="R438" s="412"/>
    </row>
    <row r="439" spans="1:18" ht="23.25" customHeight="1" thickBot="1">
      <c r="A439" s="390" t="s">
        <v>188</v>
      </c>
      <c r="B439" s="390"/>
      <c r="C439" s="391">
        <v>45610</v>
      </c>
      <c r="D439" s="391"/>
      <c r="E439" s="412"/>
      <c r="F439" s="412"/>
      <c r="G439" s="412"/>
      <c r="H439" s="412"/>
      <c r="I439" s="412"/>
      <c r="J439" s="412"/>
      <c r="K439" s="412"/>
      <c r="L439" s="412"/>
      <c r="M439" s="412"/>
      <c r="N439" s="412"/>
      <c r="O439" s="412"/>
      <c r="P439" s="412"/>
      <c r="Q439" s="412"/>
      <c r="R439" s="412"/>
    </row>
    <row r="440" spans="1:18" ht="38.25" customHeight="1" thickBot="1">
      <c r="A440" s="392" t="s">
        <v>189</v>
      </c>
      <c r="B440" s="392"/>
      <c r="C440" s="393" t="str">
        <f>+IF(H448&gt;D437,"CUMPLE","NO CUMPLE")</f>
        <v>CUMPLE</v>
      </c>
      <c r="D440" s="393"/>
      <c r="E440" s="412"/>
      <c r="F440" s="412"/>
      <c r="G440" s="412"/>
      <c r="H440" s="412"/>
      <c r="I440" s="412"/>
      <c r="J440" s="412"/>
      <c r="K440" s="412"/>
      <c r="L440" s="412"/>
      <c r="M440" s="412"/>
      <c r="N440" s="412"/>
      <c r="O440" s="412"/>
      <c r="P440" s="412"/>
      <c r="Q440" s="412"/>
      <c r="R440" s="412"/>
    </row>
    <row r="441" spans="1:18" ht="87" customHeight="1">
      <c r="A441" s="410" t="s">
        <v>190</v>
      </c>
      <c r="B441" s="410"/>
      <c r="C441" s="410"/>
      <c r="D441" s="410"/>
      <c r="E441" s="410"/>
      <c r="F441" s="410"/>
      <c r="G441" s="142"/>
      <c r="H441" s="142"/>
      <c r="I441" s="143" t="s">
        <v>191</v>
      </c>
      <c r="J441" s="144" t="s">
        <v>192</v>
      </c>
      <c r="K441" s="413" t="s">
        <v>193</v>
      </c>
      <c r="L441" s="413"/>
      <c r="M441" s="399" t="s">
        <v>194</v>
      </c>
      <c r="N441" s="399" t="s">
        <v>195</v>
      </c>
      <c r="O441" s="401" t="s">
        <v>196</v>
      </c>
      <c r="P441" s="402"/>
      <c r="Q441" s="399" t="s">
        <v>197</v>
      </c>
      <c r="R441" s="399" t="s">
        <v>198</v>
      </c>
    </row>
    <row r="442" spans="1:18" ht="77.25" customHeight="1" thickBot="1">
      <c r="A442" s="145" t="s">
        <v>199</v>
      </c>
      <c r="B442" s="411" t="s">
        <v>200</v>
      </c>
      <c r="C442" s="411"/>
      <c r="D442" s="146" t="s">
        <v>201</v>
      </c>
      <c r="E442" s="146" t="s">
        <v>202</v>
      </c>
      <c r="F442" s="146" t="s">
        <v>203</v>
      </c>
      <c r="G442" s="147" t="s">
        <v>204</v>
      </c>
      <c r="H442" s="147" t="s">
        <v>205</v>
      </c>
      <c r="I442" s="148" t="s">
        <v>206</v>
      </c>
      <c r="J442" s="148" t="s">
        <v>207</v>
      </c>
      <c r="K442" s="149" t="s">
        <v>208</v>
      </c>
      <c r="L442" s="150" t="s">
        <v>209</v>
      </c>
      <c r="M442" s="400"/>
      <c r="N442" s="400"/>
      <c r="O442" s="403"/>
      <c r="P442" s="404"/>
      <c r="Q442" s="400"/>
      <c r="R442" s="400"/>
    </row>
    <row r="443" spans="1:18" ht="18">
      <c r="A443" s="125" t="str">
        <f>VLOOKUP(A436,'LISTA DE OFERENTES'!$A$4:$G$80,5,FALSE)</f>
        <v>CIVILE SAS BIC  - 95%</v>
      </c>
      <c r="B443" s="26"/>
      <c r="C443" s="26"/>
      <c r="D443" s="26"/>
      <c r="E443" s="26"/>
      <c r="F443" s="26"/>
      <c r="G443" s="26"/>
      <c r="H443" s="26"/>
      <c r="I443" s="26"/>
      <c r="J443" s="26"/>
      <c r="K443" s="414">
        <f>$D$628*0.5</f>
        <v>139.86014</v>
      </c>
      <c r="L443" s="132"/>
      <c r="M443" s="416" t="s">
        <v>183</v>
      </c>
      <c r="N443" s="128"/>
      <c r="O443" s="189"/>
      <c r="P443" s="132"/>
      <c r="Q443" s="372" t="str">
        <f>IF(AND(N448="CUMPLE",O448="CUMPLE"),"CUMPLE","NO CUMPLE")</f>
        <v>CUMPLE</v>
      </c>
      <c r="R443" s="141"/>
    </row>
    <row r="444" spans="1:18" s="9" customFormat="1" ht="72">
      <c r="A444" s="118" t="s">
        <v>342</v>
      </c>
      <c r="B444" s="371" t="s">
        <v>221</v>
      </c>
      <c r="C444" s="371"/>
      <c r="D444" s="119">
        <v>314763525</v>
      </c>
      <c r="E444" s="120">
        <v>2013</v>
      </c>
      <c r="F444" s="121">
        <f>D444/(VLOOKUP(E444,$D$654:$E$687,2,FALSE))</f>
        <v>533.95000000000005</v>
      </c>
      <c r="G444" s="122">
        <v>1</v>
      </c>
      <c r="H444" s="121">
        <f>F444*G444</f>
        <v>533.95000000000005</v>
      </c>
      <c r="I444" s="137">
        <v>41288</v>
      </c>
      <c r="J444" s="116" t="s">
        <v>183</v>
      </c>
      <c r="K444" s="415"/>
      <c r="L444" s="133">
        <f>H444</f>
        <v>533.95000000000005</v>
      </c>
      <c r="M444" s="417"/>
      <c r="N444" s="129" t="s">
        <v>183</v>
      </c>
      <c r="O444" s="375">
        <f>$D$628*0.7</f>
        <v>195.80419599999999</v>
      </c>
      <c r="P444" s="135">
        <f>+L444</f>
        <v>533.95000000000005</v>
      </c>
      <c r="Q444" s="373"/>
      <c r="R444" s="96"/>
    </row>
    <row r="445" spans="1:18" s="9" customFormat="1" ht="72">
      <c r="A445" s="118" t="s">
        <v>343</v>
      </c>
      <c r="B445" s="371" t="s">
        <v>221</v>
      </c>
      <c r="C445" s="371"/>
      <c r="D445" s="119">
        <v>494449121</v>
      </c>
      <c r="E445" s="120">
        <v>2019</v>
      </c>
      <c r="F445" s="121">
        <v>597.41999999999996</v>
      </c>
      <c r="G445" s="122">
        <v>1</v>
      </c>
      <c r="H445" s="215">
        <f>F445*G445</f>
        <v>597.41999999999996</v>
      </c>
      <c r="I445" s="214">
        <v>43803</v>
      </c>
      <c r="J445" s="116" t="s">
        <v>183</v>
      </c>
      <c r="K445" s="415"/>
      <c r="L445" s="133">
        <f>H445</f>
        <v>597.41999999999996</v>
      </c>
      <c r="M445" s="417"/>
      <c r="N445" s="129" t="s">
        <v>183</v>
      </c>
      <c r="O445" s="376"/>
      <c r="P445" s="135">
        <f>+L445</f>
        <v>597.41999999999996</v>
      </c>
      <c r="Q445" s="373"/>
      <c r="R445" s="96" t="s">
        <v>245</v>
      </c>
    </row>
    <row r="446" spans="1:18" s="9" customFormat="1" ht="72">
      <c r="A446" s="118" t="s">
        <v>344</v>
      </c>
      <c r="B446" s="371" t="s">
        <v>221</v>
      </c>
      <c r="C446" s="371"/>
      <c r="D446" s="119">
        <v>336489816</v>
      </c>
      <c r="E446" s="120">
        <v>2019</v>
      </c>
      <c r="F446" s="121">
        <f>D446/(VLOOKUP(E446,$D$654:$E$687,2,FALSE))</f>
        <v>406.33174096382635</v>
      </c>
      <c r="G446" s="122">
        <v>1</v>
      </c>
      <c r="H446" s="121">
        <f>F446*G446</f>
        <v>406.33174096382635</v>
      </c>
      <c r="I446" s="124">
        <v>43830</v>
      </c>
      <c r="J446" s="131" t="s">
        <v>183</v>
      </c>
      <c r="K446" s="415"/>
      <c r="L446" s="133">
        <f>H446</f>
        <v>406.33174096382635</v>
      </c>
      <c r="M446" s="417"/>
      <c r="N446" s="129" t="s">
        <v>183</v>
      </c>
      <c r="O446" s="377"/>
      <c r="P446" s="135"/>
      <c r="Q446" s="373"/>
      <c r="R446" s="96"/>
    </row>
    <row r="447" spans="1:18" ht="23.25" customHeight="1">
      <c r="A447" s="125" t="str">
        <f>VLOOKUP(A436,'LISTA DE OFERENTES'!$A$4:$G$80,6,FALSE)</f>
        <v>TAYFER DE COLOMBIA LTDA  - 5%</v>
      </c>
      <c r="B447" s="126"/>
      <c r="C447" s="126"/>
      <c r="D447" s="126"/>
      <c r="E447" s="126"/>
      <c r="F447" s="126"/>
      <c r="G447" s="127"/>
      <c r="H447" s="126"/>
      <c r="I447" s="126"/>
      <c r="J447" s="126"/>
      <c r="K447" s="415"/>
      <c r="L447" s="134"/>
      <c r="M447" s="417"/>
      <c r="N447" s="130"/>
      <c r="O447" s="377"/>
      <c r="P447" s="136"/>
      <c r="Q447" s="373"/>
      <c r="R447" s="27"/>
    </row>
    <row r="448" spans="1:18" s="9" customFormat="1" ht="48" customHeight="1">
      <c r="A448" s="394" t="s">
        <v>210</v>
      </c>
      <c r="B448" s="394"/>
      <c r="C448" s="394"/>
      <c r="D448" s="394"/>
      <c r="E448" s="394"/>
      <c r="F448" s="190">
        <f>+SUM(F444:F447)</f>
        <v>1537.7017409638263</v>
      </c>
      <c r="G448" s="37"/>
      <c r="H448" s="190">
        <f>+SUM(H444:H447)</f>
        <v>1537.7017409638263</v>
      </c>
      <c r="I448" s="395" t="s">
        <v>211</v>
      </c>
      <c r="J448" s="396"/>
      <c r="K448" s="396"/>
      <c r="L448" s="396"/>
      <c r="M448" s="397"/>
      <c r="N448" s="138" t="s">
        <v>183</v>
      </c>
      <c r="O448" s="138" t="str">
        <f>IF(P448&gt;O444,"CUMPLE","NO CUMPLE")</f>
        <v>CUMPLE</v>
      </c>
      <c r="P448" s="139">
        <f>SUM(P444:P447)</f>
        <v>1131.3699999999999</v>
      </c>
      <c r="Q448" s="374"/>
      <c r="R448" s="140" t="str">
        <f>+IF(AND(M443="CUMPLE",Q443="CUMPLE",C440="CUMPLE"),"HABILITADO","NO HABILITADO")</f>
        <v>HABILITADO</v>
      </c>
    </row>
    <row r="449" spans="1:18" ht="16.5" thickBot="1">
      <c r="A449" s="3"/>
      <c r="B449" s="3"/>
      <c r="C449" s="3"/>
      <c r="D449" s="3"/>
      <c r="E449" s="3"/>
      <c r="F449" s="3"/>
      <c r="G449" s="3"/>
      <c r="H449" s="3"/>
      <c r="I449" s="3"/>
      <c r="J449" s="3"/>
      <c r="K449" s="3"/>
      <c r="L449" s="3"/>
      <c r="M449" s="3"/>
      <c r="N449" s="3"/>
      <c r="O449" s="3"/>
      <c r="P449" s="3"/>
      <c r="Q449" s="3"/>
      <c r="R449" s="4"/>
    </row>
    <row r="450" spans="1:18" ht="30.75" customHeight="1" thickBot="1">
      <c r="A450" s="398">
        <f>1+A436</f>
        <v>35</v>
      </c>
      <c r="B450" s="398"/>
      <c r="C450" s="398"/>
      <c r="D450" s="398"/>
      <c r="E450" s="412" t="str">
        <f>VLOOKUP(A450,'REQUISITOS HAB. TECNICOS'!$A$5:$B$80,2,FALSE)</f>
        <v xml:space="preserve">CONSORCIO INVIMAZ 2024 </v>
      </c>
      <c r="F450" s="412"/>
      <c r="G450" s="412"/>
      <c r="H450" s="412"/>
      <c r="I450" s="412"/>
      <c r="J450" s="412"/>
      <c r="K450" s="412"/>
      <c r="L450" s="412"/>
      <c r="M450" s="412"/>
      <c r="N450" s="412"/>
      <c r="O450" s="412"/>
      <c r="P450" s="412"/>
      <c r="Q450" s="412"/>
      <c r="R450" s="412"/>
    </row>
    <row r="451" spans="1:18" ht="50.25" customHeight="1" thickBot="1">
      <c r="A451" s="151" t="s">
        <v>185</v>
      </c>
      <c r="B451" s="63">
        <v>1</v>
      </c>
      <c r="C451" s="152" t="s">
        <v>186</v>
      </c>
      <c r="D451" s="153">
        <f>$D$628</f>
        <v>279.72028</v>
      </c>
      <c r="E451" s="412"/>
      <c r="F451" s="412"/>
      <c r="G451" s="412"/>
      <c r="H451" s="412"/>
      <c r="I451" s="412"/>
      <c r="J451" s="412"/>
      <c r="K451" s="412"/>
      <c r="L451" s="412"/>
      <c r="M451" s="412"/>
      <c r="N451" s="412"/>
      <c r="O451" s="412"/>
      <c r="P451" s="412"/>
      <c r="Q451" s="412"/>
      <c r="R451" s="412"/>
    </row>
    <row r="452" spans="1:18" ht="23.25" customHeight="1" thickBot="1">
      <c r="A452" s="388" t="s">
        <v>187</v>
      </c>
      <c r="B452" s="388"/>
      <c r="C452" s="389">
        <f>H460/B451</f>
        <v>0</v>
      </c>
      <c r="D452" s="389"/>
      <c r="E452" s="412"/>
      <c r="F452" s="412"/>
      <c r="G452" s="412"/>
      <c r="H452" s="412"/>
      <c r="I452" s="412"/>
      <c r="J452" s="412"/>
      <c r="K452" s="412"/>
      <c r="L452" s="412"/>
      <c r="M452" s="412"/>
      <c r="N452" s="412"/>
      <c r="O452" s="412"/>
      <c r="P452" s="412"/>
      <c r="Q452" s="412"/>
      <c r="R452" s="412"/>
    </row>
    <row r="453" spans="1:18" ht="23.25" customHeight="1" thickBot="1">
      <c r="A453" s="390" t="s">
        <v>188</v>
      </c>
      <c r="B453" s="390"/>
      <c r="C453" s="391">
        <v>45610</v>
      </c>
      <c r="D453" s="391"/>
      <c r="E453" s="412"/>
      <c r="F453" s="412"/>
      <c r="G453" s="412"/>
      <c r="H453" s="412"/>
      <c r="I453" s="412"/>
      <c r="J453" s="412"/>
      <c r="K453" s="412"/>
      <c r="L453" s="412"/>
      <c r="M453" s="412"/>
      <c r="N453" s="412"/>
      <c r="O453" s="412"/>
      <c r="P453" s="412"/>
      <c r="Q453" s="412"/>
      <c r="R453" s="412"/>
    </row>
    <row r="454" spans="1:18" ht="38.25" customHeight="1" thickBot="1">
      <c r="A454" s="392" t="s">
        <v>189</v>
      </c>
      <c r="B454" s="392"/>
      <c r="C454" s="393" t="str">
        <f>+IF(H460&gt;D451,"CUMPLE","NO CUMPLE")</f>
        <v>NO CUMPLE</v>
      </c>
      <c r="D454" s="393"/>
      <c r="E454" s="412"/>
      <c r="F454" s="412"/>
      <c r="G454" s="412"/>
      <c r="H454" s="412"/>
      <c r="I454" s="412"/>
      <c r="J454" s="412"/>
      <c r="K454" s="412"/>
      <c r="L454" s="412"/>
      <c r="M454" s="412"/>
      <c r="N454" s="412"/>
      <c r="O454" s="412"/>
      <c r="P454" s="412"/>
      <c r="Q454" s="412"/>
      <c r="R454" s="412"/>
    </row>
    <row r="455" spans="1:18" ht="87" customHeight="1">
      <c r="A455" s="410" t="s">
        <v>190</v>
      </c>
      <c r="B455" s="410"/>
      <c r="C455" s="410"/>
      <c r="D455" s="410"/>
      <c r="E455" s="410"/>
      <c r="F455" s="410"/>
      <c r="G455" s="142"/>
      <c r="H455" s="142"/>
      <c r="I455" s="143" t="s">
        <v>191</v>
      </c>
      <c r="J455" s="144" t="s">
        <v>192</v>
      </c>
      <c r="K455" s="413" t="s">
        <v>193</v>
      </c>
      <c r="L455" s="413"/>
      <c r="M455" s="399" t="s">
        <v>194</v>
      </c>
      <c r="N455" s="399" t="s">
        <v>195</v>
      </c>
      <c r="O455" s="401" t="s">
        <v>196</v>
      </c>
      <c r="P455" s="402"/>
      <c r="Q455" s="399" t="s">
        <v>197</v>
      </c>
      <c r="R455" s="399" t="s">
        <v>198</v>
      </c>
    </row>
    <row r="456" spans="1:18" ht="77.25" customHeight="1">
      <c r="A456" s="145" t="s">
        <v>199</v>
      </c>
      <c r="B456" s="411" t="s">
        <v>200</v>
      </c>
      <c r="C456" s="411"/>
      <c r="D456" s="146" t="s">
        <v>201</v>
      </c>
      <c r="E456" s="146" t="s">
        <v>202</v>
      </c>
      <c r="F456" s="146" t="s">
        <v>203</v>
      </c>
      <c r="G456" s="147" t="s">
        <v>204</v>
      </c>
      <c r="H456" s="147" t="s">
        <v>205</v>
      </c>
      <c r="I456" s="148" t="s">
        <v>206</v>
      </c>
      <c r="J456" s="148" t="s">
        <v>207</v>
      </c>
      <c r="K456" s="149" t="s">
        <v>208</v>
      </c>
      <c r="L456" s="150" t="s">
        <v>209</v>
      </c>
      <c r="M456" s="400"/>
      <c r="N456" s="400"/>
      <c r="O456" s="403"/>
      <c r="P456" s="404"/>
      <c r="Q456" s="400"/>
      <c r="R456" s="400"/>
    </row>
    <row r="457" spans="1:18" ht="18">
      <c r="A457" s="125" t="str">
        <f>VLOOKUP(A450,'LISTA DE OFERENTES'!$A$4:$G$80,5,FALSE)</f>
        <v>INVIBA S.A.S. - 10%</v>
      </c>
      <c r="B457" s="26"/>
      <c r="C457" s="26"/>
      <c r="D457" s="26"/>
      <c r="E457" s="26"/>
      <c r="F457" s="26"/>
      <c r="G457" s="26"/>
      <c r="H457" s="26"/>
      <c r="I457" s="26"/>
      <c r="J457" s="26"/>
      <c r="K457" s="414">
        <f>$D$628*0.5</f>
        <v>139.86014</v>
      </c>
      <c r="L457" s="132"/>
      <c r="M457" s="416" t="s">
        <v>184</v>
      </c>
      <c r="N457" s="128"/>
      <c r="O457" s="189"/>
      <c r="P457" s="132"/>
      <c r="Q457" s="372" t="str">
        <f>IF(AND(N460="CUMPLE",O460="CUMPLE"),"CUMPLE","NO CUMPLE")</f>
        <v>NO CUMPLE</v>
      </c>
      <c r="R457" s="453" t="s">
        <v>345</v>
      </c>
    </row>
    <row r="458" spans="1:18" ht="23.25" customHeight="1">
      <c r="A458" s="125" t="str">
        <f>VLOOKUP(A450,'LISTA DE OFERENTES'!$A$4:$G$80,6,FALSE)</f>
        <v>MAZ INTERVENTORES Y CONSULTORES S.A.S. - 90%</v>
      </c>
      <c r="B458" s="126"/>
      <c r="C458" s="126"/>
      <c r="D458" s="126"/>
      <c r="E458" s="126"/>
      <c r="F458" s="126"/>
      <c r="G458" s="127"/>
      <c r="H458" s="126"/>
      <c r="I458" s="126"/>
      <c r="J458" s="126"/>
      <c r="K458" s="415"/>
      <c r="L458" s="134"/>
      <c r="M458" s="417"/>
      <c r="N458" s="130"/>
      <c r="O458" s="377">
        <f>$D$628*0.7</f>
        <v>195.80419599999999</v>
      </c>
      <c r="P458" s="136"/>
      <c r="Q458" s="373"/>
      <c r="R458" s="447"/>
    </row>
    <row r="459" spans="1:18" s="9" customFormat="1" ht="90">
      <c r="A459" s="118" t="s">
        <v>346</v>
      </c>
      <c r="B459" s="371" t="s">
        <v>347</v>
      </c>
      <c r="C459" s="371"/>
      <c r="D459" s="119">
        <v>159979637</v>
      </c>
      <c r="E459" s="120">
        <v>2011</v>
      </c>
      <c r="F459" s="121"/>
      <c r="G459" s="122">
        <v>1</v>
      </c>
      <c r="H459" s="121">
        <f>F459*G459</f>
        <v>0</v>
      </c>
      <c r="I459" s="123">
        <v>40858</v>
      </c>
      <c r="J459" s="116"/>
      <c r="K459" s="415"/>
      <c r="L459" s="133">
        <f>H459</f>
        <v>0</v>
      </c>
      <c r="M459" s="417"/>
      <c r="N459" s="129" t="s">
        <v>184</v>
      </c>
      <c r="O459" s="377"/>
      <c r="P459" s="135"/>
      <c r="Q459" s="373"/>
      <c r="R459" s="448"/>
    </row>
    <row r="460" spans="1:18" s="9" customFormat="1" ht="48" customHeight="1">
      <c r="A460" s="394" t="s">
        <v>210</v>
      </c>
      <c r="B460" s="394"/>
      <c r="C460" s="394"/>
      <c r="D460" s="394"/>
      <c r="E460" s="394"/>
      <c r="F460" s="190">
        <f>+SUM(F458:F459)</f>
        <v>0</v>
      </c>
      <c r="G460" s="37"/>
      <c r="H460" s="190">
        <f>+SUM(H458:H459)</f>
        <v>0</v>
      </c>
      <c r="I460" s="395" t="s">
        <v>211</v>
      </c>
      <c r="J460" s="396"/>
      <c r="K460" s="396"/>
      <c r="L460" s="396"/>
      <c r="M460" s="397"/>
      <c r="N460" s="138" t="s">
        <v>184</v>
      </c>
      <c r="O460" s="138" t="str">
        <f>IF(P460&gt;O458,"CUMPLE","NO CUMPLE")</f>
        <v>NO CUMPLE</v>
      </c>
      <c r="P460" s="139">
        <f>SUM(P458:P459)</f>
        <v>0</v>
      </c>
      <c r="Q460" s="374"/>
      <c r="R460" s="140" t="s">
        <v>212</v>
      </c>
    </row>
    <row r="461" spans="1:18" ht="16.5" thickBot="1">
      <c r="A461" s="3"/>
      <c r="B461" s="3"/>
      <c r="C461" s="3"/>
      <c r="D461" s="3"/>
      <c r="E461" s="3"/>
      <c r="F461" s="3"/>
      <c r="G461" s="3"/>
      <c r="H461" s="3"/>
      <c r="I461" s="3"/>
      <c r="J461" s="3"/>
      <c r="K461" s="3"/>
      <c r="L461" s="3"/>
      <c r="M461" s="3"/>
      <c r="N461" s="3"/>
      <c r="O461" s="3"/>
      <c r="P461" s="3"/>
      <c r="Q461" s="3"/>
      <c r="R461" s="4"/>
    </row>
    <row r="462" spans="1:18" ht="30.75" customHeight="1" thickBot="1">
      <c r="A462" s="398">
        <f>1+A450</f>
        <v>36</v>
      </c>
      <c r="B462" s="398"/>
      <c r="C462" s="398"/>
      <c r="D462" s="398"/>
      <c r="E462" s="412" t="str">
        <f>VLOOKUP(A462,'REQUISITOS HAB. TECNICOS'!$A$5:$B$80,2,FALSE)</f>
        <v>CONSORCIO CONSULTORES ENGATIVA</v>
      </c>
      <c r="F462" s="412"/>
      <c r="G462" s="412"/>
      <c r="H462" s="412"/>
      <c r="I462" s="412"/>
      <c r="J462" s="412"/>
      <c r="K462" s="412"/>
      <c r="L462" s="412"/>
      <c r="M462" s="412"/>
      <c r="N462" s="412"/>
      <c r="O462" s="412"/>
      <c r="P462" s="412"/>
      <c r="Q462" s="412"/>
      <c r="R462" s="412"/>
    </row>
    <row r="463" spans="1:18" ht="50.25" customHeight="1" thickBot="1">
      <c r="A463" s="151" t="s">
        <v>185</v>
      </c>
      <c r="B463" s="63">
        <v>3</v>
      </c>
      <c r="C463" s="152" t="s">
        <v>186</v>
      </c>
      <c r="D463" s="153">
        <f>$D$628</f>
        <v>279.72028</v>
      </c>
      <c r="E463" s="412"/>
      <c r="F463" s="412"/>
      <c r="G463" s="412"/>
      <c r="H463" s="412"/>
      <c r="I463" s="412"/>
      <c r="J463" s="412"/>
      <c r="K463" s="412"/>
      <c r="L463" s="412"/>
      <c r="M463" s="412"/>
      <c r="N463" s="412"/>
      <c r="O463" s="412"/>
      <c r="P463" s="412"/>
      <c r="Q463" s="412"/>
      <c r="R463" s="412"/>
    </row>
    <row r="464" spans="1:18" ht="23.25" customHeight="1" thickBot="1">
      <c r="A464" s="388" t="s">
        <v>187</v>
      </c>
      <c r="B464" s="388"/>
      <c r="C464" s="389">
        <f>H474/B463</f>
        <v>447.12819326250928</v>
      </c>
      <c r="D464" s="389"/>
      <c r="E464" s="412"/>
      <c r="F464" s="412"/>
      <c r="G464" s="412"/>
      <c r="H464" s="412"/>
      <c r="I464" s="412"/>
      <c r="J464" s="412"/>
      <c r="K464" s="412"/>
      <c r="L464" s="412"/>
      <c r="M464" s="412"/>
      <c r="N464" s="412"/>
      <c r="O464" s="412"/>
      <c r="P464" s="412"/>
      <c r="Q464" s="412"/>
      <c r="R464" s="412"/>
    </row>
    <row r="465" spans="1:18" ht="23.25" customHeight="1" thickBot="1">
      <c r="A465" s="390" t="s">
        <v>188</v>
      </c>
      <c r="B465" s="390"/>
      <c r="C465" s="391">
        <v>45610</v>
      </c>
      <c r="D465" s="391"/>
      <c r="E465" s="412"/>
      <c r="F465" s="412"/>
      <c r="G465" s="412"/>
      <c r="H465" s="412"/>
      <c r="I465" s="412"/>
      <c r="J465" s="412"/>
      <c r="K465" s="412"/>
      <c r="L465" s="412"/>
      <c r="M465" s="412"/>
      <c r="N465" s="412"/>
      <c r="O465" s="412"/>
      <c r="P465" s="412"/>
      <c r="Q465" s="412"/>
      <c r="R465" s="412"/>
    </row>
    <row r="466" spans="1:18" ht="38.25" customHeight="1" thickBot="1">
      <c r="A466" s="392" t="s">
        <v>189</v>
      </c>
      <c r="B466" s="392"/>
      <c r="C466" s="393" t="str">
        <f>+IF(H474&gt;D463,"CUMPLE","NO CUMPLE")</f>
        <v>CUMPLE</v>
      </c>
      <c r="D466" s="393"/>
      <c r="E466" s="412"/>
      <c r="F466" s="412"/>
      <c r="G466" s="412"/>
      <c r="H466" s="412"/>
      <c r="I466" s="412"/>
      <c r="J466" s="412"/>
      <c r="K466" s="412"/>
      <c r="L466" s="412"/>
      <c r="M466" s="412"/>
      <c r="N466" s="412"/>
      <c r="O466" s="412"/>
      <c r="P466" s="412"/>
      <c r="Q466" s="412"/>
      <c r="R466" s="412"/>
    </row>
    <row r="467" spans="1:18" ht="87" customHeight="1">
      <c r="A467" s="410" t="s">
        <v>190</v>
      </c>
      <c r="B467" s="410"/>
      <c r="C467" s="410"/>
      <c r="D467" s="410"/>
      <c r="E467" s="410"/>
      <c r="F467" s="410"/>
      <c r="G467" s="142"/>
      <c r="H467" s="142"/>
      <c r="I467" s="143" t="s">
        <v>191</v>
      </c>
      <c r="J467" s="144" t="s">
        <v>192</v>
      </c>
      <c r="K467" s="413" t="s">
        <v>193</v>
      </c>
      <c r="L467" s="413"/>
      <c r="M467" s="399" t="s">
        <v>194</v>
      </c>
      <c r="N467" s="399" t="s">
        <v>195</v>
      </c>
      <c r="O467" s="401" t="s">
        <v>196</v>
      </c>
      <c r="P467" s="402"/>
      <c r="Q467" s="399" t="s">
        <v>197</v>
      </c>
      <c r="R467" s="399" t="s">
        <v>198</v>
      </c>
    </row>
    <row r="468" spans="1:18" ht="77.25" customHeight="1" thickBot="1">
      <c r="A468" s="145" t="s">
        <v>199</v>
      </c>
      <c r="B468" s="411" t="s">
        <v>200</v>
      </c>
      <c r="C468" s="411"/>
      <c r="D468" s="146" t="s">
        <v>201</v>
      </c>
      <c r="E468" s="146" t="s">
        <v>202</v>
      </c>
      <c r="F468" s="146" t="s">
        <v>203</v>
      </c>
      <c r="G468" s="147" t="s">
        <v>204</v>
      </c>
      <c r="H468" s="147" t="s">
        <v>205</v>
      </c>
      <c r="I468" s="148" t="s">
        <v>206</v>
      </c>
      <c r="J468" s="148" t="s">
        <v>207</v>
      </c>
      <c r="K468" s="149" t="s">
        <v>208</v>
      </c>
      <c r="L468" s="150" t="s">
        <v>209</v>
      </c>
      <c r="M468" s="400"/>
      <c r="N468" s="400"/>
      <c r="O468" s="403"/>
      <c r="P468" s="404"/>
      <c r="Q468" s="400"/>
      <c r="R468" s="400"/>
    </row>
    <row r="469" spans="1:18" ht="18">
      <c r="A469" s="125" t="str">
        <f>VLOOKUP(A462,'LISTA DE OFERENTES'!$A$4:$G$80,5,FALSE)</f>
        <v>GORDILLO &amp; ASOCIADOS SAS - 50%</v>
      </c>
      <c r="B469" s="26"/>
      <c r="C469" s="26"/>
      <c r="D469" s="26"/>
      <c r="E469" s="26"/>
      <c r="F469" s="26"/>
      <c r="G469" s="26"/>
      <c r="H469" s="26"/>
      <c r="I469" s="26"/>
      <c r="J469" s="26"/>
      <c r="K469" s="414">
        <f>$D$628*0.5</f>
        <v>139.86014</v>
      </c>
      <c r="L469" s="132"/>
      <c r="M469" s="416" t="s">
        <v>183</v>
      </c>
      <c r="N469" s="128"/>
      <c r="O469" s="189"/>
      <c r="P469" s="132"/>
      <c r="Q469" s="372" t="str">
        <f>IF(AND(N474="CUMPLE",O474="CUMPLE"),"CUMPLE","NO CUMPLE")</f>
        <v>CUMPLE</v>
      </c>
      <c r="R469" s="141"/>
    </row>
    <row r="470" spans="1:18" s="9" customFormat="1" ht="72">
      <c r="A470" s="118" t="s">
        <v>348</v>
      </c>
      <c r="B470" s="371" t="s">
        <v>349</v>
      </c>
      <c r="C470" s="371"/>
      <c r="D470" s="119">
        <f>156077712+19926152</f>
        <v>176003864</v>
      </c>
      <c r="E470" s="120">
        <v>2015</v>
      </c>
      <c r="F470" s="121">
        <f>D470/(VLOOKUP(E470,$D$654:$E$687,2,FALSE))</f>
        <v>273.14947466439048</v>
      </c>
      <c r="G470" s="122">
        <v>1</v>
      </c>
      <c r="H470" s="121">
        <f>F470*G470</f>
        <v>273.14947466439048</v>
      </c>
      <c r="I470" s="123">
        <v>42336</v>
      </c>
      <c r="J470" s="116" t="s">
        <v>183</v>
      </c>
      <c r="K470" s="415"/>
      <c r="L470" s="133">
        <f>H470</f>
        <v>273.14947466439048</v>
      </c>
      <c r="M470" s="417"/>
      <c r="N470" s="129" t="s">
        <v>183</v>
      </c>
      <c r="O470" s="375">
        <f>$D$628*0.7</f>
        <v>195.80419599999999</v>
      </c>
      <c r="P470" s="135"/>
      <c r="Q470" s="373"/>
      <c r="R470" s="96"/>
    </row>
    <row r="471" spans="1:18" ht="23.25" customHeight="1">
      <c r="A471" s="125" t="str">
        <f>VLOOKUP(A462,'LISTA DE OFERENTES'!$A$4:$G$80,6,FALSE)</f>
        <v>CLEMENTE ALFREDO BUITRAGO SAS - 50%</v>
      </c>
      <c r="B471" s="126"/>
      <c r="C471" s="126"/>
      <c r="D471" s="126"/>
      <c r="E471" s="126"/>
      <c r="F471" s="126"/>
      <c r="G471" s="127"/>
      <c r="H471" s="126"/>
      <c r="I471" s="126"/>
      <c r="J471" s="126"/>
      <c r="K471" s="415"/>
      <c r="L471" s="134"/>
      <c r="M471" s="417"/>
      <c r="N471" s="130"/>
      <c r="O471" s="377"/>
      <c r="P471" s="136"/>
      <c r="Q471" s="373"/>
      <c r="R471" s="27"/>
    </row>
    <row r="472" spans="1:18" s="9" customFormat="1" ht="72">
      <c r="A472" s="118" t="s">
        <v>350</v>
      </c>
      <c r="B472" s="371" t="s">
        <v>221</v>
      </c>
      <c r="C472" s="371"/>
      <c r="D472" s="119">
        <v>2779742368</v>
      </c>
      <c r="E472" s="120">
        <v>2020</v>
      </c>
      <c r="F472" s="121">
        <f>D472/(VLOOKUP(E472,$D$654:$E$687,2,FALSE))</f>
        <v>3166.7041101477212</v>
      </c>
      <c r="G472" s="122">
        <v>0.25</v>
      </c>
      <c r="H472" s="121">
        <f>F472*G472</f>
        <v>791.67602753693029</v>
      </c>
      <c r="I472" s="123">
        <v>44088</v>
      </c>
      <c r="J472" s="116" t="s">
        <v>183</v>
      </c>
      <c r="K472" s="415"/>
      <c r="L472" s="133">
        <f>H472</f>
        <v>791.67602753693029</v>
      </c>
      <c r="M472" s="417"/>
      <c r="N472" s="129" t="s">
        <v>183</v>
      </c>
      <c r="O472" s="377"/>
      <c r="P472" s="135">
        <f>+L472</f>
        <v>791.67602753693029</v>
      </c>
      <c r="Q472" s="373"/>
      <c r="R472" s="96"/>
    </row>
    <row r="473" spans="1:18" s="9" customFormat="1" ht="198">
      <c r="A473" s="118" t="s">
        <v>351</v>
      </c>
      <c r="B473" s="371" t="s">
        <v>352</v>
      </c>
      <c r="C473" s="371"/>
      <c r="D473" s="119">
        <v>320808530</v>
      </c>
      <c r="E473" s="120">
        <v>2023</v>
      </c>
      <c r="F473" s="121">
        <f>D473/(VLOOKUP(E473,$D$654:$E$687,2,FALSE))</f>
        <v>276.55907758620691</v>
      </c>
      <c r="G473" s="122">
        <v>1</v>
      </c>
      <c r="H473" s="121">
        <f>F473*G473</f>
        <v>276.55907758620691</v>
      </c>
      <c r="I473" s="124">
        <v>45183</v>
      </c>
      <c r="J473" s="131" t="s">
        <v>183</v>
      </c>
      <c r="K473" s="415"/>
      <c r="L473" s="133">
        <f>H473</f>
        <v>276.55907758620691</v>
      </c>
      <c r="M473" s="417"/>
      <c r="N473" s="129" t="s">
        <v>183</v>
      </c>
      <c r="O473" s="377"/>
      <c r="P473" s="135">
        <f>+L473</f>
        <v>276.55907758620691</v>
      </c>
      <c r="Q473" s="373"/>
      <c r="R473" s="96"/>
    </row>
    <row r="474" spans="1:18" s="9" customFormat="1" ht="48" customHeight="1">
      <c r="A474" s="394" t="s">
        <v>210</v>
      </c>
      <c r="B474" s="394"/>
      <c r="C474" s="394"/>
      <c r="D474" s="394"/>
      <c r="E474" s="394"/>
      <c r="F474" s="190">
        <f>+SUM(F470:F473)</f>
        <v>3716.4126623983188</v>
      </c>
      <c r="G474" s="37"/>
      <c r="H474" s="190">
        <f>+SUM(H470:H473)</f>
        <v>1341.3845797875279</v>
      </c>
      <c r="I474" s="395" t="s">
        <v>211</v>
      </c>
      <c r="J474" s="396"/>
      <c r="K474" s="396"/>
      <c r="L474" s="396"/>
      <c r="M474" s="397"/>
      <c r="N474" s="138" t="s">
        <v>183</v>
      </c>
      <c r="O474" s="138" t="str">
        <f>IF(P474&gt;O470,"CUMPLE","NO CUMPLE")</f>
        <v>CUMPLE</v>
      </c>
      <c r="P474" s="139">
        <f>SUM(P470:P473)</f>
        <v>1068.2351051231371</v>
      </c>
      <c r="Q474" s="374"/>
      <c r="R474" s="140" t="str">
        <f>+IF(AND(M469="CUMPLE",Q469="CUMPLE",C466="CUMPLE"),"HABILITADO","NO HABILITADO")</f>
        <v>HABILITADO</v>
      </c>
    </row>
    <row r="475" spans="1:18" ht="16.5" thickBot="1">
      <c r="A475" s="3"/>
      <c r="B475" s="3"/>
      <c r="C475" s="3"/>
      <c r="D475" s="3"/>
      <c r="E475" s="3"/>
      <c r="F475" s="3"/>
      <c r="G475" s="3"/>
      <c r="H475" s="3"/>
      <c r="I475" s="3"/>
      <c r="J475" s="3"/>
      <c r="K475" s="3"/>
      <c r="L475" s="3"/>
      <c r="M475" s="3"/>
      <c r="N475" s="3"/>
      <c r="O475" s="3"/>
      <c r="P475" s="3"/>
      <c r="Q475" s="3"/>
      <c r="R475" s="4"/>
    </row>
    <row r="476" spans="1:18" ht="30.75" customHeight="1" thickBot="1">
      <c r="A476" s="398">
        <f>1+A462</f>
        <v>37</v>
      </c>
      <c r="B476" s="398"/>
      <c r="C476" s="398"/>
      <c r="D476" s="398"/>
      <c r="E476" s="412" t="str">
        <f>VLOOKUP(A476,'REQUISITOS HAB. TECNICOS'!$A$5:$B$80,2,FALSE)</f>
        <v>PROYECTOS DE DESARROLLO E INFRAESTRUCTURA COLOMBIA S.A.S. – PRODEINCOL S.A.S.</v>
      </c>
      <c r="F476" s="412"/>
      <c r="G476" s="412"/>
      <c r="H476" s="412"/>
      <c r="I476" s="412"/>
      <c r="J476" s="412"/>
      <c r="K476" s="412"/>
      <c r="L476" s="412"/>
      <c r="M476" s="412"/>
      <c r="N476" s="412"/>
      <c r="O476" s="412"/>
      <c r="P476" s="412"/>
      <c r="Q476" s="412"/>
      <c r="R476" s="412"/>
    </row>
    <row r="477" spans="1:18" ht="50.25" customHeight="1" thickBot="1">
      <c r="A477" s="151" t="s">
        <v>185</v>
      </c>
      <c r="B477" s="63">
        <v>1</v>
      </c>
      <c r="C477" s="152" t="s">
        <v>186</v>
      </c>
      <c r="D477" s="153">
        <f>$D$628</f>
        <v>279.72028</v>
      </c>
      <c r="E477" s="412"/>
      <c r="F477" s="412"/>
      <c r="G477" s="412"/>
      <c r="H477" s="412"/>
      <c r="I477" s="412"/>
      <c r="J477" s="412"/>
      <c r="K477" s="412"/>
      <c r="L477" s="412"/>
      <c r="M477" s="412"/>
      <c r="N477" s="412"/>
      <c r="O477" s="412"/>
      <c r="P477" s="412"/>
      <c r="Q477" s="412"/>
      <c r="R477" s="412"/>
    </row>
    <row r="478" spans="1:18" ht="23.25" customHeight="1" thickBot="1">
      <c r="A478" s="388" t="s">
        <v>187</v>
      </c>
      <c r="B478" s="388"/>
      <c r="C478" s="389">
        <f>H486/B477</f>
        <v>685.87869738666723</v>
      </c>
      <c r="D478" s="389"/>
      <c r="E478" s="412"/>
      <c r="F478" s="412"/>
      <c r="G478" s="412"/>
      <c r="H478" s="412"/>
      <c r="I478" s="412"/>
      <c r="J478" s="412"/>
      <c r="K478" s="412"/>
      <c r="L478" s="412"/>
      <c r="M478" s="412"/>
      <c r="N478" s="412"/>
      <c r="O478" s="412"/>
      <c r="P478" s="412"/>
      <c r="Q478" s="412"/>
      <c r="R478" s="412"/>
    </row>
    <row r="479" spans="1:18" ht="23.25" customHeight="1" thickBot="1">
      <c r="A479" s="390" t="s">
        <v>188</v>
      </c>
      <c r="B479" s="390"/>
      <c r="C479" s="391">
        <v>45610</v>
      </c>
      <c r="D479" s="391"/>
      <c r="E479" s="412"/>
      <c r="F479" s="412"/>
      <c r="G479" s="412"/>
      <c r="H479" s="412"/>
      <c r="I479" s="412"/>
      <c r="J479" s="412"/>
      <c r="K479" s="412"/>
      <c r="L479" s="412"/>
      <c r="M479" s="412"/>
      <c r="N479" s="412"/>
      <c r="O479" s="412"/>
      <c r="P479" s="412"/>
      <c r="Q479" s="412"/>
      <c r="R479" s="412"/>
    </row>
    <row r="480" spans="1:18" ht="38.25" customHeight="1" thickBot="1">
      <c r="A480" s="392" t="s">
        <v>189</v>
      </c>
      <c r="B480" s="392"/>
      <c r="C480" s="393" t="str">
        <f>+IF(H486&gt;D477,"CUMPLE","NO CUMPLE")</f>
        <v>CUMPLE</v>
      </c>
      <c r="D480" s="393"/>
      <c r="E480" s="412"/>
      <c r="F480" s="412"/>
      <c r="G480" s="412"/>
      <c r="H480" s="412"/>
      <c r="I480" s="412"/>
      <c r="J480" s="412"/>
      <c r="K480" s="412"/>
      <c r="L480" s="412"/>
      <c r="M480" s="412"/>
      <c r="N480" s="412"/>
      <c r="O480" s="412"/>
      <c r="P480" s="412"/>
      <c r="Q480" s="412"/>
      <c r="R480" s="412"/>
    </row>
    <row r="481" spans="1:18" ht="87" customHeight="1">
      <c r="A481" s="410" t="s">
        <v>190</v>
      </c>
      <c r="B481" s="410"/>
      <c r="C481" s="410"/>
      <c r="D481" s="410"/>
      <c r="E481" s="410"/>
      <c r="F481" s="410"/>
      <c r="G481" s="142"/>
      <c r="H481" s="142"/>
      <c r="I481" s="143" t="s">
        <v>191</v>
      </c>
      <c r="J481" s="144" t="s">
        <v>192</v>
      </c>
      <c r="K481" s="413" t="s">
        <v>193</v>
      </c>
      <c r="L481" s="413"/>
      <c r="M481" s="399" t="s">
        <v>194</v>
      </c>
      <c r="N481" s="399" t="s">
        <v>195</v>
      </c>
      <c r="O481" s="401" t="s">
        <v>196</v>
      </c>
      <c r="P481" s="402"/>
      <c r="Q481" s="399" t="s">
        <v>197</v>
      </c>
      <c r="R481" s="399" t="s">
        <v>198</v>
      </c>
    </row>
    <row r="482" spans="1:18" ht="77.25" customHeight="1" thickBot="1">
      <c r="A482" s="145" t="s">
        <v>199</v>
      </c>
      <c r="B482" s="411" t="s">
        <v>200</v>
      </c>
      <c r="C482" s="411"/>
      <c r="D482" s="146" t="s">
        <v>201</v>
      </c>
      <c r="E482" s="146" t="s">
        <v>202</v>
      </c>
      <c r="F482" s="146" t="s">
        <v>203</v>
      </c>
      <c r="G482" s="147" t="s">
        <v>204</v>
      </c>
      <c r="H482" s="147" t="s">
        <v>205</v>
      </c>
      <c r="I482" s="148" t="s">
        <v>206</v>
      </c>
      <c r="J482" s="148" t="s">
        <v>207</v>
      </c>
      <c r="K482" s="149" t="s">
        <v>208</v>
      </c>
      <c r="L482" s="150" t="s">
        <v>209</v>
      </c>
      <c r="M482" s="400"/>
      <c r="N482" s="400"/>
      <c r="O482" s="403"/>
      <c r="P482" s="404"/>
      <c r="Q482" s="400"/>
      <c r="R482" s="400"/>
    </row>
    <row r="483" spans="1:18" ht="47.25" customHeight="1" thickBot="1">
      <c r="A483" s="125" t="str">
        <f>VLOOKUP(A476,'LISTA DE OFERENTES'!$A$4:$G$80,5,FALSE)</f>
        <v>PROYECTOS DE DESARROLLO E INFRAESTRUCTURA COLOMBIA S.A.S. – PRODEINCOL S.A.S.</v>
      </c>
      <c r="B483" s="26"/>
      <c r="C483" s="26"/>
      <c r="D483" s="26"/>
      <c r="E483" s="26"/>
      <c r="F483" s="26"/>
      <c r="G483" s="26"/>
      <c r="H483" s="26"/>
      <c r="I483" s="26"/>
      <c r="J483" s="26"/>
      <c r="K483" s="414">
        <f>$D$628*0.5</f>
        <v>139.86014</v>
      </c>
      <c r="L483" s="132"/>
      <c r="M483" s="416" t="s">
        <v>183</v>
      </c>
      <c r="N483" s="128"/>
      <c r="O483" s="189"/>
      <c r="P483" s="132"/>
      <c r="Q483" s="372" t="s">
        <v>183</v>
      </c>
      <c r="R483" s="141"/>
    </row>
    <row r="484" spans="1:18" s="9" customFormat="1" ht="130.5" customHeight="1">
      <c r="A484" s="118" t="s">
        <v>353</v>
      </c>
      <c r="B484" s="371" t="s">
        <v>354</v>
      </c>
      <c r="C484" s="371"/>
      <c r="D484" s="119">
        <v>1011968750</v>
      </c>
      <c r="E484" s="120">
        <v>2017</v>
      </c>
      <c r="F484" s="121">
        <f>D484/(VLOOKUP(E484,$D$654:$E$687,2,FALSE))</f>
        <v>1371.7573947733345</v>
      </c>
      <c r="G484" s="122">
        <v>0.5</v>
      </c>
      <c r="H484" s="121">
        <f>F484*G484</f>
        <v>685.87869738666723</v>
      </c>
      <c r="I484" s="123">
        <v>43016</v>
      </c>
      <c r="J484" s="116" t="s">
        <v>183</v>
      </c>
      <c r="K484" s="415"/>
      <c r="L484" s="133">
        <f>H484</f>
        <v>685.87869738666723</v>
      </c>
      <c r="M484" s="417"/>
      <c r="N484" s="129" t="s">
        <v>183</v>
      </c>
      <c r="O484" s="375">
        <f>$D$628*0.7</f>
        <v>195.80419599999999</v>
      </c>
      <c r="P484" s="135">
        <f>L484</f>
        <v>685.87869738666723</v>
      </c>
      <c r="Q484" s="373"/>
      <c r="R484" s="96"/>
    </row>
    <row r="485" spans="1:18" s="9" customFormat="1" ht="129" customHeight="1" thickBot="1">
      <c r="A485" s="118" t="s">
        <v>355</v>
      </c>
      <c r="B485" s="371" t="s">
        <v>356</v>
      </c>
      <c r="C485" s="371"/>
      <c r="D485" s="119">
        <v>4136215083</v>
      </c>
      <c r="E485" s="120">
        <v>2018</v>
      </c>
      <c r="F485" s="121">
        <f>D485/(VLOOKUP(E485,$D$654:$E$687,2,FALSE))</f>
        <v>5294.4095209934949</v>
      </c>
      <c r="G485" s="122">
        <v>0.34</v>
      </c>
      <c r="H485" s="121"/>
      <c r="I485" s="124">
        <v>43444</v>
      </c>
      <c r="J485" s="131" t="s">
        <v>183</v>
      </c>
      <c r="K485" s="415"/>
      <c r="L485" s="133">
        <f>H485</f>
        <v>0</v>
      </c>
      <c r="M485" s="417"/>
      <c r="N485" s="129" t="s">
        <v>183</v>
      </c>
      <c r="O485" s="377"/>
      <c r="P485" s="135"/>
      <c r="Q485" s="373"/>
      <c r="R485" s="270" t="s">
        <v>495</v>
      </c>
    </row>
    <row r="486" spans="1:18" s="9" customFormat="1" ht="48" customHeight="1" thickBot="1">
      <c r="A486" s="394" t="s">
        <v>210</v>
      </c>
      <c r="B486" s="394"/>
      <c r="C486" s="394"/>
      <c r="D486" s="394"/>
      <c r="E486" s="394"/>
      <c r="F486" s="190">
        <f>+SUM(F484:F485)</f>
        <v>6666.1669157668293</v>
      </c>
      <c r="G486" s="37"/>
      <c r="H486" s="190">
        <f>+SUM(H484:H485)</f>
        <v>685.87869738666723</v>
      </c>
      <c r="I486" s="395" t="s">
        <v>211</v>
      </c>
      <c r="J486" s="396"/>
      <c r="K486" s="396"/>
      <c r="L486" s="396"/>
      <c r="M486" s="397"/>
      <c r="N486" s="138"/>
      <c r="O486" s="138" t="str">
        <f>IF(P486&gt;O484,"CUMPLE","NO CUMPLE")</f>
        <v>CUMPLE</v>
      </c>
      <c r="P486" s="139">
        <f>SUM(P484:P485)</f>
        <v>685.87869738666723</v>
      </c>
      <c r="Q486" s="374"/>
      <c r="R486" s="140" t="str">
        <f>+IF(AND(M483="CUMPLE",Q483="CUMPLE",C480="CUMPLE"),"HABILITADO","NO HABILITADO")</f>
        <v>HABILITADO</v>
      </c>
    </row>
    <row r="487" spans="1:18" ht="16.5" thickBot="1">
      <c r="A487" s="3"/>
      <c r="B487" s="3"/>
      <c r="C487" s="3"/>
      <c r="D487" s="3"/>
      <c r="E487" s="3"/>
      <c r="F487" s="3"/>
      <c r="G487" s="3"/>
      <c r="H487" s="3"/>
      <c r="I487" s="3"/>
      <c r="J487" s="3"/>
      <c r="K487" s="3"/>
      <c r="L487" s="3"/>
      <c r="M487" s="3"/>
      <c r="N487" s="3"/>
      <c r="O487" s="3"/>
      <c r="P487" s="3"/>
      <c r="Q487" s="3"/>
      <c r="R487" s="4"/>
    </row>
    <row r="488" spans="1:18" ht="30.75" customHeight="1" thickBot="1">
      <c r="A488" s="398">
        <f>1+A476</f>
        <v>38</v>
      </c>
      <c r="B488" s="398"/>
      <c r="C488" s="398"/>
      <c r="D488" s="398"/>
      <c r="E488" s="412" t="str">
        <f>VLOOKUP(A488,'REQUISITOS HAB. TECNICOS'!$A$5:$B$80,2,FALSE)</f>
        <v>R&amp;M CONSTRUCCIONES E INTERVENTORIAS S.A.S.</v>
      </c>
      <c r="F488" s="412"/>
      <c r="G488" s="412"/>
      <c r="H488" s="412"/>
      <c r="I488" s="412"/>
      <c r="J488" s="412"/>
      <c r="K488" s="412"/>
      <c r="L488" s="412"/>
      <c r="M488" s="412"/>
      <c r="N488" s="412"/>
      <c r="O488" s="412"/>
      <c r="P488" s="412"/>
      <c r="Q488" s="412"/>
      <c r="R488" s="412"/>
    </row>
    <row r="489" spans="1:18" ht="50.25" customHeight="1" thickBot="1">
      <c r="A489" s="151" t="s">
        <v>185</v>
      </c>
      <c r="B489" s="63">
        <v>3</v>
      </c>
      <c r="C489" s="152" t="s">
        <v>186</v>
      </c>
      <c r="D489" s="153">
        <f>$D$628</f>
        <v>279.72028</v>
      </c>
      <c r="E489" s="412"/>
      <c r="F489" s="412"/>
      <c r="G489" s="412"/>
      <c r="H489" s="412"/>
      <c r="I489" s="412"/>
      <c r="J489" s="412"/>
      <c r="K489" s="412"/>
      <c r="L489" s="412"/>
      <c r="M489" s="412"/>
      <c r="N489" s="412"/>
      <c r="O489" s="412"/>
      <c r="P489" s="412"/>
      <c r="Q489" s="412"/>
      <c r="R489" s="412"/>
    </row>
    <row r="490" spans="1:18" ht="23.25" customHeight="1" thickBot="1">
      <c r="A490" s="388" t="s">
        <v>187</v>
      </c>
      <c r="B490" s="388"/>
      <c r="C490" s="389">
        <f>H499/B489</f>
        <v>608.37729437787573</v>
      </c>
      <c r="D490" s="389"/>
      <c r="E490" s="412"/>
      <c r="F490" s="412"/>
      <c r="G490" s="412"/>
      <c r="H490" s="412"/>
      <c r="I490" s="412"/>
      <c r="J490" s="412"/>
      <c r="K490" s="412"/>
      <c r="L490" s="412"/>
      <c r="M490" s="412"/>
      <c r="N490" s="412"/>
      <c r="O490" s="412"/>
      <c r="P490" s="412"/>
      <c r="Q490" s="412"/>
      <c r="R490" s="412"/>
    </row>
    <row r="491" spans="1:18" ht="23.25" customHeight="1" thickBot="1">
      <c r="A491" s="390" t="s">
        <v>188</v>
      </c>
      <c r="B491" s="390"/>
      <c r="C491" s="391">
        <v>45610</v>
      </c>
      <c r="D491" s="391"/>
      <c r="E491" s="412"/>
      <c r="F491" s="412"/>
      <c r="G491" s="412"/>
      <c r="H491" s="412"/>
      <c r="I491" s="412"/>
      <c r="J491" s="412"/>
      <c r="K491" s="412"/>
      <c r="L491" s="412"/>
      <c r="M491" s="412"/>
      <c r="N491" s="412"/>
      <c r="O491" s="412"/>
      <c r="P491" s="412"/>
      <c r="Q491" s="412"/>
      <c r="R491" s="412"/>
    </row>
    <row r="492" spans="1:18" ht="38.25" customHeight="1" thickBot="1">
      <c r="A492" s="392" t="s">
        <v>189</v>
      </c>
      <c r="B492" s="392"/>
      <c r="C492" s="393" t="str">
        <f>+IF(H499&gt;D489,"CUMPLE","NO CUMPLE")</f>
        <v>CUMPLE</v>
      </c>
      <c r="D492" s="393"/>
      <c r="E492" s="412"/>
      <c r="F492" s="412"/>
      <c r="G492" s="412"/>
      <c r="H492" s="412"/>
      <c r="I492" s="412"/>
      <c r="J492" s="412"/>
      <c r="K492" s="412"/>
      <c r="L492" s="412"/>
      <c r="M492" s="412"/>
      <c r="N492" s="412"/>
      <c r="O492" s="412"/>
      <c r="P492" s="412"/>
      <c r="Q492" s="412"/>
      <c r="R492" s="412"/>
    </row>
    <row r="493" spans="1:18" ht="87" customHeight="1">
      <c r="A493" s="410" t="s">
        <v>190</v>
      </c>
      <c r="B493" s="410"/>
      <c r="C493" s="410"/>
      <c r="D493" s="410"/>
      <c r="E493" s="410"/>
      <c r="F493" s="410"/>
      <c r="G493" s="142"/>
      <c r="H493" s="142"/>
      <c r="I493" s="143" t="s">
        <v>191</v>
      </c>
      <c r="J493" s="144" t="s">
        <v>192</v>
      </c>
      <c r="K493" s="413" t="s">
        <v>193</v>
      </c>
      <c r="L493" s="413"/>
      <c r="M493" s="399" t="s">
        <v>194</v>
      </c>
      <c r="N493" s="399" t="s">
        <v>195</v>
      </c>
      <c r="O493" s="401" t="s">
        <v>196</v>
      </c>
      <c r="P493" s="402"/>
      <c r="Q493" s="399" t="s">
        <v>197</v>
      </c>
      <c r="R493" s="399" t="s">
        <v>198</v>
      </c>
    </row>
    <row r="494" spans="1:18" ht="77.25" customHeight="1" thickBot="1">
      <c r="A494" s="145" t="s">
        <v>199</v>
      </c>
      <c r="B494" s="411" t="s">
        <v>200</v>
      </c>
      <c r="C494" s="411"/>
      <c r="D494" s="146" t="s">
        <v>201</v>
      </c>
      <c r="E494" s="146" t="s">
        <v>202</v>
      </c>
      <c r="F494" s="146" t="s">
        <v>203</v>
      </c>
      <c r="G494" s="147" t="s">
        <v>204</v>
      </c>
      <c r="H494" s="147" t="s">
        <v>205</v>
      </c>
      <c r="I494" s="148" t="s">
        <v>206</v>
      </c>
      <c r="J494" s="148" t="s">
        <v>207</v>
      </c>
      <c r="K494" s="149" t="s">
        <v>208</v>
      </c>
      <c r="L494" s="150" t="s">
        <v>209</v>
      </c>
      <c r="M494" s="400"/>
      <c r="N494" s="400"/>
      <c r="O494" s="403"/>
      <c r="P494" s="404"/>
      <c r="Q494" s="400"/>
      <c r="R494" s="400"/>
    </row>
    <row r="495" spans="1:18" ht="18">
      <c r="A495" s="125" t="str">
        <f>VLOOKUP(A488,'LISTA DE OFERENTES'!$A$4:$G$80,5,FALSE)</f>
        <v>R&amp;M CONSTRUCCIONES E INTERVENTORIAS S.A.S.</v>
      </c>
      <c r="B495" s="26"/>
      <c r="C495" s="26"/>
      <c r="D495" s="26"/>
      <c r="E495" s="26"/>
      <c r="F495" s="26"/>
      <c r="G495" s="26"/>
      <c r="H495" s="26"/>
      <c r="I495" s="26"/>
      <c r="J495" s="26"/>
      <c r="K495" s="414">
        <f>$D$628*0.5</f>
        <v>139.86014</v>
      </c>
      <c r="L495" s="132"/>
      <c r="M495" s="416" t="s">
        <v>183</v>
      </c>
      <c r="N495" s="128"/>
      <c r="O495" s="189"/>
      <c r="P495" s="132"/>
      <c r="Q495" s="372" t="s">
        <v>183</v>
      </c>
      <c r="R495" s="141"/>
    </row>
    <row r="496" spans="1:18" s="9" customFormat="1" ht="177.75" customHeight="1">
      <c r="A496" s="118" t="s">
        <v>357</v>
      </c>
      <c r="B496" s="431" t="s">
        <v>221</v>
      </c>
      <c r="C496" s="432"/>
      <c r="D496" s="119">
        <v>679928522</v>
      </c>
      <c r="E496" s="120">
        <v>2018</v>
      </c>
      <c r="F496" s="121">
        <f>D496/(VLOOKUP(E496,$D$654:$E$687,2,FALSE))</f>
        <v>870.31742021038292</v>
      </c>
      <c r="G496" s="122">
        <v>1</v>
      </c>
      <c r="H496" s="121">
        <f>F496*G496</f>
        <v>870.31742021038292</v>
      </c>
      <c r="I496" s="123">
        <v>43344</v>
      </c>
      <c r="J496" s="116" t="s">
        <v>183</v>
      </c>
      <c r="K496" s="415"/>
      <c r="L496" s="133">
        <f>H496</f>
        <v>870.31742021038292</v>
      </c>
      <c r="M496" s="417"/>
      <c r="N496" s="129" t="s">
        <v>183</v>
      </c>
      <c r="O496" s="375">
        <f>$D$628*0.7</f>
        <v>195.80419599999999</v>
      </c>
      <c r="P496" s="135">
        <f>H496</f>
        <v>870.31742021038292</v>
      </c>
      <c r="Q496" s="373"/>
      <c r="R496" s="96"/>
    </row>
    <row r="497" spans="1:18" s="9" customFormat="1" ht="162">
      <c r="A497" s="118" t="s">
        <v>358</v>
      </c>
      <c r="B497" s="431" t="s">
        <v>359</v>
      </c>
      <c r="C497" s="432"/>
      <c r="D497" s="119">
        <v>228365821</v>
      </c>
      <c r="E497" s="120">
        <v>2017</v>
      </c>
      <c r="F497" s="121">
        <f>D497/(VLOOKUP(E497,$D$654:$E$687,2,FALSE))</f>
        <v>309.55748749181595</v>
      </c>
      <c r="G497" s="122">
        <v>1</v>
      </c>
      <c r="H497" s="121">
        <f>F497*G497</f>
        <v>309.55748749181595</v>
      </c>
      <c r="I497" s="124">
        <v>42933</v>
      </c>
      <c r="J497" s="131" t="s">
        <v>183</v>
      </c>
      <c r="K497" s="415"/>
      <c r="L497" s="133">
        <f>H497</f>
        <v>309.55748749181595</v>
      </c>
      <c r="M497" s="417"/>
      <c r="N497" s="129" t="s">
        <v>183</v>
      </c>
      <c r="O497" s="377"/>
      <c r="P497" s="135"/>
      <c r="Q497" s="373"/>
      <c r="R497" s="96"/>
    </row>
    <row r="498" spans="1:18" s="9" customFormat="1" ht="172.5" customHeight="1">
      <c r="A498" s="118" t="s">
        <v>360</v>
      </c>
      <c r="B498" s="431" t="s">
        <v>359</v>
      </c>
      <c r="C498" s="432"/>
      <c r="D498" s="119">
        <v>504101850</v>
      </c>
      <c r="E498" s="120">
        <v>2018</v>
      </c>
      <c r="F498" s="121">
        <f>D498/(VLOOKUP(E498,$D$654:$E$687,2,FALSE))</f>
        <v>645.25697543142837</v>
      </c>
      <c r="G498" s="122">
        <v>1</v>
      </c>
      <c r="H498" s="121">
        <f>F498*G498</f>
        <v>645.25697543142837</v>
      </c>
      <c r="I498" s="123">
        <v>43328</v>
      </c>
      <c r="J498" s="116" t="s">
        <v>183</v>
      </c>
      <c r="K498" s="415"/>
      <c r="L498" s="133">
        <f>H498</f>
        <v>645.25697543142837</v>
      </c>
      <c r="M498" s="417"/>
      <c r="N498" s="129" t="s">
        <v>183</v>
      </c>
      <c r="O498" s="377"/>
      <c r="P498" s="135">
        <f>H498</f>
        <v>645.25697543142837</v>
      </c>
      <c r="Q498" s="373"/>
      <c r="R498" s="96"/>
    </row>
    <row r="499" spans="1:18" s="9" customFormat="1" ht="48" customHeight="1">
      <c r="A499" s="394" t="s">
        <v>210</v>
      </c>
      <c r="B499" s="394"/>
      <c r="C499" s="394"/>
      <c r="D499" s="394"/>
      <c r="E499" s="394"/>
      <c r="F499" s="190">
        <f>+SUM(F496:F498)</f>
        <v>1825.1318831336273</v>
      </c>
      <c r="G499" s="37"/>
      <c r="H499" s="190">
        <f>+SUM(H496:H498)</f>
        <v>1825.1318831336273</v>
      </c>
      <c r="I499" s="395" t="s">
        <v>211</v>
      </c>
      <c r="J499" s="396"/>
      <c r="K499" s="396"/>
      <c r="L499" s="396"/>
      <c r="M499" s="397"/>
      <c r="N499" s="138" t="s">
        <v>183</v>
      </c>
      <c r="O499" s="138" t="str">
        <f>IF(P499&gt;O496,"CUMPLE","NO CUMPLE")</f>
        <v>CUMPLE</v>
      </c>
      <c r="P499" s="139">
        <f>SUM(P496:P498)</f>
        <v>1515.5743956418114</v>
      </c>
      <c r="Q499" s="374"/>
      <c r="R499" s="140" t="str">
        <f>+IF(AND(M495="CUMPLE",Q495="CUMPLE",C492="CUMPLE"),"HABILITADO","NO HABILITADO")</f>
        <v>HABILITADO</v>
      </c>
    </row>
    <row r="500" spans="1:18" ht="16.5" thickBot="1">
      <c r="A500" s="3"/>
      <c r="B500" s="3"/>
      <c r="C500" s="3"/>
      <c r="D500" s="3"/>
      <c r="E500" s="3"/>
      <c r="F500" s="3"/>
      <c r="G500" s="3"/>
      <c r="H500" s="3"/>
      <c r="I500" s="3"/>
      <c r="J500" s="3"/>
      <c r="K500" s="3"/>
      <c r="L500" s="3"/>
      <c r="M500" s="3"/>
      <c r="N500" s="3"/>
      <c r="O500" s="3"/>
      <c r="P500" s="3"/>
      <c r="Q500" s="3"/>
      <c r="R500" s="4"/>
    </row>
    <row r="501" spans="1:18" ht="30.75" customHeight="1" thickBot="1">
      <c r="A501" s="398">
        <f>1+A488</f>
        <v>39</v>
      </c>
      <c r="B501" s="398"/>
      <c r="C501" s="398"/>
      <c r="D501" s="398"/>
      <c r="E501" s="412" t="str">
        <f>VLOOKUP(A501,'REQUISITOS HAB. TECNICOS'!$A$5:$B$80,2,FALSE)</f>
        <v>CONSORCIO ALMA – INTERNOVAC</v>
      </c>
      <c r="F501" s="412"/>
      <c r="G501" s="412"/>
      <c r="H501" s="412"/>
      <c r="I501" s="412"/>
      <c r="J501" s="412"/>
      <c r="K501" s="412"/>
      <c r="L501" s="412"/>
      <c r="M501" s="412"/>
      <c r="N501" s="412"/>
      <c r="O501" s="412"/>
      <c r="P501" s="412"/>
      <c r="Q501" s="412"/>
      <c r="R501" s="412"/>
    </row>
    <row r="502" spans="1:18" ht="50.25" customHeight="1" thickBot="1">
      <c r="A502" s="151" t="s">
        <v>185</v>
      </c>
      <c r="B502" s="63">
        <v>5</v>
      </c>
      <c r="C502" s="152" t="s">
        <v>186</v>
      </c>
      <c r="D502" s="153">
        <f>$D$628</f>
        <v>279.72028</v>
      </c>
      <c r="E502" s="412"/>
      <c r="F502" s="412"/>
      <c r="G502" s="412"/>
      <c r="H502" s="412"/>
      <c r="I502" s="412"/>
      <c r="J502" s="412"/>
      <c r="K502" s="412"/>
      <c r="L502" s="412"/>
      <c r="M502" s="412"/>
      <c r="N502" s="412"/>
      <c r="O502" s="412"/>
      <c r="P502" s="412"/>
      <c r="Q502" s="412"/>
      <c r="R502" s="412"/>
    </row>
    <row r="503" spans="1:18" ht="23.25" customHeight="1" thickBot="1">
      <c r="A503" s="388" t="s">
        <v>187</v>
      </c>
      <c r="B503" s="388"/>
      <c r="C503" s="389" t="e">
        <f>H514/B502</f>
        <v>#N/A</v>
      </c>
      <c r="D503" s="389"/>
      <c r="E503" s="412"/>
      <c r="F503" s="412"/>
      <c r="G503" s="412"/>
      <c r="H503" s="412"/>
      <c r="I503" s="412"/>
      <c r="J503" s="412"/>
      <c r="K503" s="412"/>
      <c r="L503" s="412"/>
      <c r="M503" s="412"/>
      <c r="N503" s="412"/>
      <c r="O503" s="412"/>
      <c r="P503" s="412"/>
      <c r="Q503" s="412"/>
      <c r="R503" s="412"/>
    </row>
    <row r="504" spans="1:18" ht="23.25" customHeight="1" thickBot="1">
      <c r="A504" s="390" t="s">
        <v>188</v>
      </c>
      <c r="B504" s="390"/>
      <c r="C504" s="391">
        <v>45610</v>
      </c>
      <c r="D504" s="391"/>
      <c r="E504" s="412"/>
      <c r="F504" s="412"/>
      <c r="G504" s="412"/>
      <c r="H504" s="412"/>
      <c r="I504" s="412"/>
      <c r="J504" s="412"/>
      <c r="K504" s="412"/>
      <c r="L504" s="412"/>
      <c r="M504" s="412"/>
      <c r="N504" s="412"/>
      <c r="O504" s="412"/>
      <c r="P504" s="412"/>
      <c r="Q504" s="412"/>
      <c r="R504" s="412"/>
    </row>
    <row r="505" spans="1:18" ht="38.25" customHeight="1" thickBot="1">
      <c r="A505" s="392" t="s">
        <v>189</v>
      </c>
      <c r="B505" s="392"/>
      <c r="C505" s="393" t="e">
        <f>+IF(H514&gt;D502,"CUMPLE","NO CUMPLE")</f>
        <v>#N/A</v>
      </c>
      <c r="D505" s="393"/>
      <c r="E505" s="412"/>
      <c r="F505" s="412"/>
      <c r="G505" s="412"/>
      <c r="H505" s="412"/>
      <c r="I505" s="412"/>
      <c r="J505" s="412"/>
      <c r="K505" s="412"/>
      <c r="L505" s="412"/>
      <c r="M505" s="412"/>
      <c r="N505" s="412"/>
      <c r="O505" s="412"/>
      <c r="P505" s="412"/>
      <c r="Q505" s="412"/>
      <c r="R505" s="412"/>
    </row>
    <row r="506" spans="1:18" ht="87" customHeight="1">
      <c r="A506" s="410" t="s">
        <v>190</v>
      </c>
      <c r="B506" s="410"/>
      <c r="C506" s="410"/>
      <c r="D506" s="410"/>
      <c r="E506" s="410"/>
      <c r="F506" s="410"/>
      <c r="G506" s="142"/>
      <c r="H506" s="142"/>
      <c r="I506" s="143" t="s">
        <v>191</v>
      </c>
      <c r="J506" s="144" t="s">
        <v>192</v>
      </c>
      <c r="K506" s="413" t="s">
        <v>193</v>
      </c>
      <c r="L506" s="413"/>
      <c r="M506" s="399" t="s">
        <v>194</v>
      </c>
      <c r="N506" s="399" t="s">
        <v>195</v>
      </c>
      <c r="O506" s="401" t="s">
        <v>196</v>
      </c>
      <c r="P506" s="402"/>
      <c r="Q506" s="399" t="s">
        <v>197</v>
      </c>
      <c r="R506" s="399" t="s">
        <v>198</v>
      </c>
    </row>
    <row r="507" spans="1:18" ht="77.25" customHeight="1">
      <c r="A507" s="145" t="s">
        <v>199</v>
      </c>
      <c r="B507" s="411" t="s">
        <v>200</v>
      </c>
      <c r="C507" s="411"/>
      <c r="D507" s="146" t="s">
        <v>201</v>
      </c>
      <c r="E507" s="146" t="s">
        <v>202</v>
      </c>
      <c r="F507" s="146" t="s">
        <v>203</v>
      </c>
      <c r="G507" s="147" t="s">
        <v>204</v>
      </c>
      <c r="H507" s="147" t="s">
        <v>205</v>
      </c>
      <c r="I507" s="148" t="s">
        <v>206</v>
      </c>
      <c r="J507" s="148" t="s">
        <v>207</v>
      </c>
      <c r="K507" s="149" t="s">
        <v>208</v>
      </c>
      <c r="L507" s="150" t="s">
        <v>209</v>
      </c>
      <c r="M507" s="400"/>
      <c r="N507" s="400"/>
      <c r="O507" s="403"/>
      <c r="P507" s="404"/>
      <c r="Q507" s="400"/>
      <c r="R507" s="400"/>
    </row>
    <row r="508" spans="1:18" ht="18">
      <c r="A508" s="125" t="str">
        <f>VLOOKUP(A501,'LISTA DE OFERENTES'!$A$4:$G$80,5,FALSE)</f>
        <v>ALMA Interventoría &amp; Consultoría S.A.S</v>
      </c>
      <c r="B508" s="26"/>
      <c r="C508" s="26"/>
      <c r="D508" s="26"/>
      <c r="E508" s="26"/>
      <c r="F508" s="26"/>
      <c r="G508" s="26"/>
      <c r="H508" s="26"/>
      <c r="I508" s="26"/>
      <c r="J508" s="26"/>
      <c r="K508" s="414">
        <f>$D$628*0.5</f>
        <v>139.86014</v>
      </c>
      <c r="L508" s="132"/>
      <c r="M508" s="416"/>
      <c r="N508" s="128"/>
      <c r="O508" s="189"/>
      <c r="P508" s="132"/>
      <c r="Q508" s="372" t="str">
        <f>IF(AND(N514="CUMPLE",O514="CUMPLE"),"CUMPLE","NO CUMPLE")</f>
        <v>NO CUMPLE</v>
      </c>
      <c r="R508" s="454" t="s">
        <v>361</v>
      </c>
    </row>
    <row r="509" spans="1:18" s="9" customFormat="1" ht="23.25">
      <c r="A509" s="118"/>
      <c r="B509" s="371"/>
      <c r="C509" s="371"/>
      <c r="D509" s="119"/>
      <c r="E509" s="120"/>
      <c r="F509" s="121" t="e">
        <f>D509/(VLOOKUP(E509,$D$654:$E$687,2,FALSE))</f>
        <v>#N/A</v>
      </c>
      <c r="G509" s="122">
        <v>0.2</v>
      </c>
      <c r="H509" s="121" t="e">
        <f>F509*G509</f>
        <v>#N/A</v>
      </c>
      <c r="I509" s="123"/>
      <c r="J509" s="116"/>
      <c r="K509" s="415"/>
      <c r="L509" s="133" t="e">
        <f>H509</f>
        <v>#N/A</v>
      </c>
      <c r="M509" s="417"/>
      <c r="N509" s="129"/>
      <c r="O509" s="375">
        <f>$D$628*0.7</f>
        <v>195.80419599999999</v>
      </c>
      <c r="P509" s="135"/>
      <c r="Q509" s="373"/>
      <c r="R509" s="455"/>
    </row>
    <row r="510" spans="1:18" s="9" customFormat="1" ht="23.25">
      <c r="A510" s="118"/>
      <c r="B510" s="371"/>
      <c r="C510" s="371"/>
      <c r="D510" s="119"/>
      <c r="E510" s="120"/>
      <c r="F510" s="121" t="e">
        <f>D510/(VLOOKUP(E510,$D$654:$E$687,2,FALSE))</f>
        <v>#N/A</v>
      </c>
      <c r="G510" s="122">
        <v>0.2</v>
      </c>
      <c r="H510" s="121" t="e">
        <f>F510*G510</f>
        <v>#N/A</v>
      </c>
      <c r="I510" s="124"/>
      <c r="J510" s="131"/>
      <c r="K510" s="415"/>
      <c r="L510" s="133" t="e">
        <f>H510</f>
        <v>#N/A</v>
      </c>
      <c r="M510" s="417"/>
      <c r="N510" s="129"/>
      <c r="O510" s="377"/>
      <c r="P510" s="135"/>
      <c r="Q510" s="373"/>
      <c r="R510" s="455"/>
    </row>
    <row r="511" spans="1:18" ht="23.25" customHeight="1">
      <c r="A511" s="125" t="str">
        <f>VLOOKUP(A501,'LISTA DE OFERENTES'!$A$4:$G$80,6,FALSE)</f>
        <v>INTERNOVAC GROUP S.A.S - BIC</v>
      </c>
      <c r="B511" s="126"/>
      <c r="C511" s="126"/>
      <c r="D511" s="126"/>
      <c r="E511" s="126"/>
      <c r="F511" s="126"/>
      <c r="G511" s="127"/>
      <c r="H511" s="126"/>
      <c r="I511" s="126"/>
      <c r="J511" s="126"/>
      <c r="K511" s="415"/>
      <c r="L511" s="134"/>
      <c r="M511" s="417"/>
      <c r="N511" s="130"/>
      <c r="O511" s="377"/>
      <c r="P511" s="136"/>
      <c r="Q511" s="373"/>
      <c r="R511" s="455"/>
    </row>
    <row r="512" spans="1:18" s="9" customFormat="1" ht="23.25">
      <c r="A512" s="118"/>
      <c r="B512" s="371"/>
      <c r="C512" s="371"/>
      <c r="D512" s="119"/>
      <c r="E512" s="120"/>
      <c r="F512" s="121" t="e">
        <f>D512/(VLOOKUP(E512,$D$654:$E$687,2,FALSE))</f>
        <v>#N/A</v>
      </c>
      <c r="G512" s="122">
        <v>0.2</v>
      </c>
      <c r="H512" s="121" t="e">
        <f>F512*G512</f>
        <v>#N/A</v>
      </c>
      <c r="I512" s="123"/>
      <c r="J512" s="116"/>
      <c r="K512" s="415"/>
      <c r="L512" s="133" t="e">
        <f>H512</f>
        <v>#N/A</v>
      </c>
      <c r="M512" s="417"/>
      <c r="N512" s="129"/>
      <c r="O512" s="377"/>
      <c r="P512" s="135"/>
      <c r="Q512" s="373"/>
      <c r="R512" s="455"/>
    </row>
    <row r="513" spans="1:18" s="9" customFormat="1" ht="23.25">
      <c r="A513" s="118"/>
      <c r="B513" s="371"/>
      <c r="C513" s="371"/>
      <c r="D513" s="119"/>
      <c r="E513" s="120"/>
      <c r="F513" s="121" t="e">
        <f>D513/(VLOOKUP(E513,$D$654:$E$687,2,FALSE))</f>
        <v>#N/A</v>
      </c>
      <c r="G513" s="122">
        <v>0.2</v>
      </c>
      <c r="H513" s="121" t="e">
        <f>F513*G513</f>
        <v>#N/A</v>
      </c>
      <c r="I513" s="124"/>
      <c r="J513" s="131"/>
      <c r="K513" s="415"/>
      <c r="L513" s="133" t="e">
        <f>H513</f>
        <v>#N/A</v>
      </c>
      <c r="M513" s="417"/>
      <c r="N513" s="129"/>
      <c r="O513" s="377"/>
      <c r="P513" s="135"/>
      <c r="Q513" s="373"/>
      <c r="R513" s="455"/>
    </row>
    <row r="514" spans="1:18" s="9" customFormat="1" ht="48" customHeight="1">
      <c r="A514" s="394" t="s">
        <v>210</v>
      </c>
      <c r="B514" s="394"/>
      <c r="C514" s="394"/>
      <c r="D514" s="394"/>
      <c r="E514" s="394"/>
      <c r="F514" s="190" t="e">
        <f>+SUM(F509:F513)</f>
        <v>#N/A</v>
      </c>
      <c r="G514" s="37"/>
      <c r="H514" s="190" t="e">
        <f>+SUM(H509:H513)</f>
        <v>#N/A</v>
      </c>
      <c r="I514" s="395" t="s">
        <v>211</v>
      </c>
      <c r="J514" s="396"/>
      <c r="K514" s="396"/>
      <c r="L514" s="396"/>
      <c r="M514" s="397"/>
      <c r="N514" s="138"/>
      <c r="O514" s="138" t="str">
        <f>IF(P514&gt;O509,"CUMPLE","NO CUMPLE")</f>
        <v>NO CUMPLE</v>
      </c>
      <c r="P514" s="139">
        <f>SUM(P509:P513)</f>
        <v>0</v>
      </c>
      <c r="Q514" s="374"/>
      <c r="R514" s="140" t="s">
        <v>212</v>
      </c>
    </row>
    <row r="515" spans="1:18" ht="16.5" thickBot="1">
      <c r="A515" s="3"/>
      <c r="B515" s="3"/>
      <c r="C515" s="3"/>
      <c r="D515" s="3"/>
      <c r="E515" s="3"/>
      <c r="F515" s="3"/>
      <c r="G515" s="3"/>
      <c r="H515" s="3"/>
      <c r="I515" s="3"/>
      <c r="J515" s="3"/>
      <c r="K515" s="3"/>
      <c r="L515" s="3"/>
      <c r="M515" s="3"/>
      <c r="N515" s="3"/>
      <c r="O515" s="3"/>
      <c r="P515" s="3"/>
      <c r="Q515" s="3"/>
      <c r="R515" s="4"/>
    </row>
    <row r="516" spans="1:18" ht="30.75" customHeight="1" thickBot="1">
      <c r="A516" s="398">
        <f>1+A501</f>
        <v>40</v>
      </c>
      <c r="B516" s="398"/>
      <c r="C516" s="398"/>
      <c r="D516" s="398"/>
      <c r="E516" s="412" t="str">
        <f>VLOOKUP(A516,'REQUISITOS HAB. TECNICOS'!$A$5:$B$80,2,FALSE)</f>
        <v>R&amp;Y GRUP SAS</v>
      </c>
      <c r="F516" s="412"/>
      <c r="G516" s="412"/>
      <c r="H516" s="412"/>
      <c r="I516" s="412"/>
      <c r="J516" s="412"/>
      <c r="K516" s="412"/>
      <c r="L516" s="412"/>
      <c r="M516" s="412"/>
      <c r="N516" s="412"/>
      <c r="O516" s="412"/>
      <c r="P516" s="412"/>
      <c r="Q516" s="412"/>
      <c r="R516" s="412"/>
    </row>
    <row r="517" spans="1:18" ht="50.25" customHeight="1" thickBot="1">
      <c r="A517" s="151" t="s">
        <v>185</v>
      </c>
      <c r="B517" s="63">
        <v>1</v>
      </c>
      <c r="C517" s="152" t="s">
        <v>186</v>
      </c>
      <c r="D517" s="153">
        <f>$D$628</f>
        <v>279.72028</v>
      </c>
      <c r="E517" s="412"/>
      <c r="F517" s="412"/>
      <c r="G517" s="412"/>
      <c r="H517" s="412"/>
      <c r="I517" s="412"/>
      <c r="J517" s="412"/>
      <c r="K517" s="412"/>
      <c r="L517" s="412"/>
      <c r="M517" s="412"/>
      <c r="N517" s="412"/>
      <c r="O517" s="412"/>
      <c r="P517" s="412"/>
      <c r="Q517" s="412"/>
      <c r="R517" s="412"/>
    </row>
    <row r="518" spans="1:18" ht="23.25" customHeight="1" thickBot="1">
      <c r="A518" s="388" t="s">
        <v>187</v>
      </c>
      <c r="B518" s="388"/>
      <c r="C518" s="389">
        <f>H525/B517</f>
        <v>359.18523449500003</v>
      </c>
      <c r="D518" s="389"/>
      <c r="E518" s="412"/>
      <c r="F518" s="412"/>
      <c r="G518" s="412"/>
      <c r="H518" s="412"/>
      <c r="I518" s="412"/>
      <c r="J518" s="412"/>
      <c r="K518" s="412"/>
      <c r="L518" s="412"/>
      <c r="M518" s="412"/>
      <c r="N518" s="412"/>
      <c r="O518" s="412"/>
      <c r="P518" s="412"/>
      <c r="Q518" s="412"/>
      <c r="R518" s="412"/>
    </row>
    <row r="519" spans="1:18" ht="23.25" customHeight="1" thickBot="1">
      <c r="A519" s="390" t="s">
        <v>188</v>
      </c>
      <c r="B519" s="390"/>
      <c r="C519" s="391">
        <v>45610</v>
      </c>
      <c r="D519" s="391"/>
      <c r="E519" s="412"/>
      <c r="F519" s="412"/>
      <c r="G519" s="412"/>
      <c r="H519" s="412"/>
      <c r="I519" s="412"/>
      <c r="J519" s="412"/>
      <c r="K519" s="412"/>
      <c r="L519" s="412"/>
      <c r="M519" s="412"/>
      <c r="N519" s="412"/>
      <c r="O519" s="412"/>
      <c r="P519" s="412"/>
      <c r="Q519" s="412"/>
      <c r="R519" s="412"/>
    </row>
    <row r="520" spans="1:18" ht="38.25" customHeight="1" thickBot="1">
      <c r="A520" s="392" t="s">
        <v>189</v>
      </c>
      <c r="B520" s="392"/>
      <c r="C520" s="393" t="str">
        <f>+IF(H525&gt;D517,"CUMPLE","NO CUMPLE")</f>
        <v>CUMPLE</v>
      </c>
      <c r="D520" s="393"/>
      <c r="E520" s="412"/>
      <c r="F520" s="412"/>
      <c r="G520" s="412"/>
      <c r="H520" s="412"/>
      <c r="I520" s="412"/>
      <c r="J520" s="412"/>
      <c r="K520" s="412"/>
      <c r="L520" s="412"/>
      <c r="M520" s="412"/>
      <c r="N520" s="412"/>
      <c r="O520" s="412"/>
      <c r="P520" s="412"/>
      <c r="Q520" s="412"/>
      <c r="R520" s="412"/>
    </row>
    <row r="521" spans="1:18" ht="87" customHeight="1">
      <c r="A521" s="410" t="s">
        <v>190</v>
      </c>
      <c r="B521" s="410"/>
      <c r="C521" s="410"/>
      <c r="D521" s="410"/>
      <c r="E521" s="410"/>
      <c r="F521" s="410"/>
      <c r="G521" s="142"/>
      <c r="H521" s="142"/>
      <c r="I521" s="143" t="s">
        <v>191</v>
      </c>
      <c r="J521" s="144" t="s">
        <v>192</v>
      </c>
      <c r="K521" s="413" t="s">
        <v>193</v>
      </c>
      <c r="L521" s="413"/>
      <c r="M521" s="399" t="s">
        <v>194</v>
      </c>
      <c r="N521" s="399" t="s">
        <v>195</v>
      </c>
      <c r="O521" s="401" t="s">
        <v>196</v>
      </c>
      <c r="P521" s="402"/>
      <c r="Q521" s="399" t="s">
        <v>197</v>
      </c>
      <c r="R521" s="399" t="s">
        <v>198</v>
      </c>
    </row>
    <row r="522" spans="1:18" ht="77.25" customHeight="1" thickBot="1">
      <c r="A522" s="145" t="s">
        <v>199</v>
      </c>
      <c r="B522" s="411" t="s">
        <v>200</v>
      </c>
      <c r="C522" s="411"/>
      <c r="D522" s="146" t="s">
        <v>201</v>
      </c>
      <c r="E522" s="146" t="s">
        <v>202</v>
      </c>
      <c r="F522" s="146" t="s">
        <v>203</v>
      </c>
      <c r="G522" s="147" t="s">
        <v>204</v>
      </c>
      <c r="H522" s="147" t="s">
        <v>205</v>
      </c>
      <c r="I522" s="148" t="s">
        <v>206</v>
      </c>
      <c r="J522" s="148" t="s">
        <v>207</v>
      </c>
      <c r="K522" s="149" t="s">
        <v>208</v>
      </c>
      <c r="L522" s="150" t="s">
        <v>209</v>
      </c>
      <c r="M522" s="400"/>
      <c r="N522" s="400"/>
      <c r="O522" s="403"/>
      <c r="P522" s="404"/>
      <c r="Q522" s="400"/>
      <c r="R522" s="400"/>
    </row>
    <row r="523" spans="1:18" ht="18">
      <c r="A523" s="125" t="str">
        <f>VLOOKUP(A516,'LISTA DE OFERENTES'!$A$4:$G$80,5,FALSE)</f>
        <v>R&amp;Y GURP SAS 100%</v>
      </c>
      <c r="B523" s="26"/>
      <c r="C523" s="26"/>
      <c r="D523" s="26"/>
      <c r="E523" s="26"/>
      <c r="F523" s="26"/>
      <c r="G523" s="26"/>
      <c r="H523" s="26"/>
      <c r="I523" s="26"/>
      <c r="J523" s="26"/>
      <c r="K523" s="414">
        <f>$D$628*0.5</f>
        <v>139.86014</v>
      </c>
      <c r="L523" s="132"/>
      <c r="M523" s="416" t="s">
        <v>183</v>
      </c>
      <c r="N523" s="128"/>
      <c r="O523" s="189"/>
      <c r="P523" s="132"/>
      <c r="Q523" s="372" t="s">
        <v>183</v>
      </c>
      <c r="R523" s="141"/>
    </row>
    <row r="524" spans="1:18" s="9" customFormat="1" ht="90">
      <c r="A524" s="118" t="s">
        <v>362</v>
      </c>
      <c r="B524" s="371" t="s">
        <v>363</v>
      </c>
      <c r="C524" s="371"/>
      <c r="D524" s="119">
        <v>718370468.99000001</v>
      </c>
      <c r="E524" s="120">
        <v>2022</v>
      </c>
      <c r="F524" s="121">
        <f>D524/(VLOOKUP(E524,$D$654:$E$687,2,FALSE))</f>
        <v>718.37046899000006</v>
      </c>
      <c r="G524" s="122">
        <v>0.5</v>
      </c>
      <c r="H524" s="121">
        <f>F524*G524</f>
        <v>359.18523449500003</v>
      </c>
      <c r="I524" s="123">
        <v>44913</v>
      </c>
      <c r="J524" s="116" t="s">
        <v>183</v>
      </c>
      <c r="K524" s="415"/>
      <c r="L524" s="133">
        <f>H524</f>
        <v>359.18523449500003</v>
      </c>
      <c r="M524" s="417"/>
      <c r="N524" s="129" t="s">
        <v>183</v>
      </c>
      <c r="O524" s="192">
        <f>$D$628*0.7</f>
        <v>195.80419599999999</v>
      </c>
      <c r="P524" s="135">
        <f>+L524</f>
        <v>359.18523449500003</v>
      </c>
      <c r="Q524" s="373"/>
      <c r="R524" s="96"/>
    </row>
    <row r="525" spans="1:18" s="9" customFormat="1" ht="48" customHeight="1">
      <c r="A525" s="394" t="s">
        <v>210</v>
      </c>
      <c r="B525" s="394"/>
      <c r="C525" s="394"/>
      <c r="D525" s="394"/>
      <c r="E525" s="394"/>
      <c r="F525" s="190">
        <f>+SUM(F524:F524)</f>
        <v>718.37046899000006</v>
      </c>
      <c r="G525" s="37"/>
      <c r="H525" s="190">
        <f>+SUM(H524:H524)</f>
        <v>359.18523449500003</v>
      </c>
      <c r="I525" s="395" t="s">
        <v>211</v>
      </c>
      <c r="J525" s="396"/>
      <c r="K525" s="396"/>
      <c r="L525" s="396"/>
      <c r="M525" s="397"/>
      <c r="N525" s="138"/>
      <c r="O525" s="138" t="str">
        <f>IF(P525&gt;O524,"CUMPLE","NO CUMPLE")</f>
        <v>CUMPLE</v>
      </c>
      <c r="P525" s="139">
        <f>SUM(P524:P524)</f>
        <v>359.18523449500003</v>
      </c>
      <c r="Q525" s="374"/>
      <c r="R525" s="140" t="str">
        <f>+IF(AND(M523="CUMPLE",Q523="CUMPLE",C520="CUMPLE"),"HABILITADO","NO HABILITADO")</f>
        <v>HABILITADO</v>
      </c>
    </row>
    <row r="526" spans="1:18" ht="16.5" thickBot="1">
      <c r="A526" s="3"/>
      <c r="B526" s="3"/>
      <c r="C526" s="3"/>
      <c r="D526" s="3"/>
      <c r="E526" s="3"/>
      <c r="F526" s="3"/>
      <c r="G526" s="3"/>
      <c r="H526" s="3"/>
      <c r="I526" s="3"/>
      <c r="J526" s="3"/>
      <c r="K526" s="3"/>
      <c r="L526" s="3"/>
      <c r="M526" s="3"/>
      <c r="N526" s="3"/>
      <c r="O526" s="3"/>
      <c r="P526" s="3"/>
      <c r="Q526" s="3"/>
      <c r="R526" s="4"/>
    </row>
    <row r="527" spans="1:18" ht="30.75" customHeight="1" thickBot="1">
      <c r="A527" s="398">
        <f>1+A516</f>
        <v>41</v>
      </c>
      <c r="B527" s="398"/>
      <c r="C527" s="398"/>
      <c r="D527" s="398"/>
      <c r="E527" s="412" t="str">
        <f>VLOOKUP(A527,'REQUISITOS HAB. TECNICOS'!$A$5:$B$80,2,FALSE)</f>
        <v>CONSORCIO PROYECTOS 2024</v>
      </c>
      <c r="F527" s="412"/>
      <c r="G527" s="412"/>
      <c r="H527" s="412"/>
      <c r="I527" s="412"/>
      <c r="J527" s="412"/>
      <c r="K527" s="412"/>
      <c r="L527" s="412"/>
      <c r="M527" s="412"/>
      <c r="N527" s="412"/>
      <c r="O527" s="412"/>
      <c r="P527" s="412"/>
      <c r="Q527" s="412"/>
      <c r="R527" s="412"/>
    </row>
    <row r="528" spans="1:18" ht="50.25" customHeight="1" thickBot="1">
      <c r="A528" s="151" t="s">
        <v>185</v>
      </c>
      <c r="B528" s="63">
        <v>1</v>
      </c>
      <c r="C528" s="152" t="s">
        <v>186</v>
      </c>
      <c r="D528" s="153">
        <f>$D$628</f>
        <v>279.72028</v>
      </c>
      <c r="E528" s="412"/>
      <c r="F528" s="412"/>
      <c r="G528" s="412"/>
      <c r="H528" s="412"/>
      <c r="I528" s="412"/>
      <c r="J528" s="412"/>
      <c r="K528" s="412"/>
      <c r="L528" s="412"/>
      <c r="M528" s="412"/>
      <c r="N528" s="412"/>
      <c r="O528" s="412"/>
      <c r="P528" s="412"/>
      <c r="Q528" s="412"/>
      <c r="R528" s="412"/>
    </row>
    <row r="529" spans="1:18" ht="23.25" customHeight="1" thickBot="1">
      <c r="A529" s="388" t="s">
        <v>187</v>
      </c>
      <c r="B529" s="388"/>
      <c r="C529" s="389">
        <f>H537/B528</f>
        <v>841.51329688111332</v>
      </c>
      <c r="D529" s="389"/>
      <c r="E529" s="412"/>
      <c r="F529" s="412"/>
      <c r="G529" s="412"/>
      <c r="H529" s="412"/>
      <c r="I529" s="412"/>
      <c r="J529" s="412"/>
      <c r="K529" s="412"/>
      <c r="L529" s="412"/>
      <c r="M529" s="412"/>
      <c r="N529" s="412"/>
      <c r="O529" s="412"/>
      <c r="P529" s="412"/>
      <c r="Q529" s="412"/>
      <c r="R529" s="412"/>
    </row>
    <row r="530" spans="1:18" ht="23.25" customHeight="1" thickBot="1">
      <c r="A530" s="390" t="s">
        <v>188</v>
      </c>
      <c r="B530" s="390"/>
      <c r="C530" s="391">
        <v>45610</v>
      </c>
      <c r="D530" s="391"/>
      <c r="E530" s="412"/>
      <c r="F530" s="412"/>
      <c r="G530" s="412"/>
      <c r="H530" s="412"/>
      <c r="I530" s="412"/>
      <c r="J530" s="412"/>
      <c r="K530" s="412"/>
      <c r="L530" s="412"/>
      <c r="M530" s="412"/>
      <c r="N530" s="412"/>
      <c r="O530" s="412"/>
      <c r="P530" s="412"/>
      <c r="Q530" s="412"/>
      <c r="R530" s="412"/>
    </row>
    <row r="531" spans="1:18" ht="38.25" customHeight="1" thickBot="1">
      <c r="A531" s="392" t="s">
        <v>189</v>
      </c>
      <c r="B531" s="392"/>
      <c r="C531" s="393" t="str">
        <f>+IF(H537&gt;D528,"CUMPLE","NO CUMPLE")</f>
        <v>CUMPLE</v>
      </c>
      <c r="D531" s="393"/>
      <c r="E531" s="412"/>
      <c r="F531" s="412"/>
      <c r="G531" s="412"/>
      <c r="H531" s="412"/>
      <c r="I531" s="412"/>
      <c r="J531" s="412"/>
      <c r="K531" s="412"/>
      <c r="L531" s="412"/>
      <c r="M531" s="412"/>
      <c r="N531" s="412"/>
      <c r="O531" s="412"/>
      <c r="P531" s="412"/>
      <c r="Q531" s="412"/>
      <c r="R531" s="412"/>
    </row>
    <row r="532" spans="1:18" ht="87" customHeight="1">
      <c r="A532" s="410" t="s">
        <v>190</v>
      </c>
      <c r="B532" s="410"/>
      <c r="C532" s="410"/>
      <c r="D532" s="410"/>
      <c r="E532" s="410"/>
      <c r="F532" s="410"/>
      <c r="G532" s="142"/>
      <c r="H532" s="142"/>
      <c r="I532" s="143" t="s">
        <v>191</v>
      </c>
      <c r="J532" s="144" t="s">
        <v>192</v>
      </c>
      <c r="K532" s="413" t="s">
        <v>193</v>
      </c>
      <c r="L532" s="413"/>
      <c r="M532" s="399" t="s">
        <v>194</v>
      </c>
      <c r="N532" s="399" t="s">
        <v>195</v>
      </c>
      <c r="O532" s="401" t="s">
        <v>196</v>
      </c>
      <c r="P532" s="402"/>
      <c r="Q532" s="399" t="s">
        <v>197</v>
      </c>
      <c r="R532" s="399" t="s">
        <v>198</v>
      </c>
    </row>
    <row r="533" spans="1:18" ht="77.25" customHeight="1" thickBot="1">
      <c r="A533" s="145" t="s">
        <v>199</v>
      </c>
      <c r="B533" s="411" t="s">
        <v>200</v>
      </c>
      <c r="C533" s="411"/>
      <c r="D533" s="146" t="s">
        <v>201</v>
      </c>
      <c r="E533" s="146" t="s">
        <v>202</v>
      </c>
      <c r="F533" s="146" t="s">
        <v>203</v>
      </c>
      <c r="G533" s="147" t="s">
        <v>204</v>
      </c>
      <c r="H533" s="147" t="s">
        <v>205</v>
      </c>
      <c r="I533" s="148" t="s">
        <v>206</v>
      </c>
      <c r="J533" s="148" t="s">
        <v>207</v>
      </c>
      <c r="K533" s="149" t="s">
        <v>208</v>
      </c>
      <c r="L533" s="150" t="s">
        <v>209</v>
      </c>
      <c r="M533" s="400"/>
      <c r="N533" s="400"/>
      <c r="O533" s="403"/>
      <c r="P533" s="404"/>
      <c r="Q533" s="400"/>
      <c r="R533" s="400"/>
    </row>
    <row r="534" spans="1:18" ht="18">
      <c r="A534" s="125" t="str">
        <f>VLOOKUP(A527,'LISTA DE OFERENTES'!$A$4:$G$80,5,FALSE)</f>
        <v>AC2R INGENIERIA Y PROYECTOS S.A.S 90%</v>
      </c>
      <c r="B534" s="26"/>
      <c r="C534" s="26"/>
      <c r="D534" s="26"/>
      <c r="E534" s="26"/>
      <c r="F534" s="26"/>
      <c r="G534" s="26"/>
      <c r="H534" s="26"/>
      <c r="I534" s="26"/>
      <c r="J534" s="26"/>
      <c r="K534" s="414">
        <f>$D$628*0.5</f>
        <v>139.86014</v>
      </c>
      <c r="L534" s="132"/>
      <c r="M534" s="416" t="s">
        <v>183</v>
      </c>
      <c r="N534" s="128"/>
      <c r="O534" s="189"/>
      <c r="P534" s="132"/>
      <c r="Q534" s="372" t="s">
        <v>183</v>
      </c>
      <c r="R534" s="141"/>
    </row>
    <row r="535" spans="1:18" s="9" customFormat="1" ht="144">
      <c r="A535" s="118" t="s">
        <v>364</v>
      </c>
      <c r="B535" s="371" t="s">
        <v>221</v>
      </c>
      <c r="C535" s="371"/>
      <c r="D535" s="119">
        <v>765791896</v>
      </c>
      <c r="E535" s="120">
        <v>2019</v>
      </c>
      <c r="F535" s="121">
        <f>D535/(VLOOKUP(E535,$D$654:$E$687,2,FALSE))</f>
        <v>924.73988668254208</v>
      </c>
      <c r="G535" s="122">
        <v>0.91</v>
      </c>
      <c r="H535" s="121">
        <f>F535*G535</f>
        <v>841.51329688111332</v>
      </c>
      <c r="I535" s="123">
        <v>43723</v>
      </c>
      <c r="J535" s="116" t="s">
        <v>183</v>
      </c>
      <c r="K535" s="415"/>
      <c r="L535" s="133">
        <f>H535</f>
        <v>841.51329688111332</v>
      </c>
      <c r="M535" s="417"/>
      <c r="N535" s="129" t="s">
        <v>183</v>
      </c>
      <c r="O535" s="375">
        <f>$D$628*0.7</f>
        <v>195.80419599999999</v>
      </c>
      <c r="P535" s="135">
        <f>+L535</f>
        <v>841.51329688111332</v>
      </c>
      <c r="Q535" s="373"/>
      <c r="R535" s="96"/>
    </row>
    <row r="536" spans="1:18" ht="46.9" customHeight="1" thickBot="1">
      <c r="A536" s="444" t="str">
        <f>VLOOKUP(A527,'LISTA DE OFERENTES'!$A$4:$G$80,6,FALSE)</f>
        <v>FUNDACION CAMINO
VERDE ONG SOCIAL CULTURAL Y AMBIENTAL CON SIGLA FUNDCAVE 10%</v>
      </c>
      <c r="B536" s="445"/>
      <c r="C536" s="445"/>
      <c r="D536" s="126"/>
      <c r="E536" s="126"/>
      <c r="F536" s="126"/>
      <c r="G536" s="127"/>
      <c r="H536" s="126"/>
      <c r="I536" s="126"/>
      <c r="J536" s="126"/>
      <c r="K536" s="415"/>
      <c r="L536" s="134"/>
      <c r="M536" s="417"/>
      <c r="N536" s="130"/>
      <c r="O536" s="377"/>
      <c r="P536" s="136"/>
      <c r="Q536" s="373"/>
      <c r="R536" s="27"/>
    </row>
    <row r="537" spans="1:18" s="9" customFormat="1" ht="48" customHeight="1" thickBot="1">
      <c r="A537" s="394" t="s">
        <v>210</v>
      </c>
      <c r="B537" s="394"/>
      <c r="C537" s="394"/>
      <c r="D537" s="394"/>
      <c r="E537" s="394"/>
      <c r="F537" s="190">
        <f>+SUM(F535:F536)</f>
        <v>924.73988668254208</v>
      </c>
      <c r="G537" s="37"/>
      <c r="H537" s="190">
        <f>+SUM(H535:H536)</f>
        <v>841.51329688111332</v>
      </c>
      <c r="I537" s="395" t="s">
        <v>211</v>
      </c>
      <c r="J537" s="396"/>
      <c r="K537" s="396"/>
      <c r="L537" s="396"/>
      <c r="M537" s="397"/>
      <c r="N537" s="138"/>
      <c r="O537" s="138" t="str">
        <f>IF(P537&gt;O535,"CUMPLE","NO CUMPLE")</f>
        <v>CUMPLE</v>
      </c>
      <c r="P537" s="139">
        <f>SUM(P535:P536)</f>
        <v>841.51329688111332</v>
      </c>
      <c r="Q537" s="374"/>
      <c r="R537" s="140" t="str">
        <f>+IF(AND(M534="CUMPLE",Q534="CUMPLE",C531="CUMPLE"),"HABILITADO","NO HABILITADO")</f>
        <v>HABILITADO</v>
      </c>
    </row>
    <row r="538" spans="1:18" ht="16.5" thickBot="1">
      <c r="A538" s="3"/>
      <c r="B538" s="3"/>
      <c r="C538" s="3"/>
      <c r="D538" s="3"/>
      <c r="E538" s="3"/>
      <c r="F538" s="3"/>
      <c r="G538" s="3"/>
      <c r="H538" s="3"/>
      <c r="I538" s="3"/>
      <c r="J538" s="3"/>
      <c r="K538" s="3"/>
      <c r="L538" s="3"/>
      <c r="M538" s="3"/>
      <c r="N538" s="3"/>
      <c r="O538" s="3"/>
      <c r="P538" s="3"/>
      <c r="Q538" s="3"/>
      <c r="R538" s="4"/>
    </row>
    <row r="539" spans="1:18" ht="30.75" customHeight="1" thickBot="1">
      <c r="A539" s="398">
        <f>1+A527</f>
        <v>42</v>
      </c>
      <c r="B539" s="398"/>
      <c r="C539" s="398"/>
      <c r="D539" s="398"/>
      <c r="E539" s="412" t="str">
        <f>VLOOKUP(A539,'REQUISITOS HAB. TECNICOS'!$A$5:$B$80,2,FALSE)</f>
        <v>CONSORCIO INTERVENTORES S&amp;C</v>
      </c>
      <c r="F539" s="412"/>
      <c r="G539" s="412"/>
      <c r="H539" s="412"/>
      <c r="I539" s="412"/>
      <c r="J539" s="412"/>
      <c r="K539" s="412"/>
      <c r="L539" s="412"/>
      <c r="M539" s="412"/>
      <c r="N539" s="412"/>
      <c r="O539" s="412"/>
      <c r="P539" s="412"/>
      <c r="Q539" s="412"/>
      <c r="R539" s="412"/>
    </row>
    <row r="540" spans="1:18" ht="50.25" customHeight="1" thickBot="1">
      <c r="A540" s="151" t="s">
        <v>185</v>
      </c>
      <c r="B540" s="63">
        <v>2</v>
      </c>
      <c r="C540" s="152" t="s">
        <v>186</v>
      </c>
      <c r="D540" s="153">
        <f>$D$628</f>
        <v>279.72028</v>
      </c>
      <c r="E540" s="412"/>
      <c r="F540" s="412"/>
      <c r="G540" s="412"/>
      <c r="H540" s="412"/>
      <c r="I540" s="412"/>
      <c r="J540" s="412"/>
      <c r="K540" s="412"/>
      <c r="L540" s="412"/>
      <c r="M540" s="412"/>
      <c r="N540" s="412"/>
      <c r="O540" s="412"/>
      <c r="P540" s="412"/>
      <c r="Q540" s="412"/>
      <c r="R540" s="412"/>
    </row>
    <row r="541" spans="1:18" ht="23.25" customHeight="1" thickBot="1">
      <c r="A541" s="388" t="s">
        <v>187</v>
      </c>
      <c r="B541" s="388"/>
      <c r="C541" s="389">
        <f>H550/B540</f>
        <v>713.43939255245573</v>
      </c>
      <c r="D541" s="389"/>
      <c r="E541" s="412"/>
      <c r="F541" s="412"/>
      <c r="G541" s="412"/>
      <c r="H541" s="412"/>
      <c r="I541" s="412"/>
      <c r="J541" s="412"/>
      <c r="K541" s="412"/>
      <c r="L541" s="412"/>
      <c r="M541" s="412"/>
      <c r="N541" s="412"/>
      <c r="O541" s="412"/>
      <c r="P541" s="412"/>
      <c r="Q541" s="412"/>
      <c r="R541" s="412"/>
    </row>
    <row r="542" spans="1:18" ht="23.25" customHeight="1" thickBot="1">
      <c r="A542" s="390" t="s">
        <v>188</v>
      </c>
      <c r="B542" s="390"/>
      <c r="C542" s="391">
        <v>45610</v>
      </c>
      <c r="D542" s="391"/>
      <c r="E542" s="412"/>
      <c r="F542" s="412"/>
      <c r="G542" s="412"/>
      <c r="H542" s="412"/>
      <c r="I542" s="412"/>
      <c r="J542" s="412"/>
      <c r="K542" s="412"/>
      <c r="L542" s="412"/>
      <c r="M542" s="412"/>
      <c r="N542" s="412"/>
      <c r="O542" s="412"/>
      <c r="P542" s="412"/>
      <c r="Q542" s="412"/>
      <c r="R542" s="412"/>
    </row>
    <row r="543" spans="1:18" ht="38.25" customHeight="1" thickBot="1">
      <c r="A543" s="392" t="s">
        <v>189</v>
      </c>
      <c r="B543" s="392"/>
      <c r="C543" s="393" t="str">
        <f>+IF(H550&gt;D540,"CUMPLE","NO CUMPLE")</f>
        <v>CUMPLE</v>
      </c>
      <c r="D543" s="393"/>
      <c r="E543" s="412"/>
      <c r="F543" s="412"/>
      <c r="G543" s="412"/>
      <c r="H543" s="412"/>
      <c r="I543" s="412"/>
      <c r="J543" s="412"/>
      <c r="K543" s="412"/>
      <c r="L543" s="412"/>
      <c r="M543" s="412"/>
      <c r="N543" s="412"/>
      <c r="O543" s="412"/>
      <c r="P543" s="412"/>
      <c r="Q543" s="412"/>
      <c r="R543" s="412"/>
    </row>
    <row r="544" spans="1:18" ht="87" customHeight="1">
      <c r="A544" s="410" t="s">
        <v>190</v>
      </c>
      <c r="B544" s="410"/>
      <c r="C544" s="410"/>
      <c r="D544" s="410"/>
      <c r="E544" s="410"/>
      <c r="F544" s="410"/>
      <c r="G544" s="142"/>
      <c r="H544" s="142"/>
      <c r="I544" s="143" t="s">
        <v>191</v>
      </c>
      <c r="J544" s="144" t="s">
        <v>192</v>
      </c>
      <c r="K544" s="413" t="s">
        <v>193</v>
      </c>
      <c r="L544" s="413"/>
      <c r="M544" s="399" t="s">
        <v>194</v>
      </c>
      <c r="N544" s="399" t="s">
        <v>195</v>
      </c>
      <c r="O544" s="401" t="s">
        <v>196</v>
      </c>
      <c r="P544" s="402"/>
      <c r="Q544" s="399" t="s">
        <v>197</v>
      </c>
      <c r="R544" s="399" t="s">
        <v>198</v>
      </c>
    </row>
    <row r="545" spans="1:18" ht="77.25" customHeight="1" thickBot="1">
      <c r="A545" s="145" t="s">
        <v>199</v>
      </c>
      <c r="B545" s="411" t="s">
        <v>200</v>
      </c>
      <c r="C545" s="411"/>
      <c r="D545" s="146" t="s">
        <v>201</v>
      </c>
      <c r="E545" s="146" t="s">
        <v>202</v>
      </c>
      <c r="F545" s="146" t="s">
        <v>203</v>
      </c>
      <c r="G545" s="147" t="s">
        <v>204</v>
      </c>
      <c r="H545" s="147" t="s">
        <v>205</v>
      </c>
      <c r="I545" s="148" t="s">
        <v>206</v>
      </c>
      <c r="J545" s="148" t="s">
        <v>207</v>
      </c>
      <c r="K545" s="149" t="s">
        <v>208</v>
      </c>
      <c r="L545" s="150" t="s">
        <v>209</v>
      </c>
      <c r="M545" s="400"/>
      <c r="N545" s="400"/>
      <c r="O545" s="403"/>
      <c r="P545" s="404"/>
      <c r="Q545" s="400"/>
      <c r="R545" s="400"/>
    </row>
    <row r="546" spans="1:18" ht="18">
      <c r="A546" s="125" t="str">
        <f>VLOOKUP(A539,'LISTA DE OFERENTES'!$A$4:$G$80,5,FALSE)</f>
        <v>SENSYS GROUP S.A.S 10%</v>
      </c>
      <c r="B546" s="26"/>
      <c r="C546" s="26"/>
      <c r="D546" s="26"/>
      <c r="E546" s="26"/>
      <c r="F546" s="26"/>
      <c r="G546" s="26"/>
      <c r="H546" s="26"/>
      <c r="I546" s="26"/>
      <c r="J546" s="26"/>
      <c r="K546" s="414">
        <f>$D$628*0.5</f>
        <v>139.86014</v>
      </c>
      <c r="L546" s="132"/>
      <c r="M546" s="416" t="s">
        <v>183</v>
      </c>
      <c r="N546" s="128"/>
      <c r="O546" s="189"/>
      <c r="P546" s="132"/>
      <c r="Q546" s="372" t="s">
        <v>183</v>
      </c>
      <c r="R546" s="141"/>
    </row>
    <row r="547" spans="1:18" ht="23.25" customHeight="1">
      <c r="A547" s="125" t="str">
        <f>VLOOKUP(A539,'LISTA DE OFERENTES'!$A$4:$G$80,6,FALSE)</f>
        <v>CELQO S.A.S 90%</v>
      </c>
      <c r="B547" s="126"/>
      <c r="C547" s="126"/>
      <c r="D547" s="126"/>
      <c r="E547" s="126"/>
      <c r="F547" s="126"/>
      <c r="G547" s="127"/>
      <c r="H547" s="126"/>
      <c r="I547" s="126"/>
      <c r="J547" s="126"/>
      <c r="K547" s="415"/>
      <c r="L547" s="134"/>
      <c r="M547" s="417"/>
      <c r="N547" s="130"/>
      <c r="O547" s="377">
        <v>195.80419599999999</v>
      </c>
      <c r="P547" s="136"/>
      <c r="Q547" s="373"/>
      <c r="R547" s="27"/>
    </row>
    <row r="548" spans="1:18" s="9" customFormat="1" ht="126">
      <c r="A548" s="118" t="s">
        <v>365</v>
      </c>
      <c r="B548" s="371" t="s">
        <v>221</v>
      </c>
      <c r="C548" s="371"/>
      <c r="D548" s="119">
        <v>564203066</v>
      </c>
      <c r="E548" s="120">
        <v>2007</v>
      </c>
      <c r="F548" s="121">
        <f>D548/(VLOOKUP(E548,$D$654:$E$687,2,FALSE))</f>
        <v>1300.9063085081855</v>
      </c>
      <c r="G548" s="122">
        <v>0.6</v>
      </c>
      <c r="H548" s="121">
        <f>F548*G548</f>
        <v>780.54378510491131</v>
      </c>
      <c r="I548" s="123">
        <v>39110</v>
      </c>
      <c r="J548" s="116" t="s">
        <v>183</v>
      </c>
      <c r="K548" s="415"/>
      <c r="L548" s="133">
        <f>H548</f>
        <v>780.54378510491131</v>
      </c>
      <c r="M548" s="417"/>
      <c r="N548" s="129" t="s">
        <v>183</v>
      </c>
      <c r="O548" s="377"/>
      <c r="P548" s="135">
        <f>+L548</f>
        <v>780.54378510491131</v>
      </c>
      <c r="Q548" s="373"/>
      <c r="R548" s="96"/>
    </row>
    <row r="549" spans="1:18" s="9" customFormat="1" ht="90">
      <c r="A549" s="118" t="s">
        <v>366</v>
      </c>
      <c r="B549" s="371" t="s">
        <v>367</v>
      </c>
      <c r="C549" s="371"/>
      <c r="D549" s="119">
        <v>939150508</v>
      </c>
      <c r="E549" s="120">
        <v>2017</v>
      </c>
      <c r="F549" s="121">
        <v>1292.67</v>
      </c>
      <c r="G549" s="122">
        <v>0.5</v>
      </c>
      <c r="H549" s="121">
        <f>F549*G549</f>
        <v>646.33500000000004</v>
      </c>
      <c r="I549" s="124">
        <v>42851</v>
      </c>
      <c r="J549" s="131" t="s">
        <v>183</v>
      </c>
      <c r="K549" s="415"/>
      <c r="L549" s="133">
        <f>H549</f>
        <v>646.33500000000004</v>
      </c>
      <c r="M549" s="417"/>
      <c r="N549" s="129" t="s">
        <v>183</v>
      </c>
      <c r="O549" s="377"/>
      <c r="P549" s="135">
        <f>+L549</f>
        <v>646.33500000000004</v>
      </c>
      <c r="Q549" s="373"/>
      <c r="R549" s="96"/>
    </row>
    <row r="550" spans="1:18" s="9" customFormat="1" ht="48" customHeight="1">
      <c r="A550" s="394" t="s">
        <v>210</v>
      </c>
      <c r="B550" s="394"/>
      <c r="C550" s="394"/>
      <c r="D550" s="394"/>
      <c r="E550" s="394"/>
      <c r="F550" s="190">
        <f>+SUM(F547:F549)</f>
        <v>2593.5763085081853</v>
      </c>
      <c r="G550" s="37"/>
      <c r="H550" s="190">
        <f>+SUM(H547:H549)</f>
        <v>1426.8787851049115</v>
      </c>
      <c r="I550" s="395" t="s">
        <v>211</v>
      </c>
      <c r="J550" s="396"/>
      <c r="K550" s="396"/>
      <c r="L550" s="396"/>
      <c r="M550" s="397"/>
      <c r="N550" s="138"/>
      <c r="O550" s="138" t="s">
        <v>183</v>
      </c>
      <c r="P550" s="139">
        <f>SUM(P547:P549)</f>
        <v>1426.8787851049115</v>
      </c>
      <c r="Q550" s="374"/>
      <c r="R550" s="140" t="str">
        <f>+IF(AND(M546="CUMPLE",Q546="CUMPLE",C543="CUMPLE"),"HABILITADO","NO HABILITADO")</f>
        <v>HABILITADO</v>
      </c>
    </row>
    <row r="551" spans="1:18" ht="16.5" thickBot="1">
      <c r="A551" s="3"/>
      <c r="B551" s="3"/>
      <c r="C551" s="3"/>
      <c r="D551" s="3"/>
      <c r="E551" s="3"/>
      <c r="F551" s="3"/>
      <c r="G551" s="3"/>
      <c r="H551" s="3"/>
      <c r="I551" s="3"/>
      <c r="J551" s="3"/>
      <c r="K551" s="3"/>
      <c r="L551" s="3"/>
      <c r="M551" s="3"/>
      <c r="N551" s="3"/>
      <c r="O551" s="3"/>
      <c r="P551" s="3"/>
      <c r="Q551" s="3"/>
      <c r="R551" s="4"/>
    </row>
    <row r="552" spans="1:18" ht="30.75" customHeight="1" thickBot="1">
      <c r="A552" s="398">
        <f>1+A539</f>
        <v>43</v>
      </c>
      <c r="B552" s="398"/>
      <c r="C552" s="398"/>
      <c r="D552" s="398"/>
      <c r="E552" s="412" t="str">
        <f>VLOOKUP(A552,'REQUISITOS HAB. TECNICOS'!$A$5:$B$80,2,FALSE)</f>
        <v>CONSORCIO MOSCU</v>
      </c>
      <c r="F552" s="412"/>
      <c r="G552" s="412"/>
      <c r="H552" s="412"/>
      <c r="I552" s="412"/>
      <c r="J552" s="412"/>
      <c r="K552" s="412"/>
      <c r="L552" s="412"/>
      <c r="M552" s="412"/>
      <c r="N552" s="412"/>
      <c r="O552" s="412"/>
      <c r="P552" s="412"/>
      <c r="Q552" s="412"/>
      <c r="R552" s="412"/>
    </row>
    <row r="553" spans="1:18" ht="50.25" customHeight="1" thickBot="1">
      <c r="A553" s="151" t="s">
        <v>185</v>
      </c>
      <c r="B553" s="63">
        <v>2</v>
      </c>
      <c r="C553" s="152" t="s">
        <v>186</v>
      </c>
      <c r="D553" s="153">
        <f>$D$628</f>
        <v>279.72028</v>
      </c>
      <c r="E553" s="412"/>
      <c r="F553" s="412"/>
      <c r="G553" s="412"/>
      <c r="H553" s="412"/>
      <c r="I553" s="412"/>
      <c r="J553" s="412"/>
      <c r="K553" s="412"/>
      <c r="L553" s="412"/>
      <c r="M553" s="412"/>
      <c r="N553" s="412"/>
      <c r="O553" s="412"/>
      <c r="P553" s="412"/>
      <c r="Q553" s="412"/>
      <c r="R553" s="412"/>
    </row>
    <row r="554" spans="1:18" ht="23.25" customHeight="1" thickBot="1">
      <c r="A554" s="388" t="s">
        <v>187</v>
      </c>
      <c r="B554" s="388"/>
      <c r="C554" s="389">
        <f>H565/B553</f>
        <v>1024.9630431092341</v>
      </c>
      <c r="D554" s="389"/>
      <c r="E554" s="412"/>
      <c r="F554" s="412"/>
      <c r="G554" s="412"/>
      <c r="H554" s="412"/>
      <c r="I554" s="412"/>
      <c r="J554" s="412"/>
      <c r="K554" s="412"/>
      <c r="L554" s="412"/>
      <c r="M554" s="412"/>
      <c r="N554" s="412"/>
      <c r="O554" s="412"/>
      <c r="P554" s="412"/>
      <c r="Q554" s="412"/>
      <c r="R554" s="412"/>
    </row>
    <row r="555" spans="1:18" ht="23.25" customHeight="1" thickBot="1">
      <c r="A555" s="390" t="s">
        <v>188</v>
      </c>
      <c r="B555" s="390"/>
      <c r="C555" s="391">
        <v>45610</v>
      </c>
      <c r="D555" s="391"/>
      <c r="E555" s="412"/>
      <c r="F555" s="412"/>
      <c r="G555" s="412"/>
      <c r="H555" s="412"/>
      <c r="I555" s="412"/>
      <c r="J555" s="412"/>
      <c r="K555" s="412"/>
      <c r="L555" s="412"/>
      <c r="M555" s="412"/>
      <c r="N555" s="412"/>
      <c r="O555" s="412"/>
      <c r="P555" s="412"/>
      <c r="Q555" s="412"/>
      <c r="R555" s="412"/>
    </row>
    <row r="556" spans="1:18" ht="38.25" customHeight="1" thickBot="1">
      <c r="A556" s="392" t="s">
        <v>189</v>
      </c>
      <c r="B556" s="392"/>
      <c r="C556" s="393" t="str">
        <f>+IF(H565&gt;D553,"CUMPLE","NO CUMPLE")</f>
        <v>CUMPLE</v>
      </c>
      <c r="D556" s="393"/>
      <c r="E556" s="412"/>
      <c r="F556" s="412"/>
      <c r="G556" s="412"/>
      <c r="H556" s="412"/>
      <c r="I556" s="412"/>
      <c r="J556" s="412"/>
      <c r="K556" s="412"/>
      <c r="L556" s="412"/>
      <c r="M556" s="412"/>
      <c r="N556" s="412"/>
      <c r="O556" s="412"/>
      <c r="P556" s="412"/>
      <c r="Q556" s="412"/>
      <c r="R556" s="412"/>
    </row>
    <row r="557" spans="1:18" ht="87" customHeight="1">
      <c r="A557" s="410" t="s">
        <v>190</v>
      </c>
      <c r="B557" s="410"/>
      <c r="C557" s="410"/>
      <c r="D557" s="410"/>
      <c r="E557" s="410"/>
      <c r="F557" s="410"/>
      <c r="G557" s="142"/>
      <c r="H557" s="142"/>
      <c r="I557" s="143" t="s">
        <v>191</v>
      </c>
      <c r="J557" s="144" t="s">
        <v>192</v>
      </c>
      <c r="K557" s="413" t="s">
        <v>193</v>
      </c>
      <c r="L557" s="413"/>
      <c r="M557" s="399" t="s">
        <v>194</v>
      </c>
      <c r="N557" s="399" t="s">
        <v>195</v>
      </c>
      <c r="O557" s="401" t="s">
        <v>196</v>
      </c>
      <c r="P557" s="402"/>
      <c r="Q557" s="399" t="s">
        <v>197</v>
      </c>
      <c r="R557" s="399" t="s">
        <v>198</v>
      </c>
    </row>
    <row r="558" spans="1:18" ht="77.25" customHeight="1" thickBot="1">
      <c r="A558" s="145" t="s">
        <v>199</v>
      </c>
      <c r="B558" s="411" t="s">
        <v>200</v>
      </c>
      <c r="C558" s="411"/>
      <c r="D558" s="146" t="s">
        <v>201</v>
      </c>
      <c r="E558" s="146" t="s">
        <v>202</v>
      </c>
      <c r="F558" s="146" t="s">
        <v>203</v>
      </c>
      <c r="G558" s="147" t="s">
        <v>204</v>
      </c>
      <c r="H558" s="147" t="s">
        <v>205</v>
      </c>
      <c r="I558" s="148" t="s">
        <v>206</v>
      </c>
      <c r="J558" s="148" t="s">
        <v>207</v>
      </c>
      <c r="K558" s="149" t="s">
        <v>208</v>
      </c>
      <c r="L558" s="150" t="s">
        <v>209</v>
      </c>
      <c r="M558" s="400"/>
      <c r="N558" s="400"/>
      <c r="O558" s="403"/>
      <c r="P558" s="404"/>
      <c r="Q558" s="400"/>
      <c r="R558" s="400"/>
    </row>
    <row r="559" spans="1:18" ht="18">
      <c r="A559" s="241" t="str">
        <f>VLOOKUP(A552,'LISTA DE OFERENTES'!$A$4:$G$80,5,FALSE)</f>
        <v>MIRS LATINOAMERICA S.A.S - 60%</v>
      </c>
      <c r="B559" s="26"/>
      <c r="C559" s="26"/>
      <c r="D559" s="26"/>
      <c r="E559" s="26"/>
      <c r="F559" s="26"/>
      <c r="G559" s="26"/>
      <c r="H559" s="26"/>
      <c r="I559" s="26"/>
      <c r="J559" s="26"/>
      <c r="K559" s="414">
        <f>$D$628*0.5</f>
        <v>139.86014</v>
      </c>
      <c r="L559" s="132"/>
      <c r="M559" s="416" t="s">
        <v>183</v>
      </c>
      <c r="N559" s="128"/>
      <c r="O559" s="189"/>
      <c r="P559" s="132"/>
      <c r="Q559" s="372" t="s">
        <v>183</v>
      </c>
      <c r="R559" s="141"/>
    </row>
    <row r="560" spans="1:18" s="9" customFormat="1" ht="180">
      <c r="A560" s="118" t="s">
        <v>368</v>
      </c>
      <c r="B560" s="432" t="s">
        <v>369</v>
      </c>
      <c r="C560" s="432"/>
      <c r="D560" s="119">
        <v>1109357809</v>
      </c>
      <c r="E560" s="218">
        <v>2021</v>
      </c>
      <c r="F560" s="121">
        <f>D560/(VLOOKUP(E560,$D$654:$E$687,2,FALSE))</f>
        <v>1221.052351831428</v>
      </c>
      <c r="G560" s="229">
        <v>0.5</v>
      </c>
      <c r="H560" s="121">
        <f>F560*G560</f>
        <v>610.52617591571402</v>
      </c>
      <c r="I560" s="123">
        <v>44371</v>
      </c>
      <c r="J560" s="116" t="s">
        <v>183</v>
      </c>
      <c r="K560" s="415"/>
      <c r="L560" s="133">
        <f>H560</f>
        <v>610.52617591571402</v>
      </c>
      <c r="M560" s="417"/>
      <c r="N560" s="129" t="s">
        <v>183</v>
      </c>
      <c r="O560" s="375">
        <f>$D$628*0.7</f>
        <v>195.80419599999999</v>
      </c>
      <c r="P560" s="135">
        <f>L560</f>
        <v>610.52617591571402</v>
      </c>
      <c r="Q560" s="373"/>
      <c r="R560" s="312" t="s">
        <v>492</v>
      </c>
    </row>
    <row r="561" spans="1:18" s="9" customFormat="1" ht="162">
      <c r="A561" s="118" t="s">
        <v>370</v>
      </c>
      <c r="B561" s="432" t="s">
        <v>221</v>
      </c>
      <c r="C561" s="432"/>
      <c r="D561" s="119">
        <v>647550974</v>
      </c>
      <c r="E561" s="219">
        <v>2018</v>
      </c>
      <c r="F561" s="121">
        <f>D561/(VLOOKUP(E561,$D$654:$E$687,2,FALSE))</f>
        <v>828.87373438704014</v>
      </c>
      <c r="G561" s="230">
        <v>0.25</v>
      </c>
      <c r="H561" s="121">
        <f>F561*G561</f>
        <v>207.21843359676004</v>
      </c>
      <c r="I561" s="124">
        <v>43326</v>
      </c>
      <c r="J561" s="131" t="s">
        <v>183</v>
      </c>
      <c r="K561" s="415"/>
      <c r="L561" s="133">
        <f>H561</f>
        <v>207.21843359676004</v>
      </c>
      <c r="M561" s="417"/>
      <c r="N561" s="129" t="s">
        <v>183</v>
      </c>
      <c r="O561" s="377"/>
      <c r="P561" s="135">
        <f>L561</f>
        <v>207.21843359676004</v>
      </c>
      <c r="Q561" s="373"/>
      <c r="R561" s="312" t="s">
        <v>492</v>
      </c>
    </row>
    <row r="562" spans="1:18" ht="23.25" customHeight="1">
      <c r="A562" s="242" t="str">
        <f>VLOOKUP(A552,'LISTA DE OFERENTES'!$A$4:$G$80,6,FALSE)</f>
        <v>INGENIERIA ROBLES SAS - 40%</v>
      </c>
      <c r="B562" s="126"/>
      <c r="C562" s="126"/>
      <c r="D562" s="126"/>
      <c r="E562" s="126"/>
      <c r="F562" s="126"/>
      <c r="G562" s="127"/>
      <c r="H562" s="126"/>
      <c r="I562" s="126"/>
      <c r="J562" s="126"/>
      <c r="K562" s="415"/>
      <c r="L562" s="134"/>
      <c r="M562" s="417"/>
      <c r="N562" s="130"/>
      <c r="O562" s="377"/>
      <c r="P562" s="136"/>
      <c r="Q562" s="373"/>
      <c r="R562" s="27"/>
    </row>
    <row r="563" spans="1:18" s="9" customFormat="1" ht="180">
      <c r="A563" s="118" t="s">
        <v>368</v>
      </c>
      <c r="B563" s="431" t="s">
        <v>369</v>
      </c>
      <c r="C563" s="432"/>
      <c r="D563" s="119">
        <v>1109357809</v>
      </c>
      <c r="E563" s="218">
        <v>2021</v>
      </c>
      <c r="F563" s="121">
        <f>D563/(VLOOKUP(E563,$D$654:$E$687,2,FALSE))</f>
        <v>1221.052351831428</v>
      </c>
      <c r="G563" s="229">
        <v>0.5</v>
      </c>
      <c r="H563" s="121">
        <f>F563*G563</f>
        <v>610.52617591571402</v>
      </c>
      <c r="I563" s="123">
        <v>44371</v>
      </c>
      <c r="J563" s="116" t="s">
        <v>183</v>
      </c>
      <c r="K563" s="415"/>
      <c r="L563" s="133">
        <f>H563</f>
        <v>610.52617591571402</v>
      </c>
      <c r="M563" s="417"/>
      <c r="N563" s="129" t="s">
        <v>183</v>
      </c>
      <c r="O563" s="377"/>
      <c r="P563" s="135">
        <f>L563</f>
        <v>610.52617591571402</v>
      </c>
      <c r="Q563" s="373"/>
      <c r="R563" s="312" t="s">
        <v>492</v>
      </c>
    </row>
    <row r="564" spans="1:18" s="9" customFormat="1" ht="162">
      <c r="A564" s="118" t="s">
        <v>370</v>
      </c>
      <c r="B564" s="431" t="s">
        <v>221</v>
      </c>
      <c r="C564" s="432"/>
      <c r="D564" s="119">
        <v>647550974</v>
      </c>
      <c r="E564" s="219">
        <v>2018</v>
      </c>
      <c r="F564" s="121">
        <f>D564/(VLOOKUP(E564,$D$654:$E$687,2,FALSE))</f>
        <v>828.87373438704014</v>
      </c>
      <c r="G564" s="230">
        <v>0.75</v>
      </c>
      <c r="H564" s="121">
        <f>F564*G564</f>
        <v>621.65530079028008</v>
      </c>
      <c r="I564" s="124">
        <v>43326</v>
      </c>
      <c r="J564" s="131" t="s">
        <v>183</v>
      </c>
      <c r="K564" s="415"/>
      <c r="L564" s="133">
        <f>H564</f>
        <v>621.65530079028008</v>
      </c>
      <c r="M564" s="417"/>
      <c r="N564" s="129" t="s">
        <v>183</v>
      </c>
      <c r="O564" s="377"/>
      <c r="P564" s="135">
        <f>L564</f>
        <v>621.65530079028008</v>
      </c>
      <c r="Q564" s="373"/>
      <c r="R564" s="312" t="s">
        <v>492</v>
      </c>
    </row>
    <row r="565" spans="1:18" s="9" customFormat="1" ht="48" customHeight="1">
      <c r="A565" s="394" t="s">
        <v>210</v>
      </c>
      <c r="B565" s="394"/>
      <c r="C565" s="394"/>
      <c r="D565" s="394"/>
      <c r="E565" s="394"/>
      <c r="F565" s="190">
        <f>+SUM(F560:F564)</f>
        <v>4099.8521724369366</v>
      </c>
      <c r="G565" s="37"/>
      <c r="H565" s="190">
        <f>+SUM(H560:H564)</f>
        <v>2049.9260862184683</v>
      </c>
      <c r="I565" s="395" t="s">
        <v>211</v>
      </c>
      <c r="J565" s="396"/>
      <c r="K565" s="396"/>
      <c r="L565" s="396"/>
      <c r="M565" s="397"/>
      <c r="N565" s="138"/>
      <c r="O565" s="138" t="str">
        <f>IF(P565&gt;O560,"CUMPLE","NO CUMPLE")</f>
        <v>CUMPLE</v>
      </c>
      <c r="P565" s="139">
        <f>SUM(P560:P564)</f>
        <v>2049.9260862184683</v>
      </c>
      <c r="Q565" s="374"/>
      <c r="R565" s="140" t="str">
        <f>+IF(AND(M559="CUMPLE",Q559="CUMPLE",C556="CUMPLE"),"HABILITADO","NO HABILITADO")</f>
        <v>HABILITADO</v>
      </c>
    </row>
    <row r="566" spans="1:18" ht="16.5" thickBot="1">
      <c r="A566" s="3"/>
      <c r="B566" s="3"/>
      <c r="C566" s="3"/>
      <c r="D566" s="3"/>
      <c r="E566" s="3"/>
      <c r="F566" s="3"/>
      <c r="G566" s="3"/>
      <c r="H566" s="3"/>
      <c r="I566" s="3"/>
      <c r="J566" s="3"/>
      <c r="K566" s="3"/>
      <c r="L566" s="3"/>
      <c r="M566" s="3"/>
      <c r="N566" s="3"/>
      <c r="O566" s="3"/>
      <c r="P566" s="3"/>
      <c r="Q566" s="3"/>
      <c r="R566" s="4"/>
    </row>
    <row r="567" spans="1:18" ht="30.75" customHeight="1" thickBot="1">
      <c r="A567" s="398">
        <f>1+A552</f>
        <v>44</v>
      </c>
      <c r="B567" s="398"/>
      <c r="C567" s="398"/>
      <c r="D567" s="398"/>
      <c r="E567" s="412" t="str">
        <f>VLOOKUP(A567,'REQUISITOS HAB. TECNICOS'!$A$5:$B$80,2,FALSE)</f>
        <v>CONSORCIO SAIEC</v>
      </c>
      <c r="F567" s="412"/>
      <c r="G567" s="412"/>
      <c r="H567" s="412"/>
      <c r="I567" s="412"/>
      <c r="J567" s="412"/>
      <c r="K567" s="412"/>
      <c r="L567" s="412"/>
      <c r="M567" s="412"/>
      <c r="N567" s="412"/>
      <c r="O567" s="412"/>
      <c r="P567" s="412"/>
      <c r="Q567" s="412"/>
      <c r="R567" s="412"/>
    </row>
    <row r="568" spans="1:18" ht="50.25" customHeight="1" thickBot="1">
      <c r="A568" s="151" t="s">
        <v>185</v>
      </c>
      <c r="B568" s="63">
        <v>2</v>
      </c>
      <c r="C568" s="152" t="s">
        <v>186</v>
      </c>
      <c r="D568" s="153">
        <f>$D$628</f>
        <v>279.72028</v>
      </c>
      <c r="E568" s="412"/>
      <c r="F568" s="412"/>
      <c r="G568" s="412"/>
      <c r="H568" s="412"/>
      <c r="I568" s="412"/>
      <c r="J568" s="412"/>
      <c r="K568" s="412"/>
      <c r="L568" s="412"/>
      <c r="M568" s="412"/>
      <c r="N568" s="412"/>
      <c r="O568" s="412"/>
      <c r="P568" s="412"/>
      <c r="Q568" s="412"/>
      <c r="R568" s="412"/>
    </row>
    <row r="569" spans="1:18" ht="23.25" customHeight="1" thickBot="1">
      <c r="A569" s="388" t="s">
        <v>187</v>
      </c>
      <c r="B569" s="388"/>
      <c r="C569" s="389">
        <f>H579/B568</f>
        <v>1781.8561379421817</v>
      </c>
      <c r="D569" s="389"/>
      <c r="E569" s="412"/>
      <c r="F569" s="412"/>
      <c r="G569" s="412"/>
      <c r="H569" s="412"/>
      <c r="I569" s="412"/>
      <c r="J569" s="412"/>
      <c r="K569" s="412"/>
      <c r="L569" s="412"/>
      <c r="M569" s="412"/>
      <c r="N569" s="412"/>
      <c r="O569" s="412"/>
      <c r="P569" s="412"/>
      <c r="Q569" s="412"/>
      <c r="R569" s="412"/>
    </row>
    <row r="570" spans="1:18" ht="23.25" customHeight="1" thickBot="1">
      <c r="A570" s="390" t="s">
        <v>188</v>
      </c>
      <c r="B570" s="390"/>
      <c r="C570" s="391">
        <v>45610</v>
      </c>
      <c r="D570" s="391"/>
      <c r="E570" s="412"/>
      <c r="F570" s="412"/>
      <c r="G570" s="412"/>
      <c r="H570" s="412"/>
      <c r="I570" s="412"/>
      <c r="J570" s="412"/>
      <c r="K570" s="412"/>
      <c r="L570" s="412"/>
      <c r="M570" s="412"/>
      <c r="N570" s="412"/>
      <c r="O570" s="412"/>
      <c r="P570" s="412"/>
      <c r="Q570" s="412"/>
      <c r="R570" s="412"/>
    </row>
    <row r="571" spans="1:18" ht="38.25" customHeight="1" thickBot="1">
      <c r="A571" s="392" t="s">
        <v>189</v>
      </c>
      <c r="B571" s="392"/>
      <c r="C571" s="393" t="str">
        <f>+IF(H579&gt;D568,"CUMPLE","NO CUMPLE")</f>
        <v>CUMPLE</v>
      </c>
      <c r="D571" s="393"/>
      <c r="E571" s="412"/>
      <c r="F571" s="412"/>
      <c r="G571" s="412"/>
      <c r="H571" s="412"/>
      <c r="I571" s="412"/>
      <c r="J571" s="412"/>
      <c r="K571" s="412"/>
      <c r="L571" s="412"/>
      <c r="M571" s="412"/>
      <c r="N571" s="412"/>
      <c r="O571" s="412"/>
      <c r="P571" s="412"/>
      <c r="Q571" s="412"/>
      <c r="R571" s="412"/>
    </row>
    <row r="572" spans="1:18" ht="87" customHeight="1">
      <c r="A572" s="410" t="s">
        <v>190</v>
      </c>
      <c r="B572" s="410"/>
      <c r="C572" s="410"/>
      <c r="D572" s="410"/>
      <c r="E572" s="410"/>
      <c r="F572" s="410"/>
      <c r="G572" s="142"/>
      <c r="H572" s="142"/>
      <c r="I572" s="143" t="s">
        <v>191</v>
      </c>
      <c r="J572" s="144" t="s">
        <v>192</v>
      </c>
      <c r="K572" s="413" t="s">
        <v>193</v>
      </c>
      <c r="L572" s="413"/>
      <c r="M572" s="399" t="s">
        <v>194</v>
      </c>
      <c r="N572" s="399" t="s">
        <v>195</v>
      </c>
      <c r="O572" s="401" t="s">
        <v>196</v>
      </c>
      <c r="P572" s="402"/>
      <c r="Q572" s="399" t="s">
        <v>197</v>
      </c>
      <c r="R572" s="399" t="s">
        <v>198</v>
      </c>
    </row>
    <row r="573" spans="1:18" ht="77.25" customHeight="1" thickBot="1">
      <c r="A573" s="145" t="s">
        <v>199</v>
      </c>
      <c r="B573" s="411" t="s">
        <v>200</v>
      </c>
      <c r="C573" s="411"/>
      <c r="D573" s="146" t="s">
        <v>201</v>
      </c>
      <c r="E573" s="146" t="s">
        <v>202</v>
      </c>
      <c r="F573" s="146" t="s">
        <v>203</v>
      </c>
      <c r="G573" s="147" t="s">
        <v>204</v>
      </c>
      <c r="H573" s="147" t="s">
        <v>205</v>
      </c>
      <c r="I573" s="148" t="s">
        <v>206</v>
      </c>
      <c r="J573" s="148" t="s">
        <v>207</v>
      </c>
      <c r="K573" s="149" t="s">
        <v>208</v>
      </c>
      <c r="L573" s="150" t="s">
        <v>209</v>
      </c>
      <c r="M573" s="400"/>
      <c r="N573" s="400"/>
      <c r="O573" s="403"/>
      <c r="P573" s="404"/>
      <c r="Q573" s="400"/>
      <c r="R573" s="400"/>
    </row>
    <row r="574" spans="1:18" ht="18.75" thickBot="1">
      <c r="A574" s="125" t="str">
        <f>VLOOKUP(A567,'LISTA DE OFERENTES'!$A$4:$G$80,5,FALSE)</f>
        <v>ECG INGENIERIA SAS - 50%</v>
      </c>
      <c r="B574" s="26"/>
      <c r="C574" s="26"/>
      <c r="D574" s="26"/>
      <c r="E574" s="26"/>
      <c r="F574" s="26"/>
      <c r="G574" s="26"/>
      <c r="H574" s="26"/>
      <c r="I574" s="26"/>
      <c r="J574" s="26"/>
      <c r="K574" s="414">
        <f>$D$628*0.5</f>
        <v>139.86014</v>
      </c>
      <c r="L574" s="132"/>
      <c r="M574" s="416" t="s">
        <v>184</v>
      </c>
      <c r="N574" s="128"/>
      <c r="O574" s="189"/>
      <c r="P574" s="132"/>
      <c r="Q574" s="372" t="str">
        <f>IF(AND(N579="CUMPLE",O579="CUMPLE"),"CUMPLE","NO CUMPLE")</f>
        <v>NO CUMPLE</v>
      </c>
      <c r="R574" s="141"/>
    </row>
    <row r="575" spans="1:18" s="9" customFormat="1" ht="233.25" customHeight="1">
      <c r="A575" s="118" t="s">
        <v>371</v>
      </c>
      <c r="B575" s="432" t="s">
        <v>372</v>
      </c>
      <c r="C575" s="432"/>
      <c r="D575" s="119">
        <v>1254642359</v>
      </c>
      <c r="E575" s="218">
        <v>2009</v>
      </c>
      <c r="F575" s="121">
        <f>D575/(VLOOKUP(E575,$D$654:$E$687,2,FALSE))</f>
        <v>2524.9393419199032</v>
      </c>
      <c r="G575" s="229">
        <v>1</v>
      </c>
      <c r="H575" s="121">
        <f>F575*G575</f>
        <v>2524.9393419199032</v>
      </c>
      <c r="I575" s="123">
        <v>39916</v>
      </c>
      <c r="J575" s="116" t="s">
        <v>183</v>
      </c>
      <c r="K575" s="415"/>
      <c r="L575" s="133">
        <f>H575</f>
        <v>2524.9393419199032</v>
      </c>
      <c r="M575" s="417"/>
      <c r="N575" s="129" t="s">
        <v>184</v>
      </c>
      <c r="O575" s="375">
        <f>$D$628*0.7</f>
        <v>195.80419599999999</v>
      </c>
      <c r="P575" s="135"/>
      <c r="Q575" s="373"/>
      <c r="R575" s="270" t="s">
        <v>504</v>
      </c>
    </row>
    <row r="576" spans="1:18" s="9" customFormat="1" ht="222" customHeight="1">
      <c r="A576" s="118" t="s">
        <v>373</v>
      </c>
      <c r="B576" s="431" t="s">
        <v>503</v>
      </c>
      <c r="C576" s="432"/>
      <c r="D576" s="119">
        <v>1338666680</v>
      </c>
      <c r="E576" s="219">
        <v>2015</v>
      </c>
      <c r="F576" s="121">
        <f>D576/(VLOOKUP(E576,$D$654:$E$687,2,FALSE))</f>
        <v>2077.5458679289204</v>
      </c>
      <c r="G576" s="230">
        <v>0.5</v>
      </c>
      <c r="H576" s="121">
        <f>F576*G576</f>
        <v>1038.7729339644602</v>
      </c>
      <c r="I576" s="124">
        <v>42151</v>
      </c>
      <c r="J576" s="131" t="s">
        <v>183</v>
      </c>
      <c r="K576" s="415"/>
      <c r="L576" s="133">
        <f>H576</f>
        <v>1038.7729339644602</v>
      </c>
      <c r="M576" s="417"/>
      <c r="N576" s="129" t="s">
        <v>184</v>
      </c>
      <c r="O576" s="377"/>
      <c r="P576" s="135"/>
      <c r="Q576" s="373"/>
      <c r="R576" s="270" t="s">
        <v>505</v>
      </c>
    </row>
    <row r="577" spans="1:28" ht="23.25" customHeight="1">
      <c r="A577" s="125" t="str">
        <f>VLOOKUP(A567,'LISTA DE OFERENTES'!$A$4:$G$80,6,FALSE)</f>
        <v>SAICON S.A.S - 50%</v>
      </c>
      <c r="B577" s="126"/>
      <c r="C577" s="126"/>
      <c r="D577" s="126"/>
      <c r="E577" s="126"/>
      <c r="F577" s="126"/>
      <c r="G577" s="127"/>
      <c r="H577" s="126"/>
      <c r="I577" s="126"/>
      <c r="J577" s="126"/>
      <c r="K577" s="415"/>
      <c r="L577" s="134"/>
      <c r="M577" s="417"/>
      <c r="N577" s="130"/>
      <c r="O577" s="377"/>
      <c r="P577" s="136"/>
      <c r="Q577" s="373"/>
      <c r="R577" s="27"/>
    </row>
    <row r="578" spans="1:28" s="9" customFormat="1" ht="231" customHeight="1" thickBot="1">
      <c r="A578" s="118" t="s">
        <v>374</v>
      </c>
      <c r="B578" s="431" t="s">
        <v>375</v>
      </c>
      <c r="C578" s="432"/>
      <c r="D578" s="119">
        <v>197206587</v>
      </c>
      <c r="E578" s="218">
        <v>2019</v>
      </c>
      <c r="F578" s="121">
        <f>D578/(VLOOKUP(E578,$D$654:$E$687,2,FALSE))</f>
        <v>238.13884407498466</v>
      </c>
      <c r="G578" s="229">
        <v>0.1</v>
      </c>
      <c r="H578" s="121">
        <f>F578*G578</f>
        <v>23.813884407498467</v>
      </c>
      <c r="I578" s="123">
        <v>43646</v>
      </c>
      <c r="J578" s="116" t="s">
        <v>183</v>
      </c>
      <c r="K578" s="415"/>
      <c r="L578" s="133">
        <f>H578</f>
        <v>23.813884407498467</v>
      </c>
      <c r="M578" s="417"/>
      <c r="N578" s="129" t="s">
        <v>183</v>
      </c>
      <c r="O578" s="377"/>
      <c r="P578" s="135">
        <f>+L578</f>
        <v>23.813884407498467</v>
      </c>
      <c r="Q578" s="373"/>
      <c r="R578" s="319" t="s">
        <v>496</v>
      </c>
      <c r="AB578" s="264"/>
    </row>
    <row r="579" spans="1:28" s="9" customFormat="1" ht="48" customHeight="1" thickBot="1">
      <c r="A579" s="394" t="s">
        <v>210</v>
      </c>
      <c r="B579" s="394"/>
      <c r="C579" s="394"/>
      <c r="D579" s="394"/>
      <c r="E579" s="394"/>
      <c r="F579" s="190">
        <f>+SUM(F575:F578)</f>
        <v>4840.6240539238079</v>
      </c>
      <c r="G579" s="37"/>
      <c r="H579" s="190">
        <f>+SUM(H575:H576)</f>
        <v>3563.7122758843634</v>
      </c>
      <c r="I579" s="395" t="s">
        <v>211</v>
      </c>
      <c r="J579" s="396"/>
      <c r="K579" s="396"/>
      <c r="L579" s="396"/>
      <c r="M579" s="397"/>
      <c r="N579" s="138" t="s">
        <v>184</v>
      </c>
      <c r="O579" s="138" t="str">
        <f>IF(P579&gt;O575,"CUMPLE","NO CUMPLE")</f>
        <v>NO CUMPLE</v>
      </c>
      <c r="P579" s="139">
        <f>SUM(P575:P578)</f>
        <v>23.813884407498467</v>
      </c>
      <c r="Q579" s="374"/>
      <c r="R579" s="140" t="str">
        <f>+IF(AND(M573="CUMPLE",Q573="CUMPLE",C570="CUMPLE"),"HABILITADO","NO HABILITADO")</f>
        <v>NO HABILITADO</v>
      </c>
      <c r="AB579"/>
    </row>
    <row r="580" spans="1:28" ht="15.75">
      <c r="A580" s="3"/>
      <c r="B580" s="3"/>
      <c r="C580" s="3"/>
      <c r="D580" s="3"/>
      <c r="E580" s="3"/>
      <c r="F580" s="3"/>
      <c r="G580" s="3"/>
      <c r="H580" s="3"/>
      <c r="I580" s="3"/>
      <c r="J580" s="3"/>
      <c r="K580" s="3"/>
      <c r="L580" s="3"/>
      <c r="M580" s="3"/>
      <c r="N580" s="3"/>
      <c r="O580" s="3"/>
      <c r="P580" s="3"/>
      <c r="Q580" s="3"/>
      <c r="R580" s="4"/>
      <c r="AB580" s="264"/>
    </row>
    <row r="581" spans="1:28" ht="30.75" customHeight="1" thickBot="1">
      <c r="A581" s="398">
        <f>1+A567</f>
        <v>45</v>
      </c>
      <c r="B581" s="398"/>
      <c r="C581" s="398"/>
      <c r="D581" s="398"/>
      <c r="E581" s="412" t="str">
        <f>VLOOKUP(A581,'REQUISITOS HAB. TECNICOS'!$A$5:$B$80,2,FALSE)</f>
        <v>CONSORCIO IDEA</v>
      </c>
      <c r="F581" s="412"/>
      <c r="G581" s="412"/>
      <c r="H581" s="412"/>
      <c r="I581" s="412"/>
      <c r="J581" s="412"/>
      <c r="K581" s="412"/>
      <c r="L581" s="412"/>
      <c r="M581" s="412"/>
      <c r="N581" s="412"/>
      <c r="O581" s="412"/>
      <c r="P581" s="412"/>
      <c r="Q581" s="412"/>
      <c r="R581" s="412"/>
    </row>
    <row r="582" spans="1:28" ht="50.25" customHeight="1" thickBot="1">
      <c r="A582" s="151" t="s">
        <v>185</v>
      </c>
      <c r="B582" s="63">
        <v>5</v>
      </c>
      <c r="C582" s="152" t="s">
        <v>186</v>
      </c>
      <c r="D582" s="153">
        <f>$D$628</f>
        <v>279.72028</v>
      </c>
      <c r="E582" s="412"/>
      <c r="F582" s="412"/>
      <c r="G582" s="412"/>
      <c r="H582" s="412"/>
      <c r="I582" s="412"/>
      <c r="J582" s="412"/>
      <c r="K582" s="412"/>
      <c r="L582" s="412"/>
      <c r="M582" s="412"/>
      <c r="N582" s="412"/>
      <c r="O582" s="412"/>
      <c r="P582" s="412"/>
      <c r="Q582" s="412"/>
      <c r="R582" s="412"/>
    </row>
    <row r="583" spans="1:28" ht="23.25" customHeight="1" thickBot="1">
      <c r="A583" s="388" t="s">
        <v>187</v>
      </c>
      <c r="B583" s="388"/>
      <c r="C583" s="389">
        <f>H595/B582</f>
        <v>530.15151192509279</v>
      </c>
      <c r="D583" s="389"/>
      <c r="E583" s="412"/>
      <c r="F583" s="412"/>
      <c r="G583" s="412"/>
      <c r="H583" s="412"/>
      <c r="I583" s="412"/>
      <c r="J583" s="412"/>
      <c r="K583" s="412"/>
      <c r="L583" s="412"/>
      <c r="M583" s="412"/>
      <c r="N583" s="412"/>
      <c r="O583" s="412"/>
      <c r="P583" s="412"/>
      <c r="Q583" s="412"/>
      <c r="R583" s="412"/>
    </row>
    <row r="584" spans="1:28" ht="23.25" customHeight="1" thickBot="1">
      <c r="A584" s="390" t="s">
        <v>188</v>
      </c>
      <c r="B584" s="390"/>
      <c r="C584" s="391">
        <v>45610</v>
      </c>
      <c r="D584" s="391"/>
      <c r="E584" s="412"/>
      <c r="F584" s="412"/>
      <c r="G584" s="412"/>
      <c r="H584" s="412"/>
      <c r="I584" s="412"/>
      <c r="J584" s="412"/>
      <c r="K584" s="412"/>
      <c r="L584" s="412"/>
      <c r="M584" s="412"/>
      <c r="N584" s="412"/>
      <c r="O584" s="412"/>
      <c r="P584" s="412"/>
      <c r="Q584" s="412"/>
      <c r="R584" s="412"/>
    </row>
    <row r="585" spans="1:28" ht="38.25" customHeight="1" thickBot="1">
      <c r="A585" s="392" t="s">
        <v>189</v>
      </c>
      <c r="B585" s="392"/>
      <c r="C585" s="393" t="str">
        <f>+IF(H595&gt;D582,"CUMPLE","NO CUMPLE")</f>
        <v>CUMPLE</v>
      </c>
      <c r="D585" s="393"/>
      <c r="E585" s="412"/>
      <c r="F585" s="412"/>
      <c r="G585" s="412"/>
      <c r="H585" s="412"/>
      <c r="I585" s="412"/>
      <c r="J585" s="412"/>
      <c r="K585" s="412"/>
      <c r="L585" s="412"/>
      <c r="M585" s="412"/>
      <c r="N585" s="412"/>
      <c r="O585" s="412"/>
      <c r="P585" s="412"/>
      <c r="Q585" s="412"/>
      <c r="R585" s="412"/>
    </row>
    <row r="586" spans="1:28" ht="87" customHeight="1">
      <c r="A586" s="410" t="s">
        <v>190</v>
      </c>
      <c r="B586" s="410"/>
      <c r="C586" s="410"/>
      <c r="D586" s="410"/>
      <c r="E586" s="410"/>
      <c r="F586" s="410"/>
      <c r="G586" s="142"/>
      <c r="H586" s="142"/>
      <c r="I586" s="143" t="s">
        <v>191</v>
      </c>
      <c r="J586" s="144" t="s">
        <v>192</v>
      </c>
      <c r="K586" s="413" t="s">
        <v>193</v>
      </c>
      <c r="L586" s="413"/>
      <c r="M586" s="399" t="s">
        <v>194</v>
      </c>
      <c r="N586" s="399" t="s">
        <v>195</v>
      </c>
      <c r="O586" s="401" t="s">
        <v>196</v>
      </c>
      <c r="P586" s="402"/>
      <c r="Q586" s="399" t="s">
        <v>197</v>
      </c>
      <c r="R586" s="399" t="s">
        <v>198</v>
      </c>
    </row>
    <row r="587" spans="1:28" ht="77.25" customHeight="1" thickBot="1">
      <c r="A587" s="145" t="s">
        <v>199</v>
      </c>
      <c r="B587" s="411" t="s">
        <v>200</v>
      </c>
      <c r="C587" s="411"/>
      <c r="D587" s="146" t="s">
        <v>201</v>
      </c>
      <c r="E587" s="146" t="s">
        <v>202</v>
      </c>
      <c r="F587" s="146" t="s">
        <v>203</v>
      </c>
      <c r="G587" s="147" t="s">
        <v>204</v>
      </c>
      <c r="H587" s="147" t="s">
        <v>205</v>
      </c>
      <c r="I587" s="148" t="s">
        <v>206</v>
      </c>
      <c r="J587" s="148" t="s">
        <v>207</v>
      </c>
      <c r="K587" s="149" t="s">
        <v>208</v>
      </c>
      <c r="L587" s="150" t="s">
        <v>209</v>
      </c>
      <c r="M587" s="400"/>
      <c r="N587" s="400"/>
      <c r="O587" s="403"/>
      <c r="P587" s="404"/>
      <c r="Q587" s="400"/>
      <c r="R587" s="400"/>
    </row>
    <row r="588" spans="1:28" ht="18">
      <c r="A588" s="125" t="str">
        <f>VLOOKUP(A581,'LISTA DE OFERENTES'!$A$4:$G$80,5,FALSE)</f>
        <v>INCOPLAN IN SAS - 60 %</v>
      </c>
      <c r="B588" s="26"/>
      <c r="C588" s="26"/>
      <c r="D588" s="26"/>
      <c r="E588" s="26"/>
      <c r="F588" s="26"/>
      <c r="G588" s="26"/>
      <c r="H588" s="26"/>
      <c r="I588" s="26"/>
      <c r="J588" s="26"/>
      <c r="K588" s="414">
        <f>$D$628*0.5</f>
        <v>139.86014</v>
      </c>
      <c r="L588" s="132"/>
      <c r="M588" s="416" t="s">
        <v>183</v>
      </c>
      <c r="N588" s="128"/>
      <c r="O588" s="189"/>
      <c r="P588" s="132"/>
      <c r="Q588" s="372" t="s">
        <v>183</v>
      </c>
      <c r="R588" s="141"/>
    </row>
    <row r="589" spans="1:28" s="9" customFormat="1" ht="90">
      <c r="A589" s="118" t="s">
        <v>376</v>
      </c>
      <c r="B589" s="431" t="s">
        <v>377</v>
      </c>
      <c r="C589" s="432"/>
      <c r="D589" s="119">
        <v>167953500</v>
      </c>
      <c r="E589" s="218">
        <v>2009</v>
      </c>
      <c r="F589" s="121">
        <f>D589/(VLOOKUP(E589,$D$654:$E$687,2,FALSE))</f>
        <v>338.00261622056752</v>
      </c>
      <c r="G589" s="229">
        <v>1</v>
      </c>
      <c r="H589" s="121">
        <f>F589*G589</f>
        <v>338.00261622056752</v>
      </c>
      <c r="I589" s="123">
        <v>39859</v>
      </c>
      <c r="J589" s="116" t="s">
        <v>183</v>
      </c>
      <c r="K589" s="415"/>
      <c r="L589" s="133">
        <f>H589</f>
        <v>338.00261622056752</v>
      </c>
      <c r="M589" s="417"/>
      <c r="N589" s="129" t="s">
        <v>183</v>
      </c>
      <c r="O589" s="375">
        <f>$D$628*0.7</f>
        <v>195.80419599999999</v>
      </c>
      <c r="P589" s="135">
        <f>L589</f>
        <v>338.00261622056752</v>
      </c>
      <c r="Q589" s="373"/>
      <c r="R589" s="96"/>
    </row>
    <row r="590" spans="1:28" s="9" customFormat="1" ht="126">
      <c r="A590" s="118" t="s">
        <v>378</v>
      </c>
      <c r="B590" s="431" t="s">
        <v>329</v>
      </c>
      <c r="C590" s="433"/>
      <c r="D590" s="119">
        <v>48960313</v>
      </c>
      <c r="E590" s="219">
        <v>2011</v>
      </c>
      <c r="F590" s="121">
        <f t="shared" ref="F590:F592" si="6">D590/(VLOOKUP(E590,$D$654:$E$687,2,FALSE))</f>
        <v>91.412085511575796</v>
      </c>
      <c r="G590" s="230">
        <v>1</v>
      </c>
      <c r="H590" s="121">
        <f t="shared" ref="H590:H592" si="7">F590*G590</f>
        <v>91.412085511575796</v>
      </c>
      <c r="I590" s="243">
        <v>40788</v>
      </c>
      <c r="J590" s="116" t="s">
        <v>183</v>
      </c>
      <c r="K590" s="415"/>
      <c r="L590" s="133">
        <f t="shared" ref="L590:L594" si="8">H590</f>
        <v>91.412085511575796</v>
      </c>
      <c r="M590" s="417"/>
      <c r="N590" s="129" t="s">
        <v>183</v>
      </c>
      <c r="O590" s="377"/>
      <c r="P590" s="135"/>
      <c r="Q590" s="373"/>
      <c r="R590" s="96"/>
    </row>
    <row r="591" spans="1:28" ht="126">
      <c r="A591" s="118" t="s">
        <v>379</v>
      </c>
      <c r="B591" s="431" t="s">
        <v>380</v>
      </c>
      <c r="C591" s="433"/>
      <c r="D591" s="119">
        <v>1115241849</v>
      </c>
      <c r="E591" s="219">
        <v>2018</v>
      </c>
      <c r="F591" s="121">
        <f t="shared" si="6"/>
        <v>1427.5241845676501</v>
      </c>
      <c r="G591" s="230">
        <v>0.5</v>
      </c>
      <c r="H591" s="121">
        <f t="shared" si="7"/>
        <v>713.76209228382504</v>
      </c>
      <c r="I591" s="243">
        <v>43322</v>
      </c>
      <c r="J591" s="116" t="s">
        <v>183</v>
      </c>
      <c r="K591" s="415"/>
      <c r="L591" s="133">
        <f t="shared" si="8"/>
        <v>713.76209228382504</v>
      </c>
      <c r="M591" s="417"/>
      <c r="N591" s="129" t="s">
        <v>183</v>
      </c>
      <c r="O591" s="377"/>
      <c r="P591" s="135">
        <f>L591</f>
        <v>713.76209228382504</v>
      </c>
      <c r="Q591" s="373"/>
      <c r="R591" s="96"/>
      <c r="AB591" s="9"/>
    </row>
    <row r="592" spans="1:28" s="9" customFormat="1" ht="324">
      <c r="A592" s="118" t="s">
        <v>489</v>
      </c>
      <c r="B592" s="431" t="s">
        <v>490</v>
      </c>
      <c r="C592" s="432"/>
      <c r="D592" s="119">
        <v>1697646430</v>
      </c>
      <c r="E592" s="219">
        <v>2013</v>
      </c>
      <c r="F592" s="121">
        <f t="shared" si="6"/>
        <v>2879.8073452078033</v>
      </c>
      <c r="G592" s="230">
        <v>0.5</v>
      </c>
      <c r="H592" s="121">
        <f t="shared" si="7"/>
        <v>1439.9036726039017</v>
      </c>
      <c r="I592" s="243">
        <v>45222</v>
      </c>
      <c r="J592" s="116" t="s">
        <v>183</v>
      </c>
      <c r="K592" s="415"/>
      <c r="L592" s="133">
        <f t="shared" si="8"/>
        <v>1439.9036726039017</v>
      </c>
      <c r="M592" s="417"/>
      <c r="N592" s="129" t="s">
        <v>183</v>
      </c>
      <c r="O592" s="377"/>
      <c r="P592" s="135"/>
      <c r="Q592" s="373"/>
      <c r="R592" s="96"/>
    </row>
    <row r="593" spans="1:28" ht="23.25" customHeight="1">
      <c r="A593" s="125" t="str">
        <f>VLOOKUP(A581,'LISTA DE OFERENTES'!$A$4:$G$80,6,FALSE)</f>
        <v>GEINCO SAS - 40%</v>
      </c>
      <c r="B593" s="126"/>
      <c r="C593" s="126"/>
      <c r="D593" s="126"/>
      <c r="E593" s="126"/>
      <c r="F593" s="126"/>
      <c r="G593" s="127"/>
      <c r="H593" s="126"/>
      <c r="I593" s="126"/>
      <c r="J593" s="126"/>
      <c r="K593" s="415"/>
      <c r="L593" s="133">
        <f t="shared" si="8"/>
        <v>0</v>
      </c>
      <c r="M593" s="417"/>
      <c r="N593" s="130"/>
      <c r="O593" s="377"/>
      <c r="P593" s="136"/>
      <c r="Q593" s="373"/>
      <c r="R593" s="27"/>
      <c r="AB593" s="9"/>
    </row>
    <row r="594" spans="1:28" s="9" customFormat="1" ht="234">
      <c r="A594" s="118" t="s">
        <v>381</v>
      </c>
      <c r="B594" s="371" t="s">
        <v>382</v>
      </c>
      <c r="C594" s="371"/>
      <c r="D594" s="119">
        <v>204954662</v>
      </c>
      <c r="E594" s="120">
        <v>2021</v>
      </c>
      <c r="F594" s="121">
        <f>D594/(VLOOKUP(E594,$D$654:$E$687,2,FALSE))</f>
        <v>225.5903100186456</v>
      </c>
      <c r="G594" s="250">
        <v>0.3</v>
      </c>
      <c r="H594" s="121">
        <f>F594*G594</f>
        <v>67.677093005593676</v>
      </c>
      <c r="I594" s="123">
        <v>44404</v>
      </c>
      <c r="J594" s="116" t="s">
        <v>183</v>
      </c>
      <c r="K594" s="415"/>
      <c r="L594" s="133">
        <f t="shared" si="8"/>
        <v>67.677093005593676</v>
      </c>
      <c r="M594" s="417"/>
      <c r="N594" s="129" t="s">
        <v>183</v>
      </c>
      <c r="O594" s="377"/>
      <c r="P594" s="135"/>
      <c r="Q594" s="373"/>
      <c r="R594" s="96"/>
    </row>
    <row r="595" spans="1:28" s="9" customFormat="1" ht="48" customHeight="1">
      <c r="A595" s="394" t="s">
        <v>210</v>
      </c>
      <c r="B595" s="394"/>
      <c r="C595" s="394"/>
      <c r="D595" s="394"/>
      <c r="E595" s="394"/>
      <c r="F595" s="190">
        <f>+SUM(F589:F594)</f>
        <v>4962.3365415262433</v>
      </c>
      <c r="G595" s="249"/>
      <c r="H595" s="190">
        <f>+SUM(H589:H594)</f>
        <v>2650.7575596254637</v>
      </c>
      <c r="I595" s="395" t="s">
        <v>211</v>
      </c>
      <c r="J595" s="396"/>
      <c r="K595" s="396"/>
      <c r="L595" s="396"/>
      <c r="M595" s="397"/>
      <c r="N595" s="138"/>
      <c r="O595" s="138" t="str">
        <f>IF(P595&gt;O589,"CUMPLE","NO CUMPLE")</f>
        <v>CUMPLE</v>
      </c>
      <c r="P595" s="139">
        <f>SUM(P589:P594)</f>
        <v>1051.7647085043925</v>
      </c>
      <c r="Q595" s="374"/>
      <c r="R595" s="140" t="str">
        <f>+IF(AND(M588="CUMPLE",Q588="CUMPLE",C585="CUMPLE"),"HABILITADO","NO HABILITADO")</f>
        <v>HABILITADO</v>
      </c>
    </row>
    <row r="596" spans="1:28" ht="16.5" thickBot="1">
      <c r="A596" s="3"/>
      <c r="B596" s="3"/>
      <c r="C596" s="3"/>
      <c r="D596" s="3"/>
      <c r="E596" s="3"/>
      <c r="F596" s="3"/>
      <c r="G596" s="3"/>
      <c r="H596" s="3"/>
      <c r="I596" s="3"/>
      <c r="J596" s="3"/>
      <c r="K596" s="3"/>
      <c r="L596" s="3"/>
      <c r="M596" s="3"/>
      <c r="N596" s="3"/>
      <c r="O596" s="3"/>
      <c r="P596" s="3"/>
      <c r="Q596" s="3"/>
      <c r="R596" s="4"/>
    </row>
    <row r="597" spans="1:28" ht="30.75" customHeight="1" thickBot="1">
      <c r="A597" s="398">
        <f>1+A581</f>
        <v>46</v>
      </c>
      <c r="B597" s="398"/>
      <c r="C597" s="398"/>
      <c r="D597" s="398"/>
      <c r="E597" s="412" t="str">
        <f>VLOOKUP(A597,'REQUISITOS HAB. TECNICOS'!$A$5:$B$80,2,FALSE)</f>
        <v>CONSORCIO ENGATIVA JINT 95</v>
      </c>
      <c r="F597" s="412"/>
      <c r="G597" s="412"/>
      <c r="H597" s="412"/>
      <c r="I597" s="412"/>
      <c r="J597" s="412"/>
      <c r="K597" s="412"/>
      <c r="L597" s="412"/>
      <c r="M597" s="412"/>
      <c r="N597" s="412"/>
      <c r="O597" s="412"/>
      <c r="P597" s="412"/>
      <c r="Q597" s="412"/>
      <c r="R597" s="412"/>
    </row>
    <row r="598" spans="1:28" ht="50.25" customHeight="1" thickBot="1">
      <c r="A598" s="151" t="s">
        <v>185</v>
      </c>
      <c r="B598" s="63">
        <v>3</v>
      </c>
      <c r="C598" s="152" t="s">
        <v>186</v>
      </c>
      <c r="D598" s="153">
        <f>$D$628</f>
        <v>279.72028</v>
      </c>
      <c r="E598" s="412"/>
      <c r="F598" s="412"/>
      <c r="G598" s="412"/>
      <c r="H598" s="412"/>
      <c r="I598" s="412"/>
      <c r="J598" s="412"/>
      <c r="K598" s="412"/>
      <c r="L598" s="412"/>
      <c r="M598" s="412"/>
      <c r="N598" s="412"/>
      <c r="O598" s="412"/>
      <c r="P598" s="412"/>
      <c r="Q598" s="412"/>
      <c r="R598" s="412"/>
    </row>
    <row r="599" spans="1:28" ht="23.25" customHeight="1" thickBot="1">
      <c r="A599" s="388" t="s">
        <v>187</v>
      </c>
      <c r="B599" s="388"/>
      <c r="C599" s="389">
        <f>H609/B598</f>
        <v>679.36882595078998</v>
      </c>
      <c r="D599" s="389"/>
      <c r="E599" s="412"/>
      <c r="F599" s="412"/>
      <c r="G599" s="412"/>
      <c r="H599" s="412"/>
      <c r="I599" s="412"/>
      <c r="J599" s="412"/>
      <c r="K599" s="412"/>
      <c r="L599" s="412"/>
      <c r="M599" s="412"/>
      <c r="N599" s="412"/>
      <c r="O599" s="412"/>
      <c r="P599" s="412"/>
      <c r="Q599" s="412"/>
      <c r="R599" s="412"/>
    </row>
    <row r="600" spans="1:28" ht="23.25" customHeight="1" thickBot="1">
      <c r="A600" s="390" t="s">
        <v>188</v>
      </c>
      <c r="B600" s="390"/>
      <c r="C600" s="391">
        <v>45610</v>
      </c>
      <c r="D600" s="391"/>
      <c r="E600" s="412"/>
      <c r="F600" s="412"/>
      <c r="G600" s="412"/>
      <c r="H600" s="412"/>
      <c r="I600" s="412"/>
      <c r="J600" s="412"/>
      <c r="K600" s="412"/>
      <c r="L600" s="412"/>
      <c r="M600" s="412"/>
      <c r="N600" s="412"/>
      <c r="O600" s="412"/>
      <c r="P600" s="412"/>
      <c r="Q600" s="412"/>
      <c r="R600" s="412"/>
    </row>
    <row r="601" spans="1:28" ht="38.25" customHeight="1" thickBot="1">
      <c r="A601" s="392" t="s">
        <v>189</v>
      </c>
      <c r="B601" s="392"/>
      <c r="C601" s="393" t="str">
        <f>+IF(H609&gt;D598,"CUMPLE","NO CUMPLE")</f>
        <v>CUMPLE</v>
      </c>
      <c r="D601" s="393"/>
      <c r="E601" s="412"/>
      <c r="F601" s="412"/>
      <c r="G601" s="412"/>
      <c r="H601" s="412"/>
      <c r="I601" s="412"/>
      <c r="J601" s="412"/>
      <c r="K601" s="412"/>
      <c r="L601" s="412"/>
      <c r="M601" s="412"/>
      <c r="N601" s="412"/>
      <c r="O601" s="412"/>
      <c r="P601" s="412"/>
      <c r="Q601" s="412"/>
      <c r="R601" s="412"/>
    </row>
    <row r="602" spans="1:28" ht="87" customHeight="1">
      <c r="A602" s="410" t="s">
        <v>190</v>
      </c>
      <c r="B602" s="410"/>
      <c r="C602" s="410"/>
      <c r="D602" s="410"/>
      <c r="E602" s="410"/>
      <c r="F602" s="410"/>
      <c r="G602" s="142"/>
      <c r="H602" s="142"/>
      <c r="I602" s="143" t="s">
        <v>191</v>
      </c>
      <c r="J602" s="144" t="s">
        <v>192</v>
      </c>
      <c r="K602" s="413" t="s">
        <v>193</v>
      </c>
      <c r="L602" s="413"/>
      <c r="M602" s="399" t="s">
        <v>194</v>
      </c>
      <c r="N602" s="399" t="s">
        <v>195</v>
      </c>
      <c r="O602" s="401" t="s">
        <v>196</v>
      </c>
      <c r="P602" s="402"/>
      <c r="Q602" s="399" t="s">
        <v>197</v>
      </c>
      <c r="R602" s="399" t="s">
        <v>198</v>
      </c>
    </row>
    <row r="603" spans="1:28" ht="77.25" customHeight="1" thickBot="1">
      <c r="A603" s="145" t="s">
        <v>199</v>
      </c>
      <c r="B603" s="411" t="s">
        <v>200</v>
      </c>
      <c r="C603" s="411"/>
      <c r="D603" s="146" t="s">
        <v>201</v>
      </c>
      <c r="E603" s="146" t="s">
        <v>202</v>
      </c>
      <c r="F603" s="146" t="s">
        <v>203</v>
      </c>
      <c r="G603" s="147" t="s">
        <v>204</v>
      </c>
      <c r="H603" s="147" t="s">
        <v>205</v>
      </c>
      <c r="I603" s="148" t="s">
        <v>206</v>
      </c>
      <c r="J603" s="148" t="s">
        <v>207</v>
      </c>
      <c r="K603" s="149" t="s">
        <v>208</v>
      </c>
      <c r="L603" s="150" t="s">
        <v>209</v>
      </c>
      <c r="M603" s="400"/>
      <c r="N603" s="400"/>
      <c r="O603" s="403"/>
      <c r="P603" s="404"/>
      <c r="Q603" s="400"/>
      <c r="R603" s="400"/>
    </row>
    <row r="604" spans="1:28" ht="18">
      <c r="A604" s="125" t="str">
        <f>VLOOKUP(A597,'LISTA DE OFERENTES'!$A$4:$G$80,5,FALSE)</f>
        <v>JPS INGENIERIA S.A.S.  - 90%</v>
      </c>
      <c r="B604" s="26"/>
      <c r="C604" s="26"/>
      <c r="D604" s="26"/>
      <c r="E604" s="26"/>
      <c r="F604" s="26"/>
      <c r="G604" s="26"/>
      <c r="H604" s="26"/>
      <c r="I604" s="26"/>
      <c r="J604" s="26"/>
      <c r="K604" s="414">
        <f>$D$628*0.5</f>
        <v>139.86014</v>
      </c>
      <c r="L604" s="132"/>
      <c r="M604" s="416" t="s">
        <v>183</v>
      </c>
      <c r="N604" s="128"/>
      <c r="O604" s="189"/>
      <c r="P604" s="132"/>
      <c r="Q604" s="372" t="s">
        <v>183</v>
      </c>
      <c r="R604" s="141"/>
    </row>
    <row r="605" spans="1:28" s="9" customFormat="1" ht="108">
      <c r="A605" s="118" t="s">
        <v>383</v>
      </c>
      <c r="B605" s="371" t="s">
        <v>214</v>
      </c>
      <c r="C605" s="371"/>
      <c r="D605" s="119">
        <v>28161300</v>
      </c>
      <c r="E605" s="120">
        <v>2003</v>
      </c>
      <c r="F605" s="121">
        <f>D605/(VLOOKUP(E605,$D$654:$E$687,2,FALSE))</f>
        <v>84.823192771084337</v>
      </c>
      <c r="G605" s="122">
        <v>0.5</v>
      </c>
      <c r="H605" s="121">
        <f>F605*G605</f>
        <v>42.411596385542168</v>
      </c>
      <c r="I605" s="123">
        <v>37683</v>
      </c>
      <c r="J605" s="116" t="s">
        <v>183</v>
      </c>
      <c r="K605" s="415"/>
      <c r="L605" s="133">
        <f>H605</f>
        <v>42.411596385542168</v>
      </c>
      <c r="M605" s="417"/>
      <c r="N605" s="129" t="s">
        <v>183</v>
      </c>
      <c r="O605" s="375">
        <f>$D$628*0.7</f>
        <v>195.80419599999999</v>
      </c>
      <c r="P605" s="135"/>
      <c r="Q605" s="373"/>
      <c r="R605" s="96"/>
    </row>
    <row r="606" spans="1:28" s="9" customFormat="1" ht="144">
      <c r="A606" s="118" t="s">
        <v>384</v>
      </c>
      <c r="B606" s="371" t="s">
        <v>385</v>
      </c>
      <c r="C606" s="371"/>
      <c r="D606" s="119">
        <v>567779405</v>
      </c>
      <c r="E606" s="120">
        <v>2009</v>
      </c>
      <c r="F606" s="121">
        <f>D606/(VLOOKUP(E606,$D$654:$E$687,2,FALSE))</f>
        <v>1142.6431978265246</v>
      </c>
      <c r="G606" s="122">
        <v>1</v>
      </c>
      <c r="H606" s="121">
        <f>F606*G606</f>
        <v>1142.6431978265246</v>
      </c>
      <c r="I606" s="123">
        <v>39664</v>
      </c>
      <c r="J606" s="116" t="s">
        <v>183</v>
      </c>
      <c r="K606" s="415"/>
      <c r="L606" s="133">
        <f>H606</f>
        <v>1142.6431978265246</v>
      </c>
      <c r="M606" s="417"/>
      <c r="N606" s="129" t="s">
        <v>183</v>
      </c>
      <c r="O606" s="376"/>
      <c r="P606" s="135">
        <f>L606</f>
        <v>1142.6431978265246</v>
      </c>
      <c r="Q606" s="373"/>
      <c r="R606" s="96"/>
    </row>
    <row r="607" spans="1:28" s="9" customFormat="1" ht="72">
      <c r="A607" s="118" t="s">
        <v>386</v>
      </c>
      <c r="B607" s="371" t="s">
        <v>387</v>
      </c>
      <c r="C607" s="371"/>
      <c r="D607" s="119">
        <v>393683352</v>
      </c>
      <c r="E607" s="120">
        <v>2008</v>
      </c>
      <c r="F607" s="121">
        <f>D607/(VLOOKUP(E607,$D$654:$E$687,2,FALSE))</f>
        <v>853.05168364030339</v>
      </c>
      <c r="G607" s="122">
        <v>1</v>
      </c>
      <c r="H607" s="121">
        <f>F607*G607</f>
        <v>853.05168364030339</v>
      </c>
      <c r="I607" s="124">
        <v>39669</v>
      </c>
      <c r="J607" s="131" t="s">
        <v>183</v>
      </c>
      <c r="K607" s="415"/>
      <c r="L607" s="133">
        <f>H607</f>
        <v>853.05168364030339</v>
      </c>
      <c r="M607" s="417"/>
      <c r="N607" s="129" t="s">
        <v>183</v>
      </c>
      <c r="O607" s="377"/>
      <c r="P607" s="135">
        <f>L607</f>
        <v>853.05168364030339</v>
      </c>
      <c r="Q607" s="373"/>
      <c r="R607" s="96"/>
    </row>
    <row r="608" spans="1:28" ht="23.25" customHeight="1">
      <c r="A608" s="125" t="str">
        <f>VLOOKUP(A597,'LISTA DE OFERENTES'!$A$4:$G$80,6,FALSE)</f>
        <v>INTING S.A.S. - 10%</v>
      </c>
      <c r="B608" s="126"/>
      <c r="C608" s="126"/>
      <c r="D608" s="126"/>
      <c r="E608" s="126"/>
      <c r="F608" s="126"/>
      <c r="G608" s="127"/>
      <c r="H608" s="126"/>
      <c r="I608" s="126"/>
      <c r="J608" s="126"/>
      <c r="K608" s="415"/>
      <c r="L608" s="134"/>
      <c r="M608" s="417"/>
      <c r="N608" s="130"/>
      <c r="O608" s="377"/>
      <c r="P608" s="136"/>
      <c r="Q608" s="373"/>
      <c r="R608" s="27"/>
    </row>
    <row r="609" spans="1:18" s="9" customFormat="1" ht="48" customHeight="1">
      <c r="A609" s="394" t="s">
        <v>210</v>
      </c>
      <c r="B609" s="394"/>
      <c r="C609" s="394"/>
      <c r="D609" s="394"/>
      <c r="E609" s="394"/>
      <c r="F609" s="190">
        <f>+SUM(F605:F608)</f>
        <v>2080.5180742379125</v>
      </c>
      <c r="G609" s="37"/>
      <c r="H609" s="190">
        <f>+SUM(H605:H608)</f>
        <v>2038.1064778523701</v>
      </c>
      <c r="I609" s="395" t="s">
        <v>211</v>
      </c>
      <c r="J609" s="396"/>
      <c r="K609" s="396"/>
      <c r="L609" s="396"/>
      <c r="M609" s="397"/>
      <c r="N609" s="138"/>
      <c r="O609" s="138" t="str">
        <f>IF(P609&gt;O605,"CUMPLE","NO CUMPLE")</f>
        <v>CUMPLE</v>
      </c>
      <c r="P609" s="139">
        <f>SUM(P605:P608)</f>
        <v>1995.6948814668281</v>
      </c>
      <c r="Q609" s="374"/>
      <c r="R609" s="140" t="str">
        <f>+IF(AND(M604="CUMPLE",Q604="CUMPLE",C601="CUMPLE"),"HABILITADO","NO HABILITADO")</f>
        <v>HABILITADO</v>
      </c>
    </row>
    <row r="610" spans="1:18" ht="15.75">
      <c r="A610" s="3"/>
      <c r="B610" s="3"/>
      <c r="C610" s="3"/>
      <c r="D610" s="3"/>
      <c r="E610" s="3"/>
      <c r="F610" s="3"/>
      <c r="G610" s="3"/>
      <c r="H610" s="3"/>
      <c r="I610" s="3"/>
      <c r="J610" s="3"/>
      <c r="K610" s="3"/>
      <c r="L610" s="3"/>
      <c r="M610" s="3"/>
      <c r="N610" s="3"/>
      <c r="O610" s="3"/>
      <c r="P610" s="3"/>
      <c r="Q610" s="3"/>
      <c r="R610" s="4"/>
    </row>
    <row r="611" spans="1:18" ht="15.75">
      <c r="A611" s="3"/>
      <c r="B611" s="3"/>
      <c r="C611" s="3"/>
      <c r="D611" s="3"/>
      <c r="E611" s="3"/>
      <c r="F611" s="3"/>
      <c r="G611" s="3"/>
      <c r="H611" s="3"/>
      <c r="I611" s="3"/>
      <c r="J611" s="3"/>
      <c r="K611" s="3"/>
      <c r="L611" s="3"/>
      <c r="M611" s="3"/>
      <c r="N611" s="3"/>
      <c r="O611" s="3"/>
      <c r="P611" s="3"/>
      <c r="Q611" s="3"/>
      <c r="R611" s="4"/>
    </row>
    <row r="612" spans="1:18" ht="15.75">
      <c r="A612" s="3"/>
      <c r="B612" s="3"/>
      <c r="C612" s="3"/>
      <c r="D612" s="3"/>
      <c r="E612" s="3"/>
      <c r="F612" s="3"/>
      <c r="G612" s="3"/>
      <c r="H612" s="3"/>
      <c r="I612" s="3"/>
      <c r="J612" s="3"/>
      <c r="K612" s="3"/>
      <c r="L612" s="3"/>
      <c r="M612" s="3"/>
      <c r="N612" s="3"/>
      <c r="O612" s="3"/>
      <c r="P612" s="3"/>
      <c r="Q612" s="3"/>
      <c r="R612" s="4"/>
    </row>
    <row r="613" spans="1:18" ht="15.75">
      <c r="A613" s="3"/>
      <c r="B613" s="3"/>
      <c r="C613" s="3"/>
      <c r="D613" s="3"/>
      <c r="E613" s="3"/>
      <c r="F613" s="3"/>
      <c r="G613" s="3"/>
      <c r="H613" s="3"/>
      <c r="I613" s="3"/>
      <c r="J613" s="3"/>
      <c r="K613" s="3"/>
      <c r="L613" s="3"/>
      <c r="M613" s="3"/>
      <c r="N613" s="3"/>
      <c r="O613" s="3"/>
      <c r="P613" s="3"/>
      <c r="Q613" s="3"/>
      <c r="R613" s="4"/>
    </row>
    <row r="614" spans="1:18" ht="15.75">
      <c r="A614" s="3"/>
      <c r="B614" s="3"/>
      <c r="C614" s="3"/>
      <c r="D614" s="3"/>
      <c r="E614" s="3"/>
      <c r="F614" s="3"/>
      <c r="G614" s="3"/>
      <c r="H614" s="3"/>
      <c r="I614" s="3"/>
      <c r="J614" s="3"/>
      <c r="K614" s="3"/>
      <c r="L614" s="3"/>
      <c r="M614" s="3"/>
      <c r="N614" s="3"/>
      <c r="O614" s="3"/>
      <c r="P614" s="3"/>
      <c r="Q614" s="3"/>
      <c r="R614" s="4"/>
    </row>
    <row r="615" spans="1:18" ht="15.75">
      <c r="A615" s="3"/>
      <c r="B615" s="3"/>
      <c r="C615" s="3"/>
      <c r="D615" s="3"/>
      <c r="E615" s="3"/>
      <c r="F615" s="3"/>
      <c r="G615" s="3"/>
      <c r="H615" s="3"/>
      <c r="I615" s="3"/>
      <c r="J615" s="3"/>
      <c r="K615" s="3"/>
      <c r="L615" s="3"/>
      <c r="M615" s="3"/>
      <c r="N615" s="3"/>
      <c r="O615" s="3"/>
      <c r="P615" s="3"/>
      <c r="Q615" s="3"/>
      <c r="R615" s="4"/>
    </row>
    <row r="616" spans="1:18" ht="15.75">
      <c r="A616" s="3"/>
      <c r="B616" s="3"/>
      <c r="C616" s="3"/>
      <c r="D616" s="3"/>
      <c r="E616" s="3"/>
      <c r="F616" s="3"/>
      <c r="G616" s="3"/>
      <c r="H616" s="3"/>
      <c r="I616" s="3"/>
      <c r="J616" s="3"/>
      <c r="K616" s="3"/>
      <c r="L616" s="3"/>
      <c r="M616" s="3"/>
      <c r="N616" s="3"/>
      <c r="O616" s="3"/>
      <c r="P616" s="3"/>
      <c r="Q616" s="3"/>
      <c r="R616" s="4"/>
    </row>
    <row r="617" spans="1:18" ht="15.75">
      <c r="A617" s="3"/>
      <c r="B617" s="3"/>
      <c r="C617" s="3"/>
      <c r="D617" s="3"/>
      <c r="E617" s="3"/>
      <c r="F617" s="3"/>
      <c r="G617" s="3"/>
      <c r="H617" s="3"/>
      <c r="I617" s="3"/>
      <c r="J617" s="3"/>
      <c r="K617" s="3"/>
      <c r="L617" s="3"/>
      <c r="M617" s="3"/>
      <c r="N617" s="3"/>
      <c r="O617" s="3"/>
      <c r="P617" s="3"/>
      <c r="Q617" s="3"/>
      <c r="R617" s="4"/>
    </row>
    <row r="618" spans="1:18" ht="15.75">
      <c r="A618" s="3"/>
      <c r="B618" s="3"/>
      <c r="C618" s="3"/>
      <c r="D618" s="3"/>
      <c r="E618" s="3"/>
      <c r="F618" s="3"/>
      <c r="G618" s="3"/>
      <c r="H618" s="3"/>
      <c r="I618" s="3"/>
      <c r="J618" s="3"/>
      <c r="K618" s="3"/>
      <c r="L618" s="3"/>
      <c r="M618" s="3"/>
      <c r="N618" s="3"/>
      <c r="O618" s="3"/>
      <c r="P618" s="3"/>
      <c r="Q618" s="3"/>
      <c r="R618" s="4"/>
    </row>
    <row r="619" spans="1:18" ht="15.75">
      <c r="A619" s="3"/>
      <c r="B619" s="3"/>
      <c r="C619" s="3"/>
      <c r="D619" s="3"/>
      <c r="E619" s="3"/>
      <c r="F619" s="3"/>
      <c r="G619" s="3"/>
      <c r="H619" s="3"/>
      <c r="I619" s="3"/>
      <c r="J619" s="3"/>
      <c r="K619" s="3"/>
      <c r="L619" s="3"/>
      <c r="M619" s="3"/>
      <c r="N619" s="3"/>
      <c r="O619" s="3"/>
      <c r="P619" s="3"/>
      <c r="Q619" s="3"/>
      <c r="R619" s="4"/>
    </row>
    <row r="620" spans="1:18" ht="15.75">
      <c r="A620" s="3"/>
      <c r="B620" s="3"/>
      <c r="C620" s="3"/>
      <c r="D620" s="3"/>
      <c r="E620" s="3"/>
      <c r="F620" s="3"/>
      <c r="G620" s="3"/>
      <c r="H620" s="3"/>
      <c r="I620" s="3"/>
      <c r="J620" s="3"/>
      <c r="K620" s="3"/>
      <c r="L620" s="3"/>
      <c r="M620" s="3"/>
      <c r="N620" s="3"/>
      <c r="O620" s="3"/>
      <c r="P620" s="3"/>
      <c r="Q620" s="3"/>
      <c r="R620" s="4"/>
    </row>
    <row r="621" spans="1:18" ht="15.75">
      <c r="A621" s="3"/>
      <c r="B621" s="3"/>
      <c r="C621" s="3"/>
      <c r="D621" s="3"/>
      <c r="E621" s="3"/>
      <c r="F621" s="3"/>
      <c r="G621" s="3"/>
      <c r="H621" s="3"/>
      <c r="I621" s="3"/>
      <c r="J621" s="3"/>
      <c r="K621" s="3"/>
      <c r="L621" s="3"/>
      <c r="M621" s="3"/>
      <c r="N621" s="3"/>
      <c r="O621" s="3"/>
      <c r="P621" s="3"/>
      <c r="Q621" s="3"/>
      <c r="R621" s="4"/>
    </row>
    <row r="622" spans="1:18" ht="15.75">
      <c r="A622" s="3"/>
      <c r="B622" s="3"/>
      <c r="C622" s="3"/>
      <c r="D622" s="3"/>
      <c r="E622" s="3"/>
      <c r="F622" s="3"/>
      <c r="G622" s="3"/>
      <c r="H622" s="3"/>
      <c r="I622" s="3"/>
      <c r="J622" s="3"/>
      <c r="K622" s="3"/>
      <c r="L622" s="3"/>
      <c r="M622" s="3"/>
      <c r="N622" s="3"/>
      <c r="O622" s="3"/>
      <c r="P622" s="3"/>
      <c r="Q622" s="3"/>
      <c r="R622" s="4"/>
    </row>
    <row r="623" spans="1:18" ht="15.75">
      <c r="A623" s="3"/>
      <c r="B623" s="3"/>
      <c r="C623" s="3"/>
      <c r="D623" s="3"/>
      <c r="E623" s="3"/>
      <c r="F623" s="3"/>
      <c r="G623" s="3"/>
      <c r="H623" s="3"/>
      <c r="I623" s="3"/>
      <c r="J623" s="3"/>
      <c r="K623" s="3"/>
      <c r="L623" s="3"/>
      <c r="M623" s="3"/>
      <c r="N623" s="3"/>
      <c r="O623" s="3"/>
      <c r="P623" s="3"/>
      <c r="Q623" s="3"/>
      <c r="R623" s="4"/>
    </row>
    <row r="624" spans="1:18" ht="15.75">
      <c r="A624" s="3"/>
      <c r="B624" s="3"/>
      <c r="C624" s="3"/>
      <c r="D624" s="3"/>
      <c r="E624" s="3"/>
      <c r="F624" s="3"/>
      <c r="G624" s="3"/>
      <c r="H624" s="3"/>
      <c r="I624" s="3"/>
      <c r="J624" s="3"/>
      <c r="K624" s="3"/>
      <c r="L624" s="3"/>
      <c r="M624" s="3"/>
      <c r="N624" s="3"/>
      <c r="O624" s="3"/>
      <c r="P624" s="3"/>
      <c r="Q624" s="3"/>
      <c r="R624" s="4"/>
    </row>
    <row r="625" spans="1:25" ht="15.75">
      <c r="A625" s="3"/>
      <c r="B625" s="3"/>
      <c r="C625" s="3"/>
      <c r="D625" s="3"/>
      <c r="E625" s="3"/>
      <c r="F625" s="3"/>
      <c r="G625" s="3"/>
      <c r="H625" s="3"/>
      <c r="I625" s="3"/>
      <c r="J625" s="3"/>
      <c r="K625" s="3"/>
      <c r="L625" s="3"/>
      <c r="M625" s="3"/>
      <c r="N625" s="3"/>
      <c r="O625" s="3"/>
      <c r="P625" s="3"/>
      <c r="Q625" s="3"/>
      <c r="R625" s="4"/>
    </row>
    <row r="626" spans="1:25" ht="16.5" thickBot="1">
      <c r="A626" s="3"/>
      <c r="B626" s="3"/>
      <c r="C626" s="3"/>
      <c r="D626" s="3"/>
      <c r="E626" s="3"/>
      <c r="F626" s="3"/>
      <c r="G626" s="3"/>
      <c r="H626" s="3"/>
      <c r="I626" s="3"/>
      <c r="J626" s="3"/>
      <c r="K626" s="3"/>
      <c r="L626" s="3"/>
      <c r="M626" s="3"/>
      <c r="N626" s="3"/>
      <c r="O626" s="3"/>
      <c r="P626" s="3"/>
      <c r="Q626" s="3"/>
      <c r="R626" s="4"/>
    </row>
    <row r="627" spans="1:25" ht="24" thickBot="1">
      <c r="A627" s="407" t="s">
        <v>388</v>
      </c>
      <c r="B627" s="408"/>
      <c r="C627" s="409"/>
      <c r="D627" s="100" t="s">
        <v>389</v>
      </c>
      <c r="E627" s="49"/>
      <c r="F627" s="3"/>
      <c r="G627" s="3"/>
      <c r="H627" s="3"/>
      <c r="I627" s="3"/>
      <c r="J627" s="4"/>
      <c r="K627" s="4"/>
      <c r="L627" s="5"/>
      <c r="M627" s="4"/>
      <c r="N627" s="4"/>
      <c r="O627" s="4"/>
      <c r="P627" s="4"/>
      <c r="Q627" s="4"/>
    </row>
    <row r="628" spans="1:25" ht="24" thickBot="1">
      <c r="A628" s="98" t="s">
        <v>390</v>
      </c>
      <c r="B628" s="405">
        <v>363636364</v>
      </c>
      <c r="C628" s="406"/>
      <c r="D628" s="99">
        <f>+$B$628/$E$687</f>
        <v>279.72028</v>
      </c>
      <c r="E628" s="50"/>
      <c r="F628" s="36"/>
      <c r="G628" s="36"/>
      <c r="H628" s="36"/>
      <c r="I628" s="3"/>
      <c r="J628" s="4"/>
      <c r="K628" s="4"/>
      <c r="L628" s="4"/>
      <c r="M628" s="4"/>
      <c r="N628" s="4"/>
      <c r="O628" s="4"/>
      <c r="P628" s="4"/>
      <c r="Q628" s="4"/>
    </row>
    <row r="629" spans="1:25" ht="21">
      <c r="A629" s="97"/>
      <c r="B629" s="13"/>
      <c r="C629" s="10"/>
      <c r="D629" s="11"/>
      <c r="E629" s="11"/>
      <c r="F629" s="10"/>
      <c r="G629" s="10"/>
      <c r="H629" s="10"/>
      <c r="I629" s="12"/>
      <c r="J629" s="3"/>
      <c r="K629" s="3"/>
      <c r="L629" s="3"/>
      <c r="M629" s="3"/>
      <c r="N629" s="3"/>
      <c r="O629" s="3"/>
      <c r="P629" s="3"/>
      <c r="Q629" s="3"/>
      <c r="R629" s="4"/>
    </row>
    <row r="630" spans="1:25" s="29" customFormat="1" ht="15" customHeight="1">
      <c r="S630" s="35"/>
      <c r="T630" s="35"/>
      <c r="U630" s="35"/>
      <c r="V630" s="35"/>
      <c r="W630" s="35"/>
      <c r="X630" s="35"/>
      <c r="Y630" s="35"/>
    </row>
    <row r="631" spans="1:25" s="29" customFormat="1" ht="23.25" customHeight="1">
      <c r="S631" s="35"/>
      <c r="T631" s="35"/>
      <c r="U631" s="35"/>
      <c r="V631" s="35"/>
      <c r="W631" s="35"/>
      <c r="X631" s="35"/>
      <c r="Y631" s="35"/>
    </row>
    <row r="632" spans="1:25" s="29" customFormat="1" ht="23.25" customHeight="1">
      <c r="S632" s="35"/>
      <c r="T632" s="35"/>
      <c r="U632" s="35"/>
      <c r="V632" s="35"/>
      <c r="W632" s="35"/>
      <c r="X632" s="35"/>
      <c r="Y632" s="35"/>
    </row>
    <row r="633" spans="1:25" s="29" customFormat="1" ht="78" customHeight="1">
      <c r="A633" s="379" t="s">
        <v>391</v>
      </c>
      <c r="B633" s="379"/>
      <c r="C633" s="379"/>
      <c r="D633" s="379"/>
      <c r="E633" s="379"/>
      <c r="F633" s="379"/>
      <c r="G633" s="379"/>
      <c r="H633" s="379"/>
      <c r="I633" s="379"/>
      <c r="J633" s="379"/>
      <c r="K633" s="379"/>
      <c r="L633" s="14"/>
      <c r="M633" s="14"/>
      <c r="N633" s="14"/>
      <c r="O633" s="14"/>
      <c r="P633" s="14"/>
      <c r="Q633" s="14"/>
      <c r="R633" s="35"/>
      <c r="S633" s="35"/>
      <c r="T633" s="35"/>
      <c r="U633" s="35"/>
      <c r="V633" s="35"/>
      <c r="W633" s="35"/>
    </row>
    <row r="634" spans="1:25" s="29" customFormat="1" ht="23.25">
      <c r="A634" s="38"/>
      <c r="B634" s="38"/>
      <c r="C634" s="35"/>
      <c r="D634" s="1"/>
      <c r="E634" s="1"/>
      <c r="F634" s="34"/>
      <c r="G634" s="34"/>
      <c r="H634" s="34"/>
      <c r="I634" s="34"/>
      <c r="J634" s="34"/>
      <c r="K634" s="34"/>
      <c r="L634" s="34"/>
      <c r="M634" s="34"/>
      <c r="N634" s="34"/>
      <c r="O634" s="34"/>
      <c r="P634" s="34"/>
      <c r="Q634" s="34"/>
      <c r="R634" s="14"/>
    </row>
    <row r="635" spans="1:25" s="29" customFormat="1" ht="23.25">
      <c r="A635" s="382" t="s">
        <v>392</v>
      </c>
      <c r="B635" s="382"/>
      <c r="C635" s="382"/>
      <c r="D635" s="382"/>
      <c r="E635" s="382"/>
      <c r="F635" s="382"/>
      <c r="G635" s="382"/>
      <c r="H635" s="382"/>
      <c r="I635" s="382"/>
      <c r="J635" s="382"/>
      <c r="K635" s="382"/>
      <c r="L635" s="382"/>
      <c r="M635" s="382"/>
      <c r="N635" s="382"/>
      <c r="O635" s="382"/>
      <c r="P635" s="382"/>
      <c r="Q635" s="382"/>
      <c r="R635" s="382"/>
    </row>
    <row r="636" spans="1:25" s="29" customFormat="1" ht="32.25">
      <c r="A636" s="51" t="s">
        <v>393</v>
      </c>
      <c r="B636" s="39"/>
      <c r="C636" s="39"/>
      <c r="D636" s="39"/>
      <c r="E636" s="39"/>
      <c r="F636" s="39"/>
      <c r="G636" s="39"/>
      <c r="H636" s="39"/>
      <c r="I636" s="39"/>
      <c r="J636" s="39"/>
      <c r="K636" s="39"/>
      <c r="L636" s="39"/>
      <c r="M636" s="39"/>
      <c r="N636" s="39"/>
      <c r="O636" s="39"/>
      <c r="P636" s="39"/>
      <c r="Q636" s="39"/>
      <c r="R636" s="39"/>
    </row>
    <row r="637" spans="1:25" s="29" customFormat="1" ht="66" customHeight="1">
      <c r="A637" s="383" t="s">
        <v>394</v>
      </c>
      <c r="B637" s="383"/>
      <c r="C637" s="383"/>
      <c r="D637" s="383"/>
      <c r="E637" s="383"/>
      <c r="F637" s="383"/>
      <c r="G637" s="383"/>
      <c r="H637" s="383"/>
      <c r="I637" s="383"/>
      <c r="J637" s="383"/>
      <c r="K637" s="383"/>
      <c r="L637" s="115"/>
      <c r="M637" s="14"/>
      <c r="N637" s="14"/>
      <c r="O637" s="14"/>
      <c r="P637" s="14"/>
      <c r="Q637" s="14"/>
      <c r="R637" s="14"/>
    </row>
    <row r="638" spans="1:25" s="29" customFormat="1" ht="40.15" customHeight="1">
      <c r="A638" s="383" t="s">
        <v>395</v>
      </c>
      <c r="B638" s="383"/>
      <c r="C638" s="383"/>
      <c r="D638" s="383"/>
      <c r="E638" s="383"/>
      <c r="F638" s="383"/>
      <c r="G638" s="383"/>
      <c r="H638" s="383"/>
      <c r="I638" s="383"/>
      <c r="J638" s="383"/>
      <c r="K638" s="383"/>
      <c r="L638" s="14"/>
      <c r="M638" s="14"/>
      <c r="N638" s="14"/>
      <c r="O638" s="14"/>
      <c r="P638" s="14"/>
      <c r="Q638" s="14"/>
      <c r="R638" s="14"/>
    </row>
    <row r="639" spans="1:25" s="29" customFormat="1" ht="40.15" customHeight="1">
      <c r="A639" s="383" t="s">
        <v>396</v>
      </c>
      <c r="B639" s="383"/>
      <c r="C639" s="383"/>
      <c r="D639" s="383"/>
      <c r="E639" s="383"/>
      <c r="F639" s="383"/>
      <c r="G639" s="383"/>
      <c r="H639" s="383"/>
      <c r="I639" s="383"/>
      <c r="J639" s="383"/>
      <c r="K639" s="383"/>
      <c r="L639" s="14"/>
      <c r="M639" s="14"/>
      <c r="N639" s="14"/>
      <c r="O639" s="14"/>
      <c r="P639" s="14"/>
      <c r="Q639" s="14"/>
      <c r="R639" s="14"/>
    </row>
    <row r="640" spans="1:25" s="29" customFormat="1" ht="40.15" customHeight="1">
      <c r="A640" s="51" t="s">
        <v>397</v>
      </c>
      <c r="B640" s="40"/>
      <c r="C640" s="40"/>
      <c r="D640" s="40"/>
      <c r="E640" s="40"/>
      <c r="F640" s="40"/>
      <c r="G640" s="40"/>
      <c r="H640" s="40"/>
      <c r="I640" s="40"/>
      <c r="J640" s="40"/>
      <c r="K640" s="40"/>
      <c r="L640" s="14"/>
      <c r="M640" s="14"/>
      <c r="N640" s="14"/>
      <c r="O640" s="14"/>
      <c r="P640" s="14"/>
      <c r="Q640" s="14"/>
      <c r="R640" s="14"/>
    </row>
    <row r="641" spans="1:18" s="29" customFormat="1" ht="62.25" customHeight="1">
      <c r="A641" s="385" t="s">
        <v>398</v>
      </c>
      <c r="B641" s="385"/>
      <c r="C641" s="385"/>
      <c r="D641" s="385"/>
      <c r="E641" s="385"/>
      <c r="F641" s="385"/>
      <c r="G641" s="385"/>
      <c r="H641" s="385"/>
      <c r="I641" s="385"/>
      <c r="J641" s="385"/>
      <c r="K641" s="385"/>
      <c r="L641" s="14"/>
      <c r="M641" s="14"/>
      <c r="N641" s="14"/>
      <c r="O641" s="14"/>
      <c r="P641" s="14"/>
      <c r="Q641" s="14"/>
      <c r="R641" s="14"/>
    </row>
    <row r="642" spans="1:18" s="29" customFormat="1" ht="40.15" customHeight="1">
      <c r="A642" s="386"/>
      <c r="B642" s="387"/>
      <c r="C642" s="387"/>
      <c r="D642" s="387"/>
      <c r="E642" s="387"/>
      <c r="F642" s="387"/>
      <c r="G642" s="387"/>
      <c r="H642" s="387"/>
      <c r="I642" s="387"/>
      <c r="J642" s="387"/>
      <c r="K642" s="387"/>
      <c r="L642" s="14"/>
      <c r="M642" s="14"/>
      <c r="N642" s="14"/>
      <c r="O642" s="14"/>
      <c r="P642" s="14"/>
      <c r="Q642" s="14"/>
      <c r="R642" s="14"/>
    </row>
    <row r="643" spans="1:18" s="29" customFormat="1" ht="40.15" customHeight="1">
      <c r="A643" s="386"/>
      <c r="B643" s="386"/>
      <c r="C643" s="386"/>
      <c r="D643" s="386"/>
      <c r="E643" s="386"/>
      <c r="F643" s="386"/>
      <c r="G643" s="386"/>
      <c r="H643" s="386"/>
      <c r="I643" s="386"/>
      <c r="J643" s="386"/>
      <c r="K643" s="40"/>
      <c r="L643" s="14"/>
      <c r="M643" s="14"/>
      <c r="N643" s="14"/>
      <c r="O643" s="14"/>
      <c r="P643" s="14"/>
      <c r="Q643" s="14"/>
      <c r="R643" s="14"/>
    </row>
    <row r="644" spans="1:18" s="29" customFormat="1" ht="40.15" customHeight="1">
      <c r="A644" s="384" t="s">
        <v>399</v>
      </c>
      <c r="B644" s="384"/>
      <c r="C644" s="384"/>
      <c r="D644" s="384"/>
      <c r="E644" s="384"/>
      <c r="F644" s="384"/>
      <c r="G644" s="384"/>
      <c r="H644" s="384"/>
      <c r="I644" s="384"/>
      <c r="J644" s="384"/>
      <c r="K644" s="384"/>
      <c r="L644" s="14"/>
      <c r="M644" s="14"/>
      <c r="N644" s="14"/>
      <c r="O644" s="14"/>
      <c r="P644" s="14"/>
      <c r="Q644" s="14"/>
      <c r="R644" s="14"/>
    </row>
    <row r="645" spans="1:18" s="29" customFormat="1" ht="40.15" customHeight="1">
      <c r="A645" s="387"/>
      <c r="B645" s="387"/>
      <c r="C645" s="387"/>
      <c r="D645" s="387"/>
      <c r="E645" s="387"/>
      <c r="F645" s="387"/>
      <c r="G645" s="387"/>
      <c r="H645" s="387"/>
      <c r="I645" s="387"/>
      <c r="J645" s="387"/>
      <c r="K645" s="34"/>
      <c r="L645" s="14"/>
      <c r="M645" s="14"/>
      <c r="N645" s="14"/>
      <c r="O645" s="14"/>
      <c r="P645" s="14"/>
      <c r="Q645" s="14"/>
      <c r="R645" s="14"/>
    </row>
    <row r="646" spans="1:18" s="29" customFormat="1" ht="40.15" customHeight="1">
      <c r="A646" s="381" t="s">
        <v>400</v>
      </c>
      <c r="B646" s="381"/>
      <c r="C646" s="381"/>
      <c r="D646" s="381"/>
      <c r="E646" s="381"/>
      <c r="F646" s="381"/>
      <c r="G646" s="381"/>
      <c r="H646" s="381"/>
      <c r="I646" s="381"/>
      <c r="J646" s="381"/>
      <c r="K646" s="381"/>
      <c r="L646" s="14"/>
      <c r="M646" s="14"/>
      <c r="N646" s="14"/>
      <c r="O646" s="14"/>
      <c r="P646" s="14"/>
      <c r="Q646" s="14"/>
      <c r="R646" s="14"/>
    </row>
    <row r="647" spans="1:18" s="29" customFormat="1" ht="40.15" customHeight="1">
      <c r="A647" s="380" t="s">
        <v>401</v>
      </c>
      <c r="B647" s="380"/>
      <c r="C647" s="380"/>
      <c r="D647" s="380"/>
      <c r="E647" s="380"/>
      <c r="F647" s="380"/>
      <c r="G647" s="380"/>
      <c r="H647" s="380"/>
      <c r="I647" s="380"/>
      <c r="J647" s="380"/>
      <c r="K647" s="380"/>
      <c r="L647" s="14"/>
      <c r="M647" s="14"/>
      <c r="N647" s="14"/>
      <c r="O647" s="14"/>
      <c r="P647" s="14"/>
      <c r="Q647" s="14"/>
      <c r="R647" s="14"/>
    </row>
    <row r="648" spans="1:18" s="29" customFormat="1" ht="40.15" customHeight="1">
      <c r="A648" s="380" t="s">
        <v>402</v>
      </c>
      <c r="B648" s="380"/>
      <c r="C648" s="380"/>
      <c r="D648" s="380"/>
      <c r="E648" s="380"/>
      <c r="F648" s="380"/>
      <c r="G648" s="380"/>
      <c r="H648" s="380"/>
      <c r="I648" s="380"/>
      <c r="J648" s="380"/>
      <c r="K648" s="380"/>
      <c r="L648" s="14"/>
      <c r="M648" s="14"/>
      <c r="N648" s="14"/>
      <c r="O648" s="14"/>
      <c r="P648" s="14"/>
      <c r="Q648" s="14"/>
      <c r="R648" s="14"/>
    </row>
    <row r="649" spans="1:18" s="29" customFormat="1" ht="204.75" customHeight="1">
      <c r="A649" s="380" t="s">
        <v>403</v>
      </c>
      <c r="B649" s="380"/>
      <c r="C649" s="380"/>
      <c r="D649" s="380"/>
      <c r="E649" s="380"/>
      <c r="F649" s="380"/>
      <c r="G649" s="380"/>
      <c r="H649" s="380"/>
      <c r="I649" s="380"/>
      <c r="J649" s="380"/>
      <c r="K649" s="380"/>
      <c r="L649" s="14"/>
      <c r="M649" s="14"/>
      <c r="N649" s="14"/>
      <c r="O649" s="14"/>
      <c r="P649" s="14"/>
      <c r="Q649" s="14"/>
      <c r="R649" s="14"/>
    </row>
    <row r="650" spans="1:18" s="29" customFormat="1" ht="117" customHeight="1">
      <c r="A650" s="381" t="s">
        <v>404</v>
      </c>
      <c r="B650" s="381"/>
      <c r="C650" s="381"/>
      <c r="D650" s="381"/>
      <c r="E650" s="381"/>
      <c r="F650" s="381"/>
      <c r="G650" s="381"/>
      <c r="H650" s="381"/>
      <c r="I650" s="381"/>
      <c r="J650" s="381"/>
      <c r="K650" s="381"/>
      <c r="L650" s="14"/>
      <c r="M650" s="14"/>
      <c r="N650" s="14"/>
      <c r="O650" s="14"/>
      <c r="P650" s="14"/>
      <c r="Q650" s="14"/>
      <c r="R650" s="14"/>
    </row>
    <row r="651" spans="1:18" ht="21">
      <c r="A651" s="13"/>
      <c r="B651" s="10"/>
      <c r="C651" s="11"/>
      <c r="D651" s="11"/>
      <c r="E651" s="10"/>
      <c r="F651" s="12"/>
      <c r="G651" s="12"/>
      <c r="H651" s="12"/>
      <c r="I651" s="3"/>
      <c r="J651" s="3"/>
      <c r="K651" s="3"/>
      <c r="L651" s="4"/>
      <c r="M651" s="4"/>
      <c r="N651" s="4"/>
      <c r="O651" s="4"/>
      <c r="P651" s="4"/>
      <c r="Q651" s="4"/>
    </row>
    <row r="652" spans="1:18" ht="24" thickBot="1">
      <c r="A652" s="14"/>
      <c r="B652" s="14"/>
      <c r="C652" s="15"/>
      <c r="D652" s="15"/>
      <c r="E652" s="15"/>
      <c r="F652" s="378"/>
      <c r="G652" s="378"/>
      <c r="H652" s="378"/>
      <c r="I652" s="378"/>
      <c r="L652" s="14"/>
      <c r="M652" s="14"/>
      <c r="N652" s="14"/>
      <c r="O652" s="14"/>
      <c r="P652" s="14"/>
      <c r="Q652" s="14"/>
      <c r="R652" s="14"/>
    </row>
    <row r="653" spans="1:18" ht="24" thickBot="1">
      <c r="D653" s="90" t="s">
        <v>405</v>
      </c>
      <c r="E653" s="2" t="s">
        <v>406</v>
      </c>
      <c r="F653" s="45"/>
      <c r="G653" s="45"/>
      <c r="H653" s="45"/>
      <c r="L653" s="14"/>
      <c r="M653" s="14"/>
      <c r="N653" s="14"/>
      <c r="O653" s="14"/>
      <c r="P653" s="14"/>
      <c r="Q653" s="14"/>
      <c r="R653" s="14"/>
    </row>
    <row r="654" spans="1:18" ht="23.25">
      <c r="D654" s="61">
        <v>1991</v>
      </c>
      <c r="E654" s="62">
        <v>51720</v>
      </c>
      <c r="F654" s="44"/>
      <c r="G654" s="44"/>
      <c r="H654" s="44"/>
      <c r="L654" s="14"/>
      <c r="M654" s="14"/>
      <c r="N654" s="14"/>
      <c r="O654" s="14"/>
      <c r="P654" s="14"/>
      <c r="Q654" s="14"/>
      <c r="R654" s="14"/>
    </row>
    <row r="655" spans="1:18" ht="23.25">
      <c r="D655" s="43">
        <v>1992</v>
      </c>
      <c r="E655" s="46">
        <v>65190</v>
      </c>
      <c r="F655" s="44"/>
      <c r="G655" s="44"/>
      <c r="H655" s="44"/>
      <c r="L655" s="14"/>
      <c r="M655" s="14"/>
      <c r="N655" s="14"/>
      <c r="O655" s="14"/>
      <c r="P655" s="14"/>
      <c r="Q655" s="14"/>
      <c r="R655" s="14"/>
    </row>
    <row r="656" spans="1:18" ht="23.25">
      <c r="D656" s="43">
        <v>1993</v>
      </c>
      <c r="E656" s="46">
        <v>81510</v>
      </c>
      <c r="F656" s="44"/>
      <c r="G656" s="44"/>
      <c r="H656" s="44"/>
      <c r="L656" s="14"/>
      <c r="M656" s="14"/>
      <c r="N656" s="14"/>
      <c r="O656" s="14"/>
      <c r="P656" s="14"/>
      <c r="Q656" s="14"/>
      <c r="R656" s="14"/>
    </row>
    <row r="657" spans="4:18" ht="23.25">
      <c r="D657" s="43">
        <v>1994</v>
      </c>
      <c r="E657" s="46">
        <v>98700</v>
      </c>
      <c r="F657" s="44"/>
      <c r="G657" s="44"/>
      <c r="H657" s="44"/>
      <c r="L657" s="14"/>
      <c r="M657" s="14"/>
      <c r="N657" s="14"/>
      <c r="O657" s="14"/>
      <c r="P657" s="14"/>
      <c r="Q657" s="14"/>
      <c r="R657" s="14"/>
    </row>
    <row r="658" spans="4:18" ht="23.25">
      <c r="D658" s="43">
        <v>1995</v>
      </c>
      <c r="E658" s="46">
        <v>118933</v>
      </c>
      <c r="F658" s="44"/>
      <c r="G658" s="44"/>
      <c r="H658" s="44"/>
      <c r="L658" s="14"/>
      <c r="M658" s="14"/>
      <c r="N658" s="14"/>
      <c r="O658" s="14"/>
      <c r="P658" s="14"/>
      <c r="Q658" s="14"/>
      <c r="R658" s="14"/>
    </row>
    <row r="659" spans="4:18" ht="23.25">
      <c r="D659" s="43">
        <v>1996</v>
      </c>
      <c r="E659" s="46">
        <v>142125</v>
      </c>
      <c r="F659" s="44"/>
      <c r="G659" s="44"/>
      <c r="H659" s="44"/>
      <c r="L659" s="14"/>
      <c r="M659" s="14"/>
      <c r="N659" s="14"/>
      <c r="O659" s="14"/>
      <c r="P659" s="14"/>
      <c r="Q659" s="14"/>
      <c r="R659" s="14"/>
    </row>
    <row r="660" spans="4:18" ht="15" customHeight="1">
      <c r="D660" s="43">
        <v>1997</v>
      </c>
      <c r="E660" s="46">
        <v>172005</v>
      </c>
      <c r="F660" s="44"/>
      <c r="G660" s="44"/>
      <c r="H660" s="44"/>
    </row>
    <row r="661" spans="4:18" ht="15" customHeight="1">
      <c r="D661" s="23">
        <v>1998</v>
      </c>
      <c r="E661" s="47">
        <v>203826</v>
      </c>
      <c r="F661" s="44"/>
      <c r="G661" s="44"/>
      <c r="H661" s="44"/>
    </row>
    <row r="662" spans="4:18" ht="15" customHeight="1">
      <c r="D662" s="23">
        <v>1999</v>
      </c>
      <c r="E662" s="47">
        <v>236460</v>
      </c>
      <c r="F662" s="44"/>
      <c r="G662" s="44"/>
      <c r="H662" s="44"/>
    </row>
    <row r="663" spans="4:18" ht="15" customHeight="1">
      <c r="D663" s="23">
        <v>2000</v>
      </c>
      <c r="E663" s="47">
        <v>260100</v>
      </c>
      <c r="F663" s="44"/>
      <c r="G663" s="44"/>
      <c r="H663" s="44"/>
    </row>
    <row r="664" spans="4:18" ht="15" customHeight="1">
      <c r="D664" s="23">
        <v>2001</v>
      </c>
      <c r="E664" s="47">
        <v>286000</v>
      </c>
      <c r="F664" s="44"/>
      <c r="G664" s="44"/>
      <c r="H664" s="44"/>
    </row>
    <row r="665" spans="4:18" ht="15" customHeight="1">
      <c r="D665" s="23">
        <v>2002</v>
      </c>
      <c r="E665" s="47">
        <v>309000</v>
      </c>
      <c r="F665" s="44"/>
      <c r="G665" s="44"/>
      <c r="H665" s="44"/>
    </row>
    <row r="666" spans="4:18" ht="15" customHeight="1">
      <c r="D666" s="23">
        <v>2003</v>
      </c>
      <c r="E666" s="47">
        <v>332000</v>
      </c>
      <c r="F666" s="44"/>
      <c r="G666" s="44"/>
      <c r="H666" s="44"/>
    </row>
    <row r="667" spans="4:18" ht="15" customHeight="1">
      <c r="D667" s="23">
        <v>2004</v>
      </c>
      <c r="E667" s="47">
        <v>358000</v>
      </c>
      <c r="F667" s="44"/>
      <c r="G667" s="44"/>
      <c r="H667" s="44"/>
    </row>
    <row r="668" spans="4:18" ht="15" customHeight="1">
      <c r="D668" s="23">
        <v>2005</v>
      </c>
      <c r="E668" s="47">
        <v>381500</v>
      </c>
      <c r="F668" s="44"/>
      <c r="G668" s="44"/>
      <c r="H668" s="44"/>
    </row>
    <row r="669" spans="4:18" ht="15" customHeight="1">
      <c r="D669" s="23">
        <v>2006</v>
      </c>
      <c r="E669" s="47">
        <v>408000</v>
      </c>
      <c r="F669" s="44"/>
      <c r="G669" s="44"/>
      <c r="H669" s="44"/>
    </row>
    <row r="670" spans="4:18" ht="15" customHeight="1">
      <c r="D670" s="23">
        <v>2007</v>
      </c>
      <c r="E670" s="47">
        <v>433700</v>
      </c>
      <c r="F670" s="44"/>
      <c r="G670" s="44"/>
      <c r="H670" s="44"/>
    </row>
    <row r="671" spans="4:18" ht="15" customHeight="1">
      <c r="D671" s="23">
        <v>2008</v>
      </c>
      <c r="E671" s="47">
        <v>461500</v>
      </c>
      <c r="F671" s="44"/>
      <c r="G671" s="44"/>
      <c r="H671" s="44"/>
    </row>
    <row r="672" spans="4:18" ht="15" customHeight="1">
      <c r="D672" s="23">
        <v>2009</v>
      </c>
      <c r="E672" s="47">
        <v>496900</v>
      </c>
      <c r="F672" s="44"/>
      <c r="G672" s="44"/>
      <c r="H672" s="44"/>
    </row>
    <row r="673" spans="4:8" ht="15" customHeight="1">
      <c r="D673" s="23">
        <v>2010</v>
      </c>
      <c r="E673" s="47">
        <v>515000</v>
      </c>
      <c r="F673" s="44"/>
      <c r="G673" s="44"/>
      <c r="H673" s="44"/>
    </row>
    <row r="674" spans="4:8" ht="15" customHeight="1">
      <c r="D674" s="23">
        <v>2011</v>
      </c>
      <c r="E674" s="47">
        <v>535600</v>
      </c>
      <c r="F674" s="44"/>
      <c r="G674" s="44"/>
      <c r="H674" s="44"/>
    </row>
    <row r="675" spans="4:8" ht="15" customHeight="1">
      <c r="D675" s="23">
        <v>2012</v>
      </c>
      <c r="E675" s="47">
        <v>566700</v>
      </c>
      <c r="F675" s="44"/>
      <c r="G675" s="44"/>
      <c r="H675" s="44"/>
    </row>
    <row r="676" spans="4:8" ht="15" customHeight="1">
      <c r="D676" s="23">
        <v>2013</v>
      </c>
      <c r="E676" s="47">
        <v>589500</v>
      </c>
      <c r="F676" s="44"/>
      <c r="G676" s="44"/>
      <c r="H676" s="44"/>
    </row>
    <row r="677" spans="4:8" ht="15" customHeight="1">
      <c r="D677" s="23">
        <v>2014</v>
      </c>
      <c r="E677" s="47">
        <v>616000</v>
      </c>
      <c r="F677" s="44"/>
      <c r="G677" s="44"/>
      <c r="H677" s="44"/>
    </row>
    <row r="678" spans="4:8" ht="15" customHeight="1">
      <c r="D678" s="23">
        <v>2015</v>
      </c>
      <c r="E678" s="47">
        <v>644350</v>
      </c>
      <c r="F678" s="44"/>
      <c r="G678" s="44"/>
      <c r="H678" s="44"/>
    </row>
    <row r="679" spans="4:8" ht="15" customHeight="1">
      <c r="D679" s="23">
        <v>2016</v>
      </c>
      <c r="E679" s="47">
        <v>689455</v>
      </c>
      <c r="F679" s="44"/>
      <c r="G679" s="44"/>
      <c r="H679" s="44"/>
    </row>
    <row r="680" spans="4:8" ht="15" customHeight="1">
      <c r="D680" s="23">
        <v>2017</v>
      </c>
      <c r="E680" s="47">
        <v>737717</v>
      </c>
      <c r="F680" s="44"/>
      <c r="G680" s="44"/>
      <c r="H680" s="44"/>
    </row>
    <row r="681" spans="4:8" ht="15" customHeight="1">
      <c r="D681" s="23">
        <v>2018</v>
      </c>
      <c r="E681" s="47">
        <v>781242</v>
      </c>
      <c r="F681" s="44"/>
      <c r="G681" s="44"/>
      <c r="H681" s="44"/>
    </row>
    <row r="682" spans="4:8" ht="15" customHeight="1">
      <c r="D682" s="23">
        <v>2019</v>
      </c>
      <c r="E682" s="47">
        <v>828116</v>
      </c>
      <c r="F682" s="44"/>
      <c r="G682" s="44"/>
      <c r="H682" s="44"/>
    </row>
    <row r="683" spans="4:8" ht="15" customHeight="1">
      <c r="D683" s="23">
        <v>2020</v>
      </c>
      <c r="E683" s="47">
        <v>877803</v>
      </c>
      <c r="F683" s="44"/>
      <c r="G683" s="44"/>
      <c r="H683" s="44"/>
    </row>
    <row r="684" spans="4:8" ht="15" customHeight="1">
      <c r="D684" s="23">
        <v>2021</v>
      </c>
      <c r="E684" s="47">
        <v>908526</v>
      </c>
      <c r="F684" s="44"/>
      <c r="G684" s="44"/>
      <c r="H684" s="44"/>
    </row>
    <row r="685" spans="4:8" ht="15" customHeight="1">
      <c r="D685" s="23">
        <v>2022</v>
      </c>
      <c r="E685" s="47">
        <v>1000000</v>
      </c>
      <c r="F685" s="44"/>
      <c r="G685" s="44"/>
      <c r="H685" s="44"/>
    </row>
    <row r="686" spans="4:8" ht="15" customHeight="1">
      <c r="D686" s="113">
        <v>2023</v>
      </c>
      <c r="E686" s="114">
        <v>1160000</v>
      </c>
      <c r="F686" s="44"/>
      <c r="G686" s="44"/>
      <c r="H686" s="44"/>
    </row>
    <row r="687" spans="4:8" ht="15" customHeight="1" thickBot="1">
      <c r="D687" s="24">
        <v>2024</v>
      </c>
      <c r="E687" s="48">
        <v>1300000</v>
      </c>
      <c r="F687" s="44"/>
      <c r="G687" s="44"/>
      <c r="H687" s="44"/>
    </row>
    <row r="688" spans="4:8" ht="15" customHeight="1"/>
  </sheetData>
  <sheetProtection algorithmName="SHA-512" hashValue="quLhR3BYMp5LSUiQNgyQSvYmm6SYH3giecETrhutAwK4/CSaoVF19uy8mTyclEjuLfVdSEsSYmA1km8ZEywCnA==" saltValue="+5MjrelSbUA0oN8F9yVVFg==" spinCount="100000" sheet="1" objects="1" scenarios="1"/>
  <mergeCells count="1145">
    <mergeCell ref="Q602:Q603"/>
    <mergeCell ref="R602:R603"/>
    <mergeCell ref="B603:C603"/>
    <mergeCell ref="K604:K608"/>
    <mergeCell ref="M604:M608"/>
    <mergeCell ref="Q604:Q609"/>
    <mergeCell ref="B605:C605"/>
    <mergeCell ref="O605:O608"/>
    <mergeCell ref="B607:C607"/>
    <mergeCell ref="A609:E609"/>
    <mergeCell ref="I609:M609"/>
    <mergeCell ref="A602:F602"/>
    <mergeCell ref="K602:L602"/>
    <mergeCell ref="M602:M603"/>
    <mergeCell ref="N602:N603"/>
    <mergeCell ref="O602:P603"/>
    <mergeCell ref="B606:C606"/>
    <mergeCell ref="A597:D597"/>
    <mergeCell ref="E597:R601"/>
    <mergeCell ref="A599:B599"/>
    <mergeCell ref="C599:D599"/>
    <mergeCell ref="A600:B600"/>
    <mergeCell ref="C600:D600"/>
    <mergeCell ref="A601:B601"/>
    <mergeCell ref="C601:D601"/>
    <mergeCell ref="Q586:Q587"/>
    <mergeCell ref="R586:R587"/>
    <mergeCell ref="B587:C587"/>
    <mergeCell ref="K588:K594"/>
    <mergeCell ref="M588:M594"/>
    <mergeCell ref="Q588:Q595"/>
    <mergeCell ref="B589:C589"/>
    <mergeCell ref="O589:O594"/>
    <mergeCell ref="B590:C590"/>
    <mergeCell ref="B592:C592"/>
    <mergeCell ref="B594:C594"/>
    <mergeCell ref="A595:E595"/>
    <mergeCell ref="I595:M595"/>
    <mergeCell ref="A586:F586"/>
    <mergeCell ref="K586:L586"/>
    <mergeCell ref="M586:M587"/>
    <mergeCell ref="N586:N587"/>
    <mergeCell ref="O586:P587"/>
    <mergeCell ref="B591:C591"/>
    <mergeCell ref="A581:D581"/>
    <mergeCell ref="E581:R585"/>
    <mergeCell ref="A583:B583"/>
    <mergeCell ref="C583:D583"/>
    <mergeCell ref="A584:B584"/>
    <mergeCell ref="C584:D584"/>
    <mergeCell ref="A585:B585"/>
    <mergeCell ref="C585:D585"/>
    <mergeCell ref="Q572:Q573"/>
    <mergeCell ref="R572:R573"/>
    <mergeCell ref="B573:C573"/>
    <mergeCell ref="K574:K578"/>
    <mergeCell ref="M574:M578"/>
    <mergeCell ref="Q574:Q579"/>
    <mergeCell ref="B575:C575"/>
    <mergeCell ref="O575:O578"/>
    <mergeCell ref="B576:C576"/>
    <mergeCell ref="B578:C578"/>
    <mergeCell ref="A579:E579"/>
    <mergeCell ref="I579:M579"/>
    <mergeCell ref="A572:F572"/>
    <mergeCell ref="K572:L572"/>
    <mergeCell ref="M572:M573"/>
    <mergeCell ref="N572:N573"/>
    <mergeCell ref="O572:P573"/>
    <mergeCell ref="A567:D567"/>
    <mergeCell ref="E567:R571"/>
    <mergeCell ref="A569:B569"/>
    <mergeCell ref="C569:D569"/>
    <mergeCell ref="A570:B570"/>
    <mergeCell ref="C570:D570"/>
    <mergeCell ref="A571:B571"/>
    <mergeCell ref="C571:D571"/>
    <mergeCell ref="Q557:Q558"/>
    <mergeCell ref="R557:R558"/>
    <mergeCell ref="B558:C558"/>
    <mergeCell ref="K559:K564"/>
    <mergeCell ref="M559:M564"/>
    <mergeCell ref="Q559:Q565"/>
    <mergeCell ref="B560:C560"/>
    <mergeCell ref="O560:O564"/>
    <mergeCell ref="B561:C561"/>
    <mergeCell ref="B563:C563"/>
    <mergeCell ref="B564:C564"/>
    <mergeCell ref="A565:E565"/>
    <mergeCell ref="I565:M565"/>
    <mergeCell ref="A557:F557"/>
    <mergeCell ref="K557:L557"/>
    <mergeCell ref="M557:M558"/>
    <mergeCell ref="N557:N558"/>
    <mergeCell ref="O557:P558"/>
    <mergeCell ref="A552:D552"/>
    <mergeCell ref="E552:R556"/>
    <mergeCell ref="A554:B554"/>
    <mergeCell ref="C554:D554"/>
    <mergeCell ref="A555:B555"/>
    <mergeCell ref="C555:D555"/>
    <mergeCell ref="A556:B556"/>
    <mergeCell ref="C556:D556"/>
    <mergeCell ref="Q544:Q545"/>
    <mergeCell ref="R544:R545"/>
    <mergeCell ref="B545:C545"/>
    <mergeCell ref="K546:K549"/>
    <mergeCell ref="M546:M549"/>
    <mergeCell ref="Q546:Q550"/>
    <mergeCell ref="O547:O549"/>
    <mergeCell ref="B548:C548"/>
    <mergeCell ref="B549:C549"/>
    <mergeCell ref="A550:E550"/>
    <mergeCell ref="I550:M550"/>
    <mergeCell ref="A544:F544"/>
    <mergeCell ref="K544:L544"/>
    <mergeCell ref="M544:M545"/>
    <mergeCell ref="N544:N545"/>
    <mergeCell ref="O544:P545"/>
    <mergeCell ref="A539:D539"/>
    <mergeCell ref="E539:R543"/>
    <mergeCell ref="A541:B541"/>
    <mergeCell ref="C541:D541"/>
    <mergeCell ref="A542:B542"/>
    <mergeCell ref="C542:D542"/>
    <mergeCell ref="A543:B543"/>
    <mergeCell ref="C543:D543"/>
    <mergeCell ref="Q532:Q533"/>
    <mergeCell ref="R532:R533"/>
    <mergeCell ref="B533:C533"/>
    <mergeCell ref="K534:K536"/>
    <mergeCell ref="M534:M536"/>
    <mergeCell ref="Q534:Q537"/>
    <mergeCell ref="B535:C535"/>
    <mergeCell ref="O535:O536"/>
    <mergeCell ref="A537:E537"/>
    <mergeCell ref="I537:M537"/>
    <mergeCell ref="A532:F532"/>
    <mergeCell ref="K532:L532"/>
    <mergeCell ref="M532:M533"/>
    <mergeCell ref="N532:N533"/>
    <mergeCell ref="O532:P533"/>
    <mergeCell ref="A536:C536"/>
    <mergeCell ref="A527:D527"/>
    <mergeCell ref="E527:R531"/>
    <mergeCell ref="A529:B529"/>
    <mergeCell ref="C529:D529"/>
    <mergeCell ref="A530:B530"/>
    <mergeCell ref="C530:D530"/>
    <mergeCell ref="A531:B531"/>
    <mergeCell ref="C531:D531"/>
    <mergeCell ref="Q521:Q522"/>
    <mergeCell ref="R521:R522"/>
    <mergeCell ref="B522:C522"/>
    <mergeCell ref="K523:K524"/>
    <mergeCell ref="M523:M524"/>
    <mergeCell ref="Q523:Q525"/>
    <mergeCell ref="B524:C524"/>
    <mergeCell ref="A525:E525"/>
    <mergeCell ref="I525:M525"/>
    <mergeCell ref="A521:F521"/>
    <mergeCell ref="K521:L521"/>
    <mergeCell ref="M521:M522"/>
    <mergeCell ref="N521:N522"/>
    <mergeCell ref="O521:P522"/>
    <mergeCell ref="A516:D516"/>
    <mergeCell ref="E516:R520"/>
    <mergeCell ref="A518:B518"/>
    <mergeCell ref="C518:D518"/>
    <mergeCell ref="A519:B519"/>
    <mergeCell ref="C519:D519"/>
    <mergeCell ref="A520:B520"/>
    <mergeCell ref="C520:D520"/>
    <mergeCell ref="Q506:Q507"/>
    <mergeCell ref="R506:R507"/>
    <mergeCell ref="B507:C507"/>
    <mergeCell ref="K508:K513"/>
    <mergeCell ref="M508:M513"/>
    <mergeCell ref="Q508:Q514"/>
    <mergeCell ref="B509:C509"/>
    <mergeCell ref="O509:O513"/>
    <mergeCell ref="B510:C510"/>
    <mergeCell ref="B512:C512"/>
    <mergeCell ref="B513:C513"/>
    <mergeCell ref="A514:E514"/>
    <mergeCell ref="I514:M514"/>
    <mergeCell ref="A506:F506"/>
    <mergeCell ref="K506:L506"/>
    <mergeCell ref="M506:M507"/>
    <mergeCell ref="N506:N507"/>
    <mergeCell ref="O506:P507"/>
    <mergeCell ref="R508:R513"/>
    <mergeCell ref="A501:D501"/>
    <mergeCell ref="E501:R505"/>
    <mergeCell ref="A503:B503"/>
    <mergeCell ref="C503:D503"/>
    <mergeCell ref="A504:B504"/>
    <mergeCell ref="C504:D504"/>
    <mergeCell ref="A505:B505"/>
    <mergeCell ref="C505:D505"/>
    <mergeCell ref="Q493:Q494"/>
    <mergeCell ref="R493:R494"/>
    <mergeCell ref="B494:C494"/>
    <mergeCell ref="K495:K498"/>
    <mergeCell ref="M495:M498"/>
    <mergeCell ref="Q495:Q499"/>
    <mergeCell ref="B496:C496"/>
    <mergeCell ref="O496:O498"/>
    <mergeCell ref="B497:C497"/>
    <mergeCell ref="B498:C498"/>
    <mergeCell ref="A499:E499"/>
    <mergeCell ref="I499:M499"/>
    <mergeCell ref="A493:F493"/>
    <mergeCell ref="K493:L493"/>
    <mergeCell ref="M493:M494"/>
    <mergeCell ref="N493:N494"/>
    <mergeCell ref="O493:P494"/>
    <mergeCell ref="A488:D488"/>
    <mergeCell ref="E488:R492"/>
    <mergeCell ref="A490:B490"/>
    <mergeCell ref="C490:D490"/>
    <mergeCell ref="A491:B491"/>
    <mergeCell ref="C491:D491"/>
    <mergeCell ref="A492:B492"/>
    <mergeCell ref="C492:D492"/>
    <mergeCell ref="Q481:Q482"/>
    <mergeCell ref="R481:R482"/>
    <mergeCell ref="B482:C482"/>
    <mergeCell ref="K483:K485"/>
    <mergeCell ref="M483:M485"/>
    <mergeCell ref="Q483:Q486"/>
    <mergeCell ref="B484:C484"/>
    <mergeCell ref="O484:O485"/>
    <mergeCell ref="B485:C485"/>
    <mergeCell ref="A486:E486"/>
    <mergeCell ref="I486:M486"/>
    <mergeCell ref="A481:F481"/>
    <mergeCell ref="K481:L481"/>
    <mergeCell ref="M481:M482"/>
    <mergeCell ref="N481:N482"/>
    <mergeCell ref="O481:P482"/>
    <mergeCell ref="A476:D476"/>
    <mergeCell ref="E476:R480"/>
    <mergeCell ref="A478:B478"/>
    <mergeCell ref="C478:D478"/>
    <mergeCell ref="A479:B479"/>
    <mergeCell ref="C479:D479"/>
    <mergeCell ref="A480:B480"/>
    <mergeCell ref="C480:D480"/>
    <mergeCell ref="Q467:Q468"/>
    <mergeCell ref="R467:R468"/>
    <mergeCell ref="B468:C468"/>
    <mergeCell ref="K469:K473"/>
    <mergeCell ref="M469:M473"/>
    <mergeCell ref="Q469:Q474"/>
    <mergeCell ref="B470:C470"/>
    <mergeCell ref="O470:O473"/>
    <mergeCell ref="B472:C472"/>
    <mergeCell ref="B473:C473"/>
    <mergeCell ref="A474:E474"/>
    <mergeCell ref="I474:M474"/>
    <mergeCell ref="A467:F467"/>
    <mergeCell ref="K467:L467"/>
    <mergeCell ref="M467:M468"/>
    <mergeCell ref="N467:N468"/>
    <mergeCell ref="O467:P468"/>
    <mergeCell ref="A462:D462"/>
    <mergeCell ref="E462:R466"/>
    <mergeCell ref="A464:B464"/>
    <mergeCell ref="C464:D464"/>
    <mergeCell ref="A465:B465"/>
    <mergeCell ref="C465:D465"/>
    <mergeCell ref="A466:B466"/>
    <mergeCell ref="C466:D466"/>
    <mergeCell ref="Q455:Q456"/>
    <mergeCell ref="R455:R456"/>
    <mergeCell ref="B456:C456"/>
    <mergeCell ref="K457:K459"/>
    <mergeCell ref="M457:M459"/>
    <mergeCell ref="Q457:Q460"/>
    <mergeCell ref="O458:O459"/>
    <mergeCell ref="B459:C459"/>
    <mergeCell ref="A460:E460"/>
    <mergeCell ref="I460:M460"/>
    <mergeCell ref="A455:F455"/>
    <mergeCell ref="K455:L455"/>
    <mergeCell ref="M455:M456"/>
    <mergeCell ref="N455:N456"/>
    <mergeCell ref="O455:P456"/>
    <mergeCell ref="R457:R459"/>
    <mergeCell ref="A450:D450"/>
    <mergeCell ref="E450:R454"/>
    <mergeCell ref="A452:B452"/>
    <mergeCell ref="C452:D452"/>
    <mergeCell ref="A453:B453"/>
    <mergeCell ref="C453:D453"/>
    <mergeCell ref="A454:B454"/>
    <mergeCell ref="C454:D454"/>
    <mergeCell ref="Q441:Q442"/>
    <mergeCell ref="R441:R442"/>
    <mergeCell ref="B442:C442"/>
    <mergeCell ref="K443:K447"/>
    <mergeCell ref="M443:M447"/>
    <mergeCell ref="Q443:Q448"/>
    <mergeCell ref="B444:C444"/>
    <mergeCell ref="O444:O447"/>
    <mergeCell ref="B446:C446"/>
    <mergeCell ref="A448:E448"/>
    <mergeCell ref="I448:M448"/>
    <mergeCell ref="A441:F441"/>
    <mergeCell ref="K441:L441"/>
    <mergeCell ref="M441:M442"/>
    <mergeCell ref="N441:N442"/>
    <mergeCell ref="O441:P442"/>
    <mergeCell ref="B445:C445"/>
    <mergeCell ref="A436:D436"/>
    <mergeCell ref="E436:R440"/>
    <mergeCell ref="A438:B438"/>
    <mergeCell ref="C438:D438"/>
    <mergeCell ref="A439:B439"/>
    <mergeCell ref="C439:D439"/>
    <mergeCell ref="A440:B440"/>
    <mergeCell ref="C440:D440"/>
    <mergeCell ref="Q430:Q431"/>
    <mergeCell ref="R430:R431"/>
    <mergeCell ref="B431:C431"/>
    <mergeCell ref="K432:K433"/>
    <mergeCell ref="M432:M433"/>
    <mergeCell ref="Q432:Q434"/>
    <mergeCell ref="B433:C433"/>
    <mergeCell ref="A434:E434"/>
    <mergeCell ref="I434:M434"/>
    <mergeCell ref="A430:F430"/>
    <mergeCell ref="K430:L430"/>
    <mergeCell ref="M430:M431"/>
    <mergeCell ref="N430:N431"/>
    <mergeCell ref="O430:P431"/>
    <mergeCell ref="A425:D425"/>
    <mergeCell ref="E425:R429"/>
    <mergeCell ref="A427:B427"/>
    <mergeCell ref="C427:D427"/>
    <mergeCell ref="A428:B428"/>
    <mergeCell ref="C428:D428"/>
    <mergeCell ref="A429:B429"/>
    <mergeCell ref="C429:D429"/>
    <mergeCell ref="Q417:Q418"/>
    <mergeCell ref="R417:R418"/>
    <mergeCell ref="B418:C418"/>
    <mergeCell ref="K419:K422"/>
    <mergeCell ref="M419:M422"/>
    <mergeCell ref="Q419:Q423"/>
    <mergeCell ref="B420:C420"/>
    <mergeCell ref="O420:O422"/>
    <mergeCell ref="B421:C421"/>
    <mergeCell ref="B422:C422"/>
    <mergeCell ref="A423:E423"/>
    <mergeCell ref="I423:M423"/>
    <mergeCell ref="A417:F417"/>
    <mergeCell ref="K417:L417"/>
    <mergeCell ref="M417:M418"/>
    <mergeCell ref="N417:N418"/>
    <mergeCell ref="O417:P418"/>
    <mergeCell ref="A412:D412"/>
    <mergeCell ref="E412:R416"/>
    <mergeCell ref="A414:B414"/>
    <mergeCell ref="C414:D414"/>
    <mergeCell ref="A415:B415"/>
    <mergeCell ref="C415:D415"/>
    <mergeCell ref="A416:B416"/>
    <mergeCell ref="C416:D416"/>
    <mergeCell ref="Q406:Q407"/>
    <mergeCell ref="R406:R407"/>
    <mergeCell ref="B407:C407"/>
    <mergeCell ref="K408:K409"/>
    <mergeCell ref="M408:M409"/>
    <mergeCell ref="Q408:Q410"/>
    <mergeCell ref="B409:C409"/>
    <mergeCell ref="A410:E410"/>
    <mergeCell ref="I410:M410"/>
    <mergeCell ref="A406:F406"/>
    <mergeCell ref="K406:L406"/>
    <mergeCell ref="M406:M407"/>
    <mergeCell ref="N406:N407"/>
    <mergeCell ref="O406:P407"/>
    <mergeCell ref="A401:D401"/>
    <mergeCell ref="E401:R405"/>
    <mergeCell ref="A403:B403"/>
    <mergeCell ref="C403:D403"/>
    <mergeCell ref="A404:B404"/>
    <mergeCell ref="C404:D404"/>
    <mergeCell ref="A405:B405"/>
    <mergeCell ref="C405:D405"/>
    <mergeCell ref="Q391:Q392"/>
    <mergeCell ref="R391:R392"/>
    <mergeCell ref="B392:C392"/>
    <mergeCell ref="K393:K398"/>
    <mergeCell ref="M393:M398"/>
    <mergeCell ref="Q393:Q399"/>
    <mergeCell ref="B394:C394"/>
    <mergeCell ref="O394:O398"/>
    <mergeCell ref="B395:C395"/>
    <mergeCell ref="B397:C397"/>
    <mergeCell ref="B398:C398"/>
    <mergeCell ref="A399:E399"/>
    <mergeCell ref="I399:M399"/>
    <mergeCell ref="A391:F391"/>
    <mergeCell ref="K391:L391"/>
    <mergeCell ref="M391:M392"/>
    <mergeCell ref="N391:N392"/>
    <mergeCell ref="O391:P392"/>
    <mergeCell ref="R393:R398"/>
    <mergeCell ref="A386:D386"/>
    <mergeCell ref="E386:R390"/>
    <mergeCell ref="A388:B388"/>
    <mergeCell ref="C388:D388"/>
    <mergeCell ref="A389:B389"/>
    <mergeCell ref="C389:D389"/>
    <mergeCell ref="A390:B390"/>
    <mergeCell ref="C390:D390"/>
    <mergeCell ref="Q377:Q378"/>
    <mergeCell ref="R377:R378"/>
    <mergeCell ref="B378:C378"/>
    <mergeCell ref="K379:K383"/>
    <mergeCell ref="M379:M383"/>
    <mergeCell ref="Q379:Q384"/>
    <mergeCell ref="B380:C380"/>
    <mergeCell ref="O380:O383"/>
    <mergeCell ref="B381:C381"/>
    <mergeCell ref="B383:C383"/>
    <mergeCell ref="A384:E384"/>
    <mergeCell ref="I384:M384"/>
    <mergeCell ref="A377:F377"/>
    <mergeCell ref="K377:L377"/>
    <mergeCell ref="M377:M378"/>
    <mergeCell ref="N377:N378"/>
    <mergeCell ref="O377:P378"/>
    <mergeCell ref="A372:D372"/>
    <mergeCell ref="E372:R376"/>
    <mergeCell ref="A374:B374"/>
    <mergeCell ref="C374:D374"/>
    <mergeCell ref="A375:B375"/>
    <mergeCell ref="C375:D375"/>
    <mergeCell ref="A376:B376"/>
    <mergeCell ref="C376:D376"/>
    <mergeCell ref="Q365:Q366"/>
    <mergeCell ref="R365:R366"/>
    <mergeCell ref="B366:C366"/>
    <mergeCell ref="K367:K369"/>
    <mergeCell ref="M367:M369"/>
    <mergeCell ref="Q367:Q370"/>
    <mergeCell ref="B368:C368"/>
    <mergeCell ref="O368:O369"/>
    <mergeCell ref="A370:E370"/>
    <mergeCell ref="I370:M370"/>
    <mergeCell ref="A365:F365"/>
    <mergeCell ref="K365:L365"/>
    <mergeCell ref="M365:M366"/>
    <mergeCell ref="N365:N366"/>
    <mergeCell ref="O365:P366"/>
    <mergeCell ref="A369:C369"/>
    <mergeCell ref="A360:D360"/>
    <mergeCell ref="E360:R364"/>
    <mergeCell ref="A362:B362"/>
    <mergeCell ref="C362:D362"/>
    <mergeCell ref="A363:B363"/>
    <mergeCell ref="C363:D363"/>
    <mergeCell ref="A364:B364"/>
    <mergeCell ref="C364:D364"/>
    <mergeCell ref="Q353:Q354"/>
    <mergeCell ref="R353:R354"/>
    <mergeCell ref="B354:C354"/>
    <mergeCell ref="K355:K357"/>
    <mergeCell ref="M355:M357"/>
    <mergeCell ref="Q355:Q358"/>
    <mergeCell ref="B356:C356"/>
    <mergeCell ref="O356:O357"/>
    <mergeCell ref="B357:C357"/>
    <mergeCell ref="A358:E358"/>
    <mergeCell ref="I358:M358"/>
    <mergeCell ref="A353:F353"/>
    <mergeCell ref="K353:L353"/>
    <mergeCell ref="M353:M354"/>
    <mergeCell ref="N353:N354"/>
    <mergeCell ref="O353:P354"/>
    <mergeCell ref="A348:D348"/>
    <mergeCell ref="E348:R352"/>
    <mergeCell ref="A350:B350"/>
    <mergeCell ref="C350:D350"/>
    <mergeCell ref="A351:B351"/>
    <mergeCell ref="C351:D351"/>
    <mergeCell ref="A352:B352"/>
    <mergeCell ref="C352:D352"/>
    <mergeCell ref="Q340:Q341"/>
    <mergeCell ref="R340:R341"/>
    <mergeCell ref="B341:C341"/>
    <mergeCell ref="K342:K345"/>
    <mergeCell ref="M342:M345"/>
    <mergeCell ref="Q342:Q346"/>
    <mergeCell ref="B343:C343"/>
    <mergeCell ref="O343:O345"/>
    <mergeCell ref="B344:C344"/>
    <mergeCell ref="A346:E346"/>
    <mergeCell ref="I346:M346"/>
    <mergeCell ref="A340:F340"/>
    <mergeCell ref="K340:L340"/>
    <mergeCell ref="M340:M341"/>
    <mergeCell ref="N340:N341"/>
    <mergeCell ref="O340:P341"/>
    <mergeCell ref="B345:C345"/>
    <mergeCell ref="A335:D335"/>
    <mergeCell ref="E335:R339"/>
    <mergeCell ref="A337:B337"/>
    <mergeCell ref="C337:D337"/>
    <mergeCell ref="A338:B338"/>
    <mergeCell ref="C338:D338"/>
    <mergeCell ref="A339:B339"/>
    <mergeCell ref="C339:D339"/>
    <mergeCell ref="Q329:Q330"/>
    <mergeCell ref="R329:R330"/>
    <mergeCell ref="B330:C330"/>
    <mergeCell ref="K331:K332"/>
    <mergeCell ref="M331:M332"/>
    <mergeCell ref="Q331:Q333"/>
    <mergeCell ref="A329:F329"/>
    <mergeCell ref="K329:L329"/>
    <mergeCell ref="M329:M330"/>
    <mergeCell ref="N329:N330"/>
    <mergeCell ref="O329:P330"/>
    <mergeCell ref="B332:C332"/>
    <mergeCell ref="A324:D324"/>
    <mergeCell ref="E324:R328"/>
    <mergeCell ref="A326:B326"/>
    <mergeCell ref="C326:D326"/>
    <mergeCell ref="A327:B327"/>
    <mergeCell ref="C327:D327"/>
    <mergeCell ref="A328:B328"/>
    <mergeCell ref="C328:D328"/>
    <mergeCell ref="Q312:Q313"/>
    <mergeCell ref="R312:R313"/>
    <mergeCell ref="B313:C313"/>
    <mergeCell ref="K314:K321"/>
    <mergeCell ref="M314:M321"/>
    <mergeCell ref="Q314:Q322"/>
    <mergeCell ref="B315:C315"/>
    <mergeCell ref="O315:O321"/>
    <mergeCell ref="B317:C317"/>
    <mergeCell ref="B319:C319"/>
    <mergeCell ref="B320:C320"/>
    <mergeCell ref="A322:E322"/>
    <mergeCell ref="I322:M322"/>
    <mergeCell ref="A312:F312"/>
    <mergeCell ref="K312:L312"/>
    <mergeCell ref="M312:M313"/>
    <mergeCell ref="N312:N313"/>
    <mergeCell ref="O312:P313"/>
    <mergeCell ref="B316:C316"/>
    <mergeCell ref="A307:D307"/>
    <mergeCell ref="E307:R311"/>
    <mergeCell ref="A309:B309"/>
    <mergeCell ref="C309:D309"/>
    <mergeCell ref="A310:B310"/>
    <mergeCell ref="C310:D310"/>
    <mergeCell ref="A311:B311"/>
    <mergeCell ref="C311:D311"/>
    <mergeCell ref="Q299:Q300"/>
    <mergeCell ref="R299:R300"/>
    <mergeCell ref="B300:C300"/>
    <mergeCell ref="K301:K304"/>
    <mergeCell ref="M301:M304"/>
    <mergeCell ref="Q301:Q305"/>
    <mergeCell ref="B302:C302"/>
    <mergeCell ref="O302:O304"/>
    <mergeCell ref="B303:C303"/>
    <mergeCell ref="A305:E305"/>
    <mergeCell ref="I305:M305"/>
    <mergeCell ref="A299:F299"/>
    <mergeCell ref="K299:L299"/>
    <mergeCell ref="M299:M300"/>
    <mergeCell ref="N299:N300"/>
    <mergeCell ref="O299:P300"/>
    <mergeCell ref="A294:D294"/>
    <mergeCell ref="E294:R298"/>
    <mergeCell ref="A296:B296"/>
    <mergeCell ref="C296:D296"/>
    <mergeCell ref="A297:B297"/>
    <mergeCell ref="C297:D297"/>
    <mergeCell ref="A298:B298"/>
    <mergeCell ref="C298:D298"/>
    <mergeCell ref="Q287:Q288"/>
    <mergeCell ref="R287:R288"/>
    <mergeCell ref="B288:C288"/>
    <mergeCell ref="K289:K291"/>
    <mergeCell ref="M289:M291"/>
    <mergeCell ref="Q289:Q292"/>
    <mergeCell ref="B290:C290"/>
    <mergeCell ref="O290:O291"/>
    <mergeCell ref="B291:C291"/>
    <mergeCell ref="A292:E292"/>
    <mergeCell ref="I292:M292"/>
    <mergeCell ref="A287:F287"/>
    <mergeCell ref="K287:L287"/>
    <mergeCell ref="M287:M288"/>
    <mergeCell ref="N287:N288"/>
    <mergeCell ref="O287:P288"/>
    <mergeCell ref="A282:D282"/>
    <mergeCell ref="E282:R286"/>
    <mergeCell ref="A284:B284"/>
    <mergeCell ref="C284:D284"/>
    <mergeCell ref="A285:B285"/>
    <mergeCell ref="C285:D285"/>
    <mergeCell ref="A286:B286"/>
    <mergeCell ref="C286:D286"/>
    <mergeCell ref="Q274:Q275"/>
    <mergeCell ref="R274:R275"/>
    <mergeCell ref="B275:C275"/>
    <mergeCell ref="K276:K279"/>
    <mergeCell ref="M276:M279"/>
    <mergeCell ref="Q276:Q280"/>
    <mergeCell ref="B277:C277"/>
    <mergeCell ref="O277:O279"/>
    <mergeCell ref="B279:C279"/>
    <mergeCell ref="A280:E280"/>
    <mergeCell ref="I280:M280"/>
    <mergeCell ref="A274:F274"/>
    <mergeCell ref="K274:L274"/>
    <mergeCell ref="M274:M275"/>
    <mergeCell ref="N274:N275"/>
    <mergeCell ref="O274:P275"/>
    <mergeCell ref="A269:D269"/>
    <mergeCell ref="E269:R273"/>
    <mergeCell ref="A271:B271"/>
    <mergeCell ref="C271:D271"/>
    <mergeCell ref="A272:B272"/>
    <mergeCell ref="C272:D272"/>
    <mergeCell ref="A273:B273"/>
    <mergeCell ref="C273:D273"/>
    <mergeCell ref="Q261:Q262"/>
    <mergeCell ref="R261:R262"/>
    <mergeCell ref="B262:C262"/>
    <mergeCell ref="K263:K266"/>
    <mergeCell ref="M263:M266"/>
    <mergeCell ref="Q263:Q267"/>
    <mergeCell ref="B264:C264"/>
    <mergeCell ref="O264:O266"/>
    <mergeCell ref="B265:C265"/>
    <mergeCell ref="A267:E267"/>
    <mergeCell ref="I267:M267"/>
    <mergeCell ref="A261:F261"/>
    <mergeCell ref="K261:L261"/>
    <mergeCell ref="M261:M262"/>
    <mergeCell ref="N261:N262"/>
    <mergeCell ref="O261:P262"/>
    <mergeCell ref="A256:D256"/>
    <mergeCell ref="E256:R260"/>
    <mergeCell ref="A258:B258"/>
    <mergeCell ref="C258:D258"/>
    <mergeCell ref="A259:B259"/>
    <mergeCell ref="C259:D259"/>
    <mergeCell ref="A260:B260"/>
    <mergeCell ref="C260:D260"/>
    <mergeCell ref="Q250:Q251"/>
    <mergeCell ref="R250:R251"/>
    <mergeCell ref="B251:C251"/>
    <mergeCell ref="K252:K253"/>
    <mergeCell ref="M252:M253"/>
    <mergeCell ref="Q252:Q254"/>
    <mergeCell ref="B253:C253"/>
    <mergeCell ref="A254:E254"/>
    <mergeCell ref="I254:M254"/>
    <mergeCell ref="A250:F250"/>
    <mergeCell ref="K250:L250"/>
    <mergeCell ref="M250:M251"/>
    <mergeCell ref="N250:N251"/>
    <mergeCell ref="O250:P251"/>
    <mergeCell ref="A245:D245"/>
    <mergeCell ref="E245:R249"/>
    <mergeCell ref="A247:B247"/>
    <mergeCell ref="C247:D247"/>
    <mergeCell ref="A248:B248"/>
    <mergeCell ref="C248:D248"/>
    <mergeCell ref="A249:B249"/>
    <mergeCell ref="C249:D249"/>
    <mergeCell ref="Q236:Q237"/>
    <mergeCell ref="R236:R237"/>
    <mergeCell ref="B237:C237"/>
    <mergeCell ref="K238:K242"/>
    <mergeCell ref="M238:M242"/>
    <mergeCell ref="Q238:Q243"/>
    <mergeCell ref="B239:C239"/>
    <mergeCell ref="O239:O242"/>
    <mergeCell ref="B241:C241"/>
    <mergeCell ref="B242:C242"/>
    <mergeCell ref="A243:E243"/>
    <mergeCell ref="I243:M243"/>
    <mergeCell ref="A236:F236"/>
    <mergeCell ref="K236:L236"/>
    <mergeCell ref="M236:M237"/>
    <mergeCell ref="N236:N237"/>
    <mergeCell ref="O236:P237"/>
    <mergeCell ref="A231:D231"/>
    <mergeCell ref="E231:R235"/>
    <mergeCell ref="A233:B233"/>
    <mergeCell ref="C233:D233"/>
    <mergeCell ref="A234:B234"/>
    <mergeCell ref="C234:D234"/>
    <mergeCell ref="A235:B235"/>
    <mergeCell ref="C235:D235"/>
    <mergeCell ref="Q219:Q220"/>
    <mergeCell ref="R219:R220"/>
    <mergeCell ref="B220:C220"/>
    <mergeCell ref="K221:K228"/>
    <mergeCell ref="M221:M228"/>
    <mergeCell ref="Q221:Q229"/>
    <mergeCell ref="B222:C222"/>
    <mergeCell ref="O222:O228"/>
    <mergeCell ref="B225:C225"/>
    <mergeCell ref="B228:C228"/>
    <mergeCell ref="A229:E229"/>
    <mergeCell ref="I229:M229"/>
    <mergeCell ref="A219:F219"/>
    <mergeCell ref="K219:L219"/>
    <mergeCell ref="M219:M220"/>
    <mergeCell ref="N219:N220"/>
    <mergeCell ref="O219:P220"/>
    <mergeCell ref="B223:C223"/>
    <mergeCell ref="B224:C224"/>
    <mergeCell ref="B226:C226"/>
    <mergeCell ref="A214:D214"/>
    <mergeCell ref="E214:R218"/>
    <mergeCell ref="A216:B216"/>
    <mergeCell ref="C216:D216"/>
    <mergeCell ref="A217:B217"/>
    <mergeCell ref="C217:D217"/>
    <mergeCell ref="A218:B218"/>
    <mergeCell ref="C218:D218"/>
    <mergeCell ref="Q205:Q206"/>
    <mergeCell ref="R205:R206"/>
    <mergeCell ref="B206:C206"/>
    <mergeCell ref="K207:K211"/>
    <mergeCell ref="M207:M211"/>
    <mergeCell ref="Q207:Q212"/>
    <mergeCell ref="B208:C208"/>
    <mergeCell ref="O208:O211"/>
    <mergeCell ref="B209:C209"/>
    <mergeCell ref="B211:C211"/>
    <mergeCell ref="A212:E212"/>
    <mergeCell ref="I212:M212"/>
    <mergeCell ref="A205:F205"/>
    <mergeCell ref="K205:L205"/>
    <mergeCell ref="M205:M206"/>
    <mergeCell ref="N205:N206"/>
    <mergeCell ref="O205:P206"/>
    <mergeCell ref="A200:D200"/>
    <mergeCell ref="E200:R204"/>
    <mergeCell ref="A202:B202"/>
    <mergeCell ref="C202:D202"/>
    <mergeCell ref="A203:B203"/>
    <mergeCell ref="C203:D203"/>
    <mergeCell ref="A204:B204"/>
    <mergeCell ref="C204:D204"/>
    <mergeCell ref="Q194:Q195"/>
    <mergeCell ref="R194:R195"/>
    <mergeCell ref="B195:C195"/>
    <mergeCell ref="K196:K197"/>
    <mergeCell ref="M196:M197"/>
    <mergeCell ref="Q196:Q198"/>
    <mergeCell ref="B197:C197"/>
    <mergeCell ref="A198:E198"/>
    <mergeCell ref="I198:M198"/>
    <mergeCell ref="A194:F194"/>
    <mergeCell ref="K194:L194"/>
    <mergeCell ref="M194:M195"/>
    <mergeCell ref="N194:N195"/>
    <mergeCell ref="O194:P195"/>
    <mergeCell ref="A189:D189"/>
    <mergeCell ref="E189:R193"/>
    <mergeCell ref="A191:B191"/>
    <mergeCell ref="C191:D191"/>
    <mergeCell ref="A192:B192"/>
    <mergeCell ref="C192:D192"/>
    <mergeCell ref="A193:B193"/>
    <mergeCell ref="C193:D193"/>
    <mergeCell ref="Q182:Q183"/>
    <mergeCell ref="R182:R183"/>
    <mergeCell ref="B183:C183"/>
    <mergeCell ref="K184:K186"/>
    <mergeCell ref="M184:M186"/>
    <mergeCell ref="Q184:Q187"/>
    <mergeCell ref="B185:C185"/>
    <mergeCell ref="O185:O186"/>
    <mergeCell ref="B186:C186"/>
    <mergeCell ref="A187:E187"/>
    <mergeCell ref="I187:M187"/>
    <mergeCell ref="A182:F182"/>
    <mergeCell ref="K182:L182"/>
    <mergeCell ref="M182:M183"/>
    <mergeCell ref="N182:N183"/>
    <mergeCell ref="O182:P183"/>
    <mergeCell ref="A177:D177"/>
    <mergeCell ref="E177:R181"/>
    <mergeCell ref="A179:B179"/>
    <mergeCell ref="C179:D179"/>
    <mergeCell ref="A180:B180"/>
    <mergeCell ref="C180:D180"/>
    <mergeCell ref="A181:B181"/>
    <mergeCell ref="C181:D181"/>
    <mergeCell ref="Q168:Q169"/>
    <mergeCell ref="R168:R169"/>
    <mergeCell ref="B169:C169"/>
    <mergeCell ref="K170:K174"/>
    <mergeCell ref="M170:M174"/>
    <mergeCell ref="Q170:Q175"/>
    <mergeCell ref="B171:C171"/>
    <mergeCell ref="O171:O174"/>
    <mergeCell ref="B173:C173"/>
    <mergeCell ref="B174:C174"/>
    <mergeCell ref="A175:E175"/>
    <mergeCell ref="I175:M175"/>
    <mergeCell ref="A168:F168"/>
    <mergeCell ref="K168:L168"/>
    <mergeCell ref="M168:M169"/>
    <mergeCell ref="N168:N169"/>
    <mergeCell ref="O168:P169"/>
    <mergeCell ref="A163:D163"/>
    <mergeCell ref="E163:R167"/>
    <mergeCell ref="A165:B165"/>
    <mergeCell ref="C165:D165"/>
    <mergeCell ref="A166:B166"/>
    <mergeCell ref="C166:D166"/>
    <mergeCell ref="A167:B167"/>
    <mergeCell ref="C167:D167"/>
    <mergeCell ref="Q154:Q155"/>
    <mergeCell ref="R154:R155"/>
    <mergeCell ref="B155:C155"/>
    <mergeCell ref="K156:K160"/>
    <mergeCell ref="M156:M160"/>
    <mergeCell ref="Q156:Q161"/>
    <mergeCell ref="B157:C157"/>
    <mergeCell ref="O157:O160"/>
    <mergeCell ref="B158:C158"/>
    <mergeCell ref="B159:C159"/>
    <mergeCell ref="B160:C160"/>
    <mergeCell ref="A161:E161"/>
    <mergeCell ref="I161:M161"/>
    <mergeCell ref="A154:F154"/>
    <mergeCell ref="K154:L154"/>
    <mergeCell ref="M154:M155"/>
    <mergeCell ref="N154:N155"/>
    <mergeCell ref="O154:P155"/>
    <mergeCell ref="A149:D149"/>
    <mergeCell ref="E149:R153"/>
    <mergeCell ref="A151:B151"/>
    <mergeCell ref="C151:D151"/>
    <mergeCell ref="A152:B152"/>
    <mergeCell ref="C152:D152"/>
    <mergeCell ref="A153:B153"/>
    <mergeCell ref="C153:D153"/>
    <mergeCell ref="Q142:Q143"/>
    <mergeCell ref="R142:R143"/>
    <mergeCell ref="B143:C143"/>
    <mergeCell ref="K144:K146"/>
    <mergeCell ref="M144:M146"/>
    <mergeCell ref="Q144:Q147"/>
    <mergeCell ref="O145:O146"/>
    <mergeCell ref="B145:C145"/>
    <mergeCell ref="A147:E147"/>
    <mergeCell ref="I147:M147"/>
    <mergeCell ref="A142:F142"/>
    <mergeCell ref="K142:L142"/>
    <mergeCell ref="M142:M143"/>
    <mergeCell ref="N142:N143"/>
    <mergeCell ref="O142:P143"/>
    <mergeCell ref="A137:D137"/>
    <mergeCell ref="E137:R141"/>
    <mergeCell ref="A139:B139"/>
    <mergeCell ref="C139:D139"/>
    <mergeCell ref="A140:B140"/>
    <mergeCell ref="C140:D140"/>
    <mergeCell ref="A141:B141"/>
    <mergeCell ref="C141:D141"/>
    <mergeCell ref="Q130:Q131"/>
    <mergeCell ref="R130:R131"/>
    <mergeCell ref="B131:C131"/>
    <mergeCell ref="K132:K134"/>
    <mergeCell ref="M132:M134"/>
    <mergeCell ref="Q132:Q135"/>
    <mergeCell ref="B133:C133"/>
    <mergeCell ref="O133:O134"/>
    <mergeCell ref="B134:C134"/>
    <mergeCell ref="A135:E135"/>
    <mergeCell ref="I135:M135"/>
    <mergeCell ref="A130:F130"/>
    <mergeCell ref="K130:L130"/>
    <mergeCell ref="M130:M131"/>
    <mergeCell ref="N130:N131"/>
    <mergeCell ref="O130:P131"/>
    <mergeCell ref="A125:D125"/>
    <mergeCell ref="E125:R129"/>
    <mergeCell ref="A127:B127"/>
    <mergeCell ref="C127:D127"/>
    <mergeCell ref="A128:B128"/>
    <mergeCell ref="C128:D128"/>
    <mergeCell ref="A129:B129"/>
    <mergeCell ref="C129:D129"/>
    <mergeCell ref="Q115:Q116"/>
    <mergeCell ref="R115:R116"/>
    <mergeCell ref="B116:C116"/>
    <mergeCell ref="K117:K122"/>
    <mergeCell ref="M117:M122"/>
    <mergeCell ref="Q117:Q123"/>
    <mergeCell ref="B118:C118"/>
    <mergeCell ref="O118:O122"/>
    <mergeCell ref="B119:C119"/>
    <mergeCell ref="B121:C121"/>
    <mergeCell ref="A123:E123"/>
    <mergeCell ref="I123:M123"/>
    <mergeCell ref="A115:F115"/>
    <mergeCell ref="K115:L115"/>
    <mergeCell ref="M115:M116"/>
    <mergeCell ref="N115:N116"/>
    <mergeCell ref="O115:P116"/>
    <mergeCell ref="A110:D110"/>
    <mergeCell ref="E110:R114"/>
    <mergeCell ref="A112:B112"/>
    <mergeCell ref="C112:D112"/>
    <mergeCell ref="A113:B113"/>
    <mergeCell ref="C113:D113"/>
    <mergeCell ref="A114:B114"/>
    <mergeCell ref="C114:D114"/>
    <mergeCell ref="Q104:Q105"/>
    <mergeCell ref="R104:R105"/>
    <mergeCell ref="B105:C105"/>
    <mergeCell ref="K106:K107"/>
    <mergeCell ref="M106:M107"/>
    <mergeCell ref="Q106:Q108"/>
    <mergeCell ref="B107:C107"/>
    <mergeCell ref="A108:E108"/>
    <mergeCell ref="I108:M108"/>
    <mergeCell ref="A104:F104"/>
    <mergeCell ref="K104:L104"/>
    <mergeCell ref="M104:M105"/>
    <mergeCell ref="N104:N105"/>
    <mergeCell ref="O104:P105"/>
    <mergeCell ref="A99:D99"/>
    <mergeCell ref="E99:R103"/>
    <mergeCell ref="A101:B101"/>
    <mergeCell ref="C101:D101"/>
    <mergeCell ref="A102:B102"/>
    <mergeCell ref="C102:D102"/>
    <mergeCell ref="A103:B103"/>
    <mergeCell ref="C103:D103"/>
    <mergeCell ref="Q91:Q92"/>
    <mergeCell ref="R91:R92"/>
    <mergeCell ref="B92:C92"/>
    <mergeCell ref="K93:K96"/>
    <mergeCell ref="M93:M96"/>
    <mergeCell ref="Q93:Q97"/>
    <mergeCell ref="B94:C94"/>
    <mergeCell ref="O94:O96"/>
    <mergeCell ref="B95:C95"/>
    <mergeCell ref="A97:E97"/>
    <mergeCell ref="I97:M97"/>
    <mergeCell ref="A91:F91"/>
    <mergeCell ref="K91:L91"/>
    <mergeCell ref="M91:M92"/>
    <mergeCell ref="N91:N92"/>
    <mergeCell ref="O91:P92"/>
    <mergeCell ref="B96:C96"/>
    <mergeCell ref="A86:D86"/>
    <mergeCell ref="E86:R90"/>
    <mergeCell ref="A88:B88"/>
    <mergeCell ref="C88:D88"/>
    <mergeCell ref="A89:B89"/>
    <mergeCell ref="C89:D89"/>
    <mergeCell ref="A90:B90"/>
    <mergeCell ref="C90:D90"/>
    <mergeCell ref="Q77:Q78"/>
    <mergeCell ref="R77:R78"/>
    <mergeCell ref="B78:C78"/>
    <mergeCell ref="K79:K83"/>
    <mergeCell ref="M79:M83"/>
    <mergeCell ref="Q79:Q84"/>
    <mergeCell ref="B80:C80"/>
    <mergeCell ref="O80:O83"/>
    <mergeCell ref="B82:C82"/>
    <mergeCell ref="B83:C83"/>
    <mergeCell ref="A84:E84"/>
    <mergeCell ref="I84:M84"/>
    <mergeCell ref="A77:F77"/>
    <mergeCell ref="K77:L77"/>
    <mergeCell ref="M77:M78"/>
    <mergeCell ref="N77:N78"/>
    <mergeCell ref="O77:P78"/>
    <mergeCell ref="A72:D72"/>
    <mergeCell ref="E72:R76"/>
    <mergeCell ref="A74:B74"/>
    <mergeCell ref="C74:D74"/>
    <mergeCell ref="A75:B75"/>
    <mergeCell ref="C75:D75"/>
    <mergeCell ref="A76:B76"/>
    <mergeCell ref="C76:D76"/>
    <mergeCell ref="Q65:Q66"/>
    <mergeCell ref="R65:R66"/>
    <mergeCell ref="B66:C66"/>
    <mergeCell ref="K67:K69"/>
    <mergeCell ref="M67:M69"/>
    <mergeCell ref="Q67:Q70"/>
    <mergeCell ref="B68:C68"/>
    <mergeCell ref="O68:O69"/>
    <mergeCell ref="B69:C69"/>
    <mergeCell ref="A70:E70"/>
    <mergeCell ref="I70:M70"/>
    <mergeCell ref="A65:F65"/>
    <mergeCell ref="K65:L65"/>
    <mergeCell ref="M65:M66"/>
    <mergeCell ref="N65:N66"/>
    <mergeCell ref="O65:P66"/>
    <mergeCell ref="A60:D60"/>
    <mergeCell ref="E60:R64"/>
    <mergeCell ref="A62:B62"/>
    <mergeCell ref="C62:D62"/>
    <mergeCell ref="A63:B63"/>
    <mergeCell ref="C63:D63"/>
    <mergeCell ref="A64:B64"/>
    <mergeCell ref="C64:D64"/>
    <mergeCell ref="Q54:Q55"/>
    <mergeCell ref="R54:R55"/>
    <mergeCell ref="B55:C55"/>
    <mergeCell ref="K56:K57"/>
    <mergeCell ref="M56:M57"/>
    <mergeCell ref="Q56:Q58"/>
    <mergeCell ref="B57:C57"/>
    <mergeCell ref="A58:E58"/>
    <mergeCell ref="I58:M58"/>
    <mergeCell ref="A54:F54"/>
    <mergeCell ref="K54:L54"/>
    <mergeCell ref="M54:M55"/>
    <mergeCell ref="N54:N55"/>
    <mergeCell ref="O54:P55"/>
    <mergeCell ref="E49:R53"/>
    <mergeCell ref="A51:B51"/>
    <mergeCell ref="C51:D51"/>
    <mergeCell ref="A52:B52"/>
    <mergeCell ref="C52:D52"/>
    <mergeCell ref="A53:B53"/>
    <mergeCell ref="C53:D53"/>
    <mergeCell ref="Q43:Q44"/>
    <mergeCell ref="R43:R44"/>
    <mergeCell ref="B44:C44"/>
    <mergeCell ref="K45:K46"/>
    <mergeCell ref="M45:M46"/>
    <mergeCell ref="Q45:Q47"/>
    <mergeCell ref="B46:C46"/>
    <mergeCell ref="A47:E47"/>
    <mergeCell ref="I47:M47"/>
    <mergeCell ref="A43:F43"/>
    <mergeCell ref="K43:L43"/>
    <mergeCell ref="M43:M44"/>
    <mergeCell ref="N43:N44"/>
    <mergeCell ref="O43:P44"/>
    <mergeCell ref="A1:R1"/>
    <mergeCell ref="A2:R2"/>
    <mergeCell ref="A3:R3"/>
    <mergeCell ref="A4:R4"/>
    <mergeCell ref="K14:K19"/>
    <mergeCell ref="A7:D7"/>
    <mergeCell ref="E7:R11"/>
    <mergeCell ref="A9:B9"/>
    <mergeCell ref="C9:D9"/>
    <mergeCell ref="A10:B10"/>
    <mergeCell ref="C10:D10"/>
    <mergeCell ref="A11:B11"/>
    <mergeCell ref="C11:D11"/>
    <mergeCell ref="B18:C18"/>
    <mergeCell ref="K12:L12"/>
    <mergeCell ref="Q12:Q13"/>
    <mergeCell ref="R12:R13"/>
    <mergeCell ref="B13:C13"/>
    <mergeCell ref="M14:M19"/>
    <mergeCell ref="O15:O19"/>
    <mergeCell ref="R15:R19"/>
    <mergeCell ref="I20:M20"/>
    <mergeCell ref="Q14:Q20"/>
    <mergeCell ref="B16:C16"/>
    <mergeCell ref="B15:C15"/>
    <mergeCell ref="M12:M13"/>
    <mergeCell ref="N12:N13"/>
    <mergeCell ref="O12:P13"/>
    <mergeCell ref="A20:E20"/>
    <mergeCell ref="B19:C19"/>
    <mergeCell ref="B628:C628"/>
    <mergeCell ref="A627:C627"/>
    <mergeCell ref="A12:F12"/>
    <mergeCell ref="N27:N28"/>
    <mergeCell ref="O27:P28"/>
    <mergeCell ref="Q27:Q28"/>
    <mergeCell ref="R27:R28"/>
    <mergeCell ref="B28:C28"/>
    <mergeCell ref="A22:D22"/>
    <mergeCell ref="E22:R26"/>
    <mergeCell ref="A24:B24"/>
    <mergeCell ref="C24:D24"/>
    <mergeCell ref="A25:B25"/>
    <mergeCell ref="C25:D25"/>
    <mergeCell ref="A26:B26"/>
    <mergeCell ref="C26:D26"/>
    <mergeCell ref="A27:F27"/>
    <mergeCell ref="A38:D38"/>
    <mergeCell ref="E38:R42"/>
    <mergeCell ref="K27:L27"/>
    <mergeCell ref="M27:M28"/>
    <mergeCell ref="K29:K35"/>
    <mergeCell ref="M29:M35"/>
    <mergeCell ref="B32:C32"/>
    <mergeCell ref="B31:C31"/>
    <mergeCell ref="Q29:Q36"/>
    <mergeCell ref="B30:C30"/>
    <mergeCell ref="O30:O35"/>
    <mergeCell ref="B33:C33"/>
    <mergeCell ref="B35:C35"/>
    <mergeCell ref="F652:I652"/>
    <mergeCell ref="A633:K633"/>
    <mergeCell ref="A647:K647"/>
    <mergeCell ref="A648:K648"/>
    <mergeCell ref="A649:K649"/>
    <mergeCell ref="A650:K650"/>
    <mergeCell ref="A635:R635"/>
    <mergeCell ref="A637:K637"/>
    <mergeCell ref="A638:K638"/>
    <mergeCell ref="A644:K644"/>
    <mergeCell ref="A646:K646"/>
    <mergeCell ref="A639:K639"/>
    <mergeCell ref="A641:K641"/>
    <mergeCell ref="A643:J643"/>
    <mergeCell ref="A645:J645"/>
    <mergeCell ref="A642:K642"/>
    <mergeCell ref="A40:B40"/>
    <mergeCell ref="C40:D40"/>
    <mergeCell ref="A41:B41"/>
    <mergeCell ref="C41:D41"/>
    <mergeCell ref="A42:B42"/>
    <mergeCell ref="C42:D42"/>
    <mergeCell ref="A36:E36"/>
    <mergeCell ref="I36:M36"/>
    <mergeCell ref="A49:D49"/>
  </mergeCells>
  <conditionalFormatting sqref="A560:A561">
    <cfRule type="containsText" dxfId="183" priority="7" operator="containsText" text="NO HABILITADO">
      <formula>NOT(ISERROR(SEARCH("NO HABILITADO",A560)))</formula>
    </cfRule>
    <cfRule type="containsText" dxfId="182" priority="8" operator="containsText" text="HABILITADO">
      <formula>NOT(ISERROR(SEARCH("HABILITADO",A560)))</formula>
    </cfRule>
    <cfRule type="containsText" dxfId="181" priority="9" operator="containsText" text="NO CUMPLE">
      <formula>NOT(ISERROR(SEARCH("NO CUMPLE",A560)))</formula>
    </cfRule>
    <cfRule type="containsText" dxfId="180" priority="10" operator="containsText" text="CUMPLE">
      <formula>NOT(ISERROR(SEARCH("CUMPLE",A560)))</formula>
    </cfRule>
  </conditionalFormatting>
  <conditionalFormatting sqref="A563:A564">
    <cfRule type="containsText" dxfId="179" priority="11" operator="containsText" text="NO HABILITADO">
      <formula>NOT(ISERROR(SEARCH("NO HABILITADO",A563)))</formula>
    </cfRule>
    <cfRule type="containsText" dxfId="178" priority="12" operator="containsText" text="HABILITADO">
      <formula>NOT(ISERROR(SEARCH("HABILITADO",A563)))</formula>
    </cfRule>
    <cfRule type="containsText" dxfId="177" priority="13" operator="containsText" text="NO CUMPLE">
      <formula>NOT(ISERROR(SEARCH("NO CUMPLE",A563)))</formula>
    </cfRule>
    <cfRule type="containsText" dxfId="176" priority="14" operator="containsText" text="CUMPLE">
      <formula>NOT(ISERROR(SEARCH("CUMPLE",A563)))</formula>
    </cfRule>
  </conditionalFormatting>
  <conditionalFormatting sqref="A575:A576">
    <cfRule type="containsText" dxfId="175" priority="18" operator="containsText" text="CUMPLE">
      <formula>NOT(ISERROR(SEARCH("CUMPLE",A575)))</formula>
    </cfRule>
    <cfRule type="containsText" dxfId="174" priority="17" operator="containsText" text="NO CUMPLE">
      <formula>NOT(ISERROR(SEARCH("NO CUMPLE",A575)))</formula>
    </cfRule>
    <cfRule type="containsText" dxfId="173" priority="15" operator="containsText" text="NO HABILITADO">
      <formula>NOT(ISERROR(SEARCH("NO HABILITADO",A575)))</formula>
    </cfRule>
    <cfRule type="containsText" dxfId="172" priority="16" operator="containsText" text="HABILITADO">
      <formula>NOT(ISERROR(SEARCH("HABILITADO",A575)))</formula>
    </cfRule>
  </conditionalFormatting>
  <conditionalFormatting sqref="A578">
    <cfRule type="containsText" dxfId="171" priority="22" operator="containsText" text="CUMPLE">
      <formula>NOT(ISERROR(SEARCH("CUMPLE",A578)))</formula>
    </cfRule>
    <cfRule type="containsText" dxfId="170" priority="19" operator="containsText" text="NO HABILITADO">
      <formula>NOT(ISERROR(SEARCH("NO HABILITADO",A578)))</formula>
    </cfRule>
    <cfRule type="containsText" dxfId="169" priority="20" operator="containsText" text="HABILITADO">
      <formula>NOT(ISERROR(SEARCH("HABILITADO",A578)))</formula>
    </cfRule>
    <cfRule type="containsText" dxfId="168" priority="21" operator="containsText" text="NO CUMPLE">
      <formula>NOT(ISERROR(SEARCH("NO CUMPLE",A578)))</formula>
    </cfRule>
  </conditionalFormatting>
  <conditionalFormatting sqref="A589:A592">
    <cfRule type="containsText" dxfId="167" priority="25" operator="containsText" text="NO CUMPLE">
      <formula>NOT(ISERROR(SEARCH("NO CUMPLE",A589)))</formula>
    </cfRule>
    <cfRule type="containsText" dxfId="166" priority="26" operator="containsText" text="CUMPLE">
      <formula>NOT(ISERROR(SEARCH("CUMPLE",A589)))</formula>
    </cfRule>
    <cfRule type="containsText" dxfId="165" priority="23" operator="containsText" text="NO HABILITADO">
      <formula>NOT(ISERROR(SEARCH("NO HABILITADO",A589)))</formula>
    </cfRule>
    <cfRule type="containsText" dxfId="164" priority="24" operator="containsText" text="HABILITADO">
      <formula>NOT(ISERROR(SEARCH("HABILITADO",A589)))</formula>
    </cfRule>
  </conditionalFormatting>
  <conditionalFormatting sqref="A1:XFD14 R15:XFD15 A15:P19 S16:XFD19 A20:I20 N20:O20 R20:XFD20 A21:XFD68 A69:R69 T69:XFD69 A70:XFD92 A93:L93 N93:XFD96 F94:H94 J94:L94 F95:L96 A97:XFD106 D107:XFD107 A108:XFD117 D118:XFD119 A120:XFD120 D121:XFD121 A122:XFD132 A133 J133:Q134 S133:XFD134 A135:XFD144 D145:XFD145 A146:XFD156 F157:F158 H157:H158 J157:XFD160 F159:H160 A161:XFD170 A171 D171:XFD171 A172:R172 S172:XFD174 D173:H173 J173:Q173 D174:Q174 A175:XFD184 D185:H186 J185:XFD186 A187:XFD196 D197:H197 J197:XFD197 A198:XFD264 F265:XFD265 A266:XFD315 A316:B316 D316:XFD316 A317:XFD331 A332:B332 D332:J332 L332 N332:P332 R332:XFD333 A333:P333 A334:XFD343 A344:M344 D344:E345 N344:XFD345 A345:B345 D345:M345 A346:XFD367 D368:XFD369 A369 A370:XFD393 A394:Q398 S394:XFD398 A399:XFD419 A420:F420 H420:XFD420 A421:XFD421 A422:F422 H422:XFD422 A423:XFD457 A458:Q459 S458:XFD459 A460:XFD495 A496:A498 D496:XFD498 A499:XFD508 A509:Q513 S509:XFD513 A514:XFD535 A536 D536:XFD536 A537:XFD559 F560:F561 H560:H561 J560:XFD561 A562:XFD562 D563:D564 F563:F564 H563:H564 J563:XFD564 A565:XFD574 D575:D576 F575:F576 H575:H576 J575:XFD576 A577:XFD577 D578 F578 H578 J578:Q578 S578:AA578 AC578:XFD580 A579:AA580 A581:XFD588 J589:XFD589 D589:D592 F589:F592 H589:H592 J590:K592 L590:XFD594 A593:K594 A595:XFD1048576">
    <cfRule type="containsText" dxfId="163" priority="134" operator="containsText" text="CUMPLE">
      <formula>NOT(ISERROR(SEARCH("CUMPLE",A1)))</formula>
    </cfRule>
  </conditionalFormatting>
  <conditionalFormatting sqref="A1:XFD15 A16:Q19 S16:XFD19 A20:XFD68 A69:R69 T69:XFD69 A70:XFD92 A93:L93 N93:XFD96 F94:H94 J94:L94 F95:L96 A97:XFD106 D107:XFD107 A108:XFD117 D118:XFD119 A120:XFD120 D121:XFD121 A122:XFD132 A133 J133:Q134 S133:XFD134 A135:XFD144 D145:XFD145 A146:XFD156 F157:F158 H157:H158 J157:XFD160 F159:H160 A161:XFD170 A171 D171:XFD171 A172:R172 S172:XFD174 D173:H173 J173:Q173 D174:Q174 A175:XFD184 D185:H186 J185:XFD186 A187:XFD196 D197:H197 J197:XFD197 A198:XFD264 F265:XFD265 A266:XFD315 A316:B316 D316:XFD316 A317:XFD331 A332:B332 D332:J332 L332 N332:P332 R332:XFD333 A333:P333 A334:XFD343 A344:M344 D344:E345 N344:XFD345 A345:B345 D345:M345 A346:XFD367 D368:XFD369 A369 A370:XFD393 A394:Q398 S394:XFD398 A399:XFD419 A420:F420 H420:XFD420 A421:XFD421 A422:F422 H422:XFD422 A423:XFD457 A458:Q459 S458:XFD459 A460:XFD495 A496:A498 D496:XFD498 A499:XFD508 A509:Q513 S509:XFD513 A514:XFD535 A536 D536:XFD536 A537:XFD559 F560:F561 H560:H561 J560:XFD561 A562:XFD562 D563:D564 F563:F564 H563:H564 J563:XFD564 A565:XFD574 D575:D576 F575:F576 H575:H576 J575:XFD576 A577:XFD577 D578 F578 H578 J578:Q578 S578:AA578 AC578:XFD580 A579:AA580 A581:XFD588 J589:XFD589 D589:D592 F589:F592 H589:H592 J590:K592 L590:XFD594 A593:K594 A595:XFD1048576">
    <cfRule type="containsText" dxfId="162" priority="133" operator="containsText" text="NO CUMPLE">
      <formula>NOT(ISERROR(SEARCH("NO CUMPLE",A1)))</formula>
    </cfRule>
    <cfRule type="containsText" dxfId="161" priority="132" operator="containsText" text="HABILITADO">
      <formula>NOT(ISERROR(SEARCH("HABILITADO",A1)))</formula>
    </cfRule>
  </conditionalFormatting>
  <conditionalFormatting sqref="A20:XFD68 A70:XFD92 A97:XFD106 A108:XFD117 A122:XFD132 A135:XFD144 A146:XFD156 A161:XFD170 A175:XFD184 A187:XFD196 A198:XFD264 A266:XFD315 A317:XFD331 R332:XFD333 A346:XFD367 A370:XFD393 A399:XFD419 A423:XFD457 A460:XFD495 A499:XFD508 A514:XFD535 A537:XFD559 A565:XFD574 A579:AA580 A595:XFD1048576 A1:XFD15 A16:Q19 S16:XFD19 A69:R69 T69:XFD69 A93:L93 N93:XFD96 F94:H94 J94:L94 F95:L96 D107:XFD107 D118:XFD119 A120:XFD120 D121:XFD121 A133 J133:Q134 S133:XFD134 D145:XFD145 F157:F158 H157:H158 J157:XFD160 F159:H160 A171 D171:XFD171 A172:R172 S172:XFD174 D173:H173 J173:Q173 D174:Q174 D185:H186 J185:XFD186 D197:H197 J197:XFD197 F265:XFD265 A316:B316 D316:XFD316 A332:B332 D332:J332 L332 N332:P332 A333:P333 A334:XFD343 A344:M344 D344:E345 N344:XFD345 A345:B345 D345:M345 D368:XFD369 A369 A394:Q398 S394:XFD398 A420:F420 H420:XFD420 A421:XFD421 A422:F422 H422:XFD422 A458:Q459 S458:XFD459 A496:A498 D496:XFD498 A509:Q513 S509:XFD513 A536 D536:XFD536 F560:F561 H560:H561 J560:XFD561 A562:XFD562 D563:D564 F563:F564 H563:H564 J563:XFD564 D575:D576 F575:F576 H575:H576 J575:XFD576 A577:XFD577 D578 F578 H578 J578:Q578 S578:AA578 AC578:XFD580 A581:XFD588 J589:XFD589 D589:D592 F589:F592 H589:H592 J590:K592 L590:XFD594 A593:K594">
    <cfRule type="containsText" dxfId="160" priority="131" operator="containsText" text="NO HABILITADO">
      <formula>NOT(ISERROR(SEARCH("NO HABILITADO",A1)))</formula>
    </cfRule>
  </conditionalFormatting>
  <conditionalFormatting sqref="D94:D96">
    <cfRule type="containsText" dxfId="159" priority="33" operator="containsText" text="NO CUMPLE">
      <formula>NOT(ISERROR(SEARCH("NO CUMPLE",D94)))</formula>
    </cfRule>
    <cfRule type="containsText" dxfId="158" priority="31" operator="containsText" text="NO HABILITADO">
      <formula>NOT(ISERROR(SEARCH("NO HABILITADO",D94)))</formula>
    </cfRule>
    <cfRule type="containsText" dxfId="157" priority="32" operator="containsText" text="HABILITADO">
      <formula>NOT(ISERROR(SEARCH("HABILITADO",D94)))</formula>
    </cfRule>
    <cfRule type="containsText" dxfId="156" priority="34" operator="containsText" text="CUMPLE">
      <formula>NOT(ISERROR(SEARCH("CUMPLE",D94)))</formula>
    </cfRule>
  </conditionalFormatting>
  <conditionalFormatting sqref="D560:D561">
    <cfRule type="containsText" dxfId="155" priority="27" operator="containsText" text="NO HABILITADO">
      <formula>NOT(ISERROR(SEARCH("NO HABILITADO",D560)))</formula>
    </cfRule>
    <cfRule type="containsText" dxfId="154" priority="28" operator="containsText" text="HABILITADO">
      <formula>NOT(ISERROR(SEARCH("HABILITADO",D560)))</formula>
    </cfRule>
    <cfRule type="containsText" dxfId="153" priority="29" operator="containsText" text="NO CUMPLE">
      <formula>NOT(ISERROR(SEARCH("NO CUMPLE",D560)))</formula>
    </cfRule>
    <cfRule type="containsText" dxfId="152" priority="30" operator="containsText" text="CUMPLE">
      <formula>NOT(ISERROR(SEARCH("CUMPLE",D560)))</formula>
    </cfRule>
  </conditionalFormatting>
  <conditionalFormatting sqref="R20">
    <cfRule type="containsText" dxfId="151" priority="286" operator="containsText" text="CUMPLE">
      <formula>NOT(ISERROR(SEARCH("CUMPLE",R20)))</formula>
    </cfRule>
    <cfRule type="containsText" dxfId="150" priority="285" operator="containsText" text="NO CUMPLE">
      <formula>NOT(ISERROR(SEARCH("NO CUMPLE",R20)))</formula>
    </cfRule>
  </conditionalFormatting>
  <conditionalFormatting sqref="R36">
    <cfRule type="containsText" dxfId="149" priority="130" operator="containsText" text="CUMPLE">
      <formula>NOT(ISERROR(SEARCH("CUMPLE",R36)))</formula>
    </cfRule>
    <cfRule type="containsText" dxfId="148" priority="129" operator="containsText" text="NO CUMPLE">
      <formula>NOT(ISERROR(SEARCH("NO CUMPLE",R36)))</formula>
    </cfRule>
  </conditionalFormatting>
  <conditionalFormatting sqref="R47">
    <cfRule type="containsText" dxfId="147" priority="128" operator="containsText" text="CUMPLE">
      <formula>NOT(ISERROR(SEARCH("CUMPLE",R47)))</formula>
    </cfRule>
    <cfRule type="containsText" dxfId="146" priority="127" operator="containsText" text="NO CUMPLE">
      <formula>NOT(ISERROR(SEARCH("NO CUMPLE",R47)))</formula>
    </cfRule>
  </conditionalFormatting>
  <conditionalFormatting sqref="R58">
    <cfRule type="containsText" dxfId="145" priority="126" operator="containsText" text="CUMPLE">
      <formula>NOT(ISERROR(SEARCH("CUMPLE",R58)))</formula>
    </cfRule>
    <cfRule type="containsText" dxfId="144" priority="125" operator="containsText" text="NO CUMPLE">
      <formula>NOT(ISERROR(SEARCH("NO CUMPLE",R58)))</formula>
    </cfRule>
  </conditionalFormatting>
  <conditionalFormatting sqref="R70">
    <cfRule type="containsText" dxfId="143" priority="3" operator="containsText" text="NO CUMPLE">
      <formula>NOT(ISERROR(SEARCH("NO CUMPLE",R70)))</formula>
    </cfRule>
    <cfRule type="containsText" dxfId="142" priority="4" operator="containsText" text="CUMPLE">
      <formula>NOT(ISERROR(SEARCH("CUMPLE",R70)))</formula>
    </cfRule>
    <cfRule type="containsText" dxfId="141" priority="124" operator="containsText" text="CUMPLE">
      <formula>NOT(ISERROR(SEARCH("CUMPLE",R70)))</formula>
    </cfRule>
    <cfRule type="containsText" dxfId="140" priority="123" operator="containsText" text="NO CUMPLE">
      <formula>NOT(ISERROR(SEARCH("NO CUMPLE",R70)))</formula>
    </cfRule>
  </conditionalFormatting>
  <conditionalFormatting sqref="R84">
    <cfRule type="containsText" dxfId="139" priority="122" operator="containsText" text="CUMPLE">
      <formula>NOT(ISERROR(SEARCH("CUMPLE",R84)))</formula>
    </cfRule>
    <cfRule type="containsText" dxfId="138" priority="121" operator="containsText" text="NO CUMPLE">
      <formula>NOT(ISERROR(SEARCH("NO CUMPLE",R84)))</formula>
    </cfRule>
  </conditionalFormatting>
  <conditionalFormatting sqref="R97">
    <cfRule type="containsText" dxfId="137" priority="119" operator="containsText" text="NO CUMPLE">
      <formula>NOT(ISERROR(SEARCH("NO CUMPLE",R97)))</formula>
    </cfRule>
    <cfRule type="containsText" dxfId="136" priority="120" operator="containsText" text="CUMPLE">
      <formula>NOT(ISERROR(SEARCH("CUMPLE",R97)))</formula>
    </cfRule>
  </conditionalFormatting>
  <conditionalFormatting sqref="R108">
    <cfRule type="containsText" dxfId="135" priority="118" operator="containsText" text="CUMPLE">
      <formula>NOT(ISERROR(SEARCH("CUMPLE",R108)))</formula>
    </cfRule>
    <cfRule type="containsText" dxfId="134" priority="117" operator="containsText" text="NO CUMPLE">
      <formula>NOT(ISERROR(SEARCH("NO CUMPLE",R108)))</formula>
    </cfRule>
  </conditionalFormatting>
  <conditionalFormatting sqref="R123">
    <cfRule type="containsText" dxfId="133" priority="116" operator="containsText" text="CUMPLE">
      <formula>NOT(ISERROR(SEARCH("CUMPLE",R123)))</formula>
    </cfRule>
    <cfRule type="containsText" dxfId="132" priority="115" operator="containsText" text="NO CUMPLE">
      <formula>NOT(ISERROR(SEARCH("NO CUMPLE",R123)))</formula>
    </cfRule>
  </conditionalFormatting>
  <conditionalFormatting sqref="R135">
    <cfRule type="containsText" dxfId="131" priority="113" operator="containsText" text="NO CUMPLE">
      <formula>NOT(ISERROR(SEARCH("NO CUMPLE",R135)))</formula>
    </cfRule>
    <cfRule type="containsText" dxfId="130" priority="114" operator="containsText" text="CUMPLE">
      <formula>NOT(ISERROR(SEARCH("CUMPLE",R135)))</formula>
    </cfRule>
  </conditionalFormatting>
  <conditionalFormatting sqref="R147">
    <cfRule type="containsText" dxfId="129" priority="112" operator="containsText" text="CUMPLE">
      <formula>NOT(ISERROR(SEARCH("CUMPLE",R147)))</formula>
    </cfRule>
    <cfRule type="containsText" dxfId="128" priority="111" operator="containsText" text="NO CUMPLE">
      <formula>NOT(ISERROR(SEARCH("NO CUMPLE",R147)))</formula>
    </cfRule>
  </conditionalFormatting>
  <conditionalFormatting sqref="R161">
    <cfRule type="containsText" dxfId="127" priority="110" operator="containsText" text="CUMPLE">
      <formula>NOT(ISERROR(SEARCH("CUMPLE",R161)))</formula>
    </cfRule>
    <cfRule type="containsText" dxfId="126" priority="109" operator="containsText" text="NO CUMPLE">
      <formula>NOT(ISERROR(SEARCH("NO CUMPLE",R161)))</formula>
    </cfRule>
  </conditionalFormatting>
  <conditionalFormatting sqref="R175">
    <cfRule type="containsText" dxfId="125" priority="5" operator="containsText" text="NO CUMPLE">
      <formula>NOT(ISERROR(SEARCH("NO CUMPLE",R175)))</formula>
    </cfRule>
    <cfRule type="containsText" dxfId="124" priority="6" operator="containsText" text="CUMPLE">
      <formula>NOT(ISERROR(SEARCH("CUMPLE",R175)))</formula>
    </cfRule>
    <cfRule type="containsText" dxfId="123" priority="108" operator="containsText" text="CUMPLE">
      <formula>NOT(ISERROR(SEARCH("CUMPLE",R175)))</formula>
    </cfRule>
    <cfRule type="containsText" dxfId="122" priority="107" operator="containsText" text="NO CUMPLE">
      <formula>NOT(ISERROR(SEARCH("NO CUMPLE",R175)))</formula>
    </cfRule>
  </conditionalFormatting>
  <conditionalFormatting sqref="R187">
    <cfRule type="containsText" dxfId="121" priority="106" operator="containsText" text="CUMPLE">
      <formula>NOT(ISERROR(SEARCH("CUMPLE",R187)))</formula>
    </cfRule>
    <cfRule type="containsText" dxfId="120" priority="105" operator="containsText" text="NO CUMPLE">
      <formula>NOT(ISERROR(SEARCH("NO CUMPLE",R187)))</formula>
    </cfRule>
  </conditionalFormatting>
  <conditionalFormatting sqref="R198">
    <cfRule type="containsText" dxfId="119" priority="104" operator="containsText" text="CUMPLE">
      <formula>NOT(ISERROR(SEARCH("CUMPLE",R198)))</formula>
    </cfRule>
    <cfRule type="containsText" dxfId="118" priority="103" operator="containsText" text="NO CUMPLE">
      <formula>NOT(ISERROR(SEARCH("NO CUMPLE",R198)))</formula>
    </cfRule>
  </conditionalFormatting>
  <conditionalFormatting sqref="R212">
    <cfRule type="containsText" dxfId="117" priority="102" operator="containsText" text="CUMPLE">
      <formula>NOT(ISERROR(SEARCH("CUMPLE",R212)))</formula>
    </cfRule>
    <cfRule type="containsText" dxfId="116" priority="101" operator="containsText" text="NO CUMPLE">
      <formula>NOT(ISERROR(SEARCH("NO CUMPLE",R212)))</formula>
    </cfRule>
  </conditionalFormatting>
  <conditionalFormatting sqref="R229">
    <cfRule type="containsText" dxfId="115" priority="100" operator="containsText" text="CUMPLE">
      <formula>NOT(ISERROR(SEARCH("CUMPLE",R229)))</formula>
    </cfRule>
    <cfRule type="containsText" dxfId="114" priority="99" operator="containsText" text="NO CUMPLE">
      <formula>NOT(ISERROR(SEARCH("NO CUMPLE",R229)))</formula>
    </cfRule>
  </conditionalFormatting>
  <conditionalFormatting sqref="R243">
    <cfRule type="containsText" dxfId="113" priority="98" operator="containsText" text="CUMPLE">
      <formula>NOT(ISERROR(SEARCH("CUMPLE",R243)))</formula>
    </cfRule>
    <cfRule type="containsText" dxfId="112" priority="97" operator="containsText" text="NO CUMPLE">
      <formula>NOT(ISERROR(SEARCH("NO CUMPLE",R243)))</formula>
    </cfRule>
  </conditionalFormatting>
  <conditionalFormatting sqref="R254">
    <cfRule type="containsText" dxfId="111" priority="95" operator="containsText" text="NO CUMPLE">
      <formula>NOT(ISERROR(SEARCH("NO CUMPLE",R254)))</formula>
    </cfRule>
    <cfRule type="containsText" dxfId="110" priority="96" operator="containsText" text="CUMPLE">
      <formula>NOT(ISERROR(SEARCH("CUMPLE",R254)))</formula>
    </cfRule>
  </conditionalFormatting>
  <conditionalFormatting sqref="R267">
    <cfRule type="containsText" dxfId="109" priority="94" operator="containsText" text="CUMPLE">
      <formula>NOT(ISERROR(SEARCH("CUMPLE",R267)))</formula>
    </cfRule>
    <cfRule type="containsText" dxfId="108" priority="93" operator="containsText" text="NO CUMPLE">
      <formula>NOT(ISERROR(SEARCH("NO CUMPLE",R267)))</formula>
    </cfRule>
  </conditionalFormatting>
  <conditionalFormatting sqref="R280">
    <cfRule type="containsText" dxfId="107" priority="92" operator="containsText" text="CUMPLE">
      <formula>NOT(ISERROR(SEARCH("CUMPLE",R280)))</formula>
    </cfRule>
    <cfRule type="containsText" dxfId="106" priority="91" operator="containsText" text="NO CUMPLE">
      <formula>NOT(ISERROR(SEARCH("NO CUMPLE",R280)))</formula>
    </cfRule>
  </conditionalFormatting>
  <conditionalFormatting sqref="R292">
    <cfRule type="containsText" dxfId="105" priority="90" operator="containsText" text="CUMPLE">
      <formula>NOT(ISERROR(SEARCH("CUMPLE",R292)))</formula>
    </cfRule>
    <cfRule type="containsText" dxfId="104" priority="89" operator="containsText" text="NO CUMPLE">
      <formula>NOT(ISERROR(SEARCH("NO CUMPLE",R292)))</formula>
    </cfRule>
  </conditionalFormatting>
  <conditionalFormatting sqref="R305">
    <cfRule type="containsText" dxfId="103" priority="88" operator="containsText" text="CUMPLE">
      <formula>NOT(ISERROR(SEARCH("CUMPLE",R305)))</formula>
    </cfRule>
    <cfRule type="containsText" dxfId="102" priority="87" operator="containsText" text="NO CUMPLE">
      <formula>NOT(ISERROR(SEARCH("NO CUMPLE",R305)))</formula>
    </cfRule>
  </conditionalFormatting>
  <conditionalFormatting sqref="R322">
    <cfRule type="containsText" dxfId="101" priority="86" operator="containsText" text="CUMPLE">
      <formula>NOT(ISERROR(SEARCH("CUMPLE",R322)))</formula>
    </cfRule>
    <cfRule type="containsText" dxfId="100" priority="85" operator="containsText" text="NO CUMPLE">
      <formula>NOT(ISERROR(SEARCH("NO CUMPLE",R322)))</formula>
    </cfRule>
  </conditionalFormatting>
  <conditionalFormatting sqref="R333">
    <cfRule type="containsText" dxfId="99" priority="83" operator="containsText" text="NO CUMPLE">
      <formula>NOT(ISERROR(SEARCH("NO CUMPLE",R333)))</formula>
    </cfRule>
    <cfRule type="containsText" dxfId="98" priority="84" operator="containsText" text="CUMPLE">
      <formula>NOT(ISERROR(SEARCH("CUMPLE",R333)))</formula>
    </cfRule>
  </conditionalFormatting>
  <conditionalFormatting sqref="R346">
    <cfRule type="containsText" dxfId="97" priority="81" operator="containsText" text="NO CUMPLE">
      <formula>NOT(ISERROR(SEARCH("NO CUMPLE",R346)))</formula>
    </cfRule>
    <cfRule type="containsText" dxfId="96" priority="82" operator="containsText" text="CUMPLE">
      <formula>NOT(ISERROR(SEARCH("CUMPLE",R346)))</formula>
    </cfRule>
  </conditionalFormatting>
  <conditionalFormatting sqref="R358">
    <cfRule type="containsText" dxfId="95" priority="79" operator="containsText" text="NO CUMPLE">
      <formula>NOT(ISERROR(SEARCH("NO CUMPLE",R358)))</formula>
    </cfRule>
    <cfRule type="containsText" dxfId="94" priority="80" operator="containsText" text="CUMPLE">
      <formula>NOT(ISERROR(SEARCH("CUMPLE",R358)))</formula>
    </cfRule>
  </conditionalFormatting>
  <conditionalFormatting sqref="R370">
    <cfRule type="containsText" dxfId="93" priority="77" operator="containsText" text="NO CUMPLE">
      <formula>NOT(ISERROR(SEARCH("NO CUMPLE",R370)))</formula>
    </cfRule>
    <cfRule type="containsText" dxfId="92" priority="78" operator="containsText" text="CUMPLE">
      <formula>NOT(ISERROR(SEARCH("CUMPLE",R370)))</formula>
    </cfRule>
  </conditionalFormatting>
  <conditionalFormatting sqref="R384">
    <cfRule type="containsText" dxfId="91" priority="75" operator="containsText" text="NO CUMPLE">
      <formula>NOT(ISERROR(SEARCH("NO CUMPLE",R384)))</formula>
    </cfRule>
    <cfRule type="containsText" dxfId="90" priority="76" operator="containsText" text="CUMPLE">
      <formula>NOT(ISERROR(SEARCH("CUMPLE",R384)))</formula>
    </cfRule>
  </conditionalFormatting>
  <conditionalFormatting sqref="R399">
    <cfRule type="containsText" dxfId="89" priority="73" operator="containsText" text="NO CUMPLE">
      <formula>NOT(ISERROR(SEARCH("NO CUMPLE",R399)))</formula>
    </cfRule>
    <cfRule type="containsText" dxfId="88" priority="74" operator="containsText" text="CUMPLE">
      <formula>NOT(ISERROR(SEARCH("CUMPLE",R399)))</formula>
    </cfRule>
  </conditionalFormatting>
  <conditionalFormatting sqref="R410">
    <cfRule type="containsText" dxfId="87" priority="72" operator="containsText" text="CUMPLE">
      <formula>NOT(ISERROR(SEARCH("CUMPLE",R410)))</formula>
    </cfRule>
    <cfRule type="containsText" dxfId="86" priority="71" operator="containsText" text="NO CUMPLE">
      <formula>NOT(ISERROR(SEARCH("NO CUMPLE",R410)))</formula>
    </cfRule>
  </conditionalFormatting>
  <conditionalFormatting sqref="R423">
    <cfRule type="containsText" dxfId="85" priority="69" operator="containsText" text="NO CUMPLE">
      <formula>NOT(ISERROR(SEARCH("NO CUMPLE",R423)))</formula>
    </cfRule>
    <cfRule type="containsText" dxfId="84" priority="70" operator="containsText" text="CUMPLE">
      <formula>NOT(ISERROR(SEARCH("CUMPLE",R423)))</formula>
    </cfRule>
  </conditionalFormatting>
  <conditionalFormatting sqref="R434">
    <cfRule type="containsText" dxfId="83" priority="67" operator="containsText" text="NO CUMPLE">
      <formula>NOT(ISERROR(SEARCH("NO CUMPLE",R434)))</formula>
    </cfRule>
    <cfRule type="containsText" dxfId="82" priority="68" operator="containsText" text="CUMPLE">
      <formula>NOT(ISERROR(SEARCH("CUMPLE",R434)))</formula>
    </cfRule>
  </conditionalFormatting>
  <conditionalFormatting sqref="R448">
    <cfRule type="containsText" dxfId="81" priority="65" operator="containsText" text="NO CUMPLE">
      <formula>NOT(ISERROR(SEARCH("NO CUMPLE",R448)))</formula>
    </cfRule>
    <cfRule type="containsText" dxfId="80" priority="66" operator="containsText" text="CUMPLE">
      <formula>NOT(ISERROR(SEARCH("CUMPLE",R448)))</formula>
    </cfRule>
  </conditionalFormatting>
  <conditionalFormatting sqref="R460">
    <cfRule type="containsText" dxfId="79" priority="64" operator="containsText" text="CUMPLE">
      <formula>NOT(ISERROR(SEARCH("CUMPLE",R460)))</formula>
    </cfRule>
    <cfRule type="containsText" dxfId="78" priority="63" operator="containsText" text="NO CUMPLE">
      <formula>NOT(ISERROR(SEARCH("NO CUMPLE",R460)))</formula>
    </cfRule>
  </conditionalFormatting>
  <conditionalFormatting sqref="R474">
    <cfRule type="containsText" dxfId="77" priority="61" operator="containsText" text="NO CUMPLE">
      <formula>NOT(ISERROR(SEARCH("NO CUMPLE",R474)))</formula>
    </cfRule>
    <cfRule type="containsText" dxfId="76" priority="62" operator="containsText" text="CUMPLE">
      <formula>NOT(ISERROR(SEARCH("CUMPLE",R474)))</formula>
    </cfRule>
  </conditionalFormatting>
  <conditionalFormatting sqref="R486">
    <cfRule type="containsText" dxfId="75" priority="60" operator="containsText" text="CUMPLE">
      <formula>NOT(ISERROR(SEARCH("CUMPLE",R486)))</formula>
    </cfRule>
    <cfRule type="containsText" dxfId="74" priority="59" operator="containsText" text="NO CUMPLE">
      <formula>NOT(ISERROR(SEARCH("NO CUMPLE",R486)))</formula>
    </cfRule>
  </conditionalFormatting>
  <conditionalFormatting sqref="R499">
    <cfRule type="containsText" dxfId="73" priority="58" operator="containsText" text="CUMPLE">
      <formula>NOT(ISERROR(SEARCH("CUMPLE",R499)))</formula>
    </cfRule>
    <cfRule type="containsText" dxfId="72" priority="57" operator="containsText" text="NO CUMPLE">
      <formula>NOT(ISERROR(SEARCH("NO CUMPLE",R499)))</formula>
    </cfRule>
  </conditionalFormatting>
  <conditionalFormatting sqref="R514">
    <cfRule type="containsText" dxfId="71" priority="55" operator="containsText" text="NO CUMPLE">
      <formula>NOT(ISERROR(SEARCH("NO CUMPLE",R514)))</formula>
    </cfRule>
    <cfRule type="containsText" dxfId="70" priority="56" operator="containsText" text="CUMPLE">
      <formula>NOT(ISERROR(SEARCH("CUMPLE",R514)))</formula>
    </cfRule>
  </conditionalFormatting>
  <conditionalFormatting sqref="R525">
    <cfRule type="containsText" dxfId="69" priority="53" operator="containsText" text="NO CUMPLE">
      <formula>NOT(ISERROR(SEARCH("NO CUMPLE",R525)))</formula>
    </cfRule>
    <cfRule type="containsText" dxfId="68" priority="54" operator="containsText" text="CUMPLE">
      <formula>NOT(ISERROR(SEARCH("CUMPLE",R525)))</formula>
    </cfRule>
  </conditionalFormatting>
  <conditionalFormatting sqref="R537">
    <cfRule type="containsText" dxfId="67" priority="52" operator="containsText" text="CUMPLE">
      <formula>NOT(ISERROR(SEARCH("CUMPLE",R537)))</formula>
    </cfRule>
    <cfRule type="containsText" dxfId="66" priority="51" operator="containsText" text="NO CUMPLE">
      <formula>NOT(ISERROR(SEARCH("NO CUMPLE",R537)))</formula>
    </cfRule>
  </conditionalFormatting>
  <conditionalFormatting sqref="R550">
    <cfRule type="containsText" dxfId="65" priority="50" operator="containsText" text="CUMPLE">
      <formula>NOT(ISERROR(SEARCH("CUMPLE",R550)))</formula>
    </cfRule>
    <cfRule type="containsText" dxfId="64" priority="49" operator="containsText" text="NO CUMPLE">
      <formula>NOT(ISERROR(SEARCH("NO CUMPLE",R550)))</formula>
    </cfRule>
  </conditionalFormatting>
  <conditionalFormatting sqref="R565">
    <cfRule type="containsText" dxfId="63" priority="48" operator="containsText" text="CUMPLE">
      <formula>NOT(ISERROR(SEARCH("CUMPLE",R565)))</formula>
    </cfRule>
    <cfRule type="containsText" dxfId="62" priority="47" operator="containsText" text="NO CUMPLE">
      <formula>NOT(ISERROR(SEARCH("NO CUMPLE",R565)))</formula>
    </cfRule>
  </conditionalFormatting>
  <conditionalFormatting sqref="R579">
    <cfRule type="containsText" dxfId="61" priority="46" operator="containsText" text="CUMPLE">
      <formula>NOT(ISERROR(SEARCH("CUMPLE",R579)))</formula>
    </cfRule>
    <cfRule type="containsText" dxfId="60" priority="2" operator="containsText" text="CUMPLE">
      <formula>NOT(ISERROR(SEARCH("CUMPLE",R579)))</formula>
    </cfRule>
    <cfRule type="containsText" dxfId="59" priority="45" operator="containsText" text="NO CUMPLE">
      <formula>NOT(ISERROR(SEARCH("NO CUMPLE",R579)))</formula>
    </cfRule>
    <cfRule type="containsText" dxfId="58" priority="1" operator="containsText" text="NO CUMPLE">
      <formula>NOT(ISERROR(SEARCH("NO CUMPLE",R579)))</formula>
    </cfRule>
  </conditionalFormatting>
  <conditionalFormatting sqref="R595">
    <cfRule type="containsText" dxfId="57" priority="44" operator="containsText" text="CUMPLE">
      <formula>NOT(ISERROR(SEARCH("CUMPLE",R595)))</formula>
    </cfRule>
    <cfRule type="containsText" dxfId="56" priority="43" operator="containsText" text="NO CUMPLE">
      <formula>NOT(ISERROR(SEARCH("NO CUMPLE",R595)))</formula>
    </cfRule>
  </conditionalFormatting>
  <conditionalFormatting sqref="R609">
    <cfRule type="containsText" dxfId="55" priority="42" operator="containsText" text="CUMPLE">
      <formula>NOT(ISERROR(SEARCH("CUMPLE",R609)))</formula>
    </cfRule>
    <cfRule type="containsText" dxfId="54" priority="41" operator="containsText" text="NO CUMPLE">
      <formula>NOT(ISERROR(SEARCH("NO CUMPLE",R609)))</formula>
    </cfRule>
  </conditionalFormatting>
  <dataValidations count="1">
    <dataValidation type="list" allowBlank="1" showInputMessage="1" showErrorMessage="1" sqref="M14:M19 N18:N19 N15:N16 J15:J16 J18:J19 Q14 N35 M144:M146 J35 Q29 M45:M46 N46 J46 Q45 M56:M57 N57 J57 Q56 M67:M69 N68:N69 J68:J69 Q67 N82:N83 N80 J80 J82:J83 Q79 J94:J96 N94:N96 N97:O97 Q93 M106:M107 N107 N20:O20 Q106 N121 N118:N119 J118:J119 J121 Q117 M132:M134 N133:N134 J133:J134 Q132 Q144 N157:N160 J157:J160 Q156 N173:N174 N171 J171 J173:J174 Q170 M184:M186 N185:N186 J185:J186 Q184 M196:M197 N197 J197 Q196 M207:M211 N211 N208:N209 J208:J209 J211 Q207 N222:N226 N228 J222:J226 N198:O198 J228 Q221 N241:N242 N239 J239 J241:J242 Q238 M252:M253 N253 J253 Q252 M263:M266 N264:N265 J264:J265 Q263 N279 N277 J277 J279 Q276 M289:M291 N290:N291 J290:J291 Q289 M301:M304 N302:N303 J302:J303 Q301 M314:M321 N319:N320 J315:J317 M469:M473 J319:J320 Q314 N333:O333 N332 J332 Q331 M342:M345 J343:J345 N346:O346 Q342 M355:M357 N356:N357 J356:J357 Q355 N368 J368 Q367 M379:M383 N380:N381 J383 N384:O384 J380:J381 Q379 M393:M398 N397:N398 N394:N395 J394:J395 J397:J398 Q393 M408:M409 N409 J409 Q408 J420:J422 N423:O423 Q419 M432:M433 N433 J433 Q432 N420:N422 Q443 N459 J459 Q457 N472:N473 N470 J470 J472:J473 Q469 M483:M485 N484:N485 J484:J485 Q483 Q495 M508:M513 N512:N513 N509:N510 J509:J510 J512:J513 Q508 M523:M524 N524 J524 Q523 N535 J535 Q534 N548:N549 J548:J549 Q546 M559:M564 N563:N564 N560:N561 J560:J561 J563:J564 Q559 M574:M578 N578 N575:N576 J575:J576 J578 Q574 N589:N592 J594 N579:O579 Q588 O595 M604:M608 N605:N607 N123:O123 Q604 N525:O525 M534:M536 N537:O537 M546:M549 N550:O550 M331 N343:N345 N358:O358 N370:O370 M367:M369 N383 J145 N145 M29:M35 N30:N33 J30:J33 N36:O36 N47:O47 N58:O58 N70:O70 M79:M83 N84:O84 N108:O108 N135:O135 N410:O410 M419:M422 J444:J446 N444:N446 M443:M447 N448:O448 N434:O434 M457:M459 N460:O460 N474:O474 N315:N317 N486:O486 N499:O499 M495:M498 J496:J498 N496:N498 N212:O212 N229:O229 M238:M242 N243:O243 N254:O254 N565:O565 J589:J592 J107 M117:M122 J605:J607 N609:O609 N147:O147 N594:N595 M588:M594 N161:O161 M170:M174 N175:O175 N187:O187 M221:M228 N267:O267 M276:M279 N280:O280 N292:O292 N305:O305 N322:O322 N399:O399 M156:M160 N514:O514" xr:uid="{CB3D48C3-84CA-44F0-ADF7-1CCE503CA1FA}">
      <formula1>$V$4:$V$5</formula1>
    </dataValidation>
  </dataValidations>
  <pageMargins left="0.7" right="0.7" top="0.75" bottom="0.75" header="0.51180555555555496" footer="0.51180555555555496"/>
  <pageSetup scale="56" firstPageNumber="0" orientation="portrait" r:id="rId1"/>
  <colBreaks count="1" manualBreakCount="1">
    <brk id="11" max="61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3:S22"/>
  <sheetViews>
    <sheetView topLeftCell="C1" zoomScale="70" zoomScaleNormal="70" workbookViewId="0">
      <selection activeCell="A21" sqref="A21:K21"/>
    </sheetView>
  </sheetViews>
  <sheetFormatPr baseColWidth="10" defaultColWidth="11.42578125" defaultRowHeight="12.75"/>
  <cols>
    <col min="1" max="11" width="15.7109375" style="29" customWidth="1"/>
    <col min="12" max="13" width="11.42578125" style="29"/>
    <col min="14" max="14" width="23.42578125" style="29" customWidth="1"/>
    <col min="15" max="16384" width="11.42578125" style="29"/>
  </cols>
  <sheetData>
    <row r="3" spans="1:19" ht="15" customHeight="1">
      <c r="M3" s="458" t="s">
        <v>407</v>
      </c>
      <c r="N3" s="458"/>
      <c r="O3" s="458"/>
      <c r="P3" s="458"/>
      <c r="Q3" s="458"/>
      <c r="R3" s="458"/>
      <c r="S3" s="458"/>
    </row>
    <row r="4" spans="1:19" ht="23.25" customHeight="1">
      <c r="M4" s="458"/>
      <c r="N4" s="458"/>
      <c r="O4" s="458"/>
      <c r="P4" s="458"/>
      <c r="Q4" s="458"/>
      <c r="R4" s="458"/>
      <c r="S4" s="458"/>
    </row>
    <row r="5" spans="1:19" ht="23.25" customHeight="1">
      <c r="M5" s="458"/>
      <c r="N5" s="458"/>
      <c r="O5" s="458"/>
      <c r="P5" s="458"/>
      <c r="Q5" s="458"/>
      <c r="R5" s="458"/>
      <c r="S5" s="458"/>
    </row>
    <row r="6" spans="1:19" ht="78" customHeight="1">
      <c r="A6" s="456" t="s">
        <v>408</v>
      </c>
      <c r="B6" s="461"/>
      <c r="C6" s="461"/>
      <c r="D6" s="461"/>
      <c r="E6" s="461"/>
      <c r="F6" s="461"/>
      <c r="G6" s="461"/>
      <c r="H6" s="461"/>
      <c r="I6" s="461"/>
      <c r="J6" s="461"/>
      <c r="K6" s="461"/>
      <c r="L6" s="28"/>
      <c r="M6" s="458"/>
      <c r="N6" s="458"/>
      <c r="O6" s="458"/>
      <c r="P6" s="458"/>
      <c r="Q6" s="458"/>
      <c r="R6" s="458"/>
      <c r="S6" s="458"/>
    </row>
    <row r="7" spans="1:19">
      <c r="C7" s="30"/>
      <c r="D7" s="30"/>
      <c r="E7" s="33"/>
      <c r="F7" s="31"/>
      <c r="G7" s="31"/>
      <c r="H7" s="32"/>
      <c r="I7" s="32"/>
      <c r="J7" s="32"/>
      <c r="K7" s="32"/>
      <c r="L7" s="32"/>
      <c r="M7" s="28"/>
      <c r="N7" s="28"/>
    </row>
    <row r="8" spans="1:19" ht="15.75">
      <c r="A8" s="459" t="s">
        <v>392</v>
      </c>
      <c r="B8" s="459"/>
      <c r="C8" s="459"/>
      <c r="D8" s="459"/>
      <c r="E8" s="459"/>
      <c r="F8" s="459"/>
      <c r="G8" s="459"/>
      <c r="H8" s="459"/>
      <c r="I8" s="459"/>
      <c r="J8" s="459"/>
      <c r="K8" s="459"/>
      <c r="L8" s="459"/>
      <c r="M8" s="459"/>
    </row>
    <row r="9" spans="1:19" ht="47.25" customHeight="1">
      <c r="A9" s="460" t="s">
        <v>393</v>
      </c>
      <c r="B9" s="460"/>
      <c r="C9" s="460"/>
      <c r="D9" s="52"/>
      <c r="E9" s="52"/>
      <c r="F9" s="52"/>
      <c r="G9" s="52"/>
      <c r="H9" s="52"/>
      <c r="I9" s="52"/>
      <c r="J9" s="52"/>
      <c r="K9" s="52"/>
      <c r="L9" s="52"/>
      <c r="M9" s="52"/>
    </row>
    <row r="10" spans="1:19" ht="66" customHeight="1">
      <c r="A10" s="461" t="s">
        <v>394</v>
      </c>
      <c r="B10" s="461"/>
      <c r="C10" s="461"/>
      <c r="D10" s="461"/>
      <c r="E10" s="461"/>
      <c r="F10" s="461"/>
      <c r="G10" s="461"/>
      <c r="H10" s="461"/>
      <c r="I10" s="461"/>
      <c r="J10" s="461"/>
      <c r="K10" s="461"/>
      <c r="L10" s="9"/>
      <c r="M10" s="9"/>
    </row>
    <row r="11" spans="1:19" ht="40.15" customHeight="1">
      <c r="A11" s="461" t="s">
        <v>395</v>
      </c>
      <c r="B11" s="461"/>
      <c r="C11" s="461"/>
      <c r="D11" s="461"/>
      <c r="E11" s="461"/>
      <c r="F11" s="461"/>
      <c r="G11" s="461"/>
      <c r="H11" s="461"/>
      <c r="I11" s="461"/>
      <c r="J11" s="461"/>
      <c r="K11" s="461"/>
      <c r="L11" s="9"/>
      <c r="M11" s="9"/>
    </row>
    <row r="12" spans="1:19" ht="40.15" customHeight="1">
      <c r="A12" s="461" t="s">
        <v>396</v>
      </c>
      <c r="B12" s="461"/>
      <c r="C12" s="461"/>
      <c r="D12" s="461"/>
      <c r="E12" s="461"/>
      <c r="F12" s="461"/>
      <c r="G12" s="461"/>
      <c r="H12" s="461"/>
      <c r="I12" s="461"/>
      <c r="J12" s="461"/>
      <c r="K12" s="461"/>
      <c r="L12" s="9"/>
      <c r="M12" s="9"/>
    </row>
    <row r="13" spans="1:19" ht="40.15" customHeight="1">
      <c r="A13" s="460" t="s">
        <v>397</v>
      </c>
      <c r="B13" s="460"/>
      <c r="C13" s="460"/>
      <c r="D13" s="53"/>
      <c r="E13" s="53"/>
      <c r="F13" s="53"/>
      <c r="G13" s="53"/>
      <c r="H13" s="53"/>
      <c r="I13" s="53"/>
      <c r="J13" s="9"/>
      <c r="K13" s="9"/>
      <c r="L13" s="9"/>
      <c r="M13" s="9"/>
    </row>
    <row r="14" spans="1:19" ht="40.15" customHeight="1">
      <c r="A14" s="461" t="s">
        <v>409</v>
      </c>
      <c r="B14" s="461"/>
      <c r="C14" s="461"/>
      <c r="D14" s="461"/>
      <c r="E14" s="461"/>
      <c r="F14" s="461"/>
      <c r="G14" s="461"/>
      <c r="H14" s="461"/>
      <c r="I14" s="461"/>
      <c r="J14" s="461"/>
      <c r="K14" s="461"/>
      <c r="L14" s="9"/>
      <c r="M14" s="9"/>
    </row>
    <row r="15" spans="1:19" ht="40.15" customHeight="1">
      <c r="A15" s="461"/>
      <c r="B15" s="461"/>
      <c r="C15" s="461"/>
      <c r="D15" s="461"/>
      <c r="E15" s="461"/>
      <c r="F15" s="461"/>
      <c r="G15" s="461"/>
      <c r="H15" s="461"/>
      <c r="I15" s="461"/>
      <c r="J15" s="461"/>
      <c r="K15" s="461"/>
      <c r="L15" s="9"/>
      <c r="M15" s="9"/>
    </row>
    <row r="16" spans="1:19" ht="40.15" customHeight="1">
      <c r="A16" s="462" t="s">
        <v>410</v>
      </c>
      <c r="B16" s="462"/>
      <c r="C16" s="462"/>
      <c r="D16" s="462"/>
      <c r="E16" s="462"/>
      <c r="F16" s="462"/>
      <c r="G16" s="462"/>
      <c r="H16" s="462"/>
      <c r="I16" s="462"/>
      <c r="J16" s="462"/>
      <c r="K16" s="462"/>
      <c r="L16" s="9"/>
      <c r="M16" s="9"/>
    </row>
    <row r="17" spans="1:13" ht="40.15" customHeight="1">
      <c r="A17" s="54"/>
      <c r="B17" s="54"/>
      <c r="C17" s="55"/>
      <c r="D17" s="56"/>
      <c r="E17" s="56"/>
      <c r="F17" s="57"/>
      <c r="G17" s="57"/>
      <c r="H17" s="57"/>
      <c r="I17" s="57"/>
      <c r="J17" s="9"/>
      <c r="K17" s="9"/>
      <c r="L17" s="9"/>
      <c r="M17" s="9"/>
    </row>
    <row r="18" spans="1:13" ht="40.15" customHeight="1">
      <c r="A18" s="456" t="s">
        <v>400</v>
      </c>
      <c r="B18" s="456"/>
      <c r="C18" s="456"/>
      <c r="D18" s="456"/>
      <c r="E18" s="456"/>
      <c r="F18" s="456"/>
      <c r="G18" s="456"/>
      <c r="H18" s="456"/>
      <c r="I18" s="456"/>
      <c r="J18" s="456"/>
      <c r="K18" s="456"/>
      <c r="L18" s="9"/>
      <c r="M18" s="9"/>
    </row>
    <row r="19" spans="1:13" ht="40.15" customHeight="1">
      <c r="A19" s="456" t="s">
        <v>401</v>
      </c>
      <c r="B19" s="457"/>
      <c r="C19" s="457"/>
      <c r="D19" s="457"/>
      <c r="E19" s="457"/>
      <c r="F19" s="457"/>
      <c r="G19" s="457"/>
      <c r="H19" s="457"/>
      <c r="I19" s="457"/>
      <c r="J19" s="457"/>
      <c r="K19" s="457"/>
      <c r="L19" s="9"/>
      <c r="M19" s="9"/>
    </row>
    <row r="20" spans="1:13" ht="40.15" customHeight="1">
      <c r="A20" s="456" t="s">
        <v>411</v>
      </c>
      <c r="B20" s="457"/>
      <c r="C20" s="457"/>
      <c r="D20" s="457"/>
      <c r="E20" s="457"/>
      <c r="F20" s="457"/>
      <c r="G20" s="457"/>
      <c r="H20" s="457"/>
      <c r="I20" s="457"/>
      <c r="J20" s="457"/>
      <c r="K20" s="457"/>
      <c r="L20" s="9"/>
      <c r="M20" s="9"/>
    </row>
    <row r="21" spans="1:13" ht="179.25" customHeight="1">
      <c r="A21" s="456" t="s">
        <v>403</v>
      </c>
      <c r="B21" s="457"/>
      <c r="C21" s="457"/>
      <c r="D21" s="457"/>
      <c r="E21" s="457"/>
      <c r="F21" s="457"/>
      <c r="G21" s="457"/>
      <c r="H21" s="457"/>
      <c r="I21" s="457"/>
      <c r="J21" s="457"/>
      <c r="K21" s="457"/>
      <c r="L21" s="9"/>
      <c r="M21" s="9"/>
    </row>
    <row r="22" spans="1:13" ht="105.75" customHeight="1">
      <c r="A22" s="456" t="s">
        <v>404</v>
      </c>
      <c r="B22" s="456"/>
      <c r="C22" s="456"/>
      <c r="D22" s="456"/>
      <c r="E22" s="456"/>
      <c r="F22" s="456"/>
      <c r="G22" s="456"/>
      <c r="H22" s="456"/>
      <c r="I22" s="456"/>
      <c r="J22" s="456"/>
      <c r="K22" s="456"/>
      <c r="L22" s="9"/>
      <c r="M22" s="9"/>
    </row>
  </sheetData>
  <mergeCells count="16">
    <mergeCell ref="M3:S6"/>
    <mergeCell ref="A8:M8"/>
    <mergeCell ref="A13:C13"/>
    <mergeCell ref="A14:K14"/>
    <mergeCell ref="A16:K16"/>
    <mergeCell ref="A9:C9"/>
    <mergeCell ref="A6:K6"/>
    <mergeCell ref="A10:K10"/>
    <mergeCell ref="A11:K11"/>
    <mergeCell ref="A12:K12"/>
    <mergeCell ref="A15:K15"/>
    <mergeCell ref="A20:K20"/>
    <mergeCell ref="A21:K21"/>
    <mergeCell ref="A22:K22"/>
    <mergeCell ref="A18:K18"/>
    <mergeCell ref="A19:K1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G50"/>
  <sheetViews>
    <sheetView view="pageBreakPreview" zoomScale="60" zoomScaleNormal="70" workbookViewId="0">
      <pane xSplit="1" ySplit="4" topLeftCell="B5" activePane="bottomRight" state="frozen"/>
      <selection pane="topRight"/>
      <selection pane="bottomLeft"/>
      <selection pane="bottomRight" sqref="A1:G1"/>
    </sheetView>
  </sheetViews>
  <sheetFormatPr baseColWidth="10" defaultColWidth="11.42578125" defaultRowHeight="15"/>
  <cols>
    <col min="1" max="1" width="10.42578125" customWidth="1"/>
    <col min="2" max="2" width="114.7109375" customWidth="1"/>
    <col min="3" max="3" width="37.28515625" customWidth="1"/>
    <col min="4" max="5" width="41.42578125" customWidth="1"/>
    <col min="6" max="6" width="25.42578125" customWidth="1"/>
    <col min="7" max="7" width="88" customWidth="1"/>
  </cols>
  <sheetData>
    <row r="1" spans="1:7" s="6" customFormat="1" ht="59.25" customHeight="1">
      <c r="A1" s="463" t="s">
        <v>412</v>
      </c>
      <c r="B1" s="463"/>
      <c r="C1" s="463"/>
      <c r="D1" s="463"/>
      <c r="E1" s="463"/>
      <c r="F1" s="463"/>
      <c r="G1" s="463"/>
    </row>
    <row r="2" spans="1:7" s="7" customFormat="1" ht="35.25" customHeight="1">
      <c r="A2" s="464" t="s">
        <v>1</v>
      </c>
      <c r="B2" s="464"/>
      <c r="C2" s="464"/>
      <c r="D2" s="464"/>
      <c r="E2" s="464"/>
      <c r="F2" s="464"/>
      <c r="G2" s="464"/>
    </row>
    <row r="3" spans="1:7" s="7" customFormat="1" ht="35.25" customHeight="1">
      <c r="A3" s="464" t="s">
        <v>413</v>
      </c>
      <c r="B3" s="464"/>
      <c r="C3" s="464"/>
      <c r="D3" s="464"/>
      <c r="E3" s="464"/>
      <c r="F3" s="464"/>
      <c r="G3" s="464"/>
    </row>
    <row r="4" spans="1:7" ht="93">
      <c r="A4" s="164" t="s">
        <v>2</v>
      </c>
      <c r="B4" s="164" t="s">
        <v>414</v>
      </c>
      <c r="C4" s="164" t="s">
        <v>415</v>
      </c>
      <c r="D4" s="164" t="s">
        <v>416</v>
      </c>
      <c r="E4" s="164" t="s">
        <v>417</v>
      </c>
      <c r="F4" s="164" t="s">
        <v>418</v>
      </c>
      <c r="G4" s="164" t="s">
        <v>419</v>
      </c>
    </row>
    <row r="5" spans="1:7" s="25" customFormat="1" ht="78.75">
      <c r="A5" s="234">
        <v>1</v>
      </c>
      <c r="B5" s="234" t="str">
        <f>'LISTA DE OFERENTES'!B4</f>
        <v>CONSORCIO PARQUES IA</v>
      </c>
      <c r="C5" s="235" t="s">
        <v>184</v>
      </c>
      <c r="D5" s="235" t="s">
        <v>184</v>
      </c>
      <c r="E5" s="235" t="s">
        <v>184</v>
      </c>
      <c r="F5" s="314" t="str">
        <f t="shared" ref="F5:F50" si="0">IF(AND(C5="CUMPLE",D5="CUMPLE",E5="CUMPLE"),"CUMPLE","NO CUMPLE")</f>
        <v>NO CUMPLE</v>
      </c>
      <c r="G5" s="236" t="s">
        <v>420</v>
      </c>
    </row>
    <row r="6" spans="1:7" ht="18.75">
      <c r="A6" s="65">
        <f>A5+1</f>
        <v>2</v>
      </c>
      <c r="B6" s="65" t="str">
        <f>'LISTA DE OFERENTES'!B5</f>
        <v>CONSORCIO METRO CINCO</v>
      </c>
      <c r="C6" s="103" t="s">
        <v>183</v>
      </c>
      <c r="D6" s="103" t="s">
        <v>183</v>
      </c>
      <c r="E6" s="103" t="s">
        <v>183</v>
      </c>
      <c r="F6" s="314" t="str">
        <f t="shared" si="0"/>
        <v>CUMPLE</v>
      </c>
      <c r="G6" s="64"/>
    </row>
    <row r="7" spans="1:7" ht="31.5">
      <c r="A7" s="65">
        <f t="shared" ref="A7:A50" si="1">A6+1</f>
        <v>3</v>
      </c>
      <c r="B7" s="65" t="str">
        <f>'LISTA DE OFERENTES'!B6</f>
        <v xml:space="preserve"> HR INGENIERIA SAS</v>
      </c>
      <c r="C7" s="103" t="s">
        <v>183</v>
      </c>
      <c r="D7" s="235" t="s">
        <v>184</v>
      </c>
      <c r="E7" s="103" t="s">
        <v>183</v>
      </c>
      <c r="F7" s="314" t="str">
        <f t="shared" si="0"/>
        <v>NO CUMPLE</v>
      </c>
      <c r="G7" s="64" t="s">
        <v>422</v>
      </c>
    </row>
    <row r="8" spans="1:7" ht="18.75">
      <c r="A8" s="65">
        <f t="shared" si="1"/>
        <v>4</v>
      </c>
      <c r="B8" s="65" t="str">
        <f>'LISTA DE OFERENTES'!B7</f>
        <v xml:space="preserve"> INGECO INGENIERIA DE CONSTRUCCIONES S.A.S</v>
      </c>
      <c r="C8" s="103" t="s">
        <v>183</v>
      </c>
      <c r="D8" s="103" t="s">
        <v>183</v>
      </c>
      <c r="E8" s="103" t="s">
        <v>183</v>
      </c>
      <c r="F8" s="314" t="str">
        <f t="shared" si="0"/>
        <v>CUMPLE</v>
      </c>
      <c r="G8" s="64"/>
    </row>
    <row r="9" spans="1:7" ht="31.5">
      <c r="A9" s="65">
        <f t="shared" si="1"/>
        <v>5</v>
      </c>
      <c r="B9" s="65" t="str">
        <f>'LISTA DE OFERENTES'!B8</f>
        <v>A&amp;G PLUS SAS BIC</v>
      </c>
      <c r="C9" s="200" t="s">
        <v>183</v>
      </c>
      <c r="D9" s="235" t="s">
        <v>184</v>
      </c>
      <c r="E9" s="103" t="s">
        <v>183</v>
      </c>
      <c r="F9" s="314" t="str">
        <f t="shared" si="0"/>
        <v>NO CUMPLE</v>
      </c>
      <c r="G9" s="64" t="s">
        <v>422</v>
      </c>
    </row>
    <row r="10" spans="1:7" ht="18.75">
      <c r="A10" s="65">
        <f t="shared" si="1"/>
        <v>6</v>
      </c>
      <c r="B10" s="65" t="str">
        <f>'LISTA DE OFERENTES'!B9</f>
        <v>CONSORCIO PARQUES ENGATIVÁ 2025</v>
      </c>
      <c r="C10" s="103" t="s">
        <v>183</v>
      </c>
      <c r="D10" s="103" t="s">
        <v>183</v>
      </c>
      <c r="E10" s="103" t="s">
        <v>183</v>
      </c>
      <c r="F10" s="314" t="str">
        <f t="shared" si="0"/>
        <v>CUMPLE</v>
      </c>
      <c r="G10" s="64"/>
    </row>
    <row r="11" spans="1:7" ht="18.75">
      <c r="A11" s="65">
        <f t="shared" si="1"/>
        <v>7</v>
      </c>
      <c r="B11" s="65" t="str">
        <f>'LISTA DE OFERENTES'!B10</f>
        <v>CONSULTORA COLOMBIANA TRIPLE C S.A.S BIC</v>
      </c>
      <c r="C11" s="103" t="s">
        <v>183</v>
      </c>
      <c r="D11" s="103" t="s">
        <v>183</v>
      </c>
      <c r="E11" s="309" t="s">
        <v>183</v>
      </c>
      <c r="F11" s="314" t="str">
        <f t="shared" si="0"/>
        <v>CUMPLE</v>
      </c>
      <c r="G11" s="64"/>
    </row>
    <row r="12" spans="1:7" ht="18.75">
      <c r="A12" s="65">
        <f t="shared" si="1"/>
        <v>8</v>
      </c>
      <c r="B12" s="65" t="str">
        <f>'LISTA DE OFERENTES'!B11</f>
        <v xml:space="preserve">CONSULTORES, DESARROLLO Y AMBIENTE SAS BIC </v>
      </c>
      <c r="C12" s="103" t="s">
        <v>183</v>
      </c>
      <c r="D12" s="103" t="s">
        <v>183</v>
      </c>
      <c r="E12" s="103" t="s">
        <v>183</v>
      </c>
      <c r="F12" s="314" t="str">
        <f t="shared" si="0"/>
        <v>CUMPLE</v>
      </c>
      <c r="G12" s="64"/>
    </row>
    <row r="13" spans="1:7" ht="51.75" customHeight="1">
      <c r="A13" s="65">
        <f t="shared" si="1"/>
        <v>9</v>
      </c>
      <c r="B13" s="65" t="str">
        <f>'LISTA DE OFERENTES'!B12</f>
        <v>CONSORCIO BOGOTÁ</v>
      </c>
      <c r="C13" s="103" t="s">
        <v>183</v>
      </c>
      <c r="D13" s="103" t="s">
        <v>183</v>
      </c>
      <c r="E13" s="103" t="s">
        <v>183</v>
      </c>
      <c r="F13" s="314" t="str">
        <f t="shared" si="0"/>
        <v>CUMPLE</v>
      </c>
      <c r="G13" s="64"/>
    </row>
    <row r="14" spans="1:7" ht="78.75">
      <c r="A14" s="65">
        <f>A13+1</f>
        <v>10</v>
      </c>
      <c r="B14" s="65" t="str">
        <f>'LISTA DE OFERENTES'!B13</f>
        <v>LOS ROSALES CONSTRUCTORA INMOBILIARIA SAS</v>
      </c>
      <c r="C14" s="103" t="s">
        <v>183</v>
      </c>
      <c r="D14" s="103" t="s">
        <v>184</v>
      </c>
      <c r="E14" s="103" t="s">
        <v>184</v>
      </c>
      <c r="F14" s="314" t="str">
        <f t="shared" si="0"/>
        <v>NO CUMPLE</v>
      </c>
      <c r="G14" s="64" t="s">
        <v>421</v>
      </c>
    </row>
    <row r="15" spans="1:7" ht="18.75">
      <c r="A15" s="65">
        <f t="shared" si="1"/>
        <v>11</v>
      </c>
      <c r="B15" s="65" t="str">
        <f>'LISTA DE OFERENTES'!B14</f>
        <v>CONSORCIO PARQUES JAPG 2024</v>
      </c>
      <c r="C15" s="200" t="s">
        <v>183</v>
      </c>
      <c r="D15" s="200" t="s">
        <v>183</v>
      </c>
      <c r="E15" s="103" t="s">
        <v>183</v>
      </c>
      <c r="F15" s="314" t="str">
        <f t="shared" si="0"/>
        <v>CUMPLE</v>
      </c>
      <c r="G15" s="268"/>
    </row>
    <row r="16" spans="1:7" ht="31.5">
      <c r="A16" s="65">
        <f t="shared" si="1"/>
        <v>12</v>
      </c>
      <c r="B16" s="65" t="str">
        <f>'LISTA DE OFERENTES'!B15</f>
        <v>ESTUDIOS TÉCNICOS Y CONSTRUCCIONES SAS</v>
      </c>
      <c r="C16" s="200" t="s">
        <v>183</v>
      </c>
      <c r="D16" s="235" t="s">
        <v>184</v>
      </c>
      <c r="E16" s="200" t="s">
        <v>183</v>
      </c>
      <c r="F16" s="314" t="str">
        <f t="shared" si="0"/>
        <v>NO CUMPLE</v>
      </c>
      <c r="G16" s="64" t="s">
        <v>422</v>
      </c>
    </row>
    <row r="17" spans="1:7" ht="18.75">
      <c r="A17" s="65">
        <f t="shared" si="1"/>
        <v>13</v>
      </c>
      <c r="B17" s="65" t="str">
        <f>'LISTA DE OFERENTES'!B16</f>
        <v>CONSORCIO SIGMA</v>
      </c>
      <c r="C17" s="200" t="s">
        <v>183</v>
      </c>
      <c r="D17" s="200" t="s">
        <v>183</v>
      </c>
      <c r="E17" s="103" t="s">
        <v>183</v>
      </c>
      <c r="F17" s="314" t="str">
        <f t="shared" si="0"/>
        <v>CUMPLE</v>
      </c>
      <c r="G17" s="268"/>
    </row>
    <row r="18" spans="1:7" ht="18.75">
      <c r="A18" s="65">
        <f t="shared" si="1"/>
        <v>14</v>
      </c>
      <c r="B18" s="65" t="str">
        <f>'LISTA DE OFERENTES'!B17</f>
        <v>PROJEKTA LTDA. INGENIEROS CONSULTORES</v>
      </c>
      <c r="C18" s="200" t="s">
        <v>183</v>
      </c>
      <c r="D18" s="200" t="s">
        <v>183</v>
      </c>
      <c r="E18" s="103" t="s">
        <v>183</v>
      </c>
      <c r="F18" s="314" t="str">
        <f t="shared" si="0"/>
        <v>CUMPLE</v>
      </c>
      <c r="G18" s="268"/>
    </row>
    <row r="19" spans="1:7" ht="18.75">
      <c r="A19" s="65">
        <f t="shared" si="1"/>
        <v>15</v>
      </c>
      <c r="B19" s="65" t="str">
        <f>'LISTA DE OFERENTES'!B18</f>
        <v>PRAN CONSTRUCCIONES S.A.S.</v>
      </c>
      <c r="C19" s="200" t="s">
        <v>183</v>
      </c>
      <c r="D19" s="200" t="s">
        <v>183</v>
      </c>
      <c r="E19" s="200" t="s">
        <v>183</v>
      </c>
      <c r="F19" s="314" t="str">
        <f t="shared" si="0"/>
        <v>CUMPLE</v>
      </c>
      <c r="G19" s="268"/>
    </row>
    <row r="20" spans="1:7" ht="18.75">
      <c r="A20" s="65">
        <f t="shared" si="1"/>
        <v>16</v>
      </c>
      <c r="B20" s="65" t="str">
        <f>'LISTA DE OFERENTES'!B19</f>
        <v>CONSORCIO INTER 1</v>
      </c>
      <c r="C20" s="200" t="s">
        <v>183</v>
      </c>
      <c r="D20" s="200" t="s">
        <v>183</v>
      </c>
      <c r="E20" s="200" t="s">
        <v>183</v>
      </c>
      <c r="F20" s="314" t="str">
        <f t="shared" si="0"/>
        <v>CUMPLE</v>
      </c>
      <c r="G20" s="268"/>
    </row>
    <row r="21" spans="1:7" ht="18.75">
      <c r="A21" s="65">
        <f t="shared" si="1"/>
        <v>17</v>
      </c>
      <c r="B21" s="65" t="str">
        <f>'LISTA DE OFERENTES'!B20</f>
        <v>CONSORCIO EG-795 KM</v>
      </c>
      <c r="C21" s="200" t="s">
        <v>183</v>
      </c>
      <c r="D21" s="200" t="s">
        <v>183</v>
      </c>
      <c r="E21" s="103" t="s">
        <v>183</v>
      </c>
      <c r="F21" s="314" t="str">
        <f t="shared" si="0"/>
        <v>CUMPLE</v>
      </c>
      <c r="G21" s="64"/>
    </row>
    <row r="22" spans="1:7" ht="18.75">
      <c r="A22" s="65">
        <f t="shared" si="1"/>
        <v>18</v>
      </c>
      <c r="B22" s="65" t="str">
        <f>'LISTA DE OFERENTES'!B21</f>
        <v>CONSORCIO INTERENGATIVA E&amp;D</v>
      </c>
      <c r="C22" s="200" t="s">
        <v>183</v>
      </c>
      <c r="D22" s="200" t="s">
        <v>183</v>
      </c>
      <c r="E22" s="200" t="s">
        <v>183</v>
      </c>
      <c r="F22" s="314" t="str">
        <f t="shared" si="0"/>
        <v>CUMPLE</v>
      </c>
      <c r="G22" s="58"/>
    </row>
    <row r="23" spans="1:7" ht="18.75">
      <c r="A23" s="65">
        <f t="shared" si="1"/>
        <v>19</v>
      </c>
      <c r="B23" s="65" t="str">
        <f>'LISTA DE OFERENTES'!B22</f>
        <v xml:space="preserve">COVILCO INGENIERIA S.A.S </v>
      </c>
      <c r="C23" s="200" t="s">
        <v>183</v>
      </c>
      <c r="D23" s="200" t="s">
        <v>183</v>
      </c>
      <c r="E23" s="200" t="s">
        <v>183</v>
      </c>
      <c r="F23" s="314" t="str">
        <f t="shared" si="0"/>
        <v>CUMPLE</v>
      </c>
      <c r="G23" s="58"/>
    </row>
    <row r="24" spans="1:7" ht="18.75">
      <c r="A24" s="65">
        <f t="shared" si="1"/>
        <v>20</v>
      </c>
      <c r="B24" s="65" t="str">
        <f>'LISTA DE OFERENTES'!B23</f>
        <v>CONSORCIO PRO-TEV 24</v>
      </c>
      <c r="C24" s="200" t="s">
        <v>183</v>
      </c>
      <c r="D24" s="103" t="s">
        <v>183</v>
      </c>
      <c r="E24" s="200" t="s">
        <v>183</v>
      </c>
      <c r="F24" s="314" t="str">
        <f t="shared" si="0"/>
        <v>CUMPLE</v>
      </c>
      <c r="G24" s="58"/>
    </row>
    <row r="25" spans="1:7" ht="78.75">
      <c r="A25" s="234">
        <f>A24+1</f>
        <v>21</v>
      </c>
      <c r="B25" s="234" t="str">
        <f>'LISTA DE OFERENTES'!B24</f>
        <v>CONSORCIO INTER PARQUES ENGATIVA G&amp;L</v>
      </c>
      <c r="C25" s="265" t="s">
        <v>184</v>
      </c>
      <c r="D25" s="265" t="s">
        <v>184</v>
      </c>
      <c r="E25" s="265" t="s">
        <v>184</v>
      </c>
      <c r="F25" s="314" t="str">
        <f t="shared" si="0"/>
        <v>NO CUMPLE</v>
      </c>
      <c r="G25" s="269" t="s">
        <v>423</v>
      </c>
    </row>
    <row r="26" spans="1:7" ht="18.75">
      <c r="A26" s="65">
        <f t="shared" si="1"/>
        <v>22</v>
      </c>
      <c r="B26" s="65" t="str">
        <f>'LISTA DE OFERENTES'!B25</f>
        <v>SOLUCIONES PARA LA INGENIERÍA S.A.S.</v>
      </c>
      <c r="C26" s="200" t="s">
        <v>183</v>
      </c>
      <c r="D26" s="103" t="s">
        <v>183</v>
      </c>
      <c r="E26" s="200" t="s">
        <v>183</v>
      </c>
      <c r="F26" s="314" t="str">
        <f t="shared" si="0"/>
        <v>CUMPLE</v>
      </c>
      <c r="G26" s="64"/>
    </row>
    <row r="27" spans="1:7" ht="18.75">
      <c r="A27" s="65">
        <f t="shared" si="1"/>
        <v>23</v>
      </c>
      <c r="B27" s="65" t="str">
        <f>'LISTA DE OFERENTES'!B26</f>
        <v>CONSORCIO SAN MARTIN 795</v>
      </c>
      <c r="C27" s="200" t="s">
        <v>183</v>
      </c>
      <c r="D27" s="103" t="s">
        <v>183</v>
      </c>
      <c r="E27" s="200" t="s">
        <v>183</v>
      </c>
      <c r="F27" s="314" t="str">
        <f t="shared" si="0"/>
        <v>CUMPLE</v>
      </c>
      <c r="G27" s="58"/>
    </row>
    <row r="28" spans="1:7" ht="18.75">
      <c r="A28" s="65">
        <f t="shared" si="1"/>
        <v>24</v>
      </c>
      <c r="B28" s="65" t="str">
        <f>'LISTA DE OFERENTES'!B27</f>
        <v>CONSORCIO GTC INTERPARK</v>
      </c>
      <c r="C28" s="200" t="s">
        <v>183</v>
      </c>
      <c r="D28" s="103" t="s">
        <v>183</v>
      </c>
      <c r="E28" s="200" t="s">
        <v>183</v>
      </c>
      <c r="F28" s="314" t="str">
        <f t="shared" si="0"/>
        <v>CUMPLE</v>
      </c>
      <c r="G28" s="268"/>
    </row>
    <row r="29" spans="1:7" ht="18.75">
      <c r="A29" s="65">
        <f t="shared" si="1"/>
        <v>25</v>
      </c>
      <c r="B29" s="65" t="str">
        <f>'LISTA DE OFERENTES'!B28</f>
        <v>CIAF LTDA INGENIERIA</v>
      </c>
      <c r="C29" s="200" t="s">
        <v>183</v>
      </c>
      <c r="D29" s="103" t="s">
        <v>183</v>
      </c>
      <c r="E29" s="200" t="s">
        <v>183</v>
      </c>
      <c r="F29" s="314" t="str">
        <f t="shared" si="0"/>
        <v>CUMPLE</v>
      </c>
      <c r="G29" s="268"/>
    </row>
    <row r="30" spans="1:7" ht="18.75">
      <c r="A30" s="65">
        <f t="shared" si="1"/>
        <v>26</v>
      </c>
      <c r="B30" s="65" t="str">
        <f>'LISTA DE OFERENTES'!B29</f>
        <v>JESAK SAS</v>
      </c>
      <c r="C30" s="200" t="s">
        <v>183</v>
      </c>
      <c r="D30" s="103" t="s">
        <v>183</v>
      </c>
      <c r="E30" s="200" t="s">
        <v>183</v>
      </c>
      <c r="F30" s="314" t="str">
        <f t="shared" si="0"/>
        <v>CUMPLE</v>
      </c>
      <c r="G30" s="64"/>
    </row>
    <row r="31" spans="1:7" ht="18.75">
      <c r="A31" s="65">
        <f t="shared" si="1"/>
        <v>27</v>
      </c>
      <c r="B31" s="65" t="str">
        <f>'LISTA DE OFERENTES'!B30</f>
        <v>INTERVENTORIA Y CONSTRUCIVILES SAS</v>
      </c>
      <c r="C31" s="200" t="s">
        <v>183</v>
      </c>
      <c r="D31" s="103" t="s">
        <v>183</v>
      </c>
      <c r="E31" s="200" t="s">
        <v>183</v>
      </c>
      <c r="F31" s="314" t="str">
        <f t="shared" si="0"/>
        <v>CUMPLE</v>
      </c>
      <c r="G31" s="58"/>
    </row>
    <row r="32" spans="1:7" ht="18.75">
      <c r="A32" s="65">
        <f t="shared" si="1"/>
        <v>28</v>
      </c>
      <c r="B32" s="65" t="str">
        <f>'LISTA DE OFERENTES'!B31</f>
        <v>CONSORCIO INTER-PARQUES OCCIDENTE</v>
      </c>
      <c r="C32" s="200" t="s">
        <v>183</v>
      </c>
      <c r="D32" s="103" t="s">
        <v>183</v>
      </c>
      <c r="E32" s="200" t="s">
        <v>183</v>
      </c>
      <c r="F32" s="314" t="str">
        <f t="shared" si="0"/>
        <v>CUMPLE</v>
      </c>
      <c r="G32" s="268"/>
    </row>
    <row r="33" spans="1:7" ht="18.75">
      <c r="A33" s="65">
        <f t="shared" si="1"/>
        <v>29</v>
      </c>
      <c r="B33" s="65" t="str">
        <f>'LISTA DE OFERENTES'!B32</f>
        <v>CONSORCIO EPSILON ENGATIVA</v>
      </c>
      <c r="C33" s="200" t="s">
        <v>183</v>
      </c>
      <c r="D33" s="103" t="s">
        <v>183</v>
      </c>
      <c r="E33" s="200" t="s">
        <v>183</v>
      </c>
      <c r="F33" s="314" t="str">
        <f t="shared" si="0"/>
        <v>CUMPLE</v>
      </c>
      <c r="G33" s="268"/>
    </row>
    <row r="34" spans="1:7" ht="78.75">
      <c r="A34" s="234">
        <f t="shared" si="1"/>
        <v>30</v>
      </c>
      <c r="B34" s="234" t="str">
        <f>'LISTA DE OFERENTES'!B33</f>
        <v>CONSORCIO IA PLUS 2024</v>
      </c>
      <c r="C34" s="265" t="s">
        <v>184</v>
      </c>
      <c r="D34" s="265" t="s">
        <v>184</v>
      </c>
      <c r="E34" s="265" t="s">
        <v>184</v>
      </c>
      <c r="F34" s="314" t="str">
        <f t="shared" si="0"/>
        <v>NO CUMPLE</v>
      </c>
      <c r="G34" s="269" t="s">
        <v>424</v>
      </c>
    </row>
    <row r="35" spans="1:7" ht="18.75">
      <c r="A35" s="65">
        <f t="shared" si="1"/>
        <v>31</v>
      </c>
      <c r="B35" s="65" t="str">
        <f>'LISTA DE OFERENTES'!B34</f>
        <v>APP CONSULTORES &amp; ESTRUCTURADORES S.A.S</v>
      </c>
      <c r="C35" s="103" t="s">
        <v>183</v>
      </c>
      <c r="D35" s="103" t="s">
        <v>183</v>
      </c>
      <c r="E35" s="200" t="s">
        <v>183</v>
      </c>
      <c r="F35" s="315" t="str">
        <f t="shared" si="0"/>
        <v>CUMPLE</v>
      </c>
      <c r="G35" s="268"/>
    </row>
    <row r="36" spans="1:7" ht="18.75">
      <c r="A36" s="65">
        <f t="shared" si="1"/>
        <v>32</v>
      </c>
      <c r="B36" s="65" t="str">
        <f>'LISTA DE OFERENTES'!B35</f>
        <v xml:space="preserve">ARQUITECTURA URBANA LTDA </v>
      </c>
      <c r="C36" s="200" t="s">
        <v>183</v>
      </c>
      <c r="D36" s="103" t="s">
        <v>183</v>
      </c>
      <c r="E36" s="200" t="s">
        <v>183</v>
      </c>
      <c r="F36" s="314" t="str">
        <f t="shared" si="0"/>
        <v>CUMPLE</v>
      </c>
      <c r="G36" s="58"/>
    </row>
    <row r="37" spans="1:7" ht="18.75">
      <c r="A37" s="65">
        <f t="shared" si="1"/>
        <v>33</v>
      </c>
      <c r="B37" s="65" t="str">
        <f>'LISTA DE OFERENTES'!B36</f>
        <v>CONSORCIO TABORA</v>
      </c>
      <c r="C37" s="200" t="s">
        <v>183</v>
      </c>
      <c r="D37" s="103" t="s">
        <v>183</v>
      </c>
      <c r="E37" s="200" t="s">
        <v>183</v>
      </c>
      <c r="F37" s="314" t="str">
        <f t="shared" si="0"/>
        <v>CUMPLE</v>
      </c>
      <c r="G37" s="58"/>
    </row>
    <row r="38" spans="1:7" ht="18.75">
      <c r="A38" s="65">
        <f t="shared" si="1"/>
        <v>34</v>
      </c>
      <c r="B38" s="65" t="str">
        <f>'LISTA DE OFERENTES'!B37</f>
        <v>CONSORCIO CT</v>
      </c>
      <c r="C38" s="200" t="s">
        <v>183</v>
      </c>
      <c r="D38" s="103" t="s">
        <v>183</v>
      </c>
      <c r="E38" s="200" t="s">
        <v>183</v>
      </c>
      <c r="F38" s="314" t="str">
        <f t="shared" si="0"/>
        <v>CUMPLE</v>
      </c>
      <c r="G38" s="64"/>
    </row>
    <row r="39" spans="1:7" ht="94.5">
      <c r="A39" s="234">
        <f t="shared" si="1"/>
        <v>35</v>
      </c>
      <c r="B39" s="234" t="str">
        <f>'LISTA DE OFERENTES'!B38</f>
        <v xml:space="preserve">CONSORCIO INVIMAZ 2024 </v>
      </c>
      <c r="C39" s="265" t="s">
        <v>184</v>
      </c>
      <c r="D39" s="265" t="s">
        <v>184</v>
      </c>
      <c r="E39" s="265" t="s">
        <v>184</v>
      </c>
      <c r="F39" s="314" t="str">
        <f t="shared" si="0"/>
        <v>NO CUMPLE</v>
      </c>
      <c r="G39" s="236" t="s">
        <v>345</v>
      </c>
    </row>
    <row r="40" spans="1:7" ht="18.75">
      <c r="A40" s="65">
        <f t="shared" si="1"/>
        <v>36</v>
      </c>
      <c r="B40" s="65" t="str">
        <f>'LISTA DE OFERENTES'!B39</f>
        <v>CONSORCIO CONSULTORES ENGATIVA</v>
      </c>
      <c r="C40" s="200" t="s">
        <v>183</v>
      </c>
      <c r="D40" s="103" t="s">
        <v>183</v>
      </c>
      <c r="E40" s="200" t="s">
        <v>183</v>
      </c>
      <c r="F40" s="314" t="str">
        <f t="shared" si="0"/>
        <v>CUMPLE</v>
      </c>
      <c r="G40" s="268"/>
    </row>
    <row r="41" spans="1:7" ht="18.75">
      <c r="A41" s="65">
        <f t="shared" si="1"/>
        <v>37</v>
      </c>
      <c r="B41" s="65" t="str">
        <f>'LISTA DE OFERENTES'!B40</f>
        <v>PROYECTOS DE DESARROLLO E INFRAESTRUCTURA COLOMBIA S.A.S. – PRODEINCOL S.A.S.</v>
      </c>
      <c r="C41" s="200" t="s">
        <v>183</v>
      </c>
      <c r="D41" s="103" t="s">
        <v>183</v>
      </c>
      <c r="E41" s="200" t="s">
        <v>183</v>
      </c>
      <c r="F41" s="314" t="str">
        <f t="shared" si="0"/>
        <v>CUMPLE</v>
      </c>
      <c r="G41" s="64"/>
    </row>
    <row r="42" spans="1:7" ht="18.75">
      <c r="A42" s="65">
        <f t="shared" si="1"/>
        <v>38</v>
      </c>
      <c r="B42" s="65" t="str">
        <f>'LISTA DE OFERENTES'!B41</f>
        <v>R&amp;M CONSTRUCCIONES E INTERVENTORIAS S.A.S.</v>
      </c>
      <c r="C42" s="200" t="s">
        <v>183</v>
      </c>
      <c r="D42" s="103" t="s">
        <v>183</v>
      </c>
      <c r="E42" s="200" t="s">
        <v>183</v>
      </c>
      <c r="F42" s="314" t="str">
        <f t="shared" si="0"/>
        <v>CUMPLE</v>
      </c>
      <c r="G42" s="64"/>
    </row>
    <row r="43" spans="1:7" ht="78.75">
      <c r="A43" s="234">
        <f t="shared" si="1"/>
        <v>39</v>
      </c>
      <c r="B43" s="234" t="str">
        <f>'LISTA DE OFERENTES'!B42</f>
        <v>CONSORCIO ALMA – INTERNOVAC</v>
      </c>
      <c r="C43" s="265" t="s">
        <v>184</v>
      </c>
      <c r="D43" s="265" t="s">
        <v>184</v>
      </c>
      <c r="E43" s="265" t="s">
        <v>184</v>
      </c>
      <c r="F43" s="314" t="str">
        <f t="shared" si="0"/>
        <v>NO CUMPLE</v>
      </c>
      <c r="G43" s="269" t="s">
        <v>425</v>
      </c>
    </row>
    <row r="44" spans="1:7" ht="193.5" customHeight="1">
      <c r="A44" s="65">
        <f t="shared" si="1"/>
        <v>40</v>
      </c>
      <c r="B44" s="65" t="str">
        <f>'LISTA DE OFERENTES'!B43</f>
        <v>R&amp;Y GRUP SAS</v>
      </c>
      <c r="C44" s="265" t="s">
        <v>184</v>
      </c>
      <c r="D44" s="103" t="s">
        <v>183</v>
      </c>
      <c r="E44" s="265" t="s">
        <v>184</v>
      </c>
      <c r="F44" s="314" t="s">
        <v>432</v>
      </c>
      <c r="G44" s="64" t="s">
        <v>497</v>
      </c>
    </row>
    <row r="45" spans="1:7" ht="18.75">
      <c r="A45" s="65">
        <f>A44+1</f>
        <v>41</v>
      </c>
      <c r="B45" s="65" t="str">
        <f>'LISTA DE OFERENTES'!B44</f>
        <v>CONSORCIO PROYECTOS 2024</v>
      </c>
      <c r="C45" s="200" t="s">
        <v>183</v>
      </c>
      <c r="D45" s="103" t="s">
        <v>183</v>
      </c>
      <c r="E45" s="103" t="s">
        <v>183</v>
      </c>
      <c r="F45" s="314" t="str">
        <f t="shared" si="0"/>
        <v>CUMPLE</v>
      </c>
      <c r="G45" s="58"/>
    </row>
    <row r="46" spans="1:7" ht="18.75">
      <c r="A46" s="65">
        <f t="shared" si="1"/>
        <v>42</v>
      </c>
      <c r="B46" s="65" t="str">
        <f>'LISTA DE OFERENTES'!B45</f>
        <v>CONSORCIO INTERVENTORES S&amp;C</v>
      </c>
      <c r="C46" s="200" t="s">
        <v>183</v>
      </c>
      <c r="D46" s="103" t="s">
        <v>183</v>
      </c>
      <c r="E46" s="200" t="s">
        <v>183</v>
      </c>
      <c r="F46" s="314" t="str">
        <f t="shared" si="0"/>
        <v>CUMPLE</v>
      </c>
      <c r="G46" s="268"/>
    </row>
    <row r="47" spans="1:7" ht="18.75">
      <c r="A47" s="65">
        <f t="shared" si="1"/>
        <v>43</v>
      </c>
      <c r="B47" s="65" t="str">
        <f>'LISTA DE OFERENTES'!B46</f>
        <v>CONSORCIO MOSCU</v>
      </c>
      <c r="C47" s="200" t="s">
        <v>183</v>
      </c>
      <c r="D47" s="103" t="s">
        <v>183</v>
      </c>
      <c r="E47" s="200" t="s">
        <v>183</v>
      </c>
      <c r="F47" s="314" t="str">
        <f t="shared" si="0"/>
        <v>CUMPLE</v>
      </c>
      <c r="G47" s="58"/>
    </row>
    <row r="48" spans="1:7" ht="31.5">
      <c r="A48" s="65">
        <f t="shared" si="1"/>
        <v>44</v>
      </c>
      <c r="B48" s="65" t="str">
        <f>'LISTA DE OFERENTES'!B47</f>
        <v>CONSORCIO SAIEC</v>
      </c>
      <c r="C48" s="200" t="s">
        <v>183</v>
      </c>
      <c r="D48" s="265" t="s">
        <v>184</v>
      </c>
      <c r="E48" s="200" t="s">
        <v>183</v>
      </c>
      <c r="F48" s="314" t="str">
        <f t="shared" si="0"/>
        <v>NO CUMPLE</v>
      </c>
      <c r="G48" s="64" t="s">
        <v>422</v>
      </c>
    </row>
    <row r="49" spans="1:7" ht="18.75">
      <c r="A49" s="65">
        <f t="shared" si="1"/>
        <v>45</v>
      </c>
      <c r="B49" s="65" t="str">
        <f>'LISTA DE OFERENTES'!B48</f>
        <v>CONSORCIO IDEA</v>
      </c>
      <c r="C49" s="200" t="s">
        <v>183</v>
      </c>
      <c r="D49" s="103" t="s">
        <v>183</v>
      </c>
      <c r="E49" s="200" t="s">
        <v>183</v>
      </c>
      <c r="F49" s="314" t="str">
        <f t="shared" si="0"/>
        <v>CUMPLE</v>
      </c>
      <c r="G49" s="58"/>
    </row>
    <row r="50" spans="1:7" ht="18.75">
      <c r="A50" s="65">
        <f t="shared" si="1"/>
        <v>46</v>
      </c>
      <c r="B50" s="65" t="str">
        <f>'LISTA DE OFERENTES'!B49</f>
        <v>CONSORCIO ENGATIVA JINT 95</v>
      </c>
      <c r="C50" s="200" t="s">
        <v>183</v>
      </c>
      <c r="D50" s="103" t="s">
        <v>183</v>
      </c>
      <c r="E50" s="200" t="s">
        <v>183</v>
      </c>
      <c r="F50" s="314" t="str">
        <f t="shared" si="0"/>
        <v>CUMPLE</v>
      </c>
      <c r="G50" s="268"/>
    </row>
  </sheetData>
  <sheetProtection algorithmName="SHA-512" hashValue="V9/e7+MblvLTr+EVvudPLtNLK54CXlSLreQZc1GgSy5pZBRzNo10vljV94gyBGftCqZD78LbG3j+TUgT2SPp8w==" saltValue="eR52DNLTkT8IfUAxlUuchw==" spinCount="100000" sheet="1" objects="1" scenarios="1"/>
  <mergeCells count="3">
    <mergeCell ref="A1:G1"/>
    <mergeCell ref="A2:G2"/>
    <mergeCell ref="A3:G3"/>
  </mergeCells>
  <conditionalFormatting sqref="C35">
    <cfRule type="containsText" dxfId="53" priority="3" operator="containsText" text="NO CUMPLE">
      <formula>NOT(ISERROR(SEARCH("NO CUMPLE",C35)))</formula>
    </cfRule>
    <cfRule type="containsText" dxfId="52" priority="4" operator="containsText" text="CUMPLE">
      <formula>NOT(ISERROR(SEARCH("CUMPLE",C35)))</formula>
    </cfRule>
  </conditionalFormatting>
  <conditionalFormatting sqref="C6:E8">
    <cfRule type="containsText" dxfId="51" priority="1" operator="containsText" text="NO CUMPLE">
      <formula>NOT(ISERROR(SEARCH("NO CUMPLE",C6)))</formula>
    </cfRule>
    <cfRule type="containsText" dxfId="50" priority="2" operator="containsText" text="CUMPLE">
      <formula>NOT(ISERROR(SEARCH("CUMPLE",C6)))</formula>
    </cfRule>
  </conditionalFormatting>
  <conditionalFormatting sqref="C10:E14">
    <cfRule type="containsText" dxfId="49" priority="21" operator="containsText" text="NO CUMPLE">
      <formula>NOT(ISERROR(SEARCH("NO CUMPLE",C10)))</formula>
    </cfRule>
    <cfRule type="containsText" dxfId="48" priority="22" operator="containsText" text="CUMPLE">
      <formula>NOT(ISERROR(SEARCH("CUMPLE",C10)))</formula>
    </cfRule>
  </conditionalFormatting>
  <conditionalFormatting sqref="C5:F5 F6:F50 D24 D35:D38 D40:D42 D44:D47 D49:D50">
    <cfRule type="containsText" dxfId="47" priority="73" operator="containsText" text="NO CUMPLE">
      <formula>NOT(ISERROR(SEARCH("NO CUMPLE",C5)))</formula>
    </cfRule>
    <cfRule type="containsText" dxfId="46" priority="74" operator="containsText" text="CUMPLE">
      <formula>NOT(ISERROR(SEARCH("CUMPLE",C5)))</formula>
    </cfRule>
  </conditionalFormatting>
  <conditionalFormatting sqref="D16">
    <cfRule type="containsText" dxfId="45" priority="9" operator="containsText" text="NO CUMPLE">
      <formula>NOT(ISERROR(SEARCH("NO CUMPLE",D16)))</formula>
    </cfRule>
    <cfRule type="containsText" dxfId="44" priority="10" operator="containsText" text="CUMPLE">
      <formula>NOT(ISERROR(SEARCH("CUMPLE",D16)))</formula>
    </cfRule>
  </conditionalFormatting>
  <conditionalFormatting sqref="D26:D33">
    <cfRule type="containsText" dxfId="43" priority="5" operator="containsText" text="NO CUMPLE">
      <formula>NOT(ISERROR(SEARCH("NO CUMPLE",D26)))</formula>
    </cfRule>
    <cfRule type="containsText" dxfId="42" priority="6" operator="containsText" text="CUMPLE">
      <formula>NOT(ISERROR(SEARCH("CUMPLE",D26)))</formula>
    </cfRule>
  </conditionalFormatting>
  <conditionalFormatting sqref="D9:E9">
    <cfRule type="containsText" dxfId="41" priority="11" operator="containsText" text="NO CUMPLE">
      <formula>NOT(ISERROR(SEARCH("NO CUMPLE",D9)))</formula>
    </cfRule>
    <cfRule type="containsText" dxfId="40" priority="12" operator="containsText" text="CUMPLE">
      <formula>NOT(ISERROR(SEARCH("CUMPLE",D9)))</formula>
    </cfRule>
  </conditionalFormatting>
  <conditionalFormatting sqref="E15">
    <cfRule type="containsText" dxfId="39" priority="19" operator="containsText" text="NO CUMPLE">
      <formula>NOT(ISERROR(SEARCH("NO CUMPLE",E15)))</formula>
    </cfRule>
    <cfRule type="containsText" dxfId="38" priority="20" operator="containsText" text="CUMPLE">
      <formula>NOT(ISERROR(SEARCH("CUMPLE",E15)))</formula>
    </cfRule>
  </conditionalFormatting>
  <conditionalFormatting sqref="E17:E18">
    <cfRule type="containsText" dxfId="37" priority="15" operator="containsText" text="NO CUMPLE">
      <formula>NOT(ISERROR(SEARCH("NO CUMPLE",E17)))</formula>
    </cfRule>
    <cfRule type="containsText" dxfId="36" priority="16" operator="containsText" text="CUMPLE">
      <formula>NOT(ISERROR(SEARCH("CUMPLE",E17)))</formula>
    </cfRule>
  </conditionalFormatting>
  <conditionalFormatting sqref="E21">
    <cfRule type="containsText" dxfId="35" priority="13" operator="containsText" text="NO CUMPLE">
      <formula>NOT(ISERROR(SEARCH("NO CUMPLE",E21)))</formula>
    </cfRule>
    <cfRule type="containsText" dxfId="34" priority="14" operator="containsText" text="CUMPLE">
      <formula>NOT(ISERROR(SEARCH("CUMPLE",E21)))</formula>
    </cfRule>
  </conditionalFormatting>
  <conditionalFormatting sqref="E45">
    <cfRule type="containsText" dxfId="33" priority="67" operator="containsText" text="NO CUMPLE">
      <formula>NOT(ISERROR(SEARCH("NO CUMPLE",E45)))</formula>
    </cfRule>
    <cfRule type="containsText" dxfId="32" priority="68" operator="containsText" text="CUMPLE">
      <formula>NOT(ISERROR(SEARCH("CUMPLE",E45)))</formula>
    </cfRule>
  </conditionalFormatting>
  <pageMargins left="0.7" right="0.7" top="0.75" bottom="0.75" header="0.3" footer="0.3"/>
  <pageSetup paperSize="9" scale="2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tint="-0.249977111117893"/>
  </sheetPr>
  <dimension ref="A1:G51"/>
  <sheetViews>
    <sheetView view="pageBreakPreview" zoomScale="70" zoomScaleNormal="85" zoomScaleSheetLayoutView="70" workbookViewId="0">
      <selection activeCell="A2" sqref="A2:G2"/>
    </sheetView>
  </sheetViews>
  <sheetFormatPr baseColWidth="10" defaultColWidth="9.140625" defaultRowHeight="15"/>
  <cols>
    <col min="1" max="1" width="5.140625" style="7" customWidth="1"/>
    <col min="2" max="2" width="114" style="17" bestFit="1" customWidth="1"/>
    <col min="3" max="3" width="17.7109375" style="7" customWidth="1"/>
    <col min="4" max="4" width="17.140625" style="7" customWidth="1"/>
    <col min="5" max="5" width="17.7109375" style="7" bestFit="1" customWidth="1"/>
    <col min="6" max="6" width="23.28515625" style="7" bestFit="1" customWidth="1"/>
    <col min="7" max="7" width="94" style="16" customWidth="1"/>
    <col min="8" max="8" width="9.140625" style="7"/>
    <col min="9" max="9" width="49" style="7" customWidth="1"/>
    <col min="10" max="10" width="18.42578125" style="7" customWidth="1"/>
    <col min="11" max="16384" width="9.140625" style="7"/>
  </cols>
  <sheetData>
    <row r="1" spans="1:7" ht="37.5" customHeight="1" thickBot="1">
      <c r="A1" s="465" t="s">
        <v>0</v>
      </c>
      <c r="B1" s="466"/>
      <c r="C1" s="466"/>
      <c r="D1" s="466"/>
      <c r="E1" s="466"/>
      <c r="F1" s="467"/>
      <c r="G1" s="468"/>
    </row>
    <row r="2" spans="1:7" ht="31.5" customHeight="1" thickBot="1">
      <c r="A2" s="465" t="s">
        <v>1</v>
      </c>
      <c r="B2" s="466"/>
      <c r="C2" s="466"/>
      <c r="D2" s="466"/>
      <c r="E2" s="466"/>
      <c r="F2" s="467"/>
      <c r="G2" s="468"/>
    </row>
    <row r="3" spans="1:7" ht="95.25" customHeight="1" thickBot="1">
      <c r="A3" s="469" t="s">
        <v>426</v>
      </c>
      <c r="B3" s="470"/>
      <c r="C3" s="470"/>
      <c r="D3" s="470"/>
      <c r="E3" s="470"/>
      <c r="F3" s="471"/>
      <c r="G3" s="472"/>
    </row>
    <row r="4" spans="1:7" ht="13.9" customHeight="1" thickBot="1">
      <c r="A4" s="94"/>
      <c r="B4" s="22"/>
      <c r="C4" s="21"/>
      <c r="D4" s="21"/>
      <c r="E4" s="20"/>
      <c r="F4" s="19"/>
      <c r="G4" s="18"/>
    </row>
    <row r="5" spans="1:7" ht="45.75" customHeight="1" thickBot="1">
      <c r="A5" s="173" t="s">
        <v>2</v>
      </c>
      <c r="B5" s="187" t="s">
        <v>427</v>
      </c>
      <c r="C5" s="173" t="s">
        <v>428</v>
      </c>
      <c r="D5" s="173" t="s">
        <v>429</v>
      </c>
      <c r="E5" s="173" t="s">
        <v>430</v>
      </c>
      <c r="F5" s="188" t="s">
        <v>431</v>
      </c>
      <c r="G5" s="173" t="s">
        <v>10</v>
      </c>
    </row>
    <row r="6" spans="1:7" ht="45">
      <c r="A6" s="170">
        <v>1</v>
      </c>
      <c r="B6" s="171" t="str">
        <f>'LISTA DE OFERENTES'!B4</f>
        <v>CONSORCIO PARQUES IA</v>
      </c>
      <c r="C6" s="172" t="s">
        <v>184</v>
      </c>
      <c r="D6" s="172" t="s">
        <v>184</v>
      </c>
      <c r="E6" s="172" t="s">
        <v>184</v>
      </c>
      <c r="F6" s="361" t="s">
        <v>432</v>
      </c>
      <c r="G6" s="271" t="s">
        <v>433</v>
      </c>
    </row>
    <row r="7" spans="1:7" ht="18.75">
      <c r="A7" s="165">
        <v>2</v>
      </c>
      <c r="B7" s="166" t="str">
        <f>'LISTA DE OFERENTES'!B5</f>
        <v>CONSORCIO METRO CINCO</v>
      </c>
      <c r="C7" s="231" t="s">
        <v>183</v>
      </c>
      <c r="D7" s="231" t="s">
        <v>183</v>
      </c>
      <c r="E7" s="231" t="s">
        <v>183</v>
      </c>
      <c r="F7" s="361" t="str">
        <f>IF(AND(C7="CUMPLE",D7="CUMPLE",E7="CUMPLE"),"HABILITADO","NO HABILITADO")</f>
        <v>HABILITADO</v>
      </c>
      <c r="G7" s="167"/>
    </row>
    <row r="8" spans="1:7" ht="18.75">
      <c r="A8" s="165">
        <v>3</v>
      </c>
      <c r="B8" s="166" t="str">
        <f>'LISTA DE OFERENTES'!B6</f>
        <v xml:space="preserve"> HR INGENIERIA SAS</v>
      </c>
      <c r="C8" s="231" t="s">
        <v>183</v>
      </c>
      <c r="D8" s="231" t="s">
        <v>183</v>
      </c>
      <c r="E8" s="231" t="s">
        <v>184</v>
      </c>
      <c r="F8" s="361" t="str">
        <f t="shared" ref="F8:F51" si="0">IF(AND(C8="CUMPLE",D8="CUMPLE",E8="CUMPLE"),"HABILITADO","NO HABILITADO")</f>
        <v>NO HABILITADO</v>
      </c>
      <c r="G8" s="272" t="s">
        <v>434</v>
      </c>
    </row>
    <row r="9" spans="1:7" ht="18.75">
      <c r="A9" s="165">
        <v>4</v>
      </c>
      <c r="B9" s="166" t="str">
        <f>'LISTA DE OFERENTES'!B7</f>
        <v xml:space="preserve"> INGECO INGENIERIA DE CONSTRUCCIONES S.A.S</v>
      </c>
      <c r="C9" s="231" t="s">
        <v>183</v>
      </c>
      <c r="D9" s="231" t="s">
        <v>183</v>
      </c>
      <c r="E9" s="231" t="s">
        <v>183</v>
      </c>
      <c r="F9" s="361" t="str">
        <f t="shared" si="0"/>
        <v>HABILITADO</v>
      </c>
      <c r="G9" s="167"/>
    </row>
    <row r="10" spans="1:7" ht="18.75">
      <c r="A10" s="165">
        <v>5</v>
      </c>
      <c r="B10" s="166" t="str">
        <f>'LISTA DE OFERENTES'!B8</f>
        <v>A&amp;G PLUS SAS BIC</v>
      </c>
      <c r="C10" s="231" t="s">
        <v>183</v>
      </c>
      <c r="D10" s="231" t="s">
        <v>183</v>
      </c>
      <c r="E10" s="231" t="s">
        <v>184</v>
      </c>
      <c r="F10" s="361" t="str">
        <f t="shared" si="0"/>
        <v>NO HABILITADO</v>
      </c>
      <c r="G10" s="272" t="s">
        <v>434</v>
      </c>
    </row>
    <row r="11" spans="1:7" ht="18.75">
      <c r="A11" s="165">
        <v>6</v>
      </c>
      <c r="B11" s="166" t="str">
        <f>'LISTA DE OFERENTES'!B9</f>
        <v>CONSORCIO PARQUES ENGATIVÁ 2025</v>
      </c>
      <c r="C11" s="231" t="s">
        <v>183</v>
      </c>
      <c r="D11" s="231" t="s">
        <v>183</v>
      </c>
      <c r="E11" s="231" t="s">
        <v>183</v>
      </c>
      <c r="F11" s="361" t="str">
        <f t="shared" si="0"/>
        <v>HABILITADO</v>
      </c>
      <c r="G11" s="167"/>
    </row>
    <row r="12" spans="1:7" ht="18.75">
      <c r="A12" s="165">
        <v>7</v>
      </c>
      <c r="B12" s="166" t="str">
        <f>'LISTA DE OFERENTES'!B10</f>
        <v>CONSULTORA COLOMBIANA TRIPLE C S.A.S BIC</v>
      </c>
      <c r="C12" s="231" t="s">
        <v>183</v>
      </c>
      <c r="D12" s="231" t="s">
        <v>183</v>
      </c>
      <c r="E12" s="231" t="s">
        <v>183</v>
      </c>
      <c r="F12" s="361" t="str">
        <f t="shared" si="0"/>
        <v>HABILITADO</v>
      </c>
      <c r="G12" s="167"/>
    </row>
    <row r="13" spans="1:7" ht="18.75">
      <c r="A13" s="165">
        <v>8</v>
      </c>
      <c r="B13" s="166" t="str">
        <f>'LISTA DE OFERENTES'!B11</f>
        <v xml:space="preserve">CONSULTORES, DESARROLLO Y AMBIENTE SAS BIC </v>
      </c>
      <c r="C13" s="231" t="s">
        <v>183</v>
      </c>
      <c r="D13" s="231" t="s">
        <v>183</v>
      </c>
      <c r="E13" s="231" t="s">
        <v>183</v>
      </c>
      <c r="F13" s="361" t="str">
        <f t="shared" si="0"/>
        <v>HABILITADO</v>
      </c>
      <c r="G13" s="168"/>
    </row>
    <row r="14" spans="1:7" ht="18.75">
      <c r="A14" s="165">
        <v>9</v>
      </c>
      <c r="B14" s="166" t="str">
        <f>'LISTA DE OFERENTES'!B12</f>
        <v>CONSORCIO BOGOTÁ</v>
      </c>
      <c r="C14" s="231" t="s">
        <v>183</v>
      </c>
      <c r="D14" s="231" t="s">
        <v>183</v>
      </c>
      <c r="E14" s="231" t="s">
        <v>183</v>
      </c>
      <c r="F14" s="361" t="str">
        <f t="shared" si="0"/>
        <v>HABILITADO</v>
      </c>
      <c r="G14" s="167"/>
    </row>
    <row r="15" spans="1:7" ht="30">
      <c r="A15" s="165">
        <v>10</v>
      </c>
      <c r="B15" s="166" t="str">
        <f>'LISTA DE OFERENTES'!B13</f>
        <v>LOS ROSALES CONSTRUCTORA INMOBILIARIA SAS</v>
      </c>
      <c r="C15" s="231" t="s">
        <v>183</v>
      </c>
      <c r="D15" s="231" t="s">
        <v>183</v>
      </c>
      <c r="E15" s="231" t="s">
        <v>184</v>
      </c>
      <c r="F15" s="361" t="s">
        <v>432</v>
      </c>
      <c r="G15" s="272" t="s">
        <v>498</v>
      </c>
    </row>
    <row r="16" spans="1:7" ht="18.75">
      <c r="A16" s="165">
        <v>11</v>
      </c>
      <c r="B16" s="166" t="str">
        <f>'LISTA DE OFERENTES'!B14</f>
        <v>CONSORCIO PARQUES JAPG 2024</v>
      </c>
      <c r="C16" s="231" t="s">
        <v>183</v>
      </c>
      <c r="D16" s="231" t="s">
        <v>183</v>
      </c>
      <c r="E16" s="231" t="s">
        <v>183</v>
      </c>
      <c r="F16" s="361" t="str">
        <f t="shared" si="0"/>
        <v>HABILITADO</v>
      </c>
      <c r="G16" s="272"/>
    </row>
    <row r="17" spans="1:7" ht="18.75">
      <c r="A17" s="165">
        <v>12</v>
      </c>
      <c r="B17" s="166" t="str">
        <f>'LISTA DE OFERENTES'!B15</f>
        <v>ESTUDIOS TÉCNICOS Y CONSTRUCCIONES SAS</v>
      </c>
      <c r="C17" s="231" t="s">
        <v>183</v>
      </c>
      <c r="D17" s="231" t="s">
        <v>183</v>
      </c>
      <c r="E17" s="231" t="s">
        <v>184</v>
      </c>
      <c r="F17" s="361" t="str">
        <f t="shared" si="0"/>
        <v>NO HABILITADO</v>
      </c>
      <c r="G17" s="272" t="s">
        <v>434</v>
      </c>
    </row>
    <row r="18" spans="1:7" ht="18.75">
      <c r="A18" s="165">
        <v>13</v>
      </c>
      <c r="B18" s="166" t="str">
        <f>'LISTA DE OFERENTES'!B16</f>
        <v>CONSORCIO SIGMA</v>
      </c>
      <c r="C18" s="231" t="s">
        <v>183</v>
      </c>
      <c r="D18" s="231" t="s">
        <v>183</v>
      </c>
      <c r="E18" s="231" t="s">
        <v>183</v>
      </c>
      <c r="F18" s="361" t="str">
        <f t="shared" si="0"/>
        <v>HABILITADO</v>
      </c>
      <c r="G18" s="272"/>
    </row>
    <row r="19" spans="1:7" ht="18.75">
      <c r="A19" s="165">
        <v>14</v>
      </c>
      <c r="B19" s="166" t="str">
        <f>'LISTA DE OFERENTES'!B17</f>
        <v>PROJEKTA LTDA. INGENIEROS CONSULTORES</v>
      </c>
      <c r="C19" s="231" t="s">
        <v>183</v>
      </c>
      <c r="D19" s="231" t="s">
        <v>183</v>
      </c>
      <c r="E19" s="231" t="s">
        <v>183</v>
      </c>
      <c r="F19" s="361" t="str">
        <f t="shared" si="0"/>
        <v>HABILITADO</v>
      </c>
      <c r="G19" s="272"/>
    </row>
    <row r="20" spans="1:7" ht="18.75">
      <c r="A20" s="165">
        <v>15</v>
      </c>
      <c r="B20" s="166" t="str">
        <f>'LISTA DE OFERENTES'!B18</f>
        <v>PRAN CONSTRUCCIONES S.A.S.</v>
      </c>
      <c r="C20" s="231" t="s">
        <v>183</v>
      </c>
      <c r="D20" s="231" t="s">
        <v>183</v>
      </c>
      <c r="E20" s="231" t="s">
        <v>183</v>
      </c>
      <c r="F20" s="361" t="str">
        <f t="shared" si="0"/>
        <v>HABILITADO</v>
      </c>
      <c r="G20" s="272"/>
    </row>
    <row r="21" spans="1:7" ht="18.75">
      <c r="A21" s="165">
        <v>16</v>
      </c>
      <c r="B21" s="166" t="str">
        <f>'LISTA DE OFERENTES'!B19</f>
        <v>CONSORCIO INTER 1</v>
      </c>
      <c r="C21" s="231" t="s">
        <v>183</v>
      </c>
      <c r="D21" s="231" t="s">
        <v>183</v>
      </c>
      <c r="E21" s="231" t="s">
        <v>183</v>
      </c>
      <c r="F21" s="361" t="str">
        <f t="shared" si="0"/>
        <v>HABILITADO</v>
      </c>
      <c r="G21" s="272"/>
    </row>
    <row r="22" spans="1:7" ht="18.75">
      <c r="A22" s="165">
        <v>17</v>
      </c>
      <c r="B22" s="166" t="str">
        <f>'LISTA DE OFERENTES'!B20</f>
        <v>CONSORCIO EG-795 KM</v>
      </c>
      <c r="C22" s="231" t="s">
        <v>183</v>
      </c>
      <c r="D22" s="231" t="s">
        <v>183</v>
      </c>
      <c r="E22" s="231" t="s">
        <v>183</v>
      </c>
      <c r="F22" s="361" t="str">
        <f t="shared" si="0"/>
        <v>HABILITADO</v>
      </c>
      <c r="G22" s="272"/>
    </row>
    <row r="23" spans="1:7" ht="18.75">
      <c r="A23" s="165">
        <v>18</v>
      </c>
      <c r="B23" s="166" t="str">
        <f>'LISTA DE OFERENTES'!B21</f>
        <v>CONSORCIO INTERENGATIVA E&amp;D</v>
      </c>
      <c r="C23" s="231" t="s">
        <v>183</v>
      </c>
      <c r="D23" s="231" t="s">
        <v>183</v>
      </c>
      <c r="E23" s="231" t="s">
        <v>183</v>
      </c>
      <c r="F23" s="361" t="str">
        <f t="shared" si="0"/>
        <v>HABILITADO</v>
      </c>
      <c r="G23" s="169"/>
    </row>
    <row r="24" spans="1:7" ht="18.75">
      <c r="A24" s="165">
        <v>19</v>
      </c>
      <c r="B24" s="166" t="str">
        <f>'LISTA DE OFERENTES'!B22</f>
        <v xml:space="preserve">COVILCO INGENIERIA S.A.S </v>
      </c>
      <c r="C24" s="231" t="s">
        <v>183</v>
      </c>
      <c r="D24" s="231" t="s">
        <v>183</v>
      </c>
      <c r="E24" s="231" t="s">
        <v>183</v>
      </c>
      <c r="F24" s="361" t="str">
        <f t="shared" si="0"/>
        <v>HABILITADO</v>
      </c>
      <c r="G24" s="169"/>
    </row>
    <row r="25" spans="1:7" ht="18.75">
      <c r="A25" s="165">
        <v>20</v>
      </c>
      <c r="B25" s="166" t="str">
        <f>'LISTA DE OFERENTES'!B23</f>
        <v>CONSORCIO PRO-TEV 24</v>
      </c>
      <c r="C25" s="231" t="s">
        <v>183</v>
      </c>
      <c r="D25" s="231" t="s">
        <v>183</v>
      </c>
      <c r="E25" s="231" t="s">
        <v>183</v>
      </c>
      <c r="F25" s="361" t="str">
        <f t="shared" si="0"/>
        <v>HABILITADO</v>
      </c>
      <c r="G25" s="169"/>
    </row>
    <row r="26" spans="1:7" ht="45">
      <c r="A26" s="165">
        <v>21</v>
      </c>
      <c r="B26" s="166" t="str">
        <f>'LISTA DE OFERENTES'!B24</f>
        <v>CONSORCIO INTER PARQUES ENGATIVA G&amp;L</v>
      </c>
      <c r="C26" s="172" t="s">
        <v>184</v>
      </c>
      <c r="D26" s="231" t="s">
        <v>184</v>
      </c>
      <c r="E26" s="231" t="s">
        <v>184</v>
      </c>
      <c r="F26" s="361" t="s">
        <v>432</v>
      </c>
      <c r="G26" s="271" t="s">
        <v>433</v>
      </c>
    </row>
    <row r="27" spans="1:7" ht="18.75">
      <c r="A27" s="165">
        <v>22</v>
      </c>
      <c r="B27" s="166" t="str">
        <f>'LISTA DE OFERENTES'!B25</f>
        <v>SOLUCIONES PARA LA INGENIERÍA S.A.S.</v>
      </c>
      <c r="C27" s="231" t="s">
        <v>183</v>
      </c>
      <c r="D27" s="231" t="s">
        <v>183</v>
      </c>
      <c r="E27" s="231" t="s">
        <v>183</v>
      </c>
      <c r="F27" s="361" t="str">
        <f t="shared" si="0"/>
        <v>HABILITADO</v>
      </c>
      <c r="G27" s="272"/>
    </row>
    <row r="28" spans="1:7" ht="18.75">
      <c r="A28" s="165">
        <v>23</v>
      </c>
      <c r="B28" s="166" t="str">
        <f>'LISTA DE OFERENTES'!B26</f>
        <v>CONSORCIO SAN MARTIN 795</v>
      </c>
      <c r="C28" s="231" t="s">
        <v>183</v>
      </c>
      <c r="D28" s="231" t="s">
        <v>183</v>
      </c>
      <c r="E28" s="231" t="s">
        <v>183</v>
      </c>
      <c r="F28" s="361" t="str">
        <f t="shared" si="0"/>
        <v>HABILITADO</v>
      </c>
      <c r="G28" s="169"/>
    </row>
    <row r="29" spans="1:7" ht="18.75">
      <c r="A29" s="165">
        <v>24</v>
      </c>
      <c r="B29" s="166" t="str">
        <f>'LISTA DE OFERENTES'!B27</f>
        <v>CONSORCIO GTC INTERPARK</v>
      </c>
      <c r="C29" s="231" t="s">
        <v>183</v>
      </c>
      <c r="D29" s="231" t="s">
        <v>183</v>
      </c>
      <c r="E29" s="231" t="s">
        <v>183</v>
      </c>
      <c r="F29" s="361" t="str">
        <f t="shared" si="0"/>
        <v>HABILITADO</v>
      </c>
      <c r="G29" s="272"/>
    </row>
    <row r="30" spans="1:7" ht="18.75">
      <c r="A30" s="165">
        <v>25</v>
      </c>
      <c r="B30" s="166" t="str">
        <f>'LISTA DE OFERENTES'!B28</f>
        <v>CIAF LTDA INGENIERIA</v>
      </c>
      <c r="C30" s="231" t="s">
        <v>183</v>
      </c>
      <c r="D30" s="231" t="s">
        <v>183</v>
      </c>
      <c r="E30" s="231" t="s">
        <v>183</v>
      </c>
      <c r="F30" s="361" t="str">
        <f t="shared" si="0"/>
        <v>HABILITADO</v>
      </c>
      <c r="G30" s="272"/>
    </row>
    <row r="31" spans="1:7" ht="18.75">
      <c r="A31" s="165">
        <v>26</v>
      </c>
      <c r="B31" s="166" t="str">
        <f>'LISTA DE OFERENTES'!B29</f>
        <v>JESAK SAS</v>
      </c>
      <c r="C31" s="231" t="s">
        <v>183</v>
      </c>
      <c r="D31" s="231" t="s">
        <v>183</v>
      </c>
      <c r="E31" s="231" t="s">
        <v>183</v>
      </c>
      <c r="F31" s="361" t="str">
        <f t="shared" si="0"/>
        <v>HABILITADO</v>
      </c>
      <c r="G31" s="272"/>
    </row>
    <row r="32" spans="1:7" ht="18.75">
      <c r="A32" s="165">
        <v>27</v>
      </c>
      <c r="B32" s="166" t="str">
        <f>'LISTA DE OFERENTES'!B30</f>
        <v>INTERVENTORIA Y CONSTRUCIVILES SAS</v>
      </c>
      <c r="C32" s="231" t="s">
        <v>183</v>
      </c>
      <c r="D32" s="231" t="s">
        <v>183</v>
      </c>
      <c r="E32" s="172" t="s">
        <v>183</v>
      </c>
      <c r="F32" s="361" t="str">
        <f t="shared" si="0"/>
        <v>HABILITADO</v>
      </c>
      <c r="G32" s="169"/>
    </row>
    <row r="33" spans="1:7" ht="18.75">
      <c r="A33" s="165">
        <v>28</v>
      </c>
      <c r="B33" s="166" t="str">
        <f>'LISTA DE OFERENTES'!B31</f>
        <v>CONSORCIO INTER-PARQUES OCCIDENTE</v>
      </c>
      <c r="C33" s="231" t="s">
        <v>183</v>
      </c>
      <c r="D33" s="231" t="s">
        <v>183</v>
      </c>
      <c r="E33" s="172" t="s">
        <v>183</v>
      </c>
      <c r="F33" s="361" t="str">
        <f t="shared" si="0"/>
        <v>HABILITADO</v>
      </c>
      <c r="G33" s="272"/>
    </row>
    <row r="34" spans="1:7" ht="18.75">
      <c r="A34" s="165">
        <v>29</v>
      </c>
      <c r="B34" s="166" t="str">
        <f>'LISTA DE OFERENTES'!B32</f>
        <v>CONSORCIO EPSILON ENGATIVA</v>
      </c>
      <c r="C34" s="231" t="s">
        <v>183</v>
      </c>
      <c r="D34" s="231" t="s">
        <v>183</v>
      </c>
      <c r="E34" s="172" t="s">
        <v>183</v>
      </c>
      <c r="F34" s="361" t="str">
        <f t="shared" si="0"/>
        <v>HABILITADO</v>
      </c>
      <c r="G34" s="272"/>
    </row>
    <row r="35" spans="1:7" ht="45">
      <c r="A35" s="165">
        <v>30</v>
      </c>
      <c r="B35" s="166" t="str">
        <f>'LISTA DE OFERENTES'!B33</f>
        <v>CONSORCIO IA PLUS 2024</v>
      </c>
      <c r="C35" s="231" t="s">
        <v>184</v>
      </c>
      <c r="D35" s="231" t="s">
        <v>184</v>
      </c>
      <c r="E35" s="231" t="s">
        <v>184</v>
      </c>
      <c r="F35" s="361" t="s">
        <v>432</v>
      </c>
      <c r="G35" s="271" t="s">
        <v>433</v>
      </c>
    </row>
    <row r="36" spans="1:7" ht="18.75">
      <c r="A36" s="165">
        <v>31</v>
      </c>
      <c r="B36" s="166" t="str">
        <f>'LISTA DE OFERENTES'!B34</f>
        <v>APP CONSULTORES &amp; ESTRUCTURADORES S.A.S</v>
      </c>
      <c r="C36" s="231" t="s">
        <v>183</v>
      </c>
      <c r="D36" s="231" t="s">
        <v>183</v>
      </c>
      <c r="E36" s="231" t="s">
        <v>183</v>
      </c>
      <c r="F36" s="361" t="str">
        <f t="shared" si="0"/>
        <v>HABILITADO</v>
      </c>
      <c r="G36" s="272"/>
    </row>
    <row r="37" spans="1:7" ht="18.75">
      <c r="A37" s="165">
        <v>32</v>
      </c>
      <c r="B37" s="166" t="str">
        <f>'LISTA DE OFERENTES'!B35</f>
        <v xml:space="preserve">ARQUITECTURA URBANA LTDA </v>
      </c>
      <c r="C37" s="231" t="s">
        <v>183</v>
      </c>
      <c r="D37" s="231" t="s">
        <v>183</v>
      </c>
      <c r="E37" s="231" t="s">
        <v>183</v>
      </c>
      <c r="F37" s="361" t="str">
        <f t="shared" si="0"/>
        <v>HABILITADO</v>
      </c>
      <c r="G37" s="169"/>
    </row>
    <row r="38" spans="1:7" ht="18.75">
      <c r="A38" s="165">
        <v>33</v>
      </c>
      <c r="B38" s="166" t="str">
        <f>'LISTA DE OFERENTES'!B36</f>
        <v>CONSORCIO TABORA</v>
      </c>
      <c r="C38" s="231" t="s">
        <v>183</v>
      </c>
      <c r="D38" s="231" t="s">
        <v>183</v>
      </c>
      <c r="E38" s="231" t="s">
        <v>183</v>
      </c>
      <c r="F38" s="361" t="str">
        <f t="shared" si="0"/>
        <v>HABILITADO</v>
      </c>
      <c r="G38" s="169"/>
    </row>
    <row r="39" spans="1:7" ht="18.75">
      <c r="A39" s="165">
        <v>34</v>
      </c>
      <c r="B39" s="166" t="str">
        <f>'LISTA DE OFERENTES'!B37</f>
        <v>CONSORCIO CT</v>
      </c>
      <c r="C39" s="231" t="s">
        <v>183</v>
      </c>
      <c r="D39" s="231" t="s">
        <v>183</v>
      </c>
      <c r="E39" s="231" t="s">
        <v>183</v>
      </c>
      <c r="F39" s="361" t="str">
        <f t="shared" si="0"/>
        <v>HABILITADO</v>
      </c>
      <c r="G39" s="272"/>
    </row>
    <row r="40" spans="1:7" ht="45">
      <c r="A40" s="165">
        <v>35</v>
      </c>
      <c r="B40" s="166" t="str">
        <f>'LISTA DE OFERENTES'!B38</f>
        <v xml:space="preserve">CONSORCIO INVIMAZ 2024 </v>
      </c>
      <c r="C40" s="231" t="s">
        <v>184</v>
      </c>
      <c r="D40" s="231" t="s">
        <v>184</v>
      </c>
      <c r="E40" s="231" t="s">
        <v>184</v>
      </c>
      <c r="F40" s="361" t="s">
        <v>432</v>
      </c>
      <c r="G40" s="271" t="s">
        <v>433</v>
      </c>
    </row>
    <row r="41" spans="1:7" ht="18.75">
      <c r="A41" s="165">
        <v>36</v>
      </c>
      <c r="B41" s="166" t="str">
        <f>'LISTA DE OFERENTES'!B39</f>
        <v>CONSORCIO CONSULTORES ENGATIVA</v>
      </c>
      <c r="C41" s="231" t="s">
        <v>183</v>
      </c>
      <c r="D41" s="231" t="s">
        <v>183</v>
      </c>
      <c r="E41" s="231" t="s">
        <v>183</v>
      </c>
      <c r="F41" s="361" t="str">
        <f t="shared" si="0"/>
        <v>HABILITADO</v>
      </c>
      <c r="G41" s="272" t="s">
        <v>434</v>
      </c>
    </row>
    <row r="42" spans="1:7" ht="18.75">
      <c r="A42" s="165">
        <v>37</v>
      </c>
      <c r="B42" s="166" t="str">
        <f>'LISTA DE OFERENTES'!B40</f>
        <v>PROYECTOS DE DESARROLLO E INFRAESTRUCTURA COLOMBIA S.A.S. – PRODEINCOL S.A.S.</v>
      </c>
      <c r="C42" s="231" t="s">
        <v>183</v>
      </c>
      <c r="D42" s="231" t="s">
        <v>183</v>
      </c>
      <c r="E42" s="231" t="s">
        <v>183</v>
      </c>
      <c r="F42" s="361" t="str">
        <f t="shared" si="0"/>
        <v>HABILITADO</v>
      </c>
      <c r="G42" s="272" t="s">
        <v>434</v>
      </c>
    </row>
    <row r="43" spans="1:7" ht="18.75">
      <c r="A43" s="165">
        <v>38</v>
      </c>
      <c r="B43" s="166" t="str">
        <f>'LISTA DE OFERENTES'!B41</f>
        <v>R&amp;M CONSTRUCCIONES E INTERVENTORIAS S.A.S.</v>
      </c>
      <c r="C43" s="231" t="s">
        <v>183</v>
      </c>
      <c r="D43" s="231" t="s">
        <v>183</v>
      </c>
      <c r="E43" s="231" t="s">
        <v>183</v>
      </c>
      <c r="F43" s="361" t="str">
        <f t="shared" si="0"/>
        <v>HABILITADO</v>
      </c>
      <c r="G43" s="272" t="s">
        <v>434</v>
      </c>
    </row>
    <row r="44" spans="1:7" ht="45">
      <c r="A44" s="165">
        <v>39</v>
      </c>
      <c r="B44" s="166" t="str">
        <f>'LISTA DE OFERENTES'!B42</f>
        <v>CONSORCIO ALMA – INTERNOVAC</v>
      </c>
      <c r="C44" s="231" t="s">
        <v>184</v>
      </c>
      <c r="D44" s="231" t="s">
        <v>184</v>
      </c>
      <c r="E44" s="172" t="s">
        <v>184</v>
      </c>
      <c r="F44" s="361" t="s">
        <v>432</v>
      </c>
      <c r="G44" s="271" t="s">
        <v>433</v>
      </c>
    </row>
    <row r="45" spans="1:7" ht="30">
      <c r="A45" s="165">
        <v>40</v>
      </c>
      <c r="B45" s="166" t="str">
        <f>'LISTA DE OFERENTES'!B43</f>
        <v>R&amp;Y GRUP SAS</v>
      </c>
      <c r="C45" s="231" t="s">
        <v>183</v>
      </c>
      <c r="D45" s="231" t="s">
        <v>183</v>
      </c>
      <c r="E45" s="172" t="s">
        <v>184</v>
      </c>
      <c r="F45" s="361" t="s">
        <v>432</v>
      </c>
      <c r="G45" s="272" t="s">
        <v>498</v>
      </c>
    </row>
    <row r="46" spans="1:7" ht="18.75">
      <c r="A46" s="165">
        <v>41</v>
      </c>
      <c r="B46" s="166" t="str">
        <f>'LISTA DE OFERENTES'!B44</f>
        <v>CONSORCIO PROYECTOS 2024</v>
      </c>
      <c r="C46" s="231" t="s">
        <v>183</v>
      </c>
      <c r="D46" s="231" t="s">
        <v>183</v>
      </c>
      <c r="E46" s="172" t="s">
        <v>183</v>
      </c>
      <c r="F46" s="361" t="str">
        <f t="shared" si="0"/>
        <v>HABILITADO</v>
      </c>
      <c r="G46" s="169"/>
    </row>
    <row r="47" spans="1:7" ht="18.75">
      <c r="A47" s="165">
        <v>42</v>
      </c>
      <c r="B47" s="166" t="str">
        <f>'LISTA DE OFERENTES'!B45</f>
        <v>CONSORCIO INTERVENTORES S&amp;C</v>
      </c>
      <c r="C47" s="231" t="s">
        <v>183</v>
      </c>
      <c r="D47" s="231" t="s">
        <v>183</v>
      </c>
      <c r="E47" s="172" t="s">
        <v>183</v>
      </c>
      <c r="F47" s="361" t="str">
        <f t="shared" si="0"/>
        <v>HABILITADO</v>
      </c>
      <c r="G47" s="272"/>
    </row>
    <row r="48" spans="1:7" ht="18.75">
      <c r="A48" s="165">
        <v>43</v>
      </c>
      <c r="B48" s="166" t="str">
        <f>'LISTA DE OFERENTES'!B46</f>
        <v>CONSORCIO MOSCU</v>
      </c>
      <c r="C48" s="231" t="s">
        <v>183</v>
      </c>
      <c r="D48" s="231" t="s">
        <v>183</v>
      </c>
      <c r="E48" s="231" t="s">
        <v>183</v>
      </c>
      <c r="F48" s="361" t="str">
        <f t="shared" si="0"/>
        <v>HABILITADO</v>
      </c>
      <c r="G48" s="169"/>
    </row>
    <row r="49" spans="1:7" ht="18.75">
      <c r="A49" s="165">
        <v>44</v>
      </c>
      <c r="B49" s="166" t="str">
        <f>'LISTA DE OFERENTES'!B47</f>
        <v>CONSORCIO SAIEC</v>
      </c>
      <c r="C49" s="231" t="s">
        <v>183</v>
      </c>
      <c r="D49" s="231" t="s">
        <v>183</v>
      </c>
      <c r="E49" s="231" t="s">
        <v>184</v>
      </c>
      <c r="F49" s="361" t="str">
        <f t="shared" si="0"/>
        <v>NO HABILITADO</v>
      </c>
      <c r="G49" s="272" t="s">
        <v>434</v>
      </c>
    </row>
    <row r="50" spans="1:7" ht="18.75">
      <c r="A50" s="165">
        <v>45</v>
      </c>
      <c r="B50" s="166" t="str">
        <f>'LISTA DE OFERENTES'!B48</f>
        <v>CONSORCIO IDEA</v>
      </c>
      <c r="C50" s="231" t="s">
        <v>183</v>
      </c>
      <c r="D50" s="231" t="s">
        <v>183</v>
      </c>
      <c r="E50" s="231" t="s">
        <v>183</v>
      </c>
      <c r="F50" s="361" t="str">
        <f t="shared" si="0"/>
        <v>HABILITADO</v>
      </c>
      <c r="G50" s="169"/>
    </row>
    <row r="51" spans="1:7" ht="18.75">
      <c r="A51" s="165">
        <v>46</v>
      </c>
      <c r="B51" s="166" t="str">
        <f>'LISTA DE OFERENTES'!B49</f>
        <v>CONSORCIO ENGATIVA JINT 95</v>
      </c>
      <c r="C51" s="231" t="s">
        <v>183</v>
      </c>
      <c r="D51" s="231" t="s">
        <v>183</v>
      </c>
      <c r="E51" s="231" t="s">
        <v>183</v>
      </c>
      <c r="F51" s="361" t="str">
        <f t="shared" si="0"/>
        <v>HABILITADO</v>
      </c>
      <c r="G51" s="272"/>
    </row>
  </sheetData>
  <sheetProtection algorithmName="SHA-512" hashValue="9gzS85MPftxla68ejXbj241ZyvG2CAcxhq9RR6FSWso1UHtC17dYyO2ufaS82ZNJbHYywwCVI6zao/1KF9hm7A==" saltValue="xZRbQS7ynprJldNDhI2lSw==" spinCount="100000" sheet="1" objects="1" scenarios="1"/>
  <dataConsolidate link="1"/>
  <mergeCells count="3">
    <mergeCell ref="A1:G1"/>
    <mergeCell ref="A2:G2"/>
    <mergeCell ref="A3:G3"/>
  </mergeCells>
  <conditionalFormatting sqref="C40">
    <cfRule type="containsText" dxfId="31" priority="11" operator="containsText" text="NO HABIL">
      <formula>NOT(ISERROR(SEARCH("NO HABIL",C40)))</formula>
    </cfRule>
    <cfRule type="containsText" dxfId="30" priority="12" operator="containsText" text="NO HABIL ">
      <formula>NOT(ISERROR(SEARCH("NO HABIL ",C40)))</formula>
    </cfRule>
  </conditionalFormatting>
  <conditionalFormatting sqref="C6:D51">
    <cfRule type="containsText" dxfId="29" priority="13" operator="containsText" text="NO HABIL">
      <formula>NOT(ISERROR(SEARCH("NO HABIL",C6)))</formula>
    </cfRule>
    <cfRule type="containsText" dxfId="28" priority="14" operator="containsText" text="NO HABIL ">
      <formula>NOT(ISERROR(SEARCH("NO HABIL ",C6)))</formula>
    </cfRule>
  </conditionalFormatting>
  <conditionalFormatting sqref="C7:D14 D8:D51">
    <cfRule type="containsText" dxfId="27" priority="506" operator="containsText" text="NO HABIL">
      <formula>NOT(ISERROR(SEARCH("NO HABIL",C7)))</formula>
    </cfRule>
    <cfRule type="containsText" dxfId="26" priority="507" operator="containsText" text="NO HABIL ">
      <formula>NOT(ISERROR(SEARCH("NO HABIL ",C7)))</formula>
    </cfRule>
  </conditionalFormatting>
  <conditionalFormatting sqref="C6:E6 C6:C51 E7:E51">
    <cfRule type="containsText" dxfId="25" priority="526" operator="containsText" text="NO HABIL">
      <formula>NOT(ISERROR(SEARCH("NO HABIL",C6)))</formula>
    </cfRule>
    <cfRule type="containsText" dxfId="24" priority="527" operator="containsText" text="NO HABIL ">
      <formula>NOT(ISERROR(SEARCH("NO HABIL ",C6)))</formula>
    </cfRule>
  </conditionalFormatting>
  <conditionalFormatting sqref="C6:E51 C52:F1048576">
    <cfRule type="containsText" dxfId="23" priority="391" operator="containsText" text="CUMPLE">
      <formula>NOT(ISERROR(SEARCH("CUMPLE",C6)))</formula>
    </cfRule>
  </conditionalFormatting>
  <conditionalFormatting sqref="C52:F1048576 C6:E51">
    <cfRule type="containsText" dxfId="22" priority="390" operator="containsText" text="NO CUMPLE">
      <formula>NOT(ISERROR(SEARCH("NO CUMPLE",C6)))</formula>
    </cfRule>
  </conditionalFormatting>
  <conditionalFormatting sqref="E27">
    <cfRule type="containsText" dxfId="21" priority="1" operator="containsText" text="NO HABIL">
      <formula>NOT(ISERROR(SEARCH("NO HABIL",E27)))</formula>
    </cfRule>
    <cfRule type="containsText" dxfId="20" priority="2" operator="containsText" text="NO HABIL ">
      <formula>NOT(ISERROR(SEARCH("NO HABIL ",E27)))</formula>
    </cfRule>
  </conditionalFormatting>
  <conditionalFormatting sqref="E31">
    <cfRule type="containsText" dxfId="19" priority="5" operator="containsText" text="NO HABIL">
      <formula>NOT(ISERROR(SEARCH("NO HABIL",E31)))</formula>
    </cfRule>
    <cfRule type="containsText" dxfId="18" priority="6" operator="containsText" text="NO HABIL ">
      <formula>NOT(ISERROR(SEARCH("NO HABIL ",E31)))</formula>
    </cfRule>
  </conditionalFormatting>
  <conditionalFormatting sqref="E39">
    <cfRule type="containsText" dxfId="17" priority="9" operator="containsText" text="NO HABIL">
      <formula>NOT(ISERROR(SEARCH("NO HABIL",E39)))</formula>
    </cfRule>
    <cfRule type="containsText" dxfId="16" priority="10" operator="containsText" text="NO HABIL ">
      <formula>NOT(ISERROR(SEARCH("NO HABIL ",E39)))</formula>
    </cfRule>
  </conditionalFormatting>
  <conditionalFormatting sqref="F1:F1048576">
    <cfRule type="containsText" dxfId="15" priority="63" operator="containsText" text="NO HABILITADO">
      <formula>NOT(ISERROR(SEARCH("NO HABILITADO",F1)))</formula>
    </cfRule>
    <cfRule type="containsText" dxfId="14" priority="64" operator="containsText" text="HABILITADO">
      <formula>NOT(ISERROR(SEARCH("HABILITADO",F1)))</formula>
    </cfRule>
  </conditionalFormatting>
  <pageMargins left="0.70866141732283472" right="0.70866141732283472" top="0.74803149606299213" bottom="0.74803149606299213" header="0.51181102362204722" footer="0.51181102362204722"/>
  <pageSetup scale="40" firstPageNumber="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50"/>
  </sheetPr>
  <dimension ref="A1:I83"/>
  <sheetViews>
    <sheetView zoomScale="70" zoomScaleNormal="70" zoomScaleSheetLayoutView="85" workbookViewId="0">
      <selection activeCell="A2" sqref="A2:F2"/>
    </sheetView>
  </sheetViews>
  <sheetFormatPr baseColWidth="10" defaultColWidth="11.42578125" defaultRowHeight="15"/>
  <cols>
    <col min="1" max="1" width="9" style="66" customWidth="1"/>
    <col min="2" max="2" width="75.140625" style="66" customWidth="1"/>
    <col min="3" max="3" width="20.42578125" style="66" bestFit="1" customWidth="1"/>
    <col min="4" max="4" width="21" style="66" customWidth="1"/>
    <col min="5" max="5" width="21.140625" style="66" customWidth="1"/>
    <col min="6" max="6" width="41.42578125" style="66" customWidth="1"/>
    <col min="7" max="7" width="11.42578125" style="66"/>
    <col min="8" max="8" width="32.7109375" style="66" customWidth="1"/>
    <col min="9" max="9" width="20.140625" style="66" customWidth="1"/>
    <col min="10" max="16384" width="11.42578125" style="66"/>
  </cols>
  <sheetData>
    <row r="1" spans="1:9" ht="26.25">
      <c r="A1" s="482" t="s">
        <v>211</v>
      </c>
      <c r="B1" s="483"/>
      <c r="C1" s="483"/>
      <c r="D1" s="483"/>
      <c r="E1" s="483"/>
      <c r="F1" s="484"/>
    </row>
    <row r="2" spans="1:9" ht="16.5" customHeight="1" thickBot="1">
      <c r="A2" s="485" t="s">
        <v>435</v>
      </c>
      <c r="B2" s="486"/>
      <c r="C2" s="486"/>
      <c r="D2" s="486"/>
      <c r="E2" s="486"/>
      <c r="F2" s="487"/>
      <c r="H2" s="67" t="s">
        <v>436</v>
      </c>
      <c r="I2" s="68">
        <v>67.75</v>
      </c>
    </row>
    <row r="3" spans="1:9" ht="16.5" customHeight="1" thickBot="1">
      <c r="A3" s="485" t="s">
        <v>1</v>
      </c>
      <c r="B3" s="486"/>
      <c r="C3" s="486"/>
      <c r="D3" s="486"/>
      <c r="E3" s="486"/>
      <c r="F3" s="487"/>
      <c r="H3" s="107" t="s">
        <v>437</v>
      </c>
      <c r="I3" s="68">
        <v>4454.68</v>
      </c>
    </row>
    <row r="4" spans="1:9" ht="17.25" customHeight="1">
      <c r="A4" s="69"/>
      <c r="B4" s="70"/>
      <c r="C4" s="71"/>
      <c r="D4" s="71"/>
      <c r="E4" s="71"/>
      <c r="F4" s="72"/>
      <c r="H4" s="73" t="s">
        <v>438</v>
      </c>
      <c r="I4" s="74">
        <v>68</v>
      </c>
    </row>
    <row r="5" spans="1:9" ht="17.25" customHeight="1">
      <c r="A5" s="75"/>
      <c r="B5" s="76"/>
      <c r="C5" s="77"/>
      <c r="D5" s="77"/>
      <c r="E5" s="77"/>
      <c r="F5" s="78"/>
      <c r="H5" s="79"/>
      <c r="I5" s="80"/>
    </row>
    <row r="6" spans="1:9" ht="17.25" customHeight="1">
      <c r="A6" s="81"/>
      <c r="B6" s="76"/>
      <c r="C6" s="82"/>
      <c r="D6" s="82"/>
      <c r="E6" s="82"/>
      <c r="F6" s="83"/>
    </row>
    <row r="7" spans="1:9" ht="17.25" customHeight="1">
      <c r="A7" s="81"/>
      <c r="B7" s="76"/>
      <c r="C7" s="82"/>
      <c r="D7" s="82"/>
      <c r="E7" s="82"/>
      <c r="F7" s="83"/>
    </row>
    <row r="8" spans="1:9" ht="17.25" customHeight="1">
      <c r="A8" s="84"/>
      <c r="C8" s="77"/>
      <c r="D8" s="77"/>
      <c r="E8" s="77"/>
      <c r="F8" s="85"/>
    </row>
    <row r="9" spans="1:9">
      <c r="A9" s="84"/>
      <c r="F9" s="86"/>
    </row>
    <row r="10" spans="1:9" ht="75.75" thickBot="1">
      <c r="A10" s="488" t="s">
        <v>439</v>
      </c>
      <c r="B10" s="489"/>
      <c r="C10" s="286" t="s">
        <v>440</v>
      </c>
      <c r="D10" s="292" t="s">
        <v>441</v>
      </c>
      <c r="E10" s="287" t="s">
        <v>442</v>
      </c>
      <c r="F10" s="288" t="s">
        <v>443</v>
      </c>
    </row>
    <row r="11" spans="1:9" ht="17.45" customHeight="1">
      <c r="A11" s="289">
        <v>2</v>
      </c>
      <c r="B11" s="294" t="str">
        <f>VLOOKUP(A11,'LISTA DE OFERENTES'!$A$4:$B$80,2,FALSE)</f>
        <v>CONSORCIO METRO CINCO</v>
      </c>
      <c r="C11" s="293">
        <f>+'EXPERIENCIA DEL PROPONENTE'!C24</f>
        <v>863.43269663845126</v>
      </c>
      <c r="D11" s="476">
        <f>MAX(C11:C45)</f>
        <v>1421.6003506755092</v>
      </c>
      <c r="E11" s="476">
        <f>AVERAGE(C11:C45)</f>
        <v>639.99619039551419</v>
      </c>
      <c r="F11" s="479">
        <f>+(D11+E11)/2</f>
        <v>1030.7982705355116</v>
      </c>
    </row>
    <row r="12" spans="1:9" ht="17.45" customHeight="1">
      <c r="A12" s="290">
        <v>4</v>
      </c>
      <c r="B12" s="294" t="str">
        <f>VLOOKUP(A12,'LISTA DE OFERENTES'!$A$4:$B$80,2,FALSE)</f>
        <v xml:space="preserve"> INGECO INGENIERIA DE CONSTRUCCIONES S.A.S</v>
      </c>
      <c r="C12" s="293">
        <f>+'EXPERIENCIA DEL PROPONENTE'!C51</f>
        <v>700.87483239405651</v>
      </c>
      <c r="D12" s="477"/>
      <c r="E12" s="477"/>
      <c r="F12" s="480"/>
    </row>
    <row r="13" spans="1:9" ht="17.45" customHeight="1">
      <c r="A13" s="289">
        <v>6</v>
      </c>
      <c r="B13" s="294" t="str">
        <f>VLOOKUP(A13,'LISTA DE OFERENTES'!$A$4:$B$80,2,FALSE)</f>
        <v>CONSORCIO PARQUES ENGATIVÁ 2025</v>
      </c>
      <c r="C13" s="293">
        <f>+'EXPERIENCIA DEL PROPONENTE'!C74</f>
        <v>365.37945087260454</v>
      </c>
      <c r="D13" s="477"/>
      <c r="E13" s="477"/>
      <c r="F13" s="480"/>
    </row>
    <row r="14" spans="1:9" ht="17.45" customHeight="1">
      <c r="A14" s="290">
        <v>7</v>
      </c>
      <c r="B14" s="294" t="str">
        <f>VLOOKUP(A14,'LISTA DE OFERENTES'!$A$4:$B$80,2,FALSE)</f>
        <v>CONSULTORA COLOMBIANA TRIPLE C S.A.S BIC</v>
      </c>
      <c r="C14" s="293">
        <f>+'EXPERIENCIA DEL PROPONENTE'!C88</f>
        <v>491.22192045445598</v>
      </c>
      <c r="D14" s="477"/>
      <c r="E14" s="477"/>
      <c r="F14" s="480"/>
    </row>
    <row r="15" spans="1:9" ht="17.45" customHeight="1">
      <c r="A15" s="289">
        <v>8</v>
      </c>
      <c r="B15" s="294" t="str">
        <f>VLOOKUP(A15,'LISTA DE OFERENTES'!$A$4:$B$80,2,FALSE)</f>
        <v xml:space="preserve">CONSULTORES, DESARROLLO Y AMBIENTE SAS BIC </v>
      </c>
      <c r="C15" s="293">
        <f>+'EXPERIENCIA DEL PROPONENTE'!C101</f>
        <v>280.71093617573962</v>
      </c>
      <c r="D15" s="477"/>
      <c r="E15" s="477"/>
      <c r="F15" s="480"/>
    </row>
    <row r="16" spans="1:9" ht="17.45" customHeight="1">
      <c r="A16" s="289">
        <v>9</v>
      </c>
      <c r="B16" s="294" t="str">
        <f>VLOOKUP(A16,'LISTA DE OFERENTES'!$A$4:$B$80,2,FALSE)</f>
        <v>CONSORCIO BOGOTÁ</v>
      </c>
      <c r="C16" s="293">
        <f>+'EXPERIENCIA DEL PROPONENTE'!C112</f>
        <v>753.17971269866496</v>
      </c>
      <c r="D16" s="477"/>
      <c r="E16" s="477"/>
      <c r="F16" s="480"/>
    </row>
    <row r="17" spans="1:6" ht="17.45" customHeight="1">
      <c r="A17" s="289">
        <v>11</v>
      </c>
      <c r="B17" s="294" t="str">
        <f>VLOOKUP(A17,'LISTA DE OFERENTES'!$A$4:$B$80,2,FALSE)</f>
        <v>CONSORCIO PARQUES JAPG 2024</v>
      </c>
      <c r="C17" s="293">
        <f>+'EXPERIENCIA DEL PROPONENTE'!C139</f>
        <v>671.04687151996438</v>
      </c>
      <c r="D17" s="477"/>
      <c r="E17" s="477"/>
      <c r="F17" s="480"/>
    </row>
    <row r="18" spans="1:6" ht="17.45" customHeight="1">
      <c r="A18" s="290">
        <v>13</v>
      </c>
      <c r="B18" s="294" t="str">
        <f>VLOOKUP(A18,'LISTA DE OFERENTES'!$A$4:$B$80,2,FALSE)</f>
        <v>CONSORCIO SIGMA</v>
      </c>
      <c r="C18" s="293">
        <f>+'EXPERIENCIA DEL PROPONENTE'!C165</f>
        <v>460.48311379732604</v>
      </c>
      <c r="D18" s="477"/>
      <c r="E18" s="477"/>
      <c r="F18" s="480"/>
    </row>
    <row r="19" spans="1:6" ht="17.45" customHeight="1">
      <c r="A19" s="289">
        <v>14</v>
      </c>
      <c r="B19" s="294" t="str">
        <f>VLOOKUP(A19,'LISTA DE OFERENTES'!$A$4:$B$80,2,FALSE)</f>
        <v>PROJEKTA LTDA. INGENIEROS CONSULTORES</v>
      </c>
      <c r="C19" s="293">
        <f>+'EXPERIENCIA DEL PROPONENTE'!C179</f>
        <v>1045.0579518297236</v>
      </c>
      <c r="D19" s="477"/>
      <c r="E19" s="477"/>
      <c r="F19" s="480"/>
    </row>
    <row r="20" spans="1:6" ht="17.45" customHeight="1">
      <c r="A20" s="289">
        <v>15</v>
      </c>
      <c r="B20" s="294" t="str">
        <f>VLOOKUP(A20,'LISTA DE OFERENTES'!$A$4:$B$80,2,FALSE)</f>
        <v>PRAN CONSTRUCCIONES S.A.S.</v>
      </c>
      <c r="C20" s="293">
        <f>+'EXPERIENCIA DEL PROPONENTE'!C191</f>
        <v>572.03</v>
      </c>
      <c r="D20" s="477"/>
      <c r="E20" s="477"/>
      <c r="F20" s="480"/>
    </row>
    <row r="21" spans="1:6" ht="17.45" customHeight="1">
      <c r="A21" s="289">
        <v>16</v>
      </c>
      <c r="B21" s="294" t="str">
        <f>VLOOKUP(A21,'LISTA DE OFERENTES'!$A$4:$B$80,2,FALSE)</f>
        <v>CONSORCIO INTER 1</v>
      </c>
      <c r="C21" s="293">
        <f>+'EXPERIENCIA DEL PROPONENTE'!C202</f>
        <v>506.71610129916257</v>
      </c>
      <c r="D21" s="477"/>
      <c r="E21" s="477"/>
      <c r="F21" s="480"/>
    </row>
    <row r="22" spans="1:6" ht="17.45" customHeight="1">
      <c r="A22" s="289">
        <v>17</v>
      </c>
      <c r="B22" s="294" t="str">
        <f>VLOOKUP(A22,'LISTA DE OFERENTES'!$A$4:$B$80,2,FALSE)</f>
        <v>CONSORCIO EG-795 KM</v>
      </c>
      <c r="C22" s="293">
        <f>+'EXPERIENCIA DEL PROPONENTE'!C216</f>
        <v>912.52861123608761</v>
      </c>
      <c r="D22" s="477"/>
      <c r="E22" s="477"/>
      <c r="F22" s="480"/>
    </row>
    <row r="23" spans="1:6" ht="17.45" customHeight="1">
      <c r="A23" s="289">
        <v>18</v>
      </c>
      <c r="B23" s="294" t="str">
        <f>VLOOKUP(A23,'LISTA DE OFERENTES'!$A$4:$B$80,2,FALSE)</f>
        <v>CONSORCIO INTERENGATIVA E&amp;D</v>
      </c>
      <c r="C23" s="293">
        <f>+'EXPERIENCIA DEL PROPONENTE'!C233</f>
        <v>538.12401941184498</v>
      </c>
      <c r="D23" s="477"/>
      <c r="E23" s="477"/>
      <c r="F23" s="480"/>
    </row>
    <row r="24" spans="1:6" ht="17.45" customHeight="1">
      <c r="A24" s="289">
        <v>19</v>
      </c>
      <c r="B24" s="294" t="str">
        <f>VLOOKUP(A24,'LISTA DE OFERENTES'!$A$4:$B$80,2,FALSE)</f>
        <v xml:space="preserve">COVILCO INGENIERIA S.A.S </v>
      </c>
      <c r="C24" s="293">
        <f>+'EXPERIENCIA DEL PROPONENTE'!C247</f>
        <v>785.44367647058823</v>
      </c>
      <c r="D24" s="477"/>
      <c r="E24" s="477"/>
      <c r="F24" s="480"/>
    </row>
    <row r="25" spans="1:6" ht="17.45" customHeight="1">
      <c r="A25" s="289">
        <v>20</v>
      </c>
      <c r="B25" s="294" t="str">
        <f>VLOOKUP(A25,'LISTA DE OFERENTES'!$A$4:$B$80,2,FALSE)</f>
        <v>CONSORCIO PRO-TEV 24</v>
      </c>
      <c r="C25" s="293">
        <f>+'EXPERIENCIA DEL PROPONENTE'!C258</f>
        <v>547.29524618822268</v>
      </c>
      <c r="D25" s="477"/>
      <c r="E25" s="477"/>
      <c r="F25" s="480"/>
    </row>
    <row r="26" spans="1:6" ht="17.45" customHeight="1">
      <c r="A26" s="289">
        <v>22</v>
      </c>
      <c r="B26" s="294" t="str">
        <f>VLOOKUP(A26,'LISTA DE OFERENTES'!$A$4:$B$80,2,FALSE)</f>
        <v>SOLUCIONES PARA LA INGENIERÍA S.A.S.</v>
      </c>
      <c r="C26" s="293">
        <f>+'EXPERIENCIA DEL PROPONENTE'!C284</f>
        <v>1421.6003506755092</v>
      </c>
      <c r="D26" s="477"/>
      <c r="E26" s="477"/>
      <c r="F26" s="480"/>
    </row>
    <row r="27" spans="1:6" ht="17.45" customHeight="1">
      <c r="A27" s="289">
        <v>23</v>
      </c>
      <c r="B27" s="294" t="str">
        <f>VLOOKUP(A27,'LISTA DE OFERENTES'!$A$4:$B$80,2,FALSE)</f>
        <v>CONSORCIO SAN MARTIN 795</v>
      </c>
      <c r="C27" s="293">
        <f>+'EXPERIENCIA DEL PROPONENTE'!C296</f>
        <v>413.09070201400544</v>
      </c>
      <c r="D27" s="477"/>
      <c r="E27" s="477"/>
      <c r="F27" s="480"/>
    </row>
    <row r="28" spans="1:6" ht="17.45" customHeight="1">
      <c r="A28" s="289">
        <v>24</v>
      </c>
      <c r="B28" s="294" t="str">
        <f>VLOOKUP(A28,'LISTA DE OFERENTES'!$A$4:$B$80,2,FALSE)</f>
        <v>CONSORCIO GTC INTERPARK</v>
      </c>
      <c r="C28" s="293">
        <f>+'EXPERIENCIA DEL PROPONENTE'!C309</f>
        <v>165.83154381654307</v>
      </c>
      <c r="D28" s="477"/>
      <c r="E28" s="477"/>
      <c r="F28" s="480"/>
    </row>
    <row r="29" spans="1:6" ht="17.45" customHeight="1">
      <c r="A29" s="289">
        <v>25</v>
      </c>
      <c r="B29" s="294" t="str">
        <f>VLOOKUP(A29,'LISTA DE OFERENTES'!$A$4:$B$80,2,FALSE)</f>
        <v>CIAF LTDA INGENIERIA</v>
      </c>
      <c r="C29" s="293">
        <f>+'EXPERIENCIA DEL PROPONENTE'!C326</f>
        <v>398.92312599999997</v>
      </c>
      <c r="D29" s="477"/>
      <c r="E29" s="477"/>
      <c r="F29" s="480"/>
    </row>
    <row r="30" spans="1:6" ht="17.45" customHeight="1">
      <c r="A30" s="289">
        <v>26</v>
      </c>
      <c r="B30" s="294" t="str">
        <f>VLOOKUP(A30,'LISTA DE OFERENTES'!$A$4:$B$80,2,FALSE)</f>
        <v>JESAK SAS</v>
      </c>
      <c r="C30" s="293">
        <f>+'EXPERIENCIA DEL PROPONENTE'!C337</f>
        <v>1060.5808964437001</v>
      </c>
      <c r="D30" s="477"/>
      <c r="E30" s="477"/>
      <c r="F30" s="480"/>
    </row>
    <row r="31" spans="1:6" ht="17.45" customHeight="1">
      <c r="A31" s="289">
        <v>27</v>
      </c>
      <c r="B31" s="294" t="str">
        <f>VLOOKUP(A31,'LISTA DE OFERENTES'!$A$4:$B$80,2,FALSE)</f>
        <v>INTERVENTORIA Y CONSTRUCIVILES SAS</v>
      </c>
      <c r="C31" s="293">
        <f>+'EXPERIENCIA DEL PROPONENTE'!C350</f>
        <v>287.01497121664664</v>
      </c>
      <c r="D31" s="477"/>
      <c r="E31" s="477"/>
      <c r="F31" s="480"/>
    </row>
    <row r="32" spans="1:6" ht="17.45" customHeight="1">
      <c r="A32" s="289">
        <v>28</v>
      </c>
      <c r="B32" s="294" t="str">
        <f>VLOOKUP(A32,'LISTA DE OFERENTES'!$A$4:$B$80,2,FALSE)</f>
        <v>CONSORCIO INTER-PARQUES OCCIDENTE</v>
      </c>
      <c r="C32" s="293">
        <f>+'EXPERIENCIA DEL PROPONENTE'!C362</f>
        <v>462.09412134613353</v>
      </c>
      <c r="D32" s="477"/>
      <c r="E32" s="477"/>
      <c r="F32" s="480"/>
    </row>
    <row r="33" spans="1:6" ht="17.45" customHeight="1">
      <c r="A33" s="289">
        <v>29</v>
      </c>
      <c r="B33" s="294" t="str">
        <f>VLOOKUP(A33,'LISTA DE OFERENTES'!$A$4:$B$80,2,FALSE)</f>
        <v>CONSORCIO EPSILON ENGATIVA</v>
      </c>
      <c r="C33" s="293">
        <f>+'EXPERIENCIA DEL PROPONENTE'!C374</f>
        <v>738.28760199470275</v>
      </c>
      <c r="D33" s="477"/>
      <c r="E33" s="477"/>
      <c r="F33" s="480"/>
    </row>
    <row r="34" spans="1:6" ht="17.45" customHeight="1">
      <c r="A34" s="289">
        <v>31</v>
      </c>
      <c r="B34" s="294" t="str">
        <f>VLOOKUP(A34,'LISTA DE OFERENTES'!$A$4:$B$80,2,FALSE)</f>
        <v>APP CONSULTORES &amp; ESTRUCTURADORES S.A.S</v>
      </c>
      <c r="C34" s="293">
        <f>'EXPERIENCIA DEL PROPONENTE'!C403</f>
        <v>567.04840202950459</v>
      </c>
      <c r="D34" s="477"/>
      <c r="E34" s="477"/>
      <c r="F34" s="480"/>
    </row>
    <row r="35" spans="1:6" ht="17.45" customHeight="1">
      <c r="A35" s="289">
        <v>32</v>
      </c>
      <c r="B35" s="294" t="str">
        <f>VLOOKUP(A35,'LISTA DE OFERENTES'!$A$4:$B$80,2,FALSE)</f>
        <v xml:space="preserve">ARQUITECTURA URBANA LTDA </v>
      </c>
      <c r="C35" s="293">
        <f>'EXPERIENCIA DEL PROPONENTE'!C414</f>
        <v>606.64897237470325</v>
      </c>
      <c r="D35" s="477"/>
      <c r="E35" s="477"/>
      <c r="F35" s="480"/>
    </row>
    <row r="36" spans="1:6" ht="17.45" customHeight="1">
      <c r="A36" s="289">
        <v>33</v>
      </c>
      <c r="B36" s="294" t="str">
        <f>VLOOKUP(A36,'LISTA DE OFERENTES'!$A$4:$B$80,2,FALSE)</f>
        <v>CONSORCIO TABORA</v>
      </c>
      <c r="C36" s="293">
        <f>'EXPERIENCIA DEL PROPONENTE'!C427</f>
        <v>741.83333251097633</v>
      </c>
      <c r="D36" s="477"/>
      <c r="E36" s="477"/>
      <c r="F36" s="480"/>
    </row>
    <row r="37" spans="1:6" ht="17.45" customHeight="1">
      <c r="A37" s="289">
        <v>34</v>
      </c>
      <c r="B37" s="294" t="str">
        <f>VLOOKUP(A37,'LISTA DE OFERENTES'!$A$4:$B$80,2,FALSE)</f>
        <v>CONSORCIO CT</v>
      </c>
      <c r="C37" s="293">
        <f>+'EXPERIENCIA DEL PROPONENTE'!C438</f>
        <v>512.5672469879421</v>
      </c>
      <c r="D37" s="477"/>
      <c r="E37" s="477"/>
      <c r="F37" s="480"/>
    </row>
    <row r="38" spans="1:6" ht="17.45" customHeight="1">
      <c r="A38" s="289">
        <v>36</v>
      </c>
      <c r="B38" s="294" t="str">
        <f>VLOOKUP(A38,'LISTA DE OFERENTES'!$A$4:$B$80,2,FALSE)</f>
        <v>CONSORCIO CONSULTORES ENGATIVA</v>
      </c>
      <c r="C38" s="293">
        <f>'EXPERIENCIA DEL PROPONENTE'!C464</f>
        <v>447.12819326250928</v>
      </c>
      <c r="D38" s="477"/>
      <c r="E38" s="477"/>
      <c r="F38" s="480"/>
    </row>
    <row r="39" spans="1:6" ht="34.5">
      <c r="A39" s="289">
        <v>37</v>
      </c>
      <c r="B39" s="295" t="str">
        <f>VLOOKUP(A39,'LISTA DE OFERENTES'!$A$4:$B$80,2,FALSE)</f>
        <v>PROYECTOS DE DESARROLLO E INFRAESTRUCTURA COLOMBIA S.A.S. – PRODEINCOL S.A.S.</v>
      </c>
      <c r="C39" s="293">
        <f>'EXPERIENCIA DEL PROPONENTE'!C478</f>
        <v>685.87869738666723</v>
      </c>
      <c r="D39" s="477"/>
      <c r="E39" s="477"/>
      <c r="F39" s="480"/>
    </row>
    <row r="40" spans="1:6" ht="17.45" customHeight="1">
      <c r="A40" s="289">
        <v>38</v>
      </c>
      <c r="B40" s="294" t="str">
        <f>VLOOKUP(A40,'LISTA DE OFERENTES'!$A$4:$B$80,2,FALSE)</f>
        <v>R&amp;M CONSTRUCCIONES E INTERVENTORIAS S.A.S.</v>
      </c>
      <c r="C40" s="293">
        <f>'EXPERIENCIA DEL PROPONENTE'!C490</f>
        <v>608.37729437787573</v>
      </c>
      <c r="D40" s="477"/>
      <c r="E40" s="477"/>
      <c r="F40" s="480"/>
    </row>
    <row r="41" spans="1:6" ht="17.45" customHeight="1">
      <c r="A41" s="289">
        <v>41</v>
      </c>
      <c r="B41" s="294" t="str">
        <f>VLOOKUP(A41,'LISTA DE OFERENTES'!$A$4:$B$80,2,FALSE)</f>
        <v>CONSORCIO PROYECTOS 2024</v>
      </c>
      <c r="C41" s="293">
        <f>'EXPERIENCIA DEL PROPONENTE'!C529</f>
        <v>841.51329688111332</v>
      </c>
      <c r="D41" s="477"/>
      <c r="E41" s="477"/>
      <c r="F41" s="480"/>
    </row>
    <row r="42" spans="1:6" ht="17.45" customHeight="1">
      <c r="A42" s="289">
        <v>42</v>
      </c>
      <c r="B42" s="294" t="str">
        <f>VLOOKUP(A42,'LISTA DE OFERENTES'!$A$4:$B$80,2,FALSE)</f>
        <v>CONSORCIO INTERVENTORES S&amp;C</v>
      </c>
      <c r="C42" s="293">
        <f>'EXPERIENCIA DEL PROPONENTE'!C541</f>
        <v>713.43939255245573</v>
      </c>
      <c r="D42" s="477"/>
      <c r="E42" s="477"/>
      <c r="F42" s="480"/>
    </row>
    <row r="43" spans="1:6" ht="17.45" customHeight="1">
      <c r="A43" s="289">
        <v>43</v>
      </c>
      <c r="B43" s="294" t="str">
        <f>VLOOKUP(A43,'LISTA DE OFERENTES'!$A$4:$B$80,2,FALSE)</f>
        <v>CONSORCIO MOSCU</v>
      </c>
      <c r="C43" s="293">
        <f>'EXPERIENCIA DEL PROPONENTE'!C554</f>
        <v>1024.9630431092341</v>
      </c>
      <c r="D43" s="477"/>
      <c r="E43" s="477"/>
      <c r="F43" s="480"/>
    </row>
    <row r="44" spans="1:6" ht="17.45" customHeight="1">
      <c r="A44" s="289">
        <v>45</v>
      </c>
      <c r="B44" s="294" t="str">
        <f>VLOOKUP(A44,'LISTA DE OFERENTES'!$A$4:$B$80,2,FALSE)</f>
        <v>CONSORCIO IDEA</v>
      </c>
      <c r="C44" s="293">
        <f>'EXPERIENCIA DEL PROPONENTE'!C583</f>
        <v>530.15151192509279</v>
      </c>
      <c r="D44" s="477"/>
      <c r="E44" s="477"/>
      <c r="F44" s="480"/>
    </row>
    <row r="45" spans="1:6" ht="17.45" customHeight="1" thickBot="1">
      <c r="A45" s="291">
        <v>46</v>
      </c>
      <c r="B45" s="296" t="str">
        <f>VLOOKUP(A45,'LISTA DE OFERENTES'!$A$4:$B$80,2,FALSE)</f>
        <v>CONSORCIO ENGATIVA JINT 95</v>
      </c>
      <c r="C45" s="301">
        <f>'EXPERIENCIA DEL PROPONENTE'!C599</f>
        <v>679.36882595078998</v>
      </c>
      <c r="D45" s="478"/>
      <c r="E45" s="478"/>
      <c r="F45" s="481"/>
    </row>
    <row r="47" spans="1:6" ht="15.75" thickBot="1"/>
    <row r="48" spans="1:6" ht="87" customHeight="1" thickBot="1">
      <c r="A48" s="490" t="s">
        <v>439</v>
      </c>
      <c r="B48" s="491"/>
      <c r="C48" s="362" t="s">
        <v>440</v>
      </c>
      <c r="D48" s="363" t="s">
        <v>443</v>
      </c>
      <c r="E48" s="364" t="s">
        <v>444</v>
      </c>
      <c r="F48" s="308"/>
    </row>
    <row r="49" spans="1:6" ht="17.25" customHeight="1">
      <c r="A49" s="290">
        <v>2</v>
      </c>
      <c r="B49" s="294" t="str">
        <f>VLOOKUP(A49,'LISTA DE OFERENTES'!$A$4:$B$80,2,FALSE)</f>
        <v>CONSORCIO METRO CINCO</v>
      </c>
      <c r="C49" s="298">
        <f t="shared" ref="C49:C83" si="0">VLOOKUP(A49,$A$11:$C$45,3,FALSE)</f>
        <v>863.43269663845126</v>
      </c>
      <c r="D49" s="473">
        <f>+F11</f>
        <v>1030.7982705355116</v>
      </c>
      <c r="E49" s="321">
        <f t="shared" ref="E49:E83" si="1">IF(C49&lt;$F$11,($I$2*(1-(($D$49-C49)/$D$49))),($I$2*(1-(2*(ABS($D$49-C49)/$D$49)))))</f>
        <v>56.74977041518018</v>
      </c>
      <c r="F49" s="320"/>
    </row>
    <row r="50" spans="1:6" ht="17.25" customHeight="1">
      <c r="A50" s="290">
        <v>4</v>
      </c>
      <c r="B50" s="294" t="str">
        <f>VLOOKUP(A50,'LISTA DE OFERENTES'!$A$4:$B$80,2,FALSE)</f>
        <v xml:space="preserve"> INGECO INGENIERIA DE CONSTRUCCIONES S.A.S</v>
      </c>
      <c r="C50" s="298">
        <f t="shared" si="0"/>
        <v>700.87483239405651</v>
      </c>
      <c r="D50" s="474"/>
      <c r="E50" s="322">
        <f t="shared" si="1"/>
        <v>46.065531202364845</v>
      </c>
      <c r="F50" s="320"/>
    </row>
    <row r="51" spans="1:6" ht="17.25" customHeight="1">
      <c r="A51" s="290">
        <v>6</v>
      </c>
      <c r="B51" s="294" t="str">
        <f>VLOOKUP(A51,'LISTA DE OFERENTES'!$A$4:$B$80,2,FALSE)</f>
        <v>CONSORCIO PARQUES ENGATIVÁ 2025</v>
      </c>
      <c r="C51" s="299">
        <f t="shared" si="0"/>
        <v>365.37945087260454</v>
      </c>
      <c r="D51" s="474"/>
      <c r="E51" s="322">
        <f t="shared" si="1"/>
        <v>24.014842189984208</v>
      </c>
      <c r="F51" s="320"/>
    </row>
    <row r="52" spans="1:6" ht="17.25" customHeight="1">
      <c r="A52" s="290">
        <v>7</v>
      </c>
      <c r="B52" s="294" t="str">
        <f>VLOOKUP(A52,'LISTA DE OFERENTES'!$A$4:$B$80,2,FALSE)</f>
        <v>CONSULTORA COLOMBIANA TRIPLE C S.A.S BIC</v>
      </c>
      <c r="C52" s="299">
        <f t="shared" si="0"/>
        <v>491.22192045445598</v>
      </c>
      <c r="D52" s="474"/>
      <c r="E52" s="322">
        <f t="shared" si="1"/>
        <v>32.285934175558815</v>
      </c>
      <c r="F52" s="320"/>
    </row>
    <row r="53" spans="1:6" ht="17.25" customHeight="1">
      <c r="A53" s="290">
        <v>8</v>
      </c>
      <c r="B53" s="294" t="str">
        <f>VLOOKUP(A53,'LISTA DE OFERENTES'!$A$4:$B$80,2,FALSE)</f>
        <v xml:space="preserve">CONSULTORES, DESARROLLO Y AMBIENTE SAS BIC </v>
      </c>
      <c r="C53" s="298">
        <f t="shared" si="0"/>
        <v>280.71093617573962</v>
      </c>
      <c r="D53" s="474"/>
      <c r="E53" s="322">
        <f t="shared" si="1"/>
        <v>18.449939691911005</v>
      </c>
      <c r="F53" s="320"/>
    </row>
    <row r="54" spans="1:6" ht="17.25" customHeight="1">
      <c r="A54" s="290">
        <v>9</v>
      </c>
      <c r="B54" s="294" t="str">
        <f>VLOOKUP(A54,'LISTA DE OFERENTES'!$A$4:$B$80,2,FALSE)</f>
        <v>CONSORCIO BOGOTÁ</v>
      </c>
      <c r="C54" s="298">
        <f t="shared" si="0"/>
        <v>753.17971269866496</v>
      </c>
      <c r="D54" s="474"/>
      <c r="E54" s="322">
        <f t="shared" si="1"/>
        <v>49.503309225407364</v>
      </c>
      <c r="F54" s="320"/>
    </row>
    <row r="55" spans="1:6" ht="17.25" customHeight="1">
      <c r="A55" s="290">
        <v>11</v>
      </c>
      <c r="B55" s="294" t="str">
        <f>VLOOKUP(A55,'LISTA DE OFERENTES'!$A$4:$B$80,2,FALSE)</f>
        <v>CONSORCIO PARQUES JAPG 2024</v>
      </c>
      <c r="C55" s="298">
        <f t="shared" si="0"/>
        <v>671.04687151996438</v>
      </c>
      <c r="D55" s="474"/>
      <c r="E55" s="322">
        <f t="shared" si="1"/>
        <v>44.105065797072797</v>
      </c>
      <c r="F55" s="320"/>
    </row>
    <row r="56" spans="1:6" ht="17.25" customHeight="1">
      <c r="A56" s="290">
        <v>13</v>
      </c>
      <c r="B56" s="294" t="str">
        <f>VLOOKUP(A56,'LISTA DE OFERENTES'!$A$4:$B$80,2,FALSE)</f>
        <v>CONSORCIO SIGMA</v>
      </c>
      <c r="C56" s="298">
        <f t="shared" si="0"/>
        <v>460.48311379732604</v>
      </c>
      <c r="D56" s="474"/>
      <c r="E56" s="322">
        <f t="shared" si="1"/>
        <v>30.265602738701975</v>
      </c>
      <c r="F56" s="320"/>
    </row>
    <row r="57" spans="1:6" ht="17.25" customHeight="1">
      <c r="A57" s="290">
        <v>14</v>
      </c>
      <c r="B57" s="294" t="str">
        <f>VLOOKUP(A57,'LISTA DE OFERENTES'!$A$4:$B$80,2,FALSE)</f>
        <v>PROJEKTA LTDA. INGENIEROS CONSULTORES</v>
      </c>
      <c r="C57" s="298">
        <f t="shared" si="0"/>
        <v>1045.0579518297236</v>
      </c>
      <c r="D57" s="474"/>
      <c r="E57" s="322">
        <f t="shared" si="1"/>
        <v>65.875543211901274</v>
      </c>
      <c r="F57" s="320"/>
    </row>
    <row r="58" spans="1:6" ht="17.25" customHeight="1">
      <c r="A58" s="290">
        <v>15</v>
      </c>
      <c r="B58" s="294" t="str">
        <f>VLOOKUP(A58,'LISTA DE OFERENTES'!$A$4:$B$80,2,FALSE)</f>
        <v>PRAN CONSTRUCCIONES S.A.S.</v>
      </c>
      <c r="C58" s="298">
        <f t="shared" si="0"/>
        <v>572.03</v>
      </c>
      <c r="D58" s="474"/>
      <c r="E58" s="322">
        <f t="shared" si="1"/>
        <v>37.597106638398131</v>
      </c>
      <c r="F58" s="320"/>
    </row>
    <row r="59" spans="1:6" ht="17.25" customHeight="1">
      <c r="A59" s="290">
        <v>16</v>
      </c>
      <c r="B59" s="294" t="str">
        <f>VLOOKUP(A59,'LISTA DE OFERENTES'!$A$4:$B$80,2,FALSE)</f>
        <v>CONSORCIO INTER 1</v>
      </c>
      <c r="C59" s="298">
        <f t="shared" si="0"/>
        <v>506.71610129916257</v>
      </c>
      <c r="D59" s="474"/>
      <c r="E59" s="322">
        <f t="shared" si="1"/>
        <v>33.304300991098316</v>
      </c>
      <c r="F59" s="320"/>
    </row>
    <row r="60" spans="1:6" ht="17.25" customHeight="1">
      <c r="A60" s="290">
        <v>17</v>
      </c>
      <c r="B60" s="294" t="str">
        <f>VLOOKUP(A60,'LISTA DE OFERENTES'!$A$4:$B$80,2,FALSE)</f>
        <v>CONSORCIO EG-795 KM</v>
      </c>
      <c r="C60" s="298">
        <f t="shared" si="0"/>
        <v>912.52861123608761</v>
      </c>
      <c r="D60" s="474"/>
      <c r="E60" s="322">
        <f t="shared" si="1"/>
        <v>59.976636727501251</v>
      </c>
      <c r="F60" s="320"/>
    </row>
    <row r="61" spans="1:6" ht="17.25" customHeight="1">
      <c r="A61" s="290">
        <v>18</v>
      </c>
      <c r="B61" s="294" t="str">
        <f>VLOOKUP(A61,'LISTA DE OFERENTES'!$A$4:$B$80,2,FALSE)</f>
        <v>CONSORCIO INTERENGATIVA E&amp;D</v>
      </c>
      <c r="C61" s="298">
        <f t="shared" si="0"/>
        <v>538.12401941184498</v>
      </c>
      <c r="D61" s="474"/>
      <c r="E61" s="322">
        <f t="shared" si="1"/>
        <v>35.368610287066346</v>
      </c>
      <c r="F61" s="320"/>
    </row>
    <row r="62" spans="1:6" ht="17.25" customHeight="1">
      <c r="A62" s="290">
        <v>19</v>
      </c>
      <c r="B62" s="294" t="str">
        <f>VLOOKUP(A62,'LISTA DE OFERENTES'!$A$4:$B$80,2,FALSE)</f>
        <v xml:space="preserve">COVILCO INGENIERIA S.A.S </v>
      </c>
      <c r="C62" s="298">
        <f t="shared" si="0"/>
        <v>785.44367647058823</v>
      </c>
      <c r="D62" s="474"/>
      <c r="E62" s="322">
        <f t="shared" si="1"/>
        <v>51.623882773141602</v>
      </c>
      <c r="F62" s="320"/>
    </row>
    <row r="63" spans="1:6" ht="17.25" customHeight="1">
      <c r="A63" s="290">
        <v>20</v>
      </c>
      <c r="B63" s="294" t="str">
        <f>VLOOKUP(A63,'LISTA DE OFERENTES'!$A$4:$B$80,2,FALSE)</f>
        <v>CONSORCIO PRO-TEV 24</v>
      </c>
      <c r="C63" s="298">
        <f t="shared" si="0"/>
        <v>547.29524618822268</v>
      </c>
      <c r="D63" s="474"/>
      <c r="E63" s="322">
        <f t="shared" si="1"/>
        <v>35.971396139410466</v>
      </c>
      <c r="F63" s="320"/>
    </row>
    <row r="64" spans="1:6" ht="17.25" customHeight="1">
      <c r="A64" s="290">
        <v>22</v>
      </c>
      <c r="B64" s="294" t="str">
        <f>VLOOKUP(A64,'LISTA DE OFERENTES'!$A$4:$B$80,2,FALSE)</f>
        <v>SOLUCIONES PARA LA INGENIERÍA S.A.S.</v>
      </c>
      <c r="C64" s="298">
        <f t="shared" si="0"/>
        <v>1421.6003506755092</v>
      </c>
      <c r="D64" s="474"/>
      <c r="E64" s="322">
        <f t="shared" si="1"/>
        <v>16.378472347494707</v>
      </c>
      <c r="F64" s="320"/>
    </row>
    <row r="65" spans="1:6" ht="17.25" customHeight="1">
      <c r="A65" s="290">
        <v>23</v>
      </c>
      <c r="B65" s="294" t="str">
        <f>VLOOKUP(A65,'LISTA DE OFERENTES'!$A$4:$B$80,2,FALSE)</f>
        <v>CONSORCIO SAN MARTIN 795</v>
      </c>
      <c r="C65" s="298">
        <f t="shared" si="0"/>
        <v>413.09070201400544</v>
      </c>
      <c r="D65" s="474"/>
      <c r="E65" s="322">
        <f t="shared" si="1"/>
        <v>27.150700443947542</v>
      </c>
      <c r="F65" s="320"/>
    </row>
    <row r="66" spans="1:6" ht="17.25" customHeight="1">
      <c r="A66" s="290">
        <v>24</v>
      </c>
      <c r="B66" s="294" t="str">
        <f>VLOOKUP(A66,'LISTA DE OFERENTES'!$A$4:$B$80,2,FALSE)</f>
        <v>CONSORCIO GTC INTERPARK</v>
      </c>
      <c r="C66" s="298">
        <f t="shared" si="0"/>
        <v>165.83154381654307</v>
      </c>
      <c r="D66" s="474"/>
      <c r="E66" s="322">
        <f t="shared" si="1"/>
        <v>10.899404291524508</v>
      </c>
      <c r="F66" s="320"/>
    </row>
    <row r="67" spans="1:6" ht="17.25" customHeight="1">
      <c r="A67" s="290">
        <v>25</v>
      </c>
      <c r="B67" s="294" t="str">
        <f>VLOOKUP(A67,'LISTA DE OFERENTES'!$A$4:$B$80,2,FALSE)</f>
        <v>CIAF LTDA INGENIERIA</v>
      </c>
      <c r="C67" s="298">
        <f t="shared" si="0"/>
        <v>398.92312599999997</v>
      </c>
      <c r="D67" s="474"/>
      <c r="E67" s="322">
        <f t="shared" si="1"/>
        <v>26.219525739463197</v>
      </c>
      <c r="F67" s="320"/>
    </row>
    <row r="68" spans="1:6" ht="17.25" customHeight="1">
      <c r="A68" s="290">
        <v>26</v>
      </c>
      <c r="B68" s="294" t="str">
        <f>VLOOKUP(A68,'LISTA DE OFERENTES'!$A$4:$B$80,2,FALSE)</f>
        <v>JESAK SAS</v>
      </c>
      <c r="C68" s="298">
        <f t="shared" si="0"/>
        <v>1060.5808964437001</v>
      </c>
      <c r="D68" s="474"/>
      <c r="E68" s="322">
        <f t="shared" si="1"/>
        <v>63.835028539616168</v>
      </c>
      <c r="F68" s="320"/>
    </row>
    <row r="69" spans="1:6" ht="17.25" customHeight="1">
      <c r="A69" s="290">
        <v>27</v>
      </c>
      <c r="B69" s="294" t="str">
        <f>VLOOKUP(A69,'LISTA DE OFERENTES'!$A$4:$B$80,2,FALSE)</f>
        <v>INTERVENTORIA Y CONSTRUCIVILES SAS</v>
      </c>
      <c r="C69" s="298">
        <f t="shared" si="0"/>
        <v>287.01497121664664</v>
      </c>
      <c r="D69" s="474"/>
      <c r="E69" s="322">
        <f t="shared" si="1"/>
        <v>18.864277187645815</v>
      </c>
      <c r="F69" s="320"/>
    </row>
    <row r="70" spans="1:6" ht="17.25" customHeight="1">
      <c r="A70" s="290">
        <v>28</v>
      </c>
      <c r="B70" s="294" t="str">
        <f>VLOOKUP(A70,'LISTA DE OFERENTES'!$A$4:$B$80,2,FALSE)</f>
        <v>CONSORCIO INTER-PARQUES OCCIDENTE</v>
      </c>
      <c r="C70" s="298">
        <f t="shared" si="0"/>
        <v>462.09412134613353</v>
      </c>
      <c r="D70" s="474"/>
      <c r="E70" s="322">
        <f t="shared" si="1"/>
        <v>30.37148743462313</v>
      </c>
      <c r="F70" s="320"/>
    </row>
    <row r="71" spans="1:6" ht="17.25" customHeight="1">
      <c r="A71" s="290">
        <v>29</v>
      </c>
      <c r="B71" s="294" t="str">
        <f>VLOOKUP(A71,'LISTA DE OFERENTES'!$A$4:$B$80,2,FALSE)</f>
        <v>CONSORCIO EPSILON ENGATIVA</v>
      </c>
      <c r="C71" s="298">
        <f t="shared" si="0"/>
        <v>738.28760199470275</v>
      </c>
      <c r="D71" s="474"/>
      <c r="E71" s="322">
        <f t="shared" si="1"/>
        <v>48.524513927594846</v>
      </c>
      <c r="F71" s="320"/>
    </row>
    <row r="72" spans="1:6" ht="17.25" customHeight="1">
      <c r="A72" s="290">
        <v>31</v>
      </c>
      <c r="B72" s="294" t="str">
        <f>VLOOKUP(A72,'LISTA DE OFERENTES'!$A$4:$B$80,2,FALSE)</f>
        <v>APP CONSULTORES &amp; ESTRUCTURADORES S.A.S</v>
      </c>
      <c r="C72" s="298">
        <f t="shared" si="0"/>
        <v>567.04840202950459</v>
      </c>
      <c r="D72" s="474"/>
      <c r="E72" s="322">
        <f t="shared" si="1"/>
        <v>37.269687324504908</v>
      </c>
      <c r="F72" s="320"/>
    </row>
    <row r="73" spans="1:6" ht="17.25" customHeight="1">
      <c r="A73" s="290">
        <v>32</v>
      </c>
      <c r="B73" s="294" t="str">
        <f>VLOOKUP(A73,'LISTA DE OFERENTES'!$A$4:$B$80,2,FALSE)</f>
        <v xml:space="preserve">ARQUITECTURA URBANA LTDA </v>
      </c>
      <c r="C73" s="298">
        <f t="shared" si="0"/>
        <v>606.64897237470325</v>
      </c>
      <c r="D73" s="474"/>
      <c r="E73" s="322">
        <f t="shared" si="1"/>
        <v>39.872464916956041</v>
      </c>
      <c r="F73" s="320"/>
    </row>
    <row r="74" spans="1:6" ht="17.25" customHeight="1">
      <c r="A74" s="290">
        <v>33</v>
      </c>
      <c r="B74" s="294" t="str">
        <f>VLOOKUP(A74,'LISTA DE OFERENTES'!$A$4:$B$80,2,FALSE)</f>
        <v>CONSORCIO TABORA</v>
      </c>
      <c r="C74" s="298">
        <f t="shared" si="0"/>
        <v>741.83333251097633</v>
      </c>
      <c r="D74" s="474"/>
      <c r="E74" s="322">
        <f t="shared" si="1"/>
        <v>48.757559761434614</v>
      </c>
      <c r="F74" s="320"/>
    </row>
    <row r="75" spans="1:6" ht="17.25" customHeight="1">
      <c r="A75" s="290">
        <v>34</v>
      </c>
      <c r="B75" s="294" t="str">
        <f>VLOOKUP(A75,'LISTA DE OFERENTES'!$A$4:$B$80,2,FALSE)</f>
        <v>CONSORCIO CT</v>
      </c>
      <c r="C75" s="298">
        <f t="shared" si="0"/>
        <v>512.5672469879421</v>
      </c>
      <c r="D75" s="474"/>
      <c r="E75" s="322">
        <f t="shared" si="1"/>
        <v>33.688871989853354</v>
      </c>
      <c r="F75" s="320"/>
    </row>
    <row r="76" spans="1:6" ht="17.25" customHeight="1">
      <c r="A76" s="290">
        <v>36</v>
      </c>
      <c r="B76" s="294" t="str">
        <f>VLOOKUP(A76,'LISTA DE OFERENTES'!$A$4:$B$80,2,FALSE)</f>
        <v>CONSORCIO CONSULTORES ENGATIVA</v>
      </c>
      <c r="C76" s="298">
        <f t="shared" si="0"/>
        <v>447.12819326250928</v>
      </c>
      <c r="D76" s="474"/>
      <c r="E76" s="322">
        <f t="shared" si="1"/>
        <v>29.387840433412322</v>
      </c>
      <c r="F76" s="320"/>
    </row>
    <row r="77" spans="1:6" ht="17.25" customHeight="1">
      <c r="A77" s="290">
        <v>37</v>
      </c>
      <c r="B77" s="295" t="str">
        <f>VLOOKUP(A77,'LISTA DE OFERENTES'!$A$4:$B$80,2,FALSE)</f>
        <v>PROYECTOS DE DESARROLLO E INFRAESTRUCTURA COLOMBIA S.A.S. – PRODEINCOL S.A.S.</v>
      </c>
      <c r="C77" s="298">
        <f t="shared" si="0"/>
        <v>685.87869738666723</v>
      </c>
      <c r="D77" s="474"/>
      <c r="E77" s="322">
        <f t="shared" si="1"/>
        <v>45.079898828124627</v>
      </c>
      <c r="F77" s="320"/>
    </row>
    <row r="78" spans="1:6" ht="17.25" customHeight="1">
      <c r="A78" s="290">
        <v>38</v>
      </c>
      <c r="B78" s="294" t="str">
        <f>VLOOKUP(A78,'LISTA DE OFERENTES'!$A$4:$B$80,2,FALSE)</f>
        <v>R&amp;M CONSTRUCCIONES E INTERVENTORIAS S.A.S.</v>
      </c>
      <c r="C78" s="298">
        <f t="shared" si="0"/>
        <v>608.37729437787573</v>
      </c>
      <c r="D78" s="474"/>
      <c r="E78" s="322">
        <f t="shared" si="1"/>
        <v>39.986060194579174</v>
      </c>
      <c r="F78" s="320"/>
    </row>
    <row r="79" spans="1:6" ht="17.25" customHeight="1">
      <c r="A79" s="290">
        <v>41</v>
      </c>
      <c r="B79" s="294" t="str">
        <f>VLOOKUP(A79,'LISTA DE OFERENTES'!$A$4:$B$80,2,FALSE)</f>
        <v>CONSORCIO PROYECTOS 2024</v>
      </c>
      <c r="C79" s="298">
        <f t="shared" si="0"/>
        <v>841.51329688111332</v>
      </c>
      <c r="D79" s="474"/>
      <c r="E79" s="322">
        <f t="shared" si="1"/>
        <v>55.309101201806207</v>
      </c>
      <c r="F79" s="320"/>
    </row>
    <row r="80" spans="1:6" ht="17.25" customHeight="1">
      <c r="A80" s="290">
        <v>42</v>
      </c>
      <c r="B80" s="294" t="str">
        <f>VLOOKUP(A80,'LISTA DE OFERENTES'!$A$4:$B$80,2,FALSE)</f>
        <v>CONSORCIO INTERVENTORES S&amp;C</v>
      </c>
      <c r="C80" s="298">
        <f t="shared" si="0"/>
        <v>713.43939255245573</v>
      </c>
      <c r="D80" s="474"/>
      <c r="E80" s="322">
        <f t="shared" si="1"/>
        <v>46.891346471039398</v>
      </c>
      <c r="F80" s="320"/>
    </row>
    <row r="81" spans="1:6" ht="17.25" customHeight="1">
      <c r="A81" s="290">
        <v>43</v>
      </c>
      <c r="B81" s="294" t="str">
        <f>VLOOKUP(A81,'LISTA DE OFERENTES'!$A$4:$B$80,2,FALSE)</f>
        <v>CONSORCIO MOSCU</v>
      </c>
      <c r="C81" s="298">
        <f t="shared" si="0"/>
        <v>1024.9630431092341</v>
      </c>
      <c r="D81" s="474"/>
      <c r="E81" s="324">
        <f t="shared" si="1"/>
        <v>67.366475241149828</v>
      </c>
      <c r="F81" s="320"/>
    </row>
    <row r="82" spans="1:6" ht="17.25" customHeight="1">
      <c r="A82" s="290">
        <v>45</v>
      </c>
      <c r="B82" s="294" t="str">
        <f>VLOOKUP(A82,'LISTA DE OFERENTES'!$A$4:$B$80,2,FALSE)</f>
        <v>CONSORCIO IDEA</v>
      </c>
      <c r="C82" s="298">
        <f t="shared" si="0"/>
        <v>530.15151192509279</v>
      </c>
      <c r="D82" s="474"/>
      <c r="E82" s="322">
        <f t="shared" si="1"/>
        <v>34.84461117136464</v>
      </c>
      <c r="F82" s="320"/>
    </row>
    <row r="83" spans="1:6" ht="17.25" customHeight="1" thickBot="1">
      <c r="A83" s="297">
        <v>46</v>
      </c>
      <c r="B83" s="296" t="str">
        <f>VLOOKUP(A83,'LISTA DE OFERENTES'!$A$4:$B$80,2,FALSE)</f>
        <v>CONSORCIO ENGATIVA JINT 95</v>
      </c>
      <c r="C83" s="300">
        <f t="shared" si="0"/>
        <v>679.36882595078998</v>
      </c>
      <c r="D83" s="475"/>
      <c r="E83" s="323">
        <f t="shared" si="1"/>
        <v>44.652032578842359</v>
      </c>
      <c r="F83" s="320"/>
    </row>
  </sheetData>
  <sheetProtection algorithmName="SHA-512" hashValue="RbH9YpDzjwBR0wyjhflEadfsYOGeznubXB2H781s75SKb20zgqatyi5mthoOxVhXk9TwlwyQCmGsfLd6mKD+DA==" saltValue="GuOh3Q8a1de4d+RAS3XEVQ==" spinCount="100000" sheet="1" objects="1" scenarios="1"/>
  <mergeCells count="9">
    <mergeCell ref="D49:D83"/>
    <mergeCell ref="D11:D45"/>
    <mergeCell ref="E11:E45"/>
    <mergeCell ref="F11:F45"/>
    <mergeCell ref="A1:F1"/>
    <mergeCell ref="A2:F2"/>
    <mergeCell ref="A3:F3"/>
    <mergeCell ref="A10:B10"/>
    <mergeCell ref="A48:B48"/>
  </mergeCells>
  <pageMargins left="0.7" right="0.7" top="0.75" bottom="0.75" header="0.3" footer="0.3"/>
  <pageSetup scale="32"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tint="-0.249977111117893"/>
  </sheetPr>
  <dimension ref="A1:C51"/>
  <sheetViews>
    <sheetView view="pageBreakPreview" zoomScale="60" zoomScaleNormal="85" workbookViewId="0">
      <selection activeCell="A3" sqref="A3:C3"/>
    </sheetView>
  </sheetViews>
  <sheetFormatPr baseColWidth="10" defaultColWidth="9.140625" defaultRowHeight="15"/>
  <cols>
    <col min="1" max="1" width="5.7109375" style="7" customWidth="1"/>
    <col min="2" max="2" width="114" style="17" bestFit="1" customWidth="1"/>
    <col min="3" max="3" width="50.42578125" style="7" bestFit="1" customWidth="1"/>
    <col min="4" max="4" width="9.140625" style="7"/>
    <col min="5" max="5" width="49" style="7" customWidth="1"/>
    <col min="6" max="6" width="18.42578125" style="7" customWidth="1"/>
    <col min="7" max="16384" width="9.140625" style="7"/>
  </cols>
  <sheetData>
    <row r="1" spans="1:3" ht="41.25" customHeight="1" thickBot="1">
      <c r="A1" s="465" t="s">
        <v>0</v>
      </c>
      <c r="B1" s="466"/>
      <c r="C1" s="492"/>
    </row>
    <row r="2" spans="1:3" ht="31.5" customHeight="1" thickBot="1">
      <c r="A2" s="465" t="s">
        <v>1</v>
      </c>
      <c r="B2" s="466"/>
      <c r="C2" s="492"/>
    </row>
    <row r="3" spans="1:3" ht="75" customHeight="1" thickBot="1">
      <c r="A3" s="493" t="s">
        <v>426</v>
      </c>
      <c r="B3" s="494"/>
      <c r="C3" s="495"/>
    </row>
    <row r="4" spans="1:3" ht="13.9" customHeight="1" thickBot="1">
      <c r="A4" s="89"/>
      <c r="B4" s="22"/>
      <c r="C4" s="21"/>
    </row>
    <row r="5" spans="1:3" ht="45.75" customHeight="1" thickBot="1">
      <c r="A5" s="173" t="s">
        <v>445</v>
      </c>
      <c r="B5" s="173" t="s">
        <v>427</v>
      </c>
      <c r="C5" s="173" t="s">
        <v>446</v>
      </c>
    </row>
    <row r="6" spans="1:3" ht="18.75">
      <c r="A6" s="95">
        <v>1</v>
      </c>
      <c r="B6" s="284" t="s">
        <v>11</v>
      </c>
      <c r="C6" s="285" t="s">
        <v>447</v>
      </c>
    </row>
    <row r="7" spans="1:3" ht="18.75">
      <c r="A7" s="87">
        <v>2</v>
      </c>
      <c r="B7" s="88" t="s">
        <v>17</v>
      </c>
      <c r="C7" s="101" t="s">
        <v>447</v>
      </c>
    </row>
    <row r="8" spans="1:3" ht="18.75">
      <c r="A8" s="87">
        <v>3</v>
      </c>
      <c r="B8" s="88" t="s">
        <v>448</v>
      </c>
      <c r="C8" s="101" t="s">
        <v>447</v>
      </c>
    </row>
    <row r="9" spans="1:3" ht="18.75">
      <c r="A9" s="87">
        <v>4</v>
      </c>
      <c r="B9" s="88" t="s">
        <v>449</v>
      </c>
      <c r="C9" s="101" t="s">
        <v>447</v>
      </c>
    </row>
    <row r="10" spans="1:3" ht="18.75">
      <c r="A10" s="87">
        <v>5</v>
      </c>
      <c r="B10" s="88" t="s">
        <v>450</v>
      </c>
      <c r="C10" s="101" t="s">
        <v>447</v>
      </c>
    </row>
    <row r="11" spans="1:3" ht="18.75">
      <c r="A11" s="87">
        <v>6</v>
      </c>
      <c r="B11" s="88" t="s">
        <v>451</v>
      </c>
      <c r="C11" s="101" t="s">
        <v>447</v>
      </c>
    </row>
    <row r="12" spans="1:3" ht="18.75">
      <c r="A12" s="87">
        <v>7</v>
      </c>
      <c r="B12" s="88" t="s">
        <v>452</v>
      </c>
      <c r="C12" s="101" t="s">
        <v>447</v>
      </c>
    </row>
    <row r="13" spans="1:3" ht="18.75">
      <c r="A13" s="87">
        <v>8</v>
      </c>
      <c r="B13" s="88" t="s">
        <v>453</v>
      </c>
      <c r="C13" s="101" t="s">
        <v>447</v>
      </c>
    </row>
    <row r="14" spans="1:3" ht="18.75">
      <c r="A14" s="87">
        <v>9</v>
      </c>
      <c r="B14" s="88" t="s">
        <v>454</v>
      </c>
      <c r="C14" s="101" t="s">
        <v>447</v>
      </c>
    </row>
    <row r="15" spans="1:3" ht="18.75">
      <c r="A15" s="87">
        <v>10</v>
      </c>
      <c r="B15" s="88" t="s">
        <v>47</v>
      </c>
      <c r="C15" s="101" t="s">
        <v>447</v>
      </c>
    </row>
    <row r="16" spans="1:3" ht="18.75">
      <c r="A16" s="87">
        <v>11</v>
      </c>
      <c r="B16" s="88" t="s">
        <v>50</v>
      </c>
      <c r="C16" s="101" t="s">
        <v>447</v>
      </c>
    </row>
    <row r="17" spans="1:3" ht="18.75">
      <c r="A17" s="87">
        <v>12</v>
      </c>
      <c r="B17" s="88" t="s">
        <v>455</v>
      </c>
      <c r="C17" s="101" t="s">
        <v>447</v>
      </c>
    </row>
    <row r="18" spans="1:3" ht="18.75">
      <c r="A18" s="87">
        <v>13</v>
      </c>
      <c r="B18" s="191" t="s">
        <v>58</v>
      </c>
      <c r="C18" s="101" t="s">
        <v>447</v>
      </c>
    </row>
    <row r="19" spans="1:3" ht="18.75">
      <c r="A19" s="87">
        <v>14</v>
      </c>
      <c r="B19" s="88" t="s">
        <v>456</v>
      </c>
      <c r="C19" s="101" t="s">
        <v>447</v>
      </c>
    </row>
    <row r="20" spans="1:3" ht="18.75">
      <c r="A20" s="87">
        <v>15</v>
      </c>
      <c r="B20" s="88" t="s">
        <v>457</v>
      </c>
      <c r="C20" s="101" t="s">
        <v>447</v>
      </c>
    </row>
    <row r="21" spans="1:3" ht="18.75">
      <c r="A21" s="87">
        <v>16</v>
      </c>
      <c r="B21" s="88" t="s">
        <v>67</v>
      </c>
      <c r="C21" s="101" t="s">
        <v>447</v>
      </c>
    </row>
    <row r="22" spans="1:3" ht="18.75">
      <c r="A22" s="87">
        <v>17</v>
      </c>
      <c r="B22" s="88" t="s">
        <v>71</v>
      </c>
      <c r="C22" s="101" t="s">
        <v>447</v>
      </c>
    </row>
    <row r="23" spans="1:3" ht="18.75">
      <c r="A23" s="87">
        <v>18</v>
      </c>
      <c r="B23" s="88" t="s">
        <v>458</v>
      </c>
      <c r="C23" s="101" t="s">
        <v>447</v>
      </c>
    </row>
    <row r="24" spans="1:3" ht="18.75">
      <c r="A24" s="87">
        <v>19</v>
      </c>
      <c r="B24" s="88" t="s">
        <v>459</v>
      </c>
      <c r="C24" s="101" t="s">
        <v>447</v>
      </c>
    </row>
    <row r="25" spans="1:3" ht="18.75">
      <c r="A25" s="87">
        <v>20</v>
      </c>
      <c r="B25" s="88" t="str">
        <f>'LISTA DE OFERENTES'!B23</f>
        <v>CONSORCIO PRO-TEV 24</v>
      </c>
      <c r="C25" s="101" t="s">
        <v>447</v>
      </c>
    </row>
    <row r="26" spans="1:3" ht="18.75">
      <c r="A26" s="87">
        <v>21</v>
      </c>
      <c r="B26" s="284" t="str">
        <f>'LISTA DE OFERENTES'!B24</f>
        <v>CONSORCIO INTER PARQUES ENGATIVA G&amp;L</v>
      </c>
      <c r="C26" s="285" t="s">
        <v>447</v>
      </c>
    </row>
    <row r="27" spans="1:3" ht="18.75">
      <c r="A27" s="87">
        <v>22</v>
      </c>
      <c r="B27" s="88" t="str">
        <f>'LISTA DE OFERENTES'!B25</f>
        <v>SOLUCIONES PARA LA INGENIERÍA S.A.S.</v>
      </c>
      <c r="C27" s="101" t="s">
        <v>447</v>
      </c>
    </row>
    <row r="28" spans="1:3" ht="18.75">
      <c r="A28" s="87">
        <v>23</v>
      </c>
      <c r="B28" s="88" t="str">
        <f>'LISTA DE OFERENTES'!B26</f>
        <v>CONSORCIO SAN MARTIN 795</v>
      </c>
      <c r="C28" s="101" t="s">
        <v>447</v>
      </c>
    </row>
    <row r="29" spans="1:3" ht="18.75">
      <c r="A29" s="87">
        <v>24</v>
      </c>
      <c r="B29" s="88" t="str">
        <f>'LISTA DE OFERENTES'!B27</f>
        <v>CONSORCIO GTC INTERPARK</v>
      </c>
      <c r="C29" s="101" t="s">
        <v>447</v>
      </c>
    </row>
    <row r="30" spans="1:3" ht="18.75">
      <c r="A30" s="87">
        <v>25</v>
      </c>
      <c r="B30" s="88" t="str">
        <f>'LISTA DE OFERENTES'!B28</f>
        <v>CIAF LTDA INGENIERIA</v>
      </c>
      <c r="C30" s="101" t="s">
        <v>447</v>
      </c>
    </row>
    <row r="31" spans="1:3" ht="18.75">
      <c r="A31" s="87">
        <v>26</v>
      </c>
      <c r="B31" s="88" t="s">
        <v>105</v>
      </c>
      <c r="C31" s="101" t="s">
        <v>447</v>
      </c>
    </row>
    <row r="32" spans="1:3" ht="18.75">
      <c r="A32" s="87">
        <v>27</v>
      </c>
      <c r="B32" s="88" t="s">
        <v>460</v>
      </c>
      <c r="C32" s="101" t="s">
        <v>447</v>
      </c>
    </row>
    <row r="33" spans="1:3" ht="18.75">
      <c r="A33" s="87">
        <v>28</v>
      </c>
      <c r="B33" s="88" t="s">
        <v>111</v>
      </c>
      <c r="C33" s="101" t="s">
        <v>447</v>
      </c>
    </row>
    <row r="34" spans="1:3" ht="18.75">
      <c r="A34" s="87">
        <v>29</v>
      </c>
      <c r="B34" s="88" t="s">
        <v>115</v>
      </c>
      <c r="C34" s="101" t="s">
        <v>447</v>
      </c>
    </row>
    <row r="35" spans="1:3" ht="18.75">
      <c r="A35" s="87">
        <v>30</v>
      </c>
      <c r="B35" s="284" t="s">
        <v>119</v>
      </c>
      <c r="C35" s="285" t="s">
        <v>447</v>
      </c>
    </row>
    <row r="36" spans="1:3" ht="18.75">
      <c r="A36" s="87">
        <v>31</v>
      </c>
      <c r="B36" s="88" t="s">
        <v>461</v>
      </c>
      <c r="C36" s="101" t="s">
        <v>447</v>
      </c>
    </row>
    <row r="37" spans="1:3" ht="18.75">
      <c r="A37" s="87">
        <v>32</v>
      </c>
      <c r="B37" s="88" t="s">
        <v>462</v>
      </c>
      <c r="C37" s="101" t="s">
        <v>447</v>
      </c>
    </row>
    <row r="38" spans="1:3" ht="18.75">
      <c r="A38" s="87">
        <v>33</v>
      </c>
      <c r="B38" s="88" t="s">
        <v>130</v>
      </c>
      <c r="C38" s="101" t="s">
        <v>447</v>
      </c>
    </row>
    <row r="39" spans="1:3" ht="18.75">
      <c r="A39" s="87">
        <v>34</v>
      </c>
      <c r="B39" s="88" t="s">
        <v>134</v>
      </c>
      <c r="C39" s="101" t="s">
        <v>447</v>
      </c>
    </row>
    <row r="40" spans="1:3" ht="18.75">
      <c r="A40" s="87">
        <v>35</v>
      </c>
      <c r="B40" s="284" t="s">
        <v>463</v>
      </c>
      <c r="C40" s="285" t="s">
        <v>447</v>
      </c>
    </row>
    <row r="41" spans="1:3" ht="18.75">
      <c r="A41" s="87">
        <v>36</v>
      </c>
      <c r="B41" s="88" t="s">
        <v>143</v>
      </c>
      <c r="C41" s="101" t="s">
        <v>447</v>
      </c>
    </row>
    <row r="42" spans="1:3" ht="18.75">
      <c r="A42" s="87">
        <v>37</v>
      </c>
      <c r="B42" s="88" t="s">
        <v>464</v>
      </c>
      <c r="C42" s="101" t="s">
        <v>447</v>
      </c>
    </row>
    <row r="43" spans="1:3" ht="18.75">
      <c r="A43" s="87">
        <v>38</v>
      </c>
      <c r="B43" s="88" t="s">
        <v>465</v>
      </c>
      <c r="C43" s="101" t="s">
        <v>447</v>
      </c>
    </row>
    <row r="44" spans="1:3" ht="18.75">
      <c r="A44" s="87">
        <v>39</v>
      </c>
      <c r="B44" s="284" t="s">
        <v>466</v>
      </c>
      <c r="C44" s="285" t="s">
        <v>447</v>
      </c>
    </row>
    <row r="45" spans="1:3" ht="18.75">
      <c r="A45" s="87">
        <v>40</v>
      </c>
      <c r="B45" s="88" t="s">
        <v>467</v>
      </c>
      <c r="C45" s="101" t="s">
        <v>447</v>
      </c>
    </row>
    <row r="46" spans="1:3" ht="18.75">
      <c r="A46" s="87">
        <v>41</v>
      </c>
      <c r="B46" s="88" t="s">
        <v>158</v>
      </c>
      <c r="C46" s="101" t="s">
        <v>447</v>
      </c>
    </row>
    <row r="47" spans="1:3" ht="18.75">
      <c r="A47" s="87">
        <v>42</v>
      </c>
      <c r="B47" s="88" t="s">
        <v>162</v>
      </c>
      <c r="C47" s="101" t="s">
        <v>447</v>
      </c>
    </row>
    <row r="48" spans="1:3" ht="18.75">
      <c r="A48" s="87">
        <v>43</v>
      </c>
      <c r="B48" s="88" t="s">
        <v>166</v>
      </c>
      <c r="C48" s="101" t="s">
        <v>447</v>
      </c>
    </row>
    <row r="49" spans="1:3" ht="18.75">
      <c r="A49" s="87">
        <v>44</v>
      </c>
      <c r="B49" s="88" t="s">
        <v>170</v>
      </c>
      <c r="C49" s="101" t="s">
        <v>447</v>
      </c>
    </row>
    <row r="50" spans="1:3" ht="18.75">
      <c r="A50" s="87">
        <v>45</v>
      </c>
      <c r="B50" s="88" t="s">
        <v>174</v>
      </c>
      <c r="C50" s="101" t="s">
        <v>447</v>
      </c>
    </row>
    <row r="51" spans="1:3" ht="18.75">
      <c r="A51" s="87">
        <v>46</v>
      </c>
      <c r="B51" s="88" t="s">
        <v>178</v>
      </c>
      <c r="C51" s="101" t="s">
        <v>447</v>
      </c>
    </row>
  </sheetData>
  <sheetProtection algorithmName="SHA-512" hashValue="23GqflBhiORTTBNvC9t1EaDcaoS6y36qQIxUhq+1N+BYTZWu/Dnl03jvNt3zHlCg4fSK1vxCnQpOUi5OTc3scw==" saltValue="ZjoW6LhbSpmRT09m91XrHw==" spinCount="100000" sheet="1" objects="1" scenarios="1"/>
  <dataConsolidate link="1"/>
  <mergeCells count="3">
    <mergeCell ref="A1:C1"/>
    <mergeCell ref="A2:C2"/>
    <mergeCell ref="A3:C3"/>
  </mergeCells>
  <conditionalFormatting sqref="C6">
    <cfRule type="containsText" dxfId="13" priority="25" operator="containsText" text="NO HABIL">
      <formula>NOT(ISERROR(SEARCH("NO HABIL",C6)))</formula>
    </cfRule>
    <cfRule type="containsText" dxfId="12" priority="26" operator="containsText" text="NO HABIL ">
      <formula>NOT(ISERROR(SEARCH("NO HABIL ",C6)))</formula>
    </cfRule>
  </conditionalFormatting>
  <conditionalFormatting sqref="C6:C51">
    <cfRule type="containsText" dxfId="11" priority="9" operator="containsText" text="NO HABILITADO">
      <formula>NOT(ISERROR(SEARCH("NO HABILITADO",C6)))</formula>
    </cfRule>
    <cfRule type="containsText" dxfId="10" priority="10" operator="containsText" text="HABILITADO">
      <formula>NOT(ISERROR(SEARCH("HABILITADO",C6)))</formula>
    </cfRule>
  </conditionalFormatting>
  <conditionalFormatting sqref="C26">
    <cfRule type="containsText" dxfId="9" priority="7" operator="containsText" text="NO HABIL">
      <formula>NOT(ISERROR(SEARCH("NO HABIL",C26)))</formula>
    </cfRule>
    <cfRule type="containsText" dxfId="8" priority="8" operator="containsText" text="NO HABIL ">
      <formula>NOT(ISERROR(SEARCH("NO HABIL ",C26)))</formula>
    </cfRule>
  </conditionalFormatting>
  <conditionalFormatting sqref="C35">
    <cfRule type="containsText" dxfId="7" priority="5" operator="containsText" text="NO HABIL">
      <formula>NOT(ISERROR(SEARCH("NO HABIL",C35)))</formula>
    </cfRule>
    <cfRule type="containsText" dxfId="6" priority="6" operator="containsText" text="NO HABIL ">
      <formula>NOT(ISERROR(SEARCH("NO HABIL ",C35)))</formula>
    </cfRule>
  </conditionalFormatting>
  <conditionalFormatting sqref="C40">
    <cfRule type="containsText" dxfId="5" priority="3" operator="containsText" text="NO HABIL">
      <formula>NOT(ISERROR(SEARCH("NO HABIL",C40)))</formula>
    </cfRule>
    <cfRule type="containsText" dxfId="4" priority="4" operator="containsText" text="NO HABIL ">
      <formula>NOT(ISERROR(SEARCH("NO HABIL ",C40)))</formula>
    </cfRule>
  </conditionalFormatting>
  <conditionalFormatting sqref="C44">
    <cfRule type="containsText" dxfId="3" priority="1" operator="containsText" text="NO HABIL">
      <formula>NOT(ISERROR(SEARCH("NO HABIL",C44)))</formula>
    </cfRule>
    <cfRule type="containsText" dxfId="2" priority="2" operator="containsText" text="NO HABIL ">
      <formula>NOT(ISERROR(SEARCH("NO HABIL ",C44)))</formula>
    </cfRule>
  </conditionalFormatting>
  <conditionalFormatting sqref="C52:C1048576">
    <cfRule type="containsText" dxfId="1" priority="329" operator="containsText" text="NO CUMPLE">
      <formula>NOT(ISERROR(SEARCH("NO CUMPLE",C52)))</formula>
    </cfRule>
    <cfRule type="containsText" dxfId="0" priority="330" operator="containsText" text="CUMPLE">
      <formula>NOT(ISERROR(SEARCH("CUMPLE",C52)))</formula>
    </cfRule>
  </conditionalFormatting>
  <pageMargins left="0.70866141732283472" right="0.70866141732283472" top="0.74803149606299213" bottom="0.74803149606299213" header="0.51181102362204722" footer="0.51181102362204722"/>
  <pageSetup scale="49" firstPageNumber="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N42"/>
  <sheetViews>
    <sheetView view="pageBreakPreview" zoomScale="55" zoomScaleNormal="85" zoomScaleSheetLayoutView="55" zoomScalePageLayoutView="70" workbookViewId="0">
      <selection activeCell="A3" sqref="A3:C5"/>
    </sheetView>
  </sheetViews>
  <sheetFormatPr baseColWidth="10" defaultColWidth="11.42578125" defaultRowHeight="15"/>
  <cols>
    <col min="1" max="1" width="6.7109375" style="41" customWidth="1"/>
    <col min="2" max="2" width="64" style="41" customWidth="1"/>
    <col min="3" max="3" width="38.28515625" style="41" customWidth="1"/>
    <col min="4" max="4" width="23.7109375" style="41" customWidth="1"/>
    <col min="5" max="5" width="28.28515625" style="41" customWidth="1"/>
    <col min="6" max="6" width="21.7109375" style="41" customWidth="1"/>
    <col min="7" max="8" width="29.7109375" style="41" customWidth="1"/>
    <col min="9" max="9" width="39.7109375" style="41" customWidth="1"/>
    <col min="10" max="10" width="23.28515625" style="41" customWidth="1"/>
    <col min="11" max="11" width="26" style="41" customWidth="1"/>
    <col min="12" max="12" width="73" style="41" customWidth="1"/>
    <col min="13" max="16384" width="11.42578125" style="41"/>
  </cols>
  <sheetData>
    <row r="1" spans="1:14" ht="60.75" customHeight="1" thickBot="1">
      <c r="A1" s="496" t="s">
        <v>0</v>
      </c>
      <c r="B1" s="497"/>
      <c r="C1" s="498"/>
      <c r="D1" s="510"/>
      <c r="E1" s="511"/>
      <c r="F1" s="511"/>
      <c r="G1" s="511"/>
      <c r="H1" s="511"/>
      <c r="I1" s="511"/>
      <c r="J1" s="511"/>
      <c r="K1" s="511"/>
      <c r="L1" s="512"/>
    </row>
    <row r="2" spans="1:14" ht="48.75" customHeight="1" thickBot="1">
      <c r="A2" s="496" t="s">
        <v>468</v>
      </c>
      <c r="B2" s="497"/>
      <c r="C2" s="498"/>
      <c r="D2" s="513"/>
      <c r="E2" s="514"/>
      <c r="F2" s="514"/>
      <c r="G2" s="514"/>
      <c r="H2" s="514"/>
      <c r="I2" s="514"/>
      <c r="J2" s="514"/>
      <c r="K2" s="514"/>
      <c r="L2" s="515"/>
    </row>
    <row r="3" spans="1:14" ht="31.5" customHeight="1">
      <c r="A3" s="499" t="s">
        <v>469</v>
      </c>
      <c r="B3" s="500"/>
      <c r="C3" s="501"/>
      <c r="D3" s="513"/>
      <c r="E3" s="514"/>
      <c r="F3" s="514"/>
      <c r="G3" s="514"/>
      <c r="H3" s="514"/>
      <c r="I3" s="514"/>
      <c r="J3" s="514"/>
      <c r="K3" s="514"/>
      <c r="L3" s="515"/>
    </row>
    <row r="4" spans="1:14" ht="38.25" customHeight="1">
      <c r="A4" s="502"/>
      <c r="B4" s="503"/>
      <c r="C4" s="504"/>
      <c r="D4" s="513"/>
      <c r="E4" s="514"/>
      <c r="F4" s="514"/>
      <c r="G4" s="514"/>
      <c r="H4" s="514"/>
      <c r="I4" s="514"/>
      <c r="J4" s="514"/>
      <c r="K4" s="514"/>
      <c r="L4" s="515"/>
    </row>
    <row r="5" spans="1:14" ht="39" customHeight="1" thickBot="1">
      <c r="A5" s="505"/>
      <c r="B5" s="506"/>
      <c r="C5" s="507"/>
      <c r="D5" s="516"/>
      <c r="E5" s="517"/>
      <c r="F5" s="517"/>
      <c r="G5" s="517"/>
      <c r="H5" s="517"/>
      <c r="I5" s="517"/>
      <c r="J5" s="517"/>
      <c r="K5" s="517"/>
      <c r="L5" s="518"/>
    </row>
    <row r="6" spans="1:14" ht="4.5" customHeight="1" thickBot="1">
      <c r="A6" s="91"/>
      <c r="B6" s="92"/>
      <c r="C6" s="93"/>
      <c r="K6" s="42"/>
    </row>
    <row r="7" spans="1:14" ht="117" customHeight="1" thickBot="1">
      <c r="A7" s="508" t="s">
        <v>470</v>
      </c>
      <c r="B7" s="509"/>
      <c r="C7" s="348" t="s">
        <v>471</v>
      </c>
      <c r="D7" s="349" t="s">
        <v>472</v>
      </c>
      <c r="E7" s="348" t="s">
        <v>473</v>
      </c>
      <c r="F7" s="348" t="s">
        <v>474</v>
      </c>
      <c r="G7" s="348" t="s">
        <v>475</v>
      </c>
      <c r="H7" s="348" t="s">
        <v>476</v>
      </c>
      <c r="I7" s="350" t="s">
        <v>477</v>
      </c>
      <c r="J7" s="351" t="s">
        <v>478</v>
      </c>
      <c r="K7" s="348" t="s">
        <v>479</v>
      </c>
      <c r="L7" s="349" t="s">
        <v>10</v>
      </c>
    </row>
    <row r="8" spans="1:14" s="104" customFormat="1" ht="38.25">
      <c r="A8" s="340">
        <v>2</v>
      </c>
      <c r="B8" s="341" t="str">
        <f>VLOOKUP(A8,'LISTA DE OFERENTES'!$A$4:$F$49,2,FALSE)</f>
        <v>CONSORCIO METRO CINCO</v>
      </c>
      <c r="C8" s="342">
        <f>+VLOOKUP('F. PONDERABLES'!A8,'MEDIA ARITMETICA ALTA'!$A$49:$F$83,5,FALSE)</f>
        <v>56.74977041518018</v>
      </c>
      <c r="D8" s="343">
        <v>10</v>
      </c>
      <c r="E8" s="343">
        <v>0</v>
      </c>
      <c r="F8" s="343">
        <v>20</v>
      </c>
      <c r="G8" s="343">
        <v>1</v>
      </c>
      <c r="H8" s="343">
        <v>0.25</v>
      </c>
      <c r="I8" s="344"/>
      <c r="J8" s="345"/>
      <c r="K8" s="346">
        <f>SUM(C8:J8)</f>
        <v>87.99977041518018</v>
      </c>
      <c r="L8" s="347" t="s">
        <v>491</v>
      </c>
    </row>
    <row r="9" spans="1:14" s="104" customFormat="1" ht="42">
      <c r="A9" s="176">
        <v>4</v>
      </c>
      <c r="B9" s="174" t="str">
        <f>VLOOKUP(A9,'LISTA DE OFERENTES'!$A$4:$F$49,2,FALSE)</f>
        <v xml:space="preserve"> INGECO INGENIERIA DE CONSTRUCCIONES S.A.S</v>
      </c>
      <c r="C9" s="175">
        <f>+VLOOKUP('F. PONDERABLES'!A9,'MEDIA ARITMETICA ALTA'!$A$49:$F$83,5,FALSE)</f>
        <v>46.065531202364845</v>
      </c>
      <c r="D9" s="156">
        <v>10</v>
      </c>
      <c r="E9" s="156">
        <v>1</v>
      </c>
      <c r="F9" s="156">
        <v>20</v>
      </c>
      <c r="G9" s="156">
        <v>1</v>
      </c>
      <c r="H9" s="156">
        <v>0.25</v>
      </c>
      <c r="I9" s="154"/>
      <c r="J9" s="155"/>
      <c r="K9" s="182">
        <f t="shared" ref="K9:K13" si="0">SUM(C9:J9)</f>
        <v>78.315531202364838</v>
      </c>
      <c r="L9" s="184"/>
    </row>
    <row r="10" spans="1:14" s="104" customFormat="1" ht="21">
      <c r="A10" s="176">
        <v>6</v>
      </c>
      <c r="B10" s="174" t="str">
        <f>VLOOKUP(A10,'LISTA DE OFERENTES'!$A$4:$F$49,2,FALSE)</f>
        <v>CONSORCIO PARQUES ENGATIVÁ 2025</v>
      </c>
      <c r="C10" s="175">
        <f>+VLOOKUP('F. PONDERABLES'!A10,'MEDIA ARITMETICA ALTA'!$A$49:$F$83,5,FALSE)</f>
        <v>24.014842189984208</v>
      </c>
      <c r="D10" s="156">
        <v>10</v>
      </c>
      <c r="E10" s="156">
        <v>1</v>
      </c>
      <c r="F10" s="156">
        <v>20</v>
      </c>
      <c r="G10" s="156">
        <v>1</v>
      </c>
      <c r="H10" s="156">
        <v>0.25</v>
      </c>
      <c r="I10" s="154"/>
      <c r="J10" s="155"/>
      <c r="K10" s="182">
        <f t="shared" si="0"/>
        <v>56.264842189984208</v>
      </c>
      <c r="L10" s="185"/>
      <c r="M10" s="105"/>
      <c r="N10" s="106"/>
    </row>
    <row r="11" spans="1:14" s="104" customFormat="1" ht="21">
      <c r="A11" s="176">
        <v>7</v>
      </c>
      <c r="B11" s="174" t="str">
        <f>VLOOKUP(A11,'LISTA DE OFERENTES'!$A$4:$F$49,2,FALSE)</f>
        <v>CONSULTORA COLOMBIANA TRIPLE C S.A.S BIC</v>
      </c>
      <c r="C11" s="175">
        <f>+VLOOKUP('F. PONDERABLES'!A11,'MEDIA ARITMETICA ALTA'!$A$49:$F$83,5,FALSE)</f>
        <v>32.285934175558815</v>
      </c>
      <c r="D11" s="156">
        <v>10</v>
      </c>
      <c r="E11" s="156">
        <v>1</v>
      </c>
      <c r="F11" s="156">
        <v>20</v>
      </c>
      <c r="G11" s="156">
        <v>1</v>
      </c>
      <c r="H11" s="156">
        <v>0.25</v>
      </c>
      <c r="I11" s="154"/>
      <c r="J11" s="155"/>
      <c r="K11" s="182">
        <f t="shared" si="0"/>
        <v>64.535934175558822</v>
      </c>
      <c r="L11" s="185"/>
    </row>
    <row r="12" spans="1:14" s="104" customFormat="1" ht="42">
      <c r="A12" s="176">
        <v>8</v>
      </c>
      <c r="B12" s="174" t="str">
        <f>VLOOKUP(A12,'LISTA DE OFERENTES'!$A$4:$F$49,2,FALSE)</f>
        <v xml:space="preserve">CONSULTORES, DESARROLLO Y AMBIENTE SAS BIC </v>
      </c>
      <c r="C12" s="175">
        <f>+VLOOKUP('F. PONDERABLES'!A12,'MEDIA ARITMETICA ALTA'!$A$49:$F$83,5,FALSE)</f>
        <v>18.449939691911005</v>
      </c>
      <c r="D12" s="156">
        <v>10</v>
      </c>
      <c r="E12" s="156">
        <v>1</v>
      </c>
      <c r="F12" s="156">
        <v>20</v>
      </c>
      <c r="G12" s="156">
        <v>1</v>
      </c>
      <c r="H12" s="156">
        <v>0.25</v>
      </c>
      <c r="I12" s="154"/>
      <c r="J12" s="155"/>
      <c r="K12" s="182">
        <f t="shared" si="0"/>
        <v>50.699939691911005</v>
      </c>
      <c r="L12" s="185"/>
    </row>
    <row r="13" spans="1:14" s="104" customFormat="1" ht="51">
      <c r="A13" s="176">
        <v>9</v>
      </c>
      <c r="B13" s="174" t="str">
        <f>VLOOKUP(A13,'LISTA DE OFERENTES'!$A$4:$F$49,2,FALSE)</f>
        <v>CONSORCIO BOGOTÁ</v>
      </c>
      <c r="C13" s="175">
        <f>+VLOOKUP('F. PONDERABLES'!A13,'MEDIA ARITMETICA ALTA'!$A$49:$F$83,5,FALSE)</f>
        <v>49.503309225407364</v>
      </c>
      <c r="D13" s="156">
        <v>10</v>
      </c>
      <c r="E13" s="156">
        <v>1</v>
      </c>
      <c r="F13" s="156">
        <v>20</v>
      </c>
      <c r="G13" s="156">
        <v>0</v>
      </c>
      <c r="H13" s="156">
        <v>0</v>
      </c>
      <c r="I13" s="154"/>
      <c r="J13" s="155"/>
      <c r="K13" s="182">
        <f t="shared" si="0"/>
        <v>80.503309225407364</v>
      </c>
      <c r="L13" s="184" t="s">
        <v>480</v>
      </c>
    </row>
    <row r="14" spans="1:14" ht="21">
      <c r="A14" s="176">
        <v>11</v>
      </c>
      <c r="B14" s="174" t="str">
        <f>VLOOKUP(A14,'LISTA DE OFERENTES'!$A$4:$F$49,2,FALSE)</f>
        <v>CONSORCIO PARQUES JAPG 2024</v>
      </c>
      <c r="C14" s="175">
        <f>+VLOOKUP('F. PONDERABLES'!A14,'MEDIA ARITMETICA ALTA'!$A$49:$F$83,5,FALSE)</f>
        <v>44.105065797072797</v>
      </c>
      <c r="D14" s="237">
        <v>10</v>
      </c>
      <c r="E14" s="238">
        <v>1</v>
      </c>
      <c r="F14" s="238">
        <v>20</v>
      </c>
      <c r="G14" s="238">
        <v>1</v>
      </c>
      <c r="H14" s="238">
        <v>0.25</v>
      </c>
      <c r="I14" s="154"/>
      <c r="J14" s="155"/>
      <c r="K14" s="182">
        <f t="shared" ref="K14:K42" si="1">SUM(C14:J14)</f>
        <v>76.355065797072797</v>
      </c>
      <c r="L14" s="212"/>
    </row>
    <row r="15" spans="1:14" ht="30">
      <c r="A15" s="176">
        <v>13</v>
      </c>
      <c r="B15" s="174" t="str">
        <f>VLOOKUP(A15,'LISTA DE OFERENTES'!$A$4:$F$49,2,FALSE)</f>
        <v>CONSORCIO SIGMA</v>
      </c>
      <c r="C15" s="175">
        <f>+VLOOKUP('F. PONDERABLES'!A15,'MEDIA ARITMETICA ALTA'!$A$49:$F$83,5,FALSE)</f>
        <v>30.265602738701975</v>
      </c>
      <c r="D15" s="239">
        <v>10</v>
      </c>
      <c r="E15" s="240">
        <v>1</v>
      </c>
      <c r="F15" s="240">
        <v>20</v>
      </c>
      <c r="G15" s="240">
        <v>1</v>
      </c>
      <c r="H15" s="240">
        <v>0.25</v>
      </c>
      <c r="I15" s="154"/>
      <c r="J15" s="155"/>
      <c r="K15" s="182">
        <f t="shared" si="1"/>
        <v>62.515602738701972</v>
      </c>
      <c r="L15" s="213" t="s">
        <v>481</v>
      </c>
    </row>
    <row r="16" spans="1:14" ht="21">
      <c r="A16" s="176">
        <v>14</v>
      </c>
      <c r="B16" s="174" t="str">
        <f>VLOOKUP(A16,'LISTA DE OFERENTES'!$A$4:$F$49,2,FALSE)</f>
        <v>PROJEKTA LTDA. INGENIEROS CONSULTORES</v>
      </c>
      <c r="C16" s="175">
        <f>+VLOOKUP('F. PONDERABLES'!A16,'MEDIA ARITMETICA ALTA'!$A$49:$F$83,5,FALSE)</f>
        <v>65.875543211901274</v>
      </c>
      <c r="D16" s="239">
        <v>10</v>
      </c>
      <c r="E16" s="240">
        <v>1</v>
      </c>
      <c r="F16" s="240">
        <v>20</v>
      </c>
      <c r="G16" s="240">
        <v>1</v>
      </c>
      <c r="H16" s="240">
        <v>0.25</v>
      </c>
      <c r="I16" s="154"/>
      <c r="J16" s="155"/>
      <c r="K16" s="182">
        <f t="shared" si="1"/>
        <v>98.125543211901274</v>
      </c>
      <c r="L16" s="213" t="s">
        <v>57</v>
      </c>
    </row>
    <row r="17" spans="1:12" ht="21">
      <c r="A17" s="176">
        <v>15</v>
      </c>
      <c r="B17" s="174" t="str">
        <f>VLOOKUP(A17,'LISTA DE OFERENTES'!$A$4:$F$49,2,FALSE)</f>
        <v>PRAN CONSTRUCCIONES S.A.S.</v>
      </c>
      <c r="C17" s="175">
        <f>+VLOOKUP('F. PONDERABLES'!A17,'MEDIA ARITMETICA ALTA'!$A$49:$F$83,5,FALSE)</f>
        <v>37.597106638398131</v>
      </c>
      <c r="D17" s="239">
        <v>10</v>
      </c>
      <c r="E17" s="240">
        <v>1</v>
      </c>
      <c r="F17" s="240">
        <v>20</v>
      </c>
      <c r="G17" s="240">
        <v>1</v>
      </c>
      <c r="H17" s="240">
        <v>0.25</v>
      </c>
      <c r="I17" s="154"/>
      <c r="J17" s="155"/>
      <c r="K17" s="182">
        <f t="shared" si="1"/>
        <v>69.847106638398131</v>
      </c>
      <c r="L17" s="213"/>
    </row>
    <row r="18" spans="1:12" ht="21">
      <c r="A18" s="176">
        <v>16</v>
      </c>
      <c r="B18" s="174" t="str">
        <f>VLOOKUP(A18,'LISTA DE OFERENTES'!$A$4:$F$49,2,FALSE)</f>
        <v>CONSORCIO INTER 1</v>
      </c>
      <c r="C18" s="175">
        <f>+VLOOKUP('F. PONDERABLES'!A18,'MEDIA ARITMETICA ALTA'!$A$49:$F$83,5,FALSE)</f>
        <v>33.304300991098316</v>
      </c>
      <c r="D18" s="156">
        <v>10</v>
      </c>
      <c r="E18" s="156">
        <v>1</v>
      </c>
      <c r="F18" s="156">
        <v>20</v>
      </c>
      <c r="G18" s="156">
        <v>1</v>
      </c>
      <c r="H18" s="156">
        <v>0.25</v>
      </c>
      <c r="I18" s="154"/>
      <c r="J18" s="155"/>
      <c r="K18" s="182">
        <f t="shared" si="1"/>
        <v>65.554300991098316</v>
      </c>
      <c r="L18" s="185"/>
    </row>
    <row r="19" spans="1:12" ht="21">
      <c r="A19" s="176">
        <v>17</v>
      </c>
      <c r="B19" s="174" t="str">
        <f>VLOOKUP(A19,'LISTA DE OFERENTES'!$A$4:$F$49,2,FALSE)</f>
        <v>CONSORCIO EG-795 KM</v>
      </c>
      <c r="C19" s="175">
        <f>+VLOOKUP('F. PONDERABLES'!A19,'MEDIA ARITMETICA ALTA'!$A$49:$F$83,5,FALSE)</f>
        <v>59.976636727501251</v>
      </c>
      <c r="D19" s="156">
        <v>10</v>
      </c>
      <c r="E19" s="156">
        <v>1</v>
      </c>
      <c r="F19" s="156">
        <v>20</v>
      </c>
      <c r="G19" s="156">
        <v>1</v>
      </c>
      <c r="H19" s="156">
        <v>0.25</v>
      </c>
      <c r="I19" s="154"/>
      <c r="J19" s="155"/>
      <c r="K19" s="182">
        <f t="shared" si="1"/>
        <v>92.226636727501244</v>
      </c>
      <c r="L19" s="185"/>
    </row>
    <row r="20" spans="1:12" ht="21">
      <c r="A20" s="176">
        <v>18</v>
      </c>
      <c r="B20" s="174" t="str">
        <f>VLOOKUP(A20,'LISTA DE OFERENTES'!$A$4:$F$49,2,FALSE)</f>
        <v>CONSORCIO INTERENGATIVA E&amp;D</v>
      </c>
      <c r="C20" s="175">
        <f>+VLOOKUP('F. PONDERABLES'!A20,'MEDIA ARITMETICA ALTA'!$A$49:$F$83,5,FALSE)</f>
        <v>35.368610287066346</v>
      </c>
      <c r="D20" s="156">
        <v>10</v>
      </c>
      <c r="E20" s="156">
        <v>1</v>
      </c>
      <c r="F20" s="156">
        <v>20</v>
      </c>
      <c r="G20" s="156">
        <v>1</v>
      </c>
      <c r="H20" s="156">
        <v>0.25</v>
      </c>
      <c r="I20" s="154"/>
      <c r="J20" s="155"/>
      <c r="K20" s="182">
        <f t="shared" si="1"/>
        <v>67.618610287066346</v>
      </c>
      <c r="L20" s="185"/>
    </row>
    <row r="21" spans="1:12" ht="51">
      <c r="A21" s="176">
        <v>19</v>
      </c>
      <c r="B21" s="174" t="str">
        <f>VLOOKUP(A21,'LISTA DE OFERENTES'!$A$4:$F$49,2,FALSE)</f>
        <v xml:space="preserve">COVILCO INGENIERIA S.A.S </v>
      </c>
      <c r="C21" s="175">
        <f>+VLOOKUP('F. PONDERABLES'!A21,'MEDIA ARITMETICA ALTA'!$A$49:$F$83,5,FALSE)</f>
        <v>51.623882773141602</v>
      </c>
      <c r="D21" s="156">
        <v>10</v>
      </c>
      <c r="E21" s="156">
        <v>1</v>
      </c>
      <c r="F21" s="156">
        <v>20</v>
      </c>
      <c r="G21" s="156">
        <v>0</v>
      </c>
      <c r="H21" s="156">
        <v>0</v>
      </c>
      <c r="I21" s="154"/>
      <c r="J21" s="155"/>
      <c r="K21" s="182">
        <f t="shared" si="1"/>
        <v>82.623882773141602</v>
      </c>
      <c r="L21" s="184" t="s">
        <v>506</v>
      </c>
    </row>
    <row r="22" spans="1:12" ht="32.25" customHeight="1">
      <c r="A22" s="176">
        <v>20</v>
      </c>
      <c r="B22" s="174" t="str">
        <f>VLOOKUP(A22,'LISTA DE OFERENTES'!$A$4:$F$49,2,FALSE)</f>
        <v>CONSORCIO PRO-TEV 24</v>
      </c>
      <c r="C22" s="175">
        <f>+VLOOKUP('F. PONDERABLES'!A22,'MEDIA ARITMETICA ALTA'!$A$49:$F$83,5,FALSE)</f>
        <v>35.971396139410466</v>
      </c>
      <c r="D22" s="156">
        <v>10</v>
      </c>
      <c r="E22" s="156">
        <v>1</v>
      </c>
      <c r="F22" s="156">
        <v>20</v>
      </c>
      <c r="G22" s="156">
        <v>1</v>
      </c>
      <c r="H22" s="156">
        <v>0.25</v>
      </c>
      <c r="I22" s="154"/>
      <c r="J22" s="155"/>
      <c r="K22" s="182">
        <f t="shared" si="1"/>
        <v>68.221396139410473</v>
      </c>
      <c r="L22" s="185"/>
    </row>
    <row r="23" spans="1:12" ht="32.25" customHeight="1">
      <c r="A23" s="176">
        <v>22</v>
      </c>
      <c r="B23" s="174" t="str">
        <f>VLOOKUP(A23,'LISTA DE OFERENTES'!$A$4:$F$49,2,FALSE)</f>
        <v>SOLUCIONES PARA LA INGENIERÍA S.A.S.</v>
      </c>
      <c r="C23" s="175">
        <f>+VLOOKUP('F. PONDERABLES'!A23,'MEDIA ARITMETICA ALTA'!$A$49:$F$83,5,FALSE)</f>
        <v>16.378472347494707</v>
      </c>
      <c r="D23" s="156">
        <v>10</v>
      </c>
      <c r="E23" s="156">
        <v>1</v>
      </c>
      <c r="F23" s="156">
        <v>20</v>
      </c>
      <c r="G23" s="156">
        <v>1</v>
      </c>
      <c r="H23" s="156">
        <v>0.25</v>
      </c>
      <c r="I23" s="154"/>
      <c r="J23" s="155"/>
      <c r="K23" s="182">
        <f t="shared" si="1"/>
        <v>48.628472347494707</v>
      </c>
      <c r="L23" s="185"/>
    </row>
    <row r="24" spans="1:12" ht="21">
      <c r="A24" s="176">
        <v>23</v>
      </c>
      <c r="B24" s="174" t="str">
        <f>VLOOKUP(A24,'LISTA DE OFERENTES'!$A$4:$F$49,2,FALSE)</f>
        <v>CONSORCIO SAN MARTIN 795</v>
      </c>
      <c r="C24" s="175">
        <f>+VLOOKUP('F. PONDERABLES'!A24,'MEDIA ARITMETICA ALTA'!$A$49:$F$83,5,FALSE)</f>
        <v>27.150700443947542</v>
      </c>
      <c r="D24" s="156">
        <v>10</v>
      </c>
      <c r="E24" s="156">
        <v>1</v>
      </c>
      <c r="F24" s="156">
        <v>20</v>
      </c>
      <c r="G24" s="156">
        <v>1</v>
      </c>
      <c r="H24" s="156">
        <v>0.25</v>
      </c>
      <c r="I24" s="154"/>
      <c r="J24" s="155"/>
      <c r="K24" s="182">
        <f t="shared" si="1"/>
        <v>59.400700443947542</v>
      </c>
      <c r="L24" s="185"/>
    </row>
    <row r="25" spans="1:12" ht="51">
      <c r="A25" s="176">
        <v>24</v>
      </c>
      <c r="B25" s="174" t="str">
        <f>VLOOKUP(A25,'LISTA DE OFERENTES'!$A$4:$F$49,2,FALSE)</f>
        <v>CONSORCIO GTC INTERPARK</v>
      </c>
      <c r="C25" s="175">
        <f>+VLOOKUP('F. PONDERABLES'!A25,'MEDIA ARITMETICA ALTA'!$A$49:$F$83,5,FALSE)</f>
        <v>10.899404291524508</v>
      </c>
      <c r="D25" s="156">
        <v>10</v>
      </c>
      <c r="E25" s="156">
        <v>1</v>
      </c>
      <c r="F25" s="156">
        <v>20</v>
      </c>
      <c r="G25" s="156">
        <v>0</v>
      </c>
      <c r="H25" s="156">
        <v>0.25</v>
      </c>
      <c r="I25" s="154"/>
      <c r="J25" s="155"/>
      <c r="K25" s="182">
        <f t="shared" si="1"/>
        <v>42.149404291524505</v>
      </c>
      <c r="L25" s="184" t="s">
        <v>482</v>
      </c>
    </row>
    <row r="26" spans="1:12" ht="45">
      <c r="A26" s="176">
        <v>25</v>
      </c>
      <c r="B26" s="174" t="str">
        <f>VLOOKUP(A26,'LISTA DE OFERENTES'!$A$4:$F$49,2,FALSE)</f>
        <v>CIAF LTDA INGENIERIA</v>
      </c>
      <c r="C26" s="175">
        <f>+VLOOKUP('F. PONDERABLES'!A26,'MEDIA ARITMETICA ALTA'!$A$49:$F$83,5,FALSE)</f>
        <v>26.219525739463197</v>
      </c>
      <c r="D26" s="156">
        <v>10</v>
      </c>
      <c r="E26" s="156">
        <v>1</v>
      </c>
      <c r="F26" s="156">
        <v>20</v>
      </c>
      <c r="G26" s="156">
        <v>1</v>
      </c>
      <c r="H26" s="156">
        <v>0</v>
      </c>
      <c r="I26" s="154"/>
      <c r="J26" s="155"/>
      <c r="K26" s="182">
        <f t="shared" si="1"/>
        <v>58.219525739463194</v>
      </c>
      <c r="L26" s="185" t="s">
        <v>483</v>
      </c>
    </row>
    <row r="27" spans="1:12" ht="21">
      <c r="A27" s="176">
        <v>26</v>
      </c>
      <c r="B27" s="174" t="str">
        <f>VLOOKUP(A27,'LISTA DE OFERENTES'!$A$4:$F$49,2,FALSE)</f>
        <v>JESAK SAS</v>
      </c>
      <c r="C27" s="175">
        <f>+VLOOKUP('F. PONDERABLES'!A27,'MEDIA ARITMETICA ALTA'!$A$49:$F$83,5,FALSE)</f>
        <v>63.835028539616168</v>
      </c>
      <c r="D27" s="156">
        <v>10</v>
      </c>
      <c r="E27" s="156">
        <v>1</v>
      </c>
      <c r="F27" s="156">
        <v>20</v>
      </c>
      <c r="G27" s="156">
        <v>1</v>
      </c>
      <c r="H27" s="156">
        <v>0.25</v>
      </c>
      <c r="I27" s="154"/>
      <c r="J27" s="155"/>
      <c r="K27" s="182">
        <f t="shared" si="1"/>
        <v>96.085028539616161</v>
      </c>
      <c r="L27" s="185"/>
    </row>
    <row r="28" spans="1:12" ht="21">
      <c r="A28" s="176">
        <v>27</v>
      </c>
      <c r="B28" s="174" t="str">
        <f>VLOOKUP(A28,'LISTA DE OFERENTES'!$A$4:$F$49,2,FALSE)</f>
        <v>INTERVENTORIA Y CONSTRUCIVILES SAS</v>
      </c>
      <c r="C28" s="175">
        <f>+VLOOKUP('F. PONDERABLES'!A28,'MEDIA ARITMETICA ALTA'!$A$49:$F$83,5,FALSE)</f>
        <v>18.864277187645815</v>
      </c>
      <c r="D28" s="156">
        <v>10</v>
      </c>
      <c r="E28" s="156">
        <v>1</v>
      </c>
      <c r="F28" s="156">
        <v>20</v>
      </c>
      <c r="G28" s="156">
        <v>1</v>
      </c>
      <c r="H28" s="156">
        <v>0.25</v>
      </c>
      <c r="I28" s="154"/>
      <c r="J28" s="155"/>
      <c r="K28" s="182">
        <f t="shared" si="1"/>
        <v>51.114277187645811</v>
      </c>
      <c r="L28" s="185"/>
    </row>
    <row r="29" spans="1:12" ht="21">
      <c r="A29" s="176">
        <v>28</v>
      </c>
      <c r="B29" s="174" t="str">
        <f>VLOOKUP(A29,'LISTA DE OFERENTES'!$A$4:$F$49,2,FALSE)</f>
        <v>CONSORCIO INTER-PARQUES OCCIDENTE</v>
      </c>
      <c r="C29" s="175">
        <f>+VLOOKUP('F. PONDERABLES'!A29,'MEDIA ARITMETICA ALTA'!$A$49:$F$83,5,FALSE)</f>
        <v>30.37148743462313</v>
      </c>
      <c r="D29" s="156">
        <v>10</v>
      </c>
      <c r="E29" s="156">
        <v>1</v>
      </c>
      <c r="F29" s="156">
        <v>20</v>
      </c>
      <c r="G29" s="156">
        <v>1</v>
      </c>
      <c r="H29" s="156">
        <v>0.25</v>
      </c>
      <c r="I29" s="154"/>
      <c r="J29" s="155"/>
      <c r="K29" s="182">
        <f t="shared" si="1"/>
        <v>62.621487434623134</v>
      </c>
      <c r="L29" s="185"/>
    </row>
    <row r="30" spans="1:12" ht="21">
      <c r="A30" s="176">
        <v>29</v>
      </c>
      <c r="B30" s="174" t="str">
        <f>VLOOKUP(A30,'LISTA DE OFERENTES'!$A$4:$F$49,2,FALSE)</f>
        <v>CONSORCIO EPSILON ENGATIVA</v>
      </c>
      <c r="C30" s="175">
        <f>+VLOOKUP('F. PONDERABLES'!A30,'MEDIA ARITMETICA ALTA'!$A$49:$F$83,5,FALSE)</f>
        <v>48.524513927594846</v>
      </c>
      <c r="D30" s="156">
        <v>10</v>
      </c>
      <c r="E30" s="156">
        <v>1</v>
      </c>
      <c r="F30" s="156">
        <v>20</v>
      </c>
      <c r="G30" s="156">
        <v>1</v>
      </c>
      <c r="H30" s="156">
        <v>0.25</v>
      </c>
      <c r="I30" s="154"/>
      <c r="J30" s="155"/>
      <c r="K30" s="182">
        <f t="shared" si="1"/>
        <v>80.774513927594853</v>
      </c>
      <c r="L30" s="185"/>
    </row>
    <row r="31" spans="1:12" ht="21">
      <c r="A31" s="176">
        <v>31</v>
      </c>
      <c r="B31" s="174" t="str">
        <f>VLOOKUP(A31,'LISTA DE OFERENTES'!$A$4:$F$49,2,FALSE)</f>
        <v>APP CONSULTORES &amp; ESTRUCTURADORES S.A.S</v>
      </c>
      <c r="C31" s="175">
        <f>+VLOOKUP('F. PONDERABLES'!A31,'MEDIA ARITMETICA ALTA'!$A$49:$F$83,5,FALSE)</f>
        <v>37.269687324504908</v>
      </c>
      <c r="D31" s="232">
        <v>10</v>
      </c>
      <c r="E31" s="232">
        <v>1</v>
      </c>
      <c r="F31" s="232">
        <v>20</v>
      </c>
      <c r="G31" s="232">
        <v>1</v>
      </c>
      <c r="H31" s="232">
        <v>0.25</v>
      </c>
      <c r="I31" s="154"/>
      <c r="J31" s="155"/>
      <c r="K31" s="182">
        <f t="shared" si="1"/>
        <v>69.519687324504901</v>
      </c>
      <c r="L31" s="185"/>
    </row>
    <row r="32" spans="1:12" ht="21">
      <c r="A32" s="176">
        <v>32</v>
      </c>
      <c r="B32" s="174" t="str">
        <f>VLOOKUP(A32,'LISTA DE OFERENTES'!$A$4:$F$49,2,FALSE)</f>
        <v xml:space="preserve">ARQUITECTURA URBANA LTDA </v>
      </c>
      <c r="C32" s="175">
        <f>+VLOOKUP('F. PONDERABLES'!A32,'MEDIA ARITMETICA ALTA'!$A$49:$F$83,5,FALSE)</f>
        <v>39.872464916956041</v>
      </c>
      <c r="D32" s="232">
        <v>10</v>
      </c>
      <c r="E32" s="232">
        <v>1</v>
      </c>
      <c r="F32" s="232">
        <v>20</v>
      </c>
      <c r="G32" s="232">
        <v>1</v>
      </c>
      <c r="H32" s="232">
        <v>0.25</v>
      </c>
      <c r="I32" s="154"/>
      <c r="J32" s="155"/>
      <c r="K32" s="182">
        <f t="shared" si="1"/>
        <v>72.122464916956034</v>
      </c>
      <c r="L32" s="185"/>
    </row>
    <row r="33" spans="1:12" ht="21">
      <c r="A33" s="176">
        <v>33</v>
      </c>
      <c r="B33" s="174" t="str">
        <f>VLOOKUP(A33,'LISTA DE OFERENTES'!$A$4:$F$49,2,FALSE)</f>
        <v>CONSORCIO TABORA</v>
      </c>
      <c r="C33" s="175">
        <f>+VLOOKUP('F. PONDERABLES'!A33,'MEDIA ARITMETICA ALTA'!$A$49:$F$83,5,FALSE)</f>
        <v>48.757559761434614</v>
      </c>
      <c r="D33" s="232">
        <v>10</v>
      </c>
      <c r="E33" s="232">
        <v>1</v>
      </c>
      <c r="F33" s="232">
        <v>20</v>
      </c>
      <c r="G33" s="232">
        <v>1</v>
      </c>
      <c r="H33" s="232">
        <v>0.25</v>
      </c>
      <c r="I33" s="154"/>
      <c r="J33" s="155"/>
      <c r="K33" s="182">
        <f t="shared" si="1"/>
        <v>81.007559761434607</v>
      </c>
      <c r="L33" s="185"/>
    </row>
    <row r="34" spans="1:12" ht="21">
      <c r="A34" s="176">
        <v>34</v>
      </c>
      <c r="B34" s="174" t="str">
        <f>VLOOKUP(A34,'LISTA DE OFERENTES'!$A$4:$F$49,2,FALSE)</f>
        <v>CONSORCIO CT</v>
      </c>
      <c r="C34" s="175">
        <f>+VLOOKUP('F. PONDERABLES'!A34,'MEDIA ARITMETICA ALTA'!$A$49:$F$83,5,FALSE)</f>
        <v>33.688871989853354</v>
      </c>
      <c r="D34" s="232">
        <v>10</v>
      </c>
      <c r="E34" s="232">
        <v>1</v>
      </c>
      <c r="F34" s="232">
        <v>20</v>
      </c>
      <c r="G34" s="232">
        <v>1</v>
      </c>
      <c r="H34" s="232">
        <v>0.25</v>
      </c>
      <c r="I34" s="154"/>
      <c r="J34" s="155"/>
      <c r="K34" s="182">
        <f t="shared" si="1"/>
        <v>65.938871989853354</v>
      </c>
      <c r="L34" s="185"/>
    </row>
    <row r="35" spans="1:12" ht="21">
      <c r="A35" s="176">
        <v>36</v>
      </c>
      <c r="B35" s="174" t="str">
        <f>VLOOKUP(A35,'LISTA DE OFERENTES'!$A$4:$F$49,2,FALSE)</f>
        <v>CONSORCIO CONSULTORES ENGATIVA</v>
      </c>
      <c r="C35" s="175">
        <f>+VLOOKUP('F. PONDERABLES'!A35,'MEDIA ARITMETICA ALTA'!$A$49:$F$83,5,FALSE)</f>
        <v>29.387840433412322</v>
      </c>
      <c r="D35" s="156">
        <v>10</v>
      </c>
      <c r="E35" s="156">
        <v>1</v>
      </c>
      <c r="F35" s="156">
        <v>20</v>
      </c>
      <c r="G35" s="156">
        <v>1</v>
      </c>
      <c r="H35" s="156">
        <v>0.25</v>
      </c>
      <c r="I35" s="154"/>
      <c r="J35" s="155"/>
      <c r="K35" s="182">
        <f t="shared" si="1"/>
        <v>61.637840433412322</v>
      </c>
      <c r="L35" s="185"/>
    </row>
    <row r="36" spans="1:12" ht="41.25" customHeight="1">
      <c r="A36" s="176">
        <v>37</v>
      </c>
      <c r="B36" s="174" t="str">
        <f>VLOOKUP(A36,'LISTA DE OFERENTES'!$A$4:$F$49,2,FALSE)</f>
        <v>PROYECTOS DE DESARROLLO E INFRAESTRUCTURA COLOMBIA S.A.S. – PRODEINCOL S.A.S.</v>
      </c>
      <c r="C36" s="175">
        <f>+VLOOKUP('F. PONDERABLES'!A36,'MEDIA ARITMETICA ALTA'!$A$49:$F$83,5,FALSE)</f>
        <v>45.079898828124627</v>
      </c>
      <c r="D36" s="237">
        <v>10</v>
      </c>
      <c r="E36" s="238">
        <v>1</v>
      </c>
      <c r="F36" s="238">
        <v>20</v>
      </c>
      <c r="G36" s="238">
        <v>0</v>
      </c>
      <c r="H36" s="238">
        <v>0.25</v>
      </c>
      <c r="I36" s="154"/>
      <c r="J36" s="155"/>
      <c r="K36" s="182">
        <f t="shared" si="1"/>
        <v>76.329898828124627</v>
      </c>
      <c r="L36" s="185" t="s">
        <v>484</v>
      </c>
    </row>
    <row r="37" spans="1:12" ht="42">
      <c r="A37" s="176">
        <v>38</v>
      </c>
      <c r="B37" s="174" t="str">
        <f>VLOOKUP(A37,'LISTA DE OFERENTES'!$A$4:$F$49,2,FALSE)</f>
        <v>R&amp;M CONSTRUCCIONES E INTERVENTORIAS S.A.S.</v>
      </c>
      <c r="C37" s="175">
        <f>+VLOOKUP('F. PONDERABLES'!A37,'MEDIA ARITMETICA ALTA'!$A$49:$F$83,5,FALSE)</f>
        <v>39.986060194579174</v>
      </c>
      <c r="D37" s="239">
        <v>10</v>
      </c>
      <c r="E37" s="240">
        <v>1</v>
      </c>
      <c r="F37" s="240">
        <v>20</v>
      </c>
      <c r="G37" s="240">
        <v>1</v>
      </c>
      <c r="H37" s="240">
        <v>0.25</v>
      </c>
      <c r="I37" s="154"/>
      <c r="J37" s="155"/>
      <c r="K37" s="182">
        <f t="shared" si="1"/>
        <v>72.236060194579181</v>
      </c>
      <c r="L37" s="185"/>
    </row>
    <row r="38" spans="1:12" ht="39" customHeight="1">
      <c r="A38" s="176">
        <v>41</v>
      </c>
      <c r="B38" s="174" t="str">
        <f>VLOOKUP(A38,'LISTA DE OFERENTES'!$A$4:$F$49,2,FALSE)</f>
        <v>CONSORCIO PROYECTOS 2024</v>
      </c>
      <c r="C38" s="175">
        <f>+VLOOKUP('F. PONDERABLES'!A38,'MEDIA ARITMETICA ALTA'!$A$49:$F$83,5,FALSE)</f>
        <v>55.309101201806207</v>
      </c>
      <c r="D38" s="156">
        <v>10</v>
      </c>
      <c r="E38" s="156">
        <v>1</v>
      </c>
      <c r="F38" s="156">
        <v>20</v>
      </c>
      <c r="G38" s="156">
        <v>1</v>
      </c>
      <c r="H38" s="156">
        <v>0.25</v>
      </c>
      <c r="I38" s="154"/>
      <c r="J38" s="155"/>
      <c r="K38" s="182">
        <f>SUM(C38:J38)</f>
        <v>87.559101201806214</v>
      </c>
      <c r="L38" s="185"/>
    </row>
    <row r="39" spans="1:12" ht="21">
      <c r="A39" s="176">
        <v>42</v>
      </c>
      <c r="B39" s="174" t="str">
        <f>VLOOKUP(A39,'LISTA DE OFERENTES'!$A$4:$F$49,2,FALSE)</f>
        <v>CONSORCIO INTERVENTORES S&amp;C</v>
      </c>
      <c r="C39" s="175">
        <f>+VLOOKUP('F. PONDERABLES'!A39,'MEDIA ARITMETICA ALTA'!$A$49:$F$83,5,FALSE)</f>
        <v>46.891346471039398</v>
      </c>
      <c r="D39" s="156">
        <v>10</v>
      </c>
      <c r="E39" s="156">
        <v>1</v>
      </c>
      <c r="F39" s="156">
        <v>20</v>
      </c>
      <c r="G39" s="156">
        <v>1</v>
      </c>
      <c r="H39" s="156">
        <v>0.25</v>
      </c>
      <c r="I39" s="154"/>
      <c r="J39" s="155"/>
      <c r="K39" s="182">
        <f t="shared" si="1"/>
        <v>79.141346471039398</v>
      </c>
      <c r="L39" s="185"/>
    </row>
    <row r="40" spans="1:12" ht="21">
      <c r="A40" s="176">
        <v>43</v>
      </c>
      <c r="B40" s="174" t="str">
        <f>VLOOKUP(A40,'LISTA DE OFERENTES'!$A$4:$F$49,2,FALSE)</f>
        <v>CONSORCIO MOSCU</v>
      </c>
      <c r="C40" s="175">
        <f>+VLOOKUP('F. PONDERABLES'!A40,'MEDIA ARITMETICA ALTA'!$A$49:$F$83,5,FALSE)</f>
        <v>67.366475241149828</v>
      </c>
      <c r="D40" s="302">
        <v>10</v>
      </c>
      <c r="E40" s="303">
        <v>1</v>
      </c>
      <c r="F40" s="303">
        <v>20</v>
      </c>
      <c r="G40" s="303">
        <v>1</v>
      </c>
      <c r="H40" s="303">
        <v>0.25</v>
      </c>
      <c r="I40" s="154"/>
      <c r="J40" s="155"/>
      <c r="K40" s="182">
        <f t="shared" si="1"/>
        <v>99.616475241149828</v>
      </c>
      <c r="L40" s="185"/>
    </row>
    <row r="41" spans="1:12" ht="21">
      <c r="A41" s="176">
        <v>45</v>
      </c>
      <c r="B41" s="174" t="str">
        <f>VLOOKUP(A41,'LISTA DE OFERENTES'!$A$4:$F$49,2,FALSE)</f>
        <v>CONSORCIO IDEA</v>
      </c>
      <c r="C41" s="175">
        <f>+VLOOKUP('F. PONDERABLES'!A41,'MEDIA ARITMETICA ALTA'!$A$49:$F$83,5,FALSE)</f>
        <v>34.84461117136464</v>
      </c>
      <c r="D41" s="304">
        <v>10</v>
      </c>
      <c r="E41" s="305">
        <v>1</v>
      </c>
      <c r="F41" s="305">
        <v>20</v>
      </c>
      <c r="G41" s="305">
        <v>1</v>
      </c>
      <c r="H41" s="305">
        <v>0.25</v>
      </c>
      <c r="I41" s="154"/>
      <c r="J41" s="155"/>
      <c r="K41" s="182">
        <f t="shared" si="1"/>
        <v>67.094611171364647</v>
      </c>
      <c r="L41" s="185"/>
    </row>
    <row r="42" spans="1:12" ht="21.75" thickBot="1">
      <c r="A42" s="177">
        <v>46</v>
      </c>
      <c r="B42" s="178" t="str">
        <f>VLOOKUP(A42,'LISTA DE OFERENTES'!$A$4:$F$49,2,FALSE)</f>
        <v>CONSORCIO ENGATIVA JINT 95</v>
      </c>
      <c r="C42" s="179">
        <f>+VLOOKUP('F. PONDERABLES'!A42,'MEDIA ARITMETICA ALTA'!$A$49:$F$83,5,FALSE)</f>
        <v>44.652032578842359</v>
      </c>
      <c r="D42" s="306">
        <v>10</v>
      </c>
      <c r="E42" s="307">
        <v>1</v>
      </c>
      <c r="F42" s="307">
        <v>20</v>
      </c>
      <c r="G42" s="307">
        <v>1</v>
      </c>
      <c r="H42" s="307">
        <v>0.25</v>
      </c>
      <c r="I42" s="180"/>
      <c r="J42" s="181"/>
      <c r="K42" s="183">
        <f t="shared" si="1"/>
        <v>76.902032578842352</v>
      </c>
      <c r="L42" s="186"/>
    </row>
  </sheetData>
  <sheetProtection algorithmName="SHA-512" hashValue="LnEz2BI5q6mVKL4iNAfU69ck3dndOgN6WHx6AnmDGomX9AuqZ9D2dhSHXjX+b8W5yduzfg04z3E8/Qa28Gh10w==" saltValue="Fr98OlnfmioyBkraW0+/jg==" spinCount="100000" sheet="1" objects="1" scenarios="1"/>
  <mergeCells count="5">
    <mergeCell ref="A1:C1"/>
    <mergeCell ref="A2:C2"/>
    <mergeCell ref="A3:C5"/>
    <mergeCell ref="A7:B7"/>
    <mergeCell ref="D1:L5"/>
  </mergeCells>
  <pageMargins left="0.7" right="0.7" top="0.75" bottom="0.75" header="0.3" footer="0.3"/>
  <pageSetup paperSize="9" scale="31"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B54A0-45A4-4A83-BD28-FEF876FB463B}">
  <sheetPr>
    <tabColor rgb="FF92D050"/>
  </sheetPr>
  <dimension ref="A1:D42"/>
  <sheetViews>
    <sheetView tabSelected="1" view="pageBreakPreview" zoomScale="70" zoomScaleNormal="70" zoomScaleSheetLayoutView="70" zoomScalePageLayoutView="70" workbookViewId="0">
      <selection activeCell="A3" sqref="A3:D5"/>
    </sheetView>
  </sheetViews>
  <sheetFormatPr baseColWidth="10" defaultColWidth="11.42578125" defaultRowHeight="15"/>
  <cols>
    <col min="1" max="1" width="20.140625" style="108" customWidth="1"/>
    <col min="2" max="2" width="16.28515625" style="108" customWidth="1"/>
    <col min="3" max="3" width="99.7109375" style="108" customWidth="1"/>
    <col min="4" max="4" width="19.7109375" style="112" customWidth="1"/>
    <col min="5" max="16384" width="11.42578125" style="108"/>
  </cols>
  <sheetData>
    <row r="1" spans="1:4" ht="40.5" customHeight="1" thickBot="1">
      <c r="A1" s="519" t="s">
        <v>0</v>
      </c>
      <c r="B1" s="520"/>
      <c r="C1" s="520"/>
      <c r="D1" s="521"/>
    </row>
    <row r="2" spans="1:4" ht="31.5" customHeight="1" thickBot="1">
      <c r="A2" s="522" t="s">
        <v>468</v>
      </c>
      <c r="B2" s="523"/>
      <c r="C2" s="523"/>
      <c r="D2" s="524"/>
    </row>
    <row r="3" spans="1:4" ht="21" customHeight="1">
      <c r="A3" s="525" t="s">
        <v>485</v>
      </c>
      <c r="B3" s="526"/>
      <c r="C3" s="526"/>
      <c r="D3" s="527"/>
    </row>
    <row r="4" spans="1:4" ht="21" customHeight="1">
      <c r="A4" s="525"/>
      <c r="B4" s="526"/>
      <c r="C4" s="526"/>
      <c r="D4" s="527"/>
    </row>
    <row r="5" spans="1:4" ht="26.25" customHeight="1" thickBot="1">
      <c r="A5" s="528"/>
      <c r="B5" s="529"/>
      <c r="C5" s="529"/>
      <c r="D5" s="530"/>
    </row>
    <row r="6" spans="1:4" ht="4.5" customHeight="1" thickBot="1">
      <c r="A6" s="109"/>
      <c r="B6" s="110"/>
      <c r="C6" s="111"/>
    </row>
    <row r="7" spans="1:4" ht="117" customHeight="1">
      <c r="A7" s="325" t="s">
        <v>485</v>
      </c>
      <c r="B7" s="326" t="s">
        <v>486</v>
      </c>
      <c r="C7" s="326" t="s">
        <v>414</v>
      </c>
      <c r="D7" s="327" t="s">
        <v>479</v>
      </c>
    </row>
    <row r="8" spans="1:4" ht="23.25">
      <c r="A8" s="334">
        <v>1</v>
      </c>
      <c r="B8" s="335">
        <v>43</v>
      </c>
      <c r="C8" s="335" t="str">
        <f>+VLOOKUP(B8,'F. PONDERABLES'!$A$8:$K$42,2)</f>
        <v>CONSORCIO MOSCU</v>
      </c>
      <c r="D8" s="336">
        <f>+VLOOKUP(B8,'F. PONDERABLES'!$A$8:$K$42,11)</f>
        <v>99.616475241149828</v>
      </c>
    </row>
    <row r="9" spans="1:4" ht="18.75">
      <c r="A9" s="328">
        <f>A8+1</f>
        <v>2</v>
      </c>
      <c r="B9" s="65">
        <v>14</v>
      </c>
      <c r="C9" s="65" t="str">
        <f>+VLOOKUP(B9,'F. PONDERABLES'!$A$8:$K$42,2)</f>
        <v>PROJEKTA LTDA. INGENIEROS CONSULTORES</v>
      </c>
      <c r="D9" s="329">
        <f>+VLOOKUP(B9,'F. PONDERABLES'!$A$8:$K$42,11)</f>
        <v>98.125543211901274</v>
      </c>
    </row>
    <row r="10" spans="1:4" ht="18.75">
      <c r="A10" s="328">
        <f>A9+1</f>
        <v>3</v>
      </c>
      <c r="B10" s="65">
        <v>26</v>
      </c>
      <c r="C10" s="330" t="str">
        <f>+VLOOKUP(B10,'F. PONDERABLES'!$A$8:$K$42,2)</f>
        <v>JESAK SAS</v>
      </c>
      <c r="D10" s="329">
        <f>+VLOOKUP(B10,'F. PONDERABLES'!$A$8:$K$42,11)</f>
        <v>96.085028539616161</v>
      </c>
    </row>
    <row r="11" spans="1:4" ht="18.75">
      <c r="A11" s="328">
        <f>A10+1</f>
        <v>4</v>
      </c>
      <c r="B11" s="65">
        <v>17</v>
      </c>
      <c r="C11" s="65" t="str">
        <f>+VLOOKUP(B11,'F. PONDERABLES'!$A$8:$K$42,2)</f>
        <v>CONSORCIO EG-795 KM</v>
      </c>
      <c r="D11" s="329">
        <f>+VLOOKUP(B11,'F. PONDERABLES'!$A$8:$K$42,11)</f>
        <v>92.226636727501244</v>
      </c>
    </row>
    <row r="12" spans="1:4" ht="18.75">
      <c r="A12" s="328">
        <f t="shared" ref="A12:A42" si="0">A11+1</f>
        <v>5</v>
      </c>
      <c r="B12" s="65">
        <v>2</v>
      </c>
      <c r="C12" s="65" t="str">
        <f>+VLOOKUP(B12,'F. PONDERABLES'!$A$8:$K$42,2)</f>
        <v>CONSORCIO METRO CINCO</v>
      </c>
      <c r="D12" s="329">
        <f>+VLOOKUP(B12,'F. PONDERABLES'!$A$8:$K$42,11)</f>
        <v>87.99977041518018</v>
      </c>
    </row>
    <row r="13" spans="1:4" ht="18.75">
      <c r="A13" s="328">
        <f t="shared" si="0"/>
        <v>6</v>
      </c>
      <c r="B13" s="65">
        <v>41</v>
      </c>
      <c r="C13" s="65" t="str">
        <f>+VLOOKUP(B13,'F. PONDERABLES'!$A$8:$K$42,2)</f>
        <v>CONSORCIO PROYECTOS 2024</v>
      </c>
      <c r="D13" s="329">
        <f>+VLOOKUP(B13,'F. PONDERABLES'!$A$8:$K$42,11)</f>
        <v>87.559101201806214</v>
      </c>
    </row>
    <row r="14" spans="1:4" ht="18.75">
      <c r="A14" s="328">
        <f t="shared" si="0"/>
        <v>7</v>
      </c>
      <c r="B14" s="65">
        <v>19</v>
      </c>
      <c r="C14" s="65" t="str">
        <f>+VLOOKUP(B14,'F. PONDERABLES'!$A$8:$K$42,2)</f>
        <v xml:space="preserve">COVILCO INGENIERIA S.A.S </v>
      </c>
      <c r="D14" s="329">
        <f>+VLOOKUP(B14,'F. PONDERABLES'!$A$8:$K$42,11)</f>
        <v>82.623882773141602</v>
      </c>
    </row>
    <row r="15" spans="1:4" ht="18.75">
      <c r="A15" s="328">
        <f t="shared" si="0"/>
        <v>8</v>
      </c>
      <c r="B15" s="65">
        <v>33</v>
      </c>
      <c r="C15" s="65" t="str">
        <f>+VLOOKUP(B15,'F. PONDERABLES'!$A$8:$K$42,2)</f>
        <v>CONSORCIO TABORA</v>
      </c>
      <c r="D15" s="329">
        <f>+VLOOKUP(B15,'F. PONDERABLES'!$A$8:$K$42,11)</f>
        <v>81.007559761434607</v>
      </c>
    </row>
    <row r="16" spans="1:4" ht="18.75">
      <c r="A16" s="328">
        <f t="shared" si="0"/>
        <v>9</v>
      </c>
      <c r="B16" s="65">
        <v>29</v>
      </c>
      <c r="C16" s="65" t="str">
        <f>+VLOOKUP(B16,'F. PONDERABLES'!$A$8:$K$42,2)</f>
        <v>CONSORCIO EPSILON ENGATIVA</v>
      </c>
      <c r="D16" s="329">
        <f>+VLOOKUP(B16,'F. PONDERABLES'!$A$8:$K$42,11)</f>
        <v>80.774513927594853</v>
      </c>
    </row>
    <row r="17" spans="1:4" ht="18.75">
      <c r="A17" s="328">
        <f t="shared" si="0"/>
        <v>10</v>
      </c>
      <c r="B17" s="65">
        <v>9</v>
      </c>
      <c r="C17" s="65" t="str">
        <f>+VLOOKUP(B17,'F. PONDERABLES'!$A$8:$K$42,2)</f>
        <v>CONSORCIO BOGOTÁ</v>
      </c>
      <c r="D17" s="329">
        <f>+VLOOKUP(B17,'F. PONDERABLES'!$A$8:$K$42,11)</f>
        <v>80.503309225407364</v>
      </c>
    </row>
    <row r="18" spans="1:4" ht="18.75">
      <c r="A18" s="328">
        <f t="shared" si="0"/>
        <v>11</v>
      </c>
      <c r="B18" s="65">
        <v>42</v>
      </c>
      <c r="C18" s="65" t="str">
        <f>+VLOOKUP(B18,'F. PONDERABLES'!$A$8:$K$42,2)</f>
        <v>CONSORCIO INTERVENTORES S&amp;C</v>
      </c>
      <c r="D18" s="329">
        <f>+VLOOKUP(B18,'F. PONDERABLES'!$A$8:$K$42,11)</f>
        <v>79.141346471039398</v>
      </c>
    </row>
    <row r="19" spans="1:4" ht="18.75">
      <c r="A19" s="328">
        <f t="shared" si="0"/>
        <v>12</v>
      </c>
      <c r="B19" s="65">
        <v>4</v>
      </c>
      <c r="C19" s="65" t="str">
        <f>+VLOOKUP(B19,'F. PONDERABLES'!$A$8:$K$42,2)</f>
        <v xml:space="preserve"> INGECO INGENIERIA DE CONSTRUCCIONES S.A.S</v>
      </c>
      <c r="D19" s="329">
        <f>+VLOOKUP(B19,'F. PONDERABLES'!$A$8:$K$42,11)</f>
        <v>78.315531202364838</v>
      </c>
    </row>
    <row r="20" spans="1:4" ht="18.75">
      <c r="A20" s="328">
        <f t="shared" si="0"/>
        <v>13</v>
      </c>
      <c r="B20" s="65">
        <v>46</v>
      </c>
      <c r="C20" s="333" t="str">
        <f>+VLOOKUP(B20,'F. PONDERABLES'!$A$8:$K$42,2)</f>
        <v>CONSORCIO ENGATIVA JINT 95</v>
      </c>
      <c r="D20" s="329">
        <f>+VLOOKUP(B20,'F. PONDERABLES'!$A$8:$K$42,11)</f>
        <v>76.902032578842352</v>
      </c>
    </row>
    <row r="21" spans="1:4" ht="18.75">
      <c r="A21" s="328">
        <f t="shared" si="0"/>
        <v>14</v>
      </c>
      <c r="B21" s="65">
        <v>11</v>
      </c>
      <c r="C21" s="65" t="str">
        <f>+VLOOKUP(B21,'F. PONDERABLES'!$A$8:$K$42,2)</f>
        <v>CONSORCIO PARQUES JAPG 2024</v>
      </c>
      <c r="D21" s="329">
        <f>+VLOOKUP(B21,'F. PONDERABLES'!$A$8:$K$42,11)</f>
        <v>76.355065797072797</v>
      </c>
    </row>
    <row r="22" spans="1:4" ht="18.75">
      <c r="A22" s="328">
        <f t="shared" si="0"/>
        <v>15</v>
      </c>
      <c r="B22" s="65">
        <v>37</v>
      </c>
      <c r="C22" s="65" t="str">
        <f>+VLOOKUP(B22,'F. PONDERABLES'!$A$8:$K$42,2)</f>
        <v>PROYECTOS DE DESARROLLO E INFRAESTRUCTURA COLOMBIA S.A.S. – PRODEINCOL S.A.S.</v>
      </c>
      <c r="D22" s="329">
        <f>+VLOOKUP(B22,'F. PONDERABLES'!$A$8:$K$42,11)</f>
        <v>76.329898828124627</v>
      </c>
    </row>
    <row r="23" spans="1:4" ht="18.75">
      <c r="A23" s="328">
        <f t="shared" si="0"/>
        <v>16</v>
      </c>
      <c r="B23" s="65">
        <v>38</v>
      </c>
      <c r="C23" s="65" t="str">
        <f>+VLOOKUP(B23,'F. PONDERABLES'!$A$8:$K$42,2)</f>
        <v>R&amp;M CONSTRUCCIONES E INTERVENTORIAS S.A.S.</v>
      </c>
      <c r="D23" s="329">
        <f>+VLOOKUP(B23,'F. PONDERABLES'!$A$8:$K$42,11)</f>
        <v>72.236060194579181</v>
      </c>
    </row>
    <row r="24" spans="1:4" ht="18.75">
      <c r="A24" s="328">
        <f t="shared" si="0"/>
        <v>17</v>
      </c>
      <c r="B24" s="65">
        <v>32</v>
      </c>
      <c r="C24" s="65" t="str">
        <f>+VLOOKUP(B24,'F. PONDERABLES'!$A$8:$K$42,2)</f>
        <v xml:space="preserve">ARQUITECTURA URBANA LTDA </v>
      </c>
      <c r="D24" s="329">
        <f>+VLOOKUP(B24,'F. PONDERABLES'!$A$8:$K$42,11)</f>
        <v>72.122464916956034</v>
      </c>
    </row>
    <row r="25" spans="1:4" ht="18.75">
      <c r="A25" s="328">
        <f t="shared" si="0"/>
        <v>18</v>
      </c>
      <c r="B25" s="65">
        <v>15</v>
      </c>
      <c r="C25" s="331" t="str">
        <f>+VLOOKUP(B25,'F. PONDERABLES'!$A$8:$K$42,2)</f>
        <v>PRAN CONSTRUCCIONES S.A.S.</v>
      </c>
      <c r="D25" s="329">
        <f>+VLOOKUP(B25,'F. PONDERABLES'!$A$8:$K$42,11)</f>
        <v>69.847106638398131</v>
      </c>
    </row>
    <row r="26" spans="1:4" ht="18.75">
      <c r="A26" s="328">
        <f t="shared" si="0"/>
        <v>19</v>
      </c>
      <c r="B26" s="65">
        <v>31</v>
      </c>
      <c r="C26" s="65" t="str">
        <f>+VLOOKUP(B26,'F. PONDERABLES'!$A$8:$K$42,2)</f>
        <v>APP CONSULTORES &amp; ESTRUCTURADORES S.A.S</v>
      </c>
      <c r="D26" s="329">
        <f>+VLOOKUP(B26,'F. PONDERABLES'!$A$8:$K$42,11)</f>
        <v>69.519687324504901</v>
      </c>
    </row>
    <row r="27" spans="1:4" ht="18.75">
      <c r="A27" s="328">
        <f t="shared" si="0"/>
        <v>20</v>
      </c>
      <c r="B27" s="65">
        <v>20</v>
      </c>
      <c r="C27" s="330" t="str">
        <f>+VLOOKUP(B27,'F. PONDERABLES'!$A$8:$K$42,2)</f>
        <v>CONSORCIO PRO-TEV 24</v>
      </c>
      <c r="D27" s="329">
        <f>+VLOOKUP(B27,'F. PONDERABLES'!$A$8:$K$42,11)</f>
        <v>68.221396139410473</v>
      </c>
    </row>
    <row r="28" spans="1:4" ht="18.75">
      <c r="A28" s="328">
        <f t="shared" si="0"/>
        <v>21</v>
      </c>
      <c r="B28" s="65">
        <v>18</v>
      </c>
      <c r="C28" s="65" t="str">
        <f>+VLOOKUP(B28,'F. PONDERABLES'!$A$8:$K$42,2)</f>
        <v>CONSORCIO INTERENGATIVA E&amp;D</v>
      </c>
      <c r="D28" s="329">
        <f>+VLOOKUP(B28,'F. PONDERABLES'!$A$8:$K$42,11)</f>
        <v>67.618610287066346</v>
      </c>
    </row>
    <row r="29" spans="1:4" ht="18.75">
      <c r="A29" s="328">
        <f t="shared" si="0"/>
        <v>22</v>
      </c>
      <c r="B29" s="65">
        <v>45</v>
      </c>
      <c r="C29" s="333" t="str">
        <f>+VLOOKUP(B29,'F. PONDERABLES'!$A$8:$K$42,2)</f>
        <v>CONSORCIO IDEA</v>
      </c>
      <c r="D29" s="329">
        <f>+VLOOKUP(B29,'F. PONDERABLES'!$A$8:$K$42,11)</f>
        <v>67.094611171364647</v>
      </c>
    </row>
    <row r="30" spans="1:4" ht="18.75">
      <c r="A30" s="328">
        <f t="shared" si="0"/>
        <v>23</v>
      </c>
      <c r="B30" s="65">
        <v>34</v>
      </c>
      <c r="C30" s="65" t="str">
        <f>+VLOOKUP(B30,'F. PONDERABLES'!$A$8:$K$42,2)</f>
        <v>CONSORCIO CT</v>
      </c>
      <c r="D30" s="329">
        <f>+VLOOKUP(B30,'F. PONDERABLES'!$A$8:$K$42,11)</f>
        <v>65.938871989853354</v>
      </c>
    </row>
    <row r="31" spans="1:4" ht="18.75">
      <c r="A31" s="328">
        <f t="shared" si="0"/>
        <v>24</v>
      </c>
      <c r="B31" s="65">
        <v>16</v>
      </c>
      <c r="C31" s="65" t="str">
        <f>+VLOOKUP(B31,'F. PONDERABLES'!$A$8:$K$42,2)</f>
        <v>CONSORCIO INTER 1</v>
      </c>
      <c r="D31" s="329">
        <f>+VLOOKUP(B31,'F. PONDERABLES'!$A$8:$K$42,11)</f>
        <v>65.554300991098316</v>
      </c>
    </row>
    <row r="32" spans="1:4" ht="18.75">
      <c r="A32" s="328">
        <f t="shared" si="0"/>
        <v>25</v>
      </c>
      <c r="B32" s="65">
        <v>7</v>
      </c>
      <c r="C32" s="331" t="str">
        <f>+VLOOKUP(B32,'F. PONDERABLES'!$A$8:$K$42,2)</f>
        <v>CONSULTORA COLOMBIANA TRIPLE C S.A.S BIC</v>
      </c>
      <c r="D32" s="329">
        <f>+VLOOKUP(B32,'F. PONDERABLES'!$A$8:$K$42,11)</f>
        <v>64.535934175558822</v>
      </c>
    </row>
    <row r="33" spans="1:4" ht="18.75">
      <c r="A33" s="328">
        <f t="shared" si="0"/>
        <v>26</v>
      </c>
      <c r="B33" s="65">
        <v>28</v>
      </c>
      <c r="C33" s="65" t="str">
        <f>+VLOOKUP(B33,'F. PONDERABLES'!$A$8:$K$42,2)</f>
        <v>CONSORCIO INTER-PARQUES OCCIDENTE</v>
      </c>
      <c r="D33" s="329">
        <f>+VLOOKUP(B33,'F. PONDERABLES'!$A$8:$K$42,11)</f>
        <v>62.621487434623134</v>
      </c>
    </row>
    <row r="34" spans="1:4" ht="18.75">
      <c r="A34" s="328">
        <f t="shared" si="0"/>
        <v>27</v>
      </c>
      <c r="B34" s="65">
        <v>13</v>
      </c>
      <c r="C34" s="65" t="str">
        <f>+VLOOKUP(B34,'F. PONDERABLES'!$A$8:$K$42,2)</f>
        <v>CONSORCIO SIGMA</v>
      </c>
      <c r="D34" s="329">
        <f>+VLOOKUP(B34,'F. PONDERABLES'!$A$8:$K$42,11)</f>
        <v>62.515602738701972</v>
      </c>
    </row>
    <row r="35" spans="1:4" ht="18.75">
      <c r="A35" s="328">
        <f t="shared" si="0"/>
        <v>28</v>
      </c>
      <c r="B35" s="65">
        <v>36</v>
      </c>
      <c r="C35" s="65" t="str">
        <f>+VLOOKUP(B35,'F. PONDERABLES'!$A$8:$K$42,2)</f>
        <v>CONSORCIO CONSULTORES ENGATIVA</v>
      </c>
      <c r="D35" s="329">
        <f>+VLOOKUP(B35,'F. PONDERABLES'!$A$8:$K$42,11)</f>
        <v>61.637840433412322</v>
      </c>
    </row>
    <row r="36" spans="1:4" ht="18.75">
      <c r="A36" s="328">
        <f t="shared" si="0"/>
        <v>29</v>
      </c>
      <c r="B36" s="65">
        <v>23</v>
      </c>
      <c r="C36" s="332" t="str">
        <f>+VLOOKUP(B36,'F. PONDERABLES'!$A$8:$K$42,2)</f>
        <v>CONSORCIO SAN MARTIN 795</v>
      </c>
      <c r="D36" s="329">
        <f>+VLOOKUP(B36,'F. PONDERABLES'!$A$8:$K$42,11)</f>
        <v>59.400700443947542</v>
      </c>
    </row>
    <row r="37" spans="1:4" ht="18.75">
      <c r="A37" s="328">
        <f t="shared" si="0"/>
        <v>30</v>
      </c>
      <c r="B37" s="65">
        <v>25</v>
      </c>
      <c r="C37" s="65" t="str">
        <f>+VLOOKUP(B37,'F. PONDERABLES'!$A$8:$K$42,2)</f>
        <v>CIAF LTDA INGENIERIA</v>
      </c>
      <c r="D37" s="329">
        <f>+VLOOKUP(B37,'F. PONDERABLES'!$A$8:$K$42,11)</f>
        <v>58.219525739463194</v>
      </c>
    </row>
    <row r="38" spans="1:4" ht="18.75">
      <c r="A38" s="328">
        <f t="shared" si="0"/>
        <v>31</v>
      </c>
      <c r="B38" s="65">
        <v>6</v>
      </c>
      <c r="C38" s="330" t="str">
        <f>+VLOOKUP(B38,'F. PONDERABLES'!$A$8:$K$42,2)</f>
        <v>CONSORCIO PARQUES ENGATIVÁ 2025</v>
      </c>
      <c r="D38" s="329">
        <f>+VLOOKUP(B38,'F. PONDERABLES'!$A$8:$K$42,11)</f>
        <v>56.264842189984208</v>
      </c>
    </row>
    <row r="39" spans="1:4" ht="18.75">
      <c r="A39" s="328">
        <f t="shared" si="0"/>
        <v>32</v>
      </c>
      <c r="B39" s="65">
        <v>27</v>
      </c>
      <c r="C39" s="65" t="str">
        <f>+VLOOKUP(B39,'F. PONDERABLES'!$A$8:$K$42,2)</f>
        <v>INTERVENTORIA Y CONSTRUCIVILES SAS</v>
      </c>
      <c r="D39" s="329">
        <f>+VLOOKUP(B39,'F. PONDERABLES'!$A$8:$K$42,11)</f>
        <v>51.114277187645811</v>
      </c>
    </row>
    <row r="40" spans="1:4" ht="18.75">
      <c r="A40" s="328">
        <f t="shared" si="0"/>
        <v>33</v>
      </c>
      <c r="B40" s="65">
        <v>8</v>
      </c>
      <c r="C40" s="331" t="str">
        <f>+VLOOKUP(B40,'F. PONDERABLES'!$A$8:$K$42,2)</f>
        <v xml:space="preserve">CONSULTORES, DESARROLLO Y AMBIENTE SAS BIC </v>
      </c>
      <c r="D40" s="329">
        <f>+VLOOKUP(B40,'F. PONDERABLES'!$A$8:$K$42,11)</f>
        <v>50.699939691911005</v>
      </c>
    </row>
    <row r="41" spans="1:4" ht="18.75">
      <c r="A41" s="328">
        <f t="shared" si="0"/>
        <v>34</v>
      </c>
      <c r="B41" s="65">
        <v>22</v>
      </c>
      <c r="C41" s="333" t="str">
        <f>+VLOOKUP(B41,'F. PONDERABLES'!$A$8:$K$42,2)</f>
        <v>SOLUCIONES PARA LA INGENIERÍA S.A.S.</v>
      </c>
      <c r="D41" s="329">
        <f>+VLOOKUP(B41,'F. PONDERABLES'!$A$8:$K$42,11)</f>
        <v>48.628472347494707</v>
      </c>
    </row>
    <row r="42" spans="1:4" ht="18.75">
      <c r="A42" s="328">
        <f t="shared" si="0"/>
        <v>35</v>
      </c>
      <c r="B42" s="65">
        <v>24</v>
      </c>
      <c r="C42" s="333" t="str">
        <f>+VLOOKUP(B42,'F. PONDERABLES'!$A$8:$K$42,2)</f>
        <v>CONSORCIO GTC INTERPARK</v>
      </c>
      <c r="D42" s="329">
        <f>+VLOOKUP(B42,'F. PONDERABLES'!$A$8:$K$42,11)</f>
        <v>42.149404291524505</v>
      </c>
    </row>
  </sheetData>
  <sheetProtection algorithmName="SHA-512" hashValue="jGpCpvnkqEbFF+jB67nAQrDYWhW8eDUY3v+koSAiQufjatblC4gI2Gocdu25bSvaHNeMAMV2I1rv3YQ5AAXA0g==" saltValue="lgKOKqM30zXbcVgvxDJMZQ==" spinCount="100000" sheet="1" objects="1" scenarios="1"/>
  <autoFilter ref="A7:D7" xr:uid="{8C2B54A0-45A4-4A83-BD28-FEF876FB463B}">
    <sortState xmlns:xlrd2="http://schemas.microsoft.com/office/spreadsheetml/2017/richdata2" ref="A8:D42">
      <sortCondition descending="1" ref="D7"/>
    </sortState>
  </autoFilter>
  <mergeCells count="3">
    <mergeCell ref="A1:D1"/>
    <mergeCell ref="A2:D2"/>
    <mergeCell ref="A3:D5"/>
  </mergeCells>
  <pageMargins left="0.7" right="0.7" top="0.75" bottom="0.75" header="0.3" footer="0.3"/>
  <pageSetup paperSize="9" scale="4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B375352CD749D459A7B8005EF9FD8E7" ma:contentTypeVersion="13" ma:contentTypeDescription="Crear nuevo documento." ma:contentTypeScope="" ma:versionID="f4e623f5b1e0533c37e059d4abab3a4d">
  <xsd:schema xmlns:xsd="http://www.w3.org/2001/XMLSchema" xmlns:xs="http://www.w3.org/2001/XMLSchema" xmlns:p="http://schemas.microsoft.com/office/2006/metadata/properties" xmlns:ns3="e4dbb700-c511-4ee3-a312-b224bf564eff" xmlns:ns4="badd6a06-ad6f-4965-a6f2-eec033803b2b" targetNamespace="http://schemas.microsoft.com/office/2006/metadata/properties" ma:root="true" ma:fieldsID="dac93a41348b066fa2bf7fdc7d5b06b6" ns3:_="" ns4:_="">
    <xsd:import namespace="e4dbb700-c511-4ee3-a312-b224bf564eff"/>
    <xsd:import namespace="badd6a06-ad6f-4965-a6f2-eec033803b2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dbb700-c511-4ee3-a312-b224bf564e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dd6a06-ad6f-4965-a6f2-eec033803b2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129DF3D-6C0A-4081-8557-D66B4BB1F31C}">
  <ds:schemaRefs>
    <ds:schemaRef ds:uri="http://schemas.microsoft.com/office/2006/metadata/contentType"/>
    <ds:schemaRef ds:uri="http://schemas.microsoft.com/office/2006/metadata/properties/metaAttributes"/>
    <ds:schemaRef ds:uri="http://www.w3.org/2000/xmlns/"/>
    <ds:schemaRef ds:uri="http://www.w3.org/2001/XMLSchema"/>
    <ds:schemaRef ds:uri="e4dbb700-c511-4ee3-a312-b224bf564eff"/>
    <ds:schemaRef ds:uri="badd6a06-ad6f-4965-a6f2-eec033803b2b"/>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03F0E43-118A-40DD-AFC7-5BA1F0667C72}">
  <ds:schemaRefs>
    <ds:schemaRef ds:uri="http://schemas.microsoft.com/office/2006/metadata/properties"/>
    <ds:schemaRef ds:uri="http://www.w3.org/2000/xmlns/"/>
    <ds:schemaRef ds:uri="http://schemas.microsoft.com/office/infopath/2007/PartnerControls"/>
  </ds:schemaRefs>
</ds:datastoreItem>
</file>

<file path=customXml/itemProps3.xml><?xml version="1.0" encoding="utf-8"?>
<ds:datastoreItem xmlns:ds="http://schemas.openxmlformats.org/officeDocument/2006/customXml" ds:itemID="{0652F2A9-DFB2-4F34-8F48-ED14F2AF385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3</vt:i4>
      </vt:variant>
    </vt:vector>
  </HeadingPairs>
  <TitlesOfParts>
    <vt:vector size="12" baseType="lpstr">
      <vt:lpstr>LISTA DE OFERENTES</vt:lpstr>
      <vt:lpstr>EXPERIENCIA DEL PROPONENTE</vt:lpstr>
      <vt:lpstr>CONDICIONES GENERALES</vt:lpstr>
      <vt:lpstr>REQUISITOS HAB. TECNICOS</vt:lpstr>
      <vt:lpstr>RESUMEN EVALUACIÓN</vt:lpstr>
      <vt:lpstr>MEDIA ARITMETICA ALTA</vt:lpstr>
      <vt:lpstr>OBRAS INCONCLUSAS</vt:lpstr>
      <vt:lpstr>F. PONDERABLES</vt:lpstr>
      <vt:lpstr>ORDEN ELEGIBILIDAD</vt:lpstr>
      <vt:lpstr>'F. PONDERABLES'!Área_de_impresión</vt:lpstr>
      <vt:lpstr>'ORDEN ELEGIBILIDAD'!Área_de_impresión</vt:lpstr>
      <vt:lpstr>'REQUISITOS HAB. TECNICOS'!Área_de_impresión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Yulieth Gutierrez Valcarcel</dc:creator>
  <cp:keywords/>
  <dc:description/>
  <cp:lastModifiedBy>Monica Yulieth Gutierrez Valcarcel</cp:lastModifiedBy>
  <dcterms:created xsi:type="dcterms:W3CDTF">2016-11-29T14:57:14Z</dcterms:created>
  <dcterms:modified xsi:type="dcterms:W3CDTF">2024-12-10T18:51:29Z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0x010100BB375352CD749D459A7B8005EF9FD8E7</vt:lpwstr>
  </property>
</Properties>
</file>