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DANIELA\EDURHA DABEIBA\EDURHA 2024\ORDENES DE SERVICIOS, SUMINISTROS, OBRA Y SERVICIOS\SMC 036 DE 2024\"/>
    </mc:Choice>
  </mc:AlternateContent>
  <xr:revisionPtr revIDLastSave="0" documentId="13_ncr:1_{46D273A1-EBA5-404F-B376-D111806BAF61}" xr6:coauthVersionLast="47" xr6:coauthVersionMax="47" xr10:uidLastSave="{00000000-0000-0000-0000-000000000000}"/>
  <bookViews>
    <workbookView xWindow="-120" yWindow="-120" windowWidth="20730" windowHeight="11040" tabRatio="893" activeTab="1" xr2:uid="{00000000-000D-0000-FFFF-FFFF00000000}"/>
  </bookViews>
  <sheets>
    <sheet name="DATOS INICIALES" sheetId="1" r:id="rId1"/>
    <sheet name="FICHA TECNICA" sheetId="25" r:id="rId2"/>
    <sheet name="PRESUPUESTO" sheetId="24" r:id="rId3"/>
    <sheet name="MEMORIAS" sheetId="18" r:id="rId4"/>
    <sheet name="APU" sheetId="3" r:id="rId5"/>
    <sheet name="AU" sheetId="11" r:id="rId6"/>
    <sheet name="INSUMOS MATERIALES" sheetId="5" state="hidden" r:id="rId7"/>
    <sheet name="APU AUXILIARES" sheetId="10" state="hidden" r:id="rId8"/>
    <sheet name="INSUMOS EQUIPOS" sheetId="4" state="hidden" r:id="rId9"/>
    <sheet name="POLIZAS OBRA" sheetId="12" state="hidden" r:id="rId10"/>
    <sheet name="INSUMOS MANO DE OBRA" sheetId="7" state="hidden" r:id="rId11"/>
    <sheet name="INSUMOS TRANSPORTES" sheetId="6" state="hidden" r:id="rId12"/>
    <sheet name="FACTOR PRESTACIONAL" sheetId="8" state="hidden" r:id="rId13"/>
    <sheet name="INSUMOS SERVICIOS" sheetId="9" state="hidden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________key2" localSheetId="1" hidden="1">[1]INST!#REF!</definedName>
    <definedName name="_________key2" localSheetId="2" hidden="1">[1]INST!#REF!</definedName>
    <definedName name="_________key2" hidden="1">[1]INST!#REF!</definedName>
    <definedName name="________key2" localSheetId="1" hidden="1">[2]INST!#REF!</definedName>
    <definedName name="________key2" localSheetId="2" hidden="1">[2]INST!#REF!</definedName>
    <definedName name="________key2" hidden="1">[2]INST!#REF!</definedName>
    <definedName name="________key3" localSheetId="1" hidden="1">#REF!</definedName>
    <definedName name="________key3" localSheetId="2" hidden="1">#REF!</definedName>
    <definedName name="________key3" hidden="1">#REF!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key2" localSheetId="1" hidden="1">[2]INST!#REF!</definedName>
    <definedName name="___key2" localSheetId="2" hidden="1">[2]INST!#REF!</definedName>
    <definedName name="___key2" hidden="1">[2]INST!#REF!</definedName>
    <definedName name="___key3" localSheetId="1" hidden="1">#REF!</definedName>
    <definedName name="___key3" localSheetId="2" hidden="1">#REF!</definedName>
    <definedName name="___key3" hidden="1">#REF!</definedName>
    <definedName name="___key31" localSheetId="1" hidden="1">#REF!</definedName>
    <definedName name="___key31" localSheetId="2" hidden="1">#REF!</definedName>
    <definedName name="___key31" hidden="1">#REF!</definedName>
    <definedName name="___R" hidden="1">{#N/A,#N/A,FALSE,"GRAFICO";#N/A,#N/A,FALSE,"CAJA (2)";#N/A,#N/A,FALSE,"TERCEROS-PROMEDIO";#N/A,#N/A,FALSE,"CAJA";#N/A,#N/A,FALSE,"INGRESOS1995-2003";#N/A,#N/A,FALSE,"GASTOS1995-2003"}</definedName>
    <definedName name="__123Graph_A" localSheetId="1" hidden="1">#REF!</definedName>
    <definedName name="__123Graph_A" localSheetId="2" hidden="1">#REF!</definedName>
    <definedName name="__123Graph_A" hidden="1">#REF!</definedName>
    <definedName name="__123Graph_B" localSheetId="1" hidden="1">#REF!</definedName>
    <definedName name="__123Graph_B" localSheetId="2" hidden="1">#REF!</definedName>
    <definedName name="__123Graph_B" hidden="1">#REF!</definedName>
    <definedName name="__key2" localSheetId="1" hidden="1">[3]INST!#REF!</definedName>
    <definedName name="__key2" localSheetId="2" hidden="1">[3]INST!#REF!</definedName>
    <definedName name="__key2" hidden="1">[3]INST!#REF!</definedName>
    <definedName name="__key21" localSheetId="1" hidden="1">[2]INST!#REF!</definedName>
    <definedName name="__key21" localSheetId="2" hidden="1">[2]INST!#REF!</definedName>
    <definedName name="__key21" hidden="1">[2]INST!#REF!</definedName>
    <definedName name="__key3" localSheetId="1" hidden="1">#REF!</definedName>
    <definedName name="__key3" localSheetId="2" hidden="1">#REF!</definedName>
    <definedName name="__key3" hidden="1">#REF!</definedName>
    <definedName name="__key31" localSheetId="1" hidden="1">#REF!</definedName>
    <definedName name="__key31" localSheetId="2" hidden="1">#REF!</definedName>
    <definedName name="__key31" hidden="1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Dist_Bin" hidden="1">[4]MPC3I4!$A$2040:$DD$3161</definedName>
    <definedName name="_Dist_Values" hidden="1">[4]MPC3I4!$2552:$3906</definedName>
    <definedName name="_Fill" localSheetId="1" hidden="1">#REF!</definedName>
    <definedName name="_Fill" localSheetId="2" hidden="1">#REF!</definedName>
    <definedName name="_Fill" hidden="1">#REF!</definedName>
    <definedName name="_Fill1" localSheetId="1" hidden="1">#REF!</definedName>
    <definedName name="_Fill1" localSheetId="2" hidden="1">#REF!</definedName>
    <definedName name="_Fill1" hidden="1">#REF!</definedName>
    <definedName name="_xlnm._FilterDatabase" localSheetId="8" hidden="1">'INSUMOS EQUIPOS'!$A$7:$D$7</definedName>
    <definedName name="_xlnm._FilterDatabase" localSheetId="6" hidden="1">'INSUMOS MATERIALES'!$A$7:$D$78</definedName>
    <definedName name="_xlnm._FilterDatabase" localSheetId="11" hidden="1">'INSUMOS TRANSPORTES'!$A$7:$D$7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2" hidden="1">#REF!</definedName>
    <definedName name="_Key1" hidden="1">#REF!</definedName>
    <definedName name="_Key11" localSheetId="1" hidden="1">[5]INST!#REF!</definedName>
    <definedName name="_Key11" localSheetId="2" hidden="1">[5]INST!#REF!</definedName>
    <definedName name="_Key11" hidden="1">[5]INST!#REF!</definedName>
    <definedName name="_Key2" localSheetId="1" hidden="1">#REF!</definedName>
    <definedName name="_Key2" localSheetId="2" hidden="1">#REF!</definedName>
    <definedName name="_Key2" hidden="1">#REF!</definedName>
    <definedName name="_Key21" localSheetId="1" hidden="1">#REF!</definedName>
    <definedName name="_Key21" localSheetId="2" hidden="1">#REF!</definedName>
    <definedName name="_Key21" hidden="1">#REF!</definedName>
    <definedName name="_Key3" localSheetId="1" hidden="1">#REF!</definedName>
    <definedName name="_Key3" localSheetId="2" hidden="1">#REF!</definedName>
    <definedName name="_Key3" hidden="1">#REF!</definedName>
    <definedName name="_key31" localSheetId="1" hidden="1">#REF!</definedName>
    <definedName name="_key31" localSheetId="2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localSheetId="1" hidden="1">'[6]7422CW00'!#REF!</definedName>
    <definedName name="_Parse_Out" localSheetId="2" hidden="1">'[6]7422CW00'!#REF!</definedName>
    <definedName name="_Parse_Out" hidden="1">'[6]7422CW00'!#REF!</definedName>
    <definedName name="_r" localSheetId="1" hidden="1">#REF!</definedName>
    <definedName name="_r" localSheetId="2" hidden="1">#REF!</definedName>
    <definedName name="_r" hidden="1">#REF!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localSheetId="1" hidden="1">#REF!</definedName>
    <definedName name="_Sort" localSheetId="2" hidden="1">#REF!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1" hidden="1">[2]INST!#REF!</definedName>
    <definedName name="_unj1" localSheetId="2" hidden="1">[2]INST!#REF!</definedName>
    <definedName name="_unj1" hidden="1">[2]INST!#REF!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" hidden="1">{#N/A,#N/A,FALSE,"Aging Summary";#N/A,#N/A,FALSE,"Ratio Analysis";#N/A,#N/A,FALSE,"Test 120 Day Accts";#N/A,#N/A,FALSE,"Tickmarks"}</definedName>
    <definedName name="aaaa" hidden="1">{#N/A,#N/A,FALSE,"GRAFICO";#N/A,#N/A,FALSE,"CAJA (2)";#N/A,#N/A,FALSE,"TERCEROS-PROMEDIO";#N/A,#N/A,FALSE,"CAJA";#N/A,#N/A,FALSE,"INGRESOS1995-2003";#N/A,#N/A,FALSE,"GASTOS1995-2003"}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D" localSheetId="1" hidden="1">#REF!</definedName>
    <definedName name="ABCD" localSheetId="2" hidden="1">#REF!</definedName>
    <definedName name="ABCD" hidden="1">#REF!</definedName>
    <definedName name="ABCDE" localSheetId="1" hidden="1">#REF!</definedName>
    <definedName name="ABCDE" localSheetId="2" hidden="1">#REF!</definedName>
    <definedName name="ABCDE" hidden="1">#REF!</definedName>
    <definedName name="AccessDatabase" hidden="1">"C:\C-314\VOLUMENES\volfin4.mdb"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PU">APU!$A$1:$G$557</definedName>
    <definedName name="APUAUXILIARES">'APU AUXILIARES'!$A$1:$G$816</definedName>
    <definedName name="aqaq" hidden="1">{"TAB1",#N/A,TRUE,"GENERAL";"TAB2",#N/A,TRUE,"GENERAL";"TAB3",#N/A,TRUE,"GENERAL";"TAB4",#N/A,TRUE,"GENERAL";"TAB5",#N/A,TRUE,"GENERAL"}</definedName>
    <definedName name="_xlnm.Print_Area" localSheetId="4">APU!$A$1:$G$411</definedName>
    <definedName name="_xlnm.Print_Area" localSheetId="0">'DATOS INICIALES'!$A$1:$B$36</definedName>
    <definedName name="_xlnm.Print_Area" localSheetId="12">'FACTOR PRESTACIONAL'!$A$1:$BC$32</definedName>
    <definedName name="_xlnm.Print_Area" localSheetId="1">'FICHA TECNICA'!$A$1:$I$24</definedName>
    <definedName name="_xlnm.Print_Area" localSheetId="10">'INSUMOS MANO DE OBRA'!$A$1:$H$71</definedName>
    <definedName name="_xlnm.Print_Area" localSheetId="6">'INSUMOS MATERIALES'!$A$1:$D$154</definedName>
    <definedName name="_xlnm.Print_Area" localSheetId="3">MEMORIAS!$A$1:$H$119</definedName>
    <definedName name="_xlnm.Print_Area" localSheetId="2">PRESUPUESTO!$A$1:$H$26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S2DocOpenMode" hidden="1">"AS2DocumentEdit"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localSheetId="1" hidden="1">#REF!</definedName>
    <definedName name="BLPH1" localSheetId="2" hidden="1">#REF!</definedName>
    <definedName name="BLPH1" hidden="1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dfgrtfd" localSheetId="1" hidden="1">#REF!</definedName>
    <definedName name="cdfgrtfd" localSheetId="2" hidden="1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ntro" hidden="1">{#N/A,#N/A,FALSE,"GRAFICO";#N/A,#N/A,FALSE,"CAJA (2)";#N/A,#N/A,FALSE,"TERCEROS-PROMEDIO";#N/A,#N/A,FALSE,"CAJA";#N/A,#N/A,FALSE,"INGRESOS1995-2003";#N/A,#N/A,FALSE,"GASTOS1995-2003"}</definedName>
    <definedName name="cjsa" localSheetId="1" hidden="1">#REF!</definedName>
    <definedName name="cjsa" localSheetId="2" hidden="1">#REF!</definedName>
    <definedName name="cjsa" hidden="1">#REF!</definedName>
    <definedName name="CODIGOEQUIPOS">'INSUMOS EQUIPOS'!$A$7:$A$62</definedName>
    <definedName name="CODIGOMATERIALES">'INSUMOS MATERIALES'!$A$7:$A$147</definedName>
    <definedName name="CODIGOSMANODEOBRA">'INSUMOS MANO DE OBRA'!$A$7:$A$61</definedName>
    <definedName name="CODIGOSSERVICIOS">'INSUMOS SERVICIOS'!$A$7:$A$21</definedName>
    <definedName name="CODIGOTRANSPORTES">'INSUMOS TRANSPORTES'!$A$7:$A$27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CUNET" hidden="1">{"via1",#N/A,TRUE,"general";"via2",#N/A,TRUE,"general";"via3",#N/A,TRUE,"general"}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{"PYGT",#N/A,FALSE,"PYG";"ACTIT",#N/A,FALSE,"BCE_GRAL-ACTIVO";"PASIT",#N/A,FALSE,"BCE_GRAL-PASIVO-PATRIM";"CAJAT",#N/A,FALSE,"CAJA"}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SFRE" hidden="1">{#N/A,#N/A,FALSE,"GRAFICO";#N/A,#N/A,FALSE,"CAJA (2)";#N/A,#N/A,FALSE,"TERCEROS-PROMEDIO";#N/A,#N/A,FALSE,"CAJA";#N/A,#N/A,FALSE,"INGRESOS1995-2003";#N/A,#N/A,FALSE,"GASTOS1995-2003"}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 localSheetId="1" hidden="1">#REF!</definedName>
    <definedName name="EE" localSheetId="2" hidden="1">#REF!</definedName>
    <definedName name="EE" hidden="1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URA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1" hidden="1">#REF!</definedName>
    <definedName name="EX" localSheetId="2" hidden="1">#REF!</definedName>
    <definedName name="EX" hidden="1">#REF!</definedName>
    <definedName name="EX_1" localSheetId="1" hidden="1">#REF!</definedName>
    <definedName name="EX_1" localSheetId="2" hidden="1">#REF!</definedName>
    <definedName name="EX_1" hidden="1">#REF!</definedName>
    <definedName name="FACTORPRESTACIONAL">'FACTOR PRESTACIONAL'!$A$7:$BE$32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DUCIASOCTUBRE" hidden="1">{#N/A,#N/A,FALSE,"Aging Summary";#N/A,#N/A,FALSE,"Ratio Analysis";#N/A,#N/A,FALSE,"Test 120 Day Accts";#N/A,#N/A,FALSE,"Tickmarks"}</definedName>
    <definedName name="fill1" localSheetId="1" hidden="1">#REF!</definedName>
    <definedName name="fill1" localSheetId="2" hidden="1">#REF!</definedName>
    <definedName name="fill1" hidden="1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V" hidden="1">{"PYGT",#N/A,FALSE,"PYG";"ACTIT",#N/A,FALSE,"BCE_GRAL-ACTIVO";"PASIT",#N/A,FALSE,"BCE_GRAL-PASIVO-PATRIM";"CAJAT",#N/A,FALSE,"CAJA"}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oha" hidden="1">{"PYGT",#N/A,FALSE,"PYG";"ACTIT",#N/A,FALSE,"BCE_GRAL-ACTIVO";"PASIT",#N/A,FALSE,"BCE_GRAL-PASIVO-PATRIM";"CAJAT",#N/A,FALSE,"CAJA"}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 hidden="1">{"PYGT",#N/A,FALSE,"PYG";"ACTIT",#N/A,FALSE,"BCE_GRAL-ACTIVO";"PASIT",#N/A,FALSE,"BCE_GRAL-PASIVO-PATRIM";"CAJAT",#N/A,FALSE,"CAJA"}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localSheetId="1" hidden="1">#REF!</definedName>
    <definedName name="INGENIERIA1" localSheetId="2" hidden="1">#REF!</definedName>
    <definedName name="INGENIERIA1" hidden="1">#REF!</definedName>
    <definedName name="INGENIERIA11" localSheetId="1" hidden="1">#REF!</definedName>
    <definedName name="INGENIERIA11" localSheetId="2" hidden="1">#REF!</definedName>
    <definedName name="INGENIERIA11" hidden="1">#REF!</definedName>
    <definedName name="INSUMOSEQUIPOS">'INSUMOS EQUIPOS'!$A$7:$D$62</definedName>
    <definedName name="INSUMOSMANODEOBRA">'INSUMOS MANO DE OBRA'!$A$7:$H$61</definedName>
    <definedName name="INSUMOSMATERIALES">'INSUMOS MATERIALES'!$A$7:$D$147</definedName>
    <definedName name="INSUMOSSERVICIOS">'INSUMOS SERVICIOS'!$A$7:$D$21</definedName>
    <definedName name="INSUMOSTRANSPORTES">'INSUMOS TRANSPORTES'!$A$7:$D$27</definedName>
    <definedName name="irng" localSheetId="1" hidden="1">#REF!</definedName>
    <definedName name="irng" localSheetId="2" hidden="1">#REF!</definedName>
    <definedName name="irng" hidden="1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1" hidden="1">#REF!</definedName>
    <definedName name="jfç" localSheetId="2" hidden="1">#REF!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dmfm" localSheetId="1" hidden="1">#REF!</definedName>
    <definedName name="kdmfm" localSheetId="2" hidden="1">#REF!</definedName>
    <definedName name="kdmfm" hidden="1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O" localSheetId="1" hidden="1">#REF!</definedName>
    <definedName name="KO" localSheetId="2" hidden="1">#REF!</definedName>
    <definedName name="KO" hidden="1">#REF!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ame" localSheetId="1" hidden="1">#REF!</definedName>
    <definedName name="lame" localSheetId="2" hidden="1">#REF!</definedName>
    <definedName name="lame" hidden="1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" hidden="1">{#N/A,#N/A,FALSE,"GRAFICO";#N/A,#N/A,FALSE,"CAJA (2)";#N/A,#N/A,FALSE,"TERCEROS-PROMEDIO";#N/A,#N/A,FALSE,"CAJA";#N/A,#N/A,FALSE,"INGRESOS1995-2003";#N/A,#N/A,FALSE,"GASTOS1995-2003"}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rkP" hidden="1">{#N/A,#N/A,FALSE,"GRAFICO";#N/A,#N/A,FALSE,"CAJA (2)";#N/A,#N/A,FALSE,"TERCEROS-PROMEDIO";#N/A,#N/A,FALSE,"CAJA";#N/A,#N/A,FALSE,"INGRESOS1995-2003";#N/A,#N/A,FALSE,"GASTOS1995-2003"}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em" localSheetId="1" hidden="1">#REF!</definedName>
    <definedName name="mem" localSheetId="2" hidden="1">#REF!</definedName>
    <definedName name="mem" hidden="1">#REF!</definedName>
    <definedName name="memm" localSheetId="1" hidden="1">#REF!</definedName>
    <definedName name="memm" localSheetId="2" hidden="1">#REF!</definedName>
    <definedName name="memm" hidden="1">#REF!</definedName>
    <definedName name="memmm" localSheetId="1" hidden="1">#REF!</definedName>
    <definedName name="memmm" localSheetId="2" hidden="1">#REF!</definedName>
    <definedName name="memmm" hidden="1">#REF!</definedName>
    <definedName name="MEMORIAS">MEMORIAS!$A$1:$H$607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 hidden="1">{"PYGT",#N/A,FALSE,"PYG";"ACTIT",#N/A,FALSE,"BCE_GRAL-ACTIVO";"PASIT",#N/A,FALSE,"BCE_GRAL-PASIVO-PATRIM";"CAJAT",#N/A,FALSE,"CAJA"}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ras" localSheetId="1" hidden="1">#REF!</definedName>
    <definedName name="obras" localSheetId="2" hidden="1">#REF!</definedName>
    <definedName name="obras" hidden="1">#REF!</definedName>
    <definedName name="obras11" localSheetId="1" hidden="1">#REF!</definedName>
    <definedName name="obras11" localSheetId="2" hidden="1">#REF!</definedName>
    <definedName name="obras11" hidden="1">#REF!</definedName>
    <definedName name="OCTUBRE" hidden="1">{#N/A,#N/A,FALSE,"orthoflow";#N/A,#N/A,FALSE,"Miscelaneos";#N/A,#N/A,FALSE,"Instrumentacio";#N/A,#N/A,FALSE,"Electrico";#N/A,#N/A,FALSE,"Valv. Seguridad"}</definedName>
    <definedName name="oera" hidden="1">{#N/A,#N/A,FALSE,"Aging Summary";#N/A,#N/A,FALSE,"Ratio Analysis";#N/A,#N/A,FALSE,"Test 120 Day Accts";#N/A,#N/A,FALSE,"Tickmarks"}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IGINAL" hidden="1">{#N/A,#N/A,FALSE,"orthoflow";#N/A,#N/A,FALSE,"Miscelaneos";#N/A,#N/A,FALSE,"Instrumentacio";#N/A,#N/A,FALSE,"Electrico";#N/A,#N/A,FALSE,"Valv. Seguridad"}</definedName>
    <definedName name="OROZCO" localSheetId="1" hidden="1">[1]INST!#REF!</definedName>
    <definedName name="OROZCO" localSheetId="2" hidden="1">[1]INST!#REF!</definedName>
    <definedName name="OROZCO" hidden="1">[1]INST!#REF!</definedName>
    <definedName name="p0p0" hidden="1">{"via1",#N/A,TRUE,"general";"via2",#N/A,TRUE,"general";"via3",#N/A,TRUE,"general"}</definedName>
    <definedName name="particulares1" hidden="1">{#N/A,#N/A,FALSE,"Aging Summary";#N/A,#N/A,FALSE,"Ratio Analysis";#N/A,#N/A,FALSE,"Test 120 Day Accts";#N/A,#N/A,FALSE,"Tickmarks"}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SUPUESTO" localSheetId="1">'FICHA TECNICA'!$A$7:$H$20</definedName>
    <definedName name="PRESUPUESTO" localSheetId="2">PRESUPUESTO!$A$7:$H$20</definedName>
    <definedName name="PRESUPUESTO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qqqqqqq" localSheetId="1" hidden="1">#REF!</definedName>
    <definedName name="qqqqqqqqqqqq" localSheetId="2" hidden="1">#REF!</definedName>
    <definedName name="qqqqqqqqqqqq" hidden="1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hidden="1">{#N/A,#N/A,FALSE,"GRAFICO";#N/A,#N/A,FALSE,"CAJA (2)";#N/A,#N/A,FALSE,"TERCEROS-PROMEDIO";#N/A,#N/A,FALSE,"CAJA";#N/A,#N/A,FALSE,"INGRESOS1995-2003";#N/A,#N/A,FALSE,"GASTOS1995-2003"}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CQ" localSheetId="1" hidden="1">SUMIF(#REF!,#REF!,#REF!)</definedName>
    <definedName name="SCQ" localSheetId="2" hidden="1">SUMIF(#REF!,#REF!,#REF!)</definedName>
    <definedName name="SCQ" hidden="1">SUMIF(#REF!,#REF!,#REF!)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ssssssss" localSheetId="1" hidden="1">#REF!</definedName>
    <definedName name="sssssssssssssss" localSheetId="2" hidden="1">#REF!</definedName>
    <definedName name="sssssssssssssss" hidden="1">#REF!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C" hidden="1">{#N/A,#N/A,FALSE,"GRAFICO";#N/A,#N/A,FALSE,"CAJA (2)";#N/A,#N/A,FALSE,"TERCEROS-PROMEDIO";#N/A,#N/A,FALSE,"CAJA";#N/A,#N/A,FALSE,"INGRESOS1995-2003";#N/A,#N/A,FALSE,"GASTOS1995-2003"}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K_1" localSheetId="1" hidden="1">[5]INST!#REF!</definedName>
    <definedName name="TK_1" localSheetId="2" hidden="1">[5]INST!#REF!</definedName>
    <definedName name="TK_1" hidden="1">[5]INST!#REF!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localSheetId="1" hidden="1">#REF!</definedName>
    <definedName name="TUBERIA" localSheetId="2" hidden="1">#REF!</definedName>
    <definedName name="TUBERIA" hidden="1">#REF!</definedName>
    <definedName name="TUBERIA1" localSheetId="1" hidden="1">#REF!</definedName>
    <definedName name="TUBERIA1" localSheetId="2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localSheetId="1" hidden="1">[3]INST!#REF!</definedName>
    <definedName name="unj" localSheetId="2" hidden="1">[3]INST!#REF!</definedName>
    <definedName name="unj" hidden="1">[3]INST!#REF!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Aging._.and._.Trend._.Analysis." hidden="1">{#N/A,#N/A,FALSE,"Aging Summary";#N/A,#N/A,FALSE,"Ratio Analysis";#N/A,#N/A,FALSE,"Test 120 Day Accts";#N/A,#N/A,FALSE,"Tickmarks"}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tems." hidden="1">{#N/A,#N/A,FALSE,"Items"}</definedName>
    <definedName name="wrn.OPERADORES." hidden="1">{#N/A,#N/A,TRUE,"T1"}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7" hidden="1">{#N/A,#N/A,FALSE,"Hoja1";#N/A,#N/A,FALSE,"Hoja2"}</definedName>
    <definedName name="wrn.Resumen." hidden="1">{#N/A,#N/A,FALSE,"Hoja1";#N/A,#N/A,FALSE,"Hoja2"}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rn1.items" hidden="1">{#N/A,#N/A,FALSE,"Items"}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29" hidden="1">{"via1",#N/A,TRUE,"general";"via2",#N/A,TRUE,"general";"via3",#N/A,TRUE,"general"}</definedName>
    <definedName name="XZS" localSheetId="1" hidden="1">#REF!</definedName>
    <definedName name="XZS" localSheetId="2" hidden="1">#REF!</definedName>
    <definedName name="XZS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hidden="1">{#N/A,#N/A,FALSE,"GRAFICO";#N/A,#N/A,FALSE,"CAJA (2)";#N/A,#N/A,FALSE,"TERCEROS-PROMEDIO";#N/A,#N/A,FALSE,"CAJA";#N/A,#N/A,FALSE,"INGRESOS1995-2003";#N/A,#N/A,FALSE,"GASTOS1995-2003"}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" localSheetId="1" hidden="1">SUMIF(#REF!,#REF!,#REF!)</definedName>
    <definedName name="zzzzzzzz" localSheetId="2" hidden="1">SUMIF(#REF!,#REF!,#REF!)</definedName>
    <definedName name="zzzzzzzz" hidden="1">SUMIF(#REF!,#REF!,#REF!)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25" l="1"/>
  <c r="F14" i="25"/>
  <c r="F13" i="25"/>
  <c r="F12" i="25"/>
  <c r="F11" i="25"/>
  <c r="F10" i="25"/>
  <c r="F9" i="25"/>
  <c r="A3" i="25"/>
  <c r="A2" i="25"/>
  <c r="F331" i="3" l="1"/>
  <c r="F330" i="3"/>
  <c r="A318" i="3"/>
  <c r="F318" i="3" s="1"/>
  <c r="G318" i="3" s="1"/>
  <c r="A317" i="3"/>
  <c r="F317" i="3" s="1"/>
  <c r="G317" i="3" s="1"/>
  <c r="A316" i="3"/>
  <c r="F316" i="3" s="1"/>
  <c r="G316" i="3" s="1"/>
  <c r="A315" i="3"/>
  <c r="C315" i="3" s="1"/>
  <c r="A314" i="3"/>
  <c r="F314" i="3" s="1"/>
  <c r="G314" i="3" s="1"/>
  <c r="A145" i="3"/>
  <c r="C145" i="3" s="1"/>
  <c r="A144" i="3"/>
  <c r="F144" i="3" s="1"/>
  <c r="G144" i="3" s="1"/>
  <c r="A143" i="3"/>
  <c r="F143" i="3" s="1"/>
  <c r="G143" i="3" s="1"/>
  <c r="F390" i="3"/>
  <c r="F389" i="3"/>
  <c r="F269" i="3"/>
  <c r="F268" i="3"/>
  <c r="F157" i="3"/>
  <c r="F156" i="3"/>
  <c r="F97" i="3"/>
  <c r="F96" i="3"/>
  <c r="C316" i="3" l="1"/>
  <c r="C317" i="3"/>
  <c r="C318" i="3"/>
  <c r="C314" i="3"/>
  <c r="F315" i="3"/>
  <c r="G315" i="3" s="1"/>
  <c r="F145" i="3"/>
  <c r="G145" i="3" s="1"/>
  <c r="C144" i="3"/>
  <c r="C143" i="3"/>
  <c r="F38" i="3"/>
  <c r="F37" i="3"/>
  <c r="A26" i="3"/>
  <c r="F26" i="3" s="1"/>
  <c r="A25" i="3"/>
  <c r="F25" i="3" s="1"/>
  <c r="A24" i="3"/>
  <c r="C24" i="3" s="1"/>
  <c r="F24" i="3" l="1"/>
  <c r="G24" i="3" s="1"/>
  <c r="C26" i="3"/>
  <c r="C25" i="3"/>
  <c r="H99" i="18" l="1"/>
  <c r="H57" i="18"/>
  <c r="H42" i="18"/>
  <c r="H12" i="18"/>
  <c r="H112" i="18" l="1"/>
  <c r="H114" i="18" s="1"/>
  <c r="B112" i="18"/>
  <c r="G109" i="18"/>
  <c r="B109" i="18"/>
  <c r="E362" i="3" l="1"/>
  <c r="B362" i="3"/>
  <c r="H98" i="18"/>
  <c r="H85" i="18"/>
  <c r="H84" i="18"/>
  <c r="H71" i="18"/>
  <c r="H70" i="18"/>
  <c r="H56" i="18"/>
  <c r="H41" i="18"/>
  <c r="E299" i="3"/>
  <c r="B299" i="3"/>
  <c r="E240" i="3"/>
  <c r="B240" i="3"/>
  <c r="E187" i="3"/>
  <c r="B187" i="3"/>
  <c r="A85" i="3"/>
  <c r="F85" i="3" s="1"/>
  <c r="G85" i="3" s="1"/>
  <c r="E127" i="3"/>
  <c r="B127" i="3"/>
  <c r="E68" i="3"/>
  <c r="B68" i="3"/>
  <c r="E8" i="3"/>
  <c r="B8" i="3"/>
  <c r="G95" i="18"/>
  <c r="B95" i="18"/>
  <c r="G81" i="18"/>
  <c r="B81" i="18"/>
  <c r="G67" i="18"/>
  <c r="B67" i="18"/>
  <c r="G53" i="18"/>
  <c r="B53" i="18"/>
  <c r="G38" i="18"/>
  <c r="B38" i="18"/>
  <c r="G23" i="18"/>
  <c r="B23" i="18"/>
  <c r="B8" i="18"/>
  <c r="G8" i="18"/>
  <c r="C85" i="3" l="1"/>
  <c r="D12" i="11" l="1"/>
  <c r="G19" i="24" l="1"/>
  <c r="A2" i="24"/>
  <c r="D11" i="8" l="1"/>
  <c r="A378" i="3"/>
  <c r="C378" i="3" s="1"/>
  <c r="F378" i="3" l="1"/>
  <c r="G378" i="3" s="1"/>
  <c r="H113" i="18" l="1"/>
  <c r="H27" i="18"/>
  <c r="H86" i="18" l="1"/>
  <c r="H81" i="18" s="1"/>
  <c r="H72" i="18"/>
  <c r="H67" i="18" s="1"/>
  <c r="H43" i="18"/>
  <c r="H38" i="18" s="1"/>
  <c r="A1" i="18" l="1"/>
  <c r="A2" i="18"/>
  <c r="H11" i="18"/>
  <c r="A13" i="18"/>
  <c r="A16" i="18"/>
  <c r="A17" i="18"/>
  <c r="H26" i="18"/>
  <c r="A28" i="18"/>
  <c r="A31" i="18"/>
  <c r="A32" i="18"/>
  <c r="A43" i="18"/>
  <c r="A46" i="18"/>
  <c r="A47" i="18"/>
  <c r="A58" i="18"/>
  <c r="A60" i="18"/>
  <c r="A61" i="18"/>
  <c r="A72" i="18"/>
  <c r="A74" i="18"/>
  <c r="A75" i="18"/>
  <c r="A86" i="18"/>
  <c r="A88" i="18"/>
  <c r="A89" i="18"/>
  <c r="A100" i="18"/>
  <c r="A102" i="18"/>
  <c r="A103" i="18"/>
  <c r="A114" i="18"/>
  <c r="A377" i="3"/>
  <c r="C377" i="3" s="1"/>
  <c r="F807" i="10"/>
  <c r="F806" i="10"/>
  <c r="F797" i="10"/>
  <c r="G797" i="10" s="1"/>
  <c r="D797" i="10"/>
  <c r="A797" i="10"/>
  <c r="F796" i="10"/>
  <c r="G796" i="10" s="1"/>
  <c r="D796" i="10"/>
  <c r="A796" i="10"/>
  <c r="F795" i="10"/>
  <c r="G795" i="10" s="1"/>
  <c r="D795" i="10"/>
  <c r="A795" i="10"/>
  <c r="E790" i="10"/>
  <c r="A790" i="10"/>
  <c r="F790" i="10" s="1"/>
  <c r="G789" i="10"/>
  <c r="E782" i="10"/>
  <c r="D782" i="10"/>
  <c r="A782" i="10"/>
  <c r="F782" i="10" s="1"/>
  <c r="E781" i="10"/>
  <c r="D781" i="10"/>
  <c r="A781" i="10"/>
  <c r="F781" i="10" s="1"/>
  <c r="A776" i="10"/>
  <c r="A775" i="10"/>
  <c r="A774" i="10"/>
  <c r="C774" i="10" s="1"/>
  <c r="E762" i="10"/>
  <c r="B762" i="10"/>
  <c r="A756" i="10"/>
  <c r="A755" i="10"/>
  <c r="E284" i="10"/>
  <c r="D285" i="10"/>
  <c r="D284" i="10"/>
  <c r="D221" i="10"/>
  <c r="D220" i="10"/>
  <c r="D157" i="10"/>
  <c r="D156" i="10"/>
  <c r="D93" i="10"/>
  <c r="D92" i="10"/>
  <c r="D29" i="10"/>
  <c r="D28" i="10"/>
  <c r="D409" i="10"/>
  <c r="D348" i="10"/>
  <c r="D347" i="10"/>
  <c r="E348" i="10"/>
  <c r="A348" i="10"/>
  <c r="F348" i="10" s="1"/>
  <c r="E347" i="10"/>
  <c r="A347" i="10"/>
  <c r="F347" i="10" s="1"/>
  <c r="E286" i="10"/>
  <c r="D286" i="10"/>
  <c r="A286" i="10"/>
  <c r="F286" i="10" s="1"/>
  <c r="E285" i="10"/>
  <c r="A285" i="10"/>
  <c r="F285" i="10" s="1"/>
  <c r="A284" i="10"/>
  <c r="F284" i="10" s="1"/>
  <c r="E222" i="10"/>
  <c r="D222" i="10"/>
  <c r="A222" i="10"/>
  <c r="F222" i="10" s="1"/>
  <c r="E221" i="10"/>
  <c r="A221" i="10"/>
  <c r="F221" i="10" s="1"/>
  <c r="E220" i="10"/>
  <c r="A220" i="10"/>
  <c r="F220" i="10" s="1"/>
  <c r="E94" i="10"/>
  <c r="D94" i="10"/>
  <c r="A94" i="10"/>
  <c r="F94" i="10" s="1"/>
  <c r="E93" i="10"/>
  <c r="A93" i="10"/>
  <c r="F93" i="10" s="1"/>
  <c r="E92" i="10"/>
  <c r="A92" i="10"/>
  <c r="F92" i="10" s="1"/>
  <c r="E30" i="10"/>
  <c r="D30" i="10"/>
  <c r="A30" i="10"/>
  <c r="F30" i="10" s="1"/>
  <c r="E29" i="10"/>
  <c r="A29" i="10"/>
  <c r="F29" i="10" s="1"/>
  <c r="E28" i="10"/>
  <c r="A28" i="10"/>
  <c r="F28" i="10" s="1"/>
  <c r="A156" i="10"/>
  <c r="F156" i="10" s="1"/>
  <c r="E157" i="10"/>
  <c r="A157" i="10"/>
  <c r="F157" i="10" s="1"/>
  <c r="E156" i="10"/>
  <c r="F405" i="3"/>
  <c r="F396" i="3"/>
  <c r="G396" i="3" s="1"/>
  <c r="D396" i="3"/>
  <c r="A396" i="3"/>
  <c r="A395" i="3"/>
  <c r="F395" i="3"/>
  <c r="G395" i="3" s="1"/>
  <c r="E383" i="3"/>
  <c r="A383" i="3"/>
  <c r="F383" i="3" s="1"/>
  <c r="A356" i="3"/>
  <c r="A355" i="3"/>
  <c r="D395" i="3"/>
  <c r="F347" i="3"/>
  <c r="F338" i="3"/>
  <c r="G338" i="3" s="1"/>
  <c r="D338" i="3"/>
  <c r="A338" i="3"/>
  <c r="F337" i="3"/>
  <c r="G337" i="3" s="1"/>
  <c r="D337" i="3"/>
  <c r="A337" i="3"/>
  <c r="A336" i="3"/>
  <c r="F336" i="3" s="1"/>
  <c r="G336" i="3" s="1"/>
  <c r="E324" i="3"/>
  <c r="A324" i="3"/>
  <c r="F324" i="3" s="1"/>
  <c r="A319" i="3"/>
  <c r="A293" i="3"/>
  <c r="A292" i="3"/>
  <c r="F284" i="3"/>
  <c r="F275" i="3"/>
  <c r="G275" i="3" s="1"/>
  <c r="D275" i="3"/>
  <c r="A275" i="3"/>
  <c r="A274" i="3"/>
  <c r="D274" i="3" s="1"/>
  <c r="E262" i="3"/>
  <c r="A262" i="3"/>
  <c r="F262" i="3" s="1"/>
  <c r="A257" i="3"/>
  <c r="F257" i="3" s="1"/>
  <c r="G257" i="3" s="1"/>
  <c r="A256" i="3"/>
  <c r="A234" i="3"/>
  <c r="A233" i="3"/>
  <c r="F225" i="3"/>
  <c r="F216" i="3"/>
  <c r="G216" i="3" s="1"/>
  <c r="D216" i="3"/>
  <c r="A216" i="3"/>
  <c r="F215" i="3"/>
  <c r="G215" i="3" s="1"/>
  <c r="D215" i="3"/>
  <c r="A215" i="3"/>
  <c r="E205" i="3"/>
  <c r="A205" i="3"/>
  <c r="F205" i="3" s="1"/>
  <c r="A200" i="3"/>
  <c r="A181" i="3"/>
  <c r="A180" i="3"/>
  <c r="F172" i="3"/>
  <c r="F163" i="3"/>
  <c r="G163" i="3" s="1"/>
  <c r="D163" i="3"/>
  <c r="A163" i="3"/>
  <c r="A162" i="3"/>
  <c r="D162" i="3" s="1"/>
  <c r="E150" i="3"/>
  <c r="A150" i="3"/>
  <c r="F150" i="3" s="1"/>
  <c r="A142" i="3"/>
  <c r="C142" i="3" s="1"/>
  <c r="A121" i="3"/>
  <c r="A120" i="3"/>
  <c r="F112" i="3"/>
  <c r="F103" i="3"/>
  <c r="G103" i="3" s="1"/>
  <c r="D103" i="3"/>
  <c r="A103" i="3"/>
  <c r="A102" i="3"/>
  <c r="D102" i="3" s="1"/>
  <c r="E90" i="3"/>
  <c r="A90" i="3"/>
  <c r="F90" i="3" s="1"/>
  <c r="A84" i="3"/>
  <c r="F84" i="3" s="1"/>
  <c r="G84" i="3" s="1"/>
  <c r="A83" i="3"/>
  <c r="C83" i="3" s="1"/>
  <c r="A62" i="3"/>
  <c r="A61" i="3"/>
  <c r="F53" i="3"/>
  <c r="F44" i="3"/>
  <c r="G44" i="3" s="1"/>
  <c r="D44" i="3"/>
  <c r="A44" i="3"/>
  <c r="A43" i="3"/>
  <c r="F43" i="3"/>
  <c r="G43" i="3" s="1"/>
  <c r="E31" i="3"/>
  <c r="A31" i="3"/>
  <c r="F31" i="3" s="1"/>
  <c r="G26" i="3"/>
  <c r="A23" i="3"/>
  <c r="A2" i="3"/>
  <c r="A1" i="3"/>
  <c r="F745" i="10"/>
  <c r="F744" i="10"/>
  <c r="F735" i="10"/>
  <c r="G735" i="10" s="1"/>
  <c r="D735" i="10"/>
  <c r="A735" i="10"/>
  <c r="F734" i="10"/>
  <c r="G734" i="10" s="1"/>
  <c r="D734" i="10"/>
  <c r="A734" i="10"/>
  <c r="F733" i="10"/>
  <c r="G733" i="10" s="1"/>
  <c r="D733" i="10"/>
  <c r="A733" i="10"/>
  <c r="E728" i="10"/>
  <c r="A728" i="10"/>
  <c r="F728" i="10" s="1"/>
  <c r="G727" i="10"/>
  <c r="E720" i="10"/>
  <c r="D720" i="10"/>
  <c r="A720" i="10"/>
  <c r="F720" i="10" s="1"/>
  <c r="E719" i="10"/>
  <c r="D719" i="10"/>
  <c r="A719" i="10"/>
  <c r="F719" i="10" s="1"/>
  <c r="A714" i="10"/>
  <c r="F714" i="10" s="1"/>
  <c r="G714" i="10" s="1"/>
  <c r="A713" i="10"/>
  <c r="F713" i="10" s="1"/>
  <c r="G713" i="10" s="1"/>
  <c r="A712" i="10"/>
  <c r="F712" i="10" s="1"/>
  <c r="G712" i="10" s="1"/>
  <c r="E700" i="10"/>
  <c r="B700" i="10"/>
  <c r="A694" i="10"/>
  <c r="A693" i="10"/>
  <c r="F683" i="10"/>
  <c r="F682" i="10"/>
  <c r="F673" i="10"/>
  <c r="G673" i="10" s="1"/>
  <c r="D673" i="10"/>
  <c r="A673" i="10"/>
  <c r="F672" i="10"/>
  <c r="G672" i="10" s="1"/>
  <c r="D672" i="10"/>
  <c r="A672" i="10"/>
  <c r="F671" i="10"/>
  <c r="G671" i="10" s="1"/>
  <c r="D671" i="10"/>
  <c r="A671" i="10"/>
  <c r="E666" i="10"/>
  <c r="A666" i="10"/>
  <c r="F666" i="10" s="1"/>
  <c r="G665" i="10"/>
  <c r="E658" i="10"/>
  <c r="D658" i="10"/>
  <c r="A658" i="10"/>
  <c r="F658" i="10" s="1"/>
  <c r="E657" i="10"/>
  <c r="D657" i="10"/>
  <c r="A657" i="10"/>
  <c r="F657" i="10" s="1"/>
  <c r="A652" i="10"/>
  <c r="C652" i="10" s="1"/>
  <c r="A651" i="10"/>
  <c r="A650" i="10"/>
  <c r="C650" i="10" s="1"/>
  <c r="E638" i="10"/>
  <c r="B638" i="10"/>
  <c r="A632" i="10"/>
  <c r="A631" i="10"/>
  <c r="F621" i="10"/>
  <c r="F620" i="10"/>
  <c r="F611" i="10"/>
  <c r="G611" i="10" s="1"/>
  <c r="D611" i="10"/>
  <c r="A611" i="10"/>
  <c r="F610" i="10"/>
  <c r="G610" i="10" s="1"/>
  <c r="D610" i="10"/>
  <c r="A610" i="10"/>
  <c r="F609" i="10"/>
  <c r="G609" i="10" s="1"/>
  <c r="D609" i="10"/>
  <c r="A609" i="10"/>
  <c r="E604" i="10"/>
  <c r="A604" i="10"/>
  <c r="F604" i="10" s="1"/>
  <c r="G603" i="10"/>
  <c r="E596" i="10"/>
  <c r="D596" i="10"/>
  <c r="A596" i="10"/>
  <c r="F596" i="10" s="1"/>
  <c r="E595" i="10"/>
  <c r="D595" i="10"/>
  <c r="A595" i="10"/>
  <c r="F595" i="10" s="1"/>
  <c r="A590" i="10"/>
  <c r="F590" i="10" s="1"/>
  <c r="G590" i="10" s="1"/>
  <c r="A589" i="10"/>
  <c r="C589" i="10" s="1"/>
  <c r="A588" i="10"/>
  <c r="F588" i="10" s="1"/>
  <c r="G588" i="10" s="1"/>
  <c r="E576" i="10"/>
  <c r="B576" i="10"/>
  <c r="A570" i="10"/>
  <c r="A569" i="10"/>
  <c r="F559" i="10"/>
  <c r="F558" i="10"/>
  <c r="F549" i="10"/>
  <c r="G549" i="10" s="1"/>
  <c r="D549" i="10"/>
  <c r="A549" i="10"/>
  <c r="F548" i="10"/>
  <c r="G548" i="10" s="1"/>
  <c r="D548" i="10"/>
  <c r="A548" i="10"/>
  <c r="F547" i="10"/>
  <c r="G547" i="10" s="1"/>
  <c r="D547" i="10"/>
  <c r="A547" i="10"/>
  <c r="E542" i="10"/>
  <c r="A542" i="10"/>
  <c r="F542" i="10" s="1"/>
  <c r="G541" i="10"/>
  <c r="E534" i="10"/>
  <c r="D534" i="10"/>
  <c r="A534" i="10"/>
  <c r="F534" i="10" s="1"/>
  <c r="E533" i="10"/>
  <c r="D533" i="10"/>
  <c r="A533" i="10"/>
  <c r="F533" i="10" s="1"/>
  <c r="A528" i="10"/>
  <c r="F528" i="10" s="1"/>
  <c r="G528" i="10" s="1"/>
  <c r="A527" i="10"/>
  <c r="A526" i="10"/>
  <c r="F526" i="10" s="1"/>
  <c r="G526" i="10" s="1"/>
  <c r="E514" i="10"/>
  <c r="B514" i="10"/>
  <c r="A508" i="10"/>
  <c r="A507" i="10"/>
  <c r="F497" i="10"/>
  <c r="F496" i="10"/>
  <c r="F487" i="10"/>
  <c r="G487" i="10" s="1"/>
  <c r="D487" i="10"/>
  <c r="A487" i="10"/>
  <c r="F486" i="10"/>
  <c r="G486" i="10" s="1"/>
  <c r="D486" i="10"/>
  <c r="A486" i="10"/>
  <c r="F485" i="10"/>
  <c r="G485" i="10" s="1"/>
  <c r="D485" i="10"/>
  <c r="A485" i="10"/>
  <c r="E480" i="10"/>
  <c r="A480" i="10"/>
  <c r="F480" i="10" s="1"/>
  <c r="G479" i="10"/>
  <c r="E472" i="10"/>
  <c r="D472" i="10"/>
  <c r="A472" i="10"/>
  <c r="F472" i="10" s="1"/>
  <c r="E471" i="10"/>
  <c r="D471" i="10"/>
  <c r="A471" i="10"/>
  <c r="F471" i="10" s="1"/>
  <c r="A466" i="10"/>
  <c r="C466" i="10" s="1"/>
  <c r="A465" i="10"/>
  <c r="A464" i="10"/>
  <c r="F464" i="10" s="1"/>
  <c r="G464" i="10" s="1"/>
  <c r="E452" i="10"/>
  <c r="B452" i="10"/>
  <c r="A446" i="10"/>
  <c r="A445" i="10"/>
  <c r="F435" i="10"/>
  <c r="F434" i="10"/>
  <c r="F425" i="10"/>
  <c r="G425" i="10" s="1"/>
  <c r="D425" i="10"/>
  <c r="A425" i="10"/>
  <c r="F424" i="10"/>
  <c r="G424" i="10" s="1"/>
  <c r="D424" i="10"/>
  <c r="A424" i="10"/>
  <c r="F423" i="10"/>
  <c r="G423" i="10" s="1"/>
  <c r="D423" i="10"/>
  <c r="A423" i="10"/>
  <c r="E418" i="10"/>
  <c r="A418" i="10"/>
  <c r="F418" i="10" s="1"/>
  <c r="G417" i="10"/>
  <c r="E410" i="10"/>
  <c r="D410" i="10"/>
  <c r="A410" i="10"/>
  <c r="F410" i="10" s="1"/>
  <c r="E409" i="10"/>
  <c r="A409" i="10"/>
  <c r="F409" i="10" s="1"/>
  <c r="A404" i="10"/>
  <c r="F404" i="10" s="1"/>
  <c r="G404" i="10" s="1"/>
  <c r="A403" i="10"/>
  <c r="A402" i="10"/>
  <c r="C402" i="10" s="1"/>
  <c r="E390" i="10"/>
  <c r="B390" i="10"/>
  <c r="A384" i="10"/>
  <c r="A383" i="10"/>
  <c r="F373" i="10"/>
  <c r="F372" i="10"/>
  <c r="F363" i="10"/>
  <c r="G363" i="10" s="1"/>
  <c r="D363" i="10"/>
  <c r="A363" i="10"/>
  <c r="F362" i="10"/>
  <c r="G362" i="10" s="1"/>
  <c r="D362" i="10"/>
  <c r="A362" i="10"/>
  <c r="F361" i="10"/>
  <c r="G361" i="10" s="1"/>
  <c r="D361" i="10"/>
  <c r="A361" i="10"/>
  <c r="E356" i="10"/>
  <c r="A356" i="10"/>
  <c r="F356" i="10" s="1"/>
  <c r="G355" i="10"/>
  <c r="A342" i="10"/>
  <c r="F342" i="10" s="1"/>
  <c r="G342" i="10" s="1"/>
  <c r="A341" i="10"/>
  <c r="C341" i="10" s="1"/>
  <c r="A340" i="10"/>
  <c r="F340" i="10" s="1"/>
  <c r="G340" i="10" s="1"/>
  <c r="E328" i="10"/>
  <c r="B328" i="10"/>
  <c r="A322" i="10"/>
  <c r="A321" i="10"/>
  <c r="F311" i="10"/>
  <c r="F310" i="10"/>
  <c r="F301" i="10"/>
  <c r="G301" i="10" s="1"/>
  <c r="D301" i="10"/>
  <c r="A301" i="10"/>
  <c r="F300" i="10"/>
  <c r="G300" i="10" s="1"/>
  <c r="D300" i="10"/>
  <c r="A300" i="10"/>
  <c r="F299" i="10"/>
  <c r="G299" i="10" s="1"/>
  <c r="D299" i="10"/>
  <c r="A299" i="10"/>
  <c r="E294" i="10"/>
  <c r="A294" i="10"/>
  <c r="F294" i="10" s="1"/>
  <c r="G293" i="10"/>
  <c r="A279" i="10"/>
  <c r="F279" i="10" s="1"/>
  <c r="G279" i="10" s="1"/>
  <c r="A278" i="10"/>
  <c r="A277" i="10"/>
  <c r="A276" i="10"/>
  <c r="F276" i="10" s="1"/>
  <c r="G276" i="10" s="1"/>
  <c r="E264" i="10"/>
  <c r="B264" i="10"/>
  <c r="A258" i="10"/>
  <c r="A257" i="10"/>
  <c r="F247" i="10"/>
  <c r="F246" i="10"/>
  <c r="F237" i="10"/>
  <c r="G237" i="10" s="1"/>
  <c r="D237" i="10"/>
  <c r="A237" i="10"/>
  <c r="F236" i="10"/>
  <c r="G236" i="10" s="1"/>
  <c r="D236" i="10"/>
  <c r="A236" i="10"/>
  <c r="F235" i="10"/>
  <c r="G235" i="10" s="1"/>
  <c r="D235" i="10"/>
  <c r="A235" i="10"/>
  <c r="E230" i="10"/>
  <c r="A230" i="10"/>
  <c r="F230" i="10" s="1"/>
  <c r="G229" i="10"/>
  <c r="A215" i="10"/>
  <c r="F215" i="10" s="1"/>
  <c r="G215" i="10" s="1"/>
  <c r="A214" i="10"/>
  <c r="A213" i="10"/>
  <c r="A212" i="10"/>
  <c r="F212" i="10" s="1"/>
  <c r="G212" i="10" s="1"/>
  <c r="E200" i="10"/>
  <c r="B200" i="10"/>
  <c r="A194" i="10"/>
  <c r="A193" i="10"/>
  <c r="F183" i="10"/>
  <c r="F182" i="10"/>
  <c r="F173" i="10"/>
  <c r="G173" i="10" s="1"/>
  <c r="D173" i="10"/>
  <c r="A173" i="10"/>
  <c r="F172" i="10"/>
  <c r="G172" i="10" s="1"/>
  <c r="D172" i="10"/>
  <c r="A172" i="10"/>
  <c r="F171" i="10"/>
  <c r="G171" i="10" s="1"/>
  <c r="D171" i="10"/>
  <c r="A171" i="10"/>
  <c r="E166" i="10"/>
  <c r="A166" i="10"/>
  <c r="F166" i="10" s="1"/>
  <c r="G165" i="10"/>
  <c r="E158" i="10"/>
  <c r="D158" i="10"/>
  <c r="A158" i="10"/>
  <c r="F158" i="10" s="1"/>
  <c r="A151" i="10"/>
  <c r="C151" i="10" s="1"/>
  <c r="A150" i="10"/>
  <c r="A149" i="10"/>
  <c r="F149" i="10" s="1"/>
  <c r="G149" i="10" s="1"/>
  <c r="A148" i="10"/>
  <c r="C148" i="10" s="1"/>
  <c r="E136" i="10"/>
  <c r="B136" i="10"/>
  <c r="A130" i="10"/>
  <c r="A129" i="10"/>
  <c r="F119" i="10"/>
  <c r="F118" i="10"/>
  <c r="F109" i="10"/>
  <c r="G109" i="10" s="1"/>
  <c r="D109" i="10"/>
  <c r="A109" i="10"/>
  <c r="F108" i="10"/>
  <c r="G108" i="10" s="1"/>
  <c r="D108" i="10"/>
  <c r="A108" i="10"/>
  <c r="F107" i="10"/>
  <c r="G107" i="10" s="1"/>
  <c r="D107" i="10"/>
  <c r="A107" i="10"/>
  <c r="E102" i="10"/>
  <c r="A102" i="10"/>
  <c r="F102" i="10" s="1"/>
  <c r="G101" i="10"/>
  <c r="A87" i="10"/>
  <c r="C87" i="10" s="1"/>
  <c r="A86" i="10"/>
  <c r="A85" i="10"/>
  <c r="A84" i="10"/>
  <c r="C84" i="10" s="1"/>
  <c r="E72" i="10"/>
  <c r="B72" i="10"/>
  <c r="A66" i="10"/>
  <c r="A65" i="10"/>
  <c r="F55" i="10"/>
  <c r="D43" i="3"/>
  <c r="F54" i="10"/>
  <c r="B17" i="12"/>
  <c r="E17" i="12"/>
  <c r="A2" i="12"/>
  <c r="B22" i="11"/>
  <c r="E22" i="11" s="1"/>
  <c r="I22" i="11" s="1"/>
  <c r="I21" i="11" s="1"/>
  <c r="B11" i="8"/>
  <c r="D8" i="7" s="1"/>
  <c r="B20" i="11"/>
  <c r="I20" i="11" s="1"/>
  <c r="B19" i="11"/>
  <c r="I19" i="11" s="1"/>
  <c r="I16" i="11"/>
  <c r="I17" i="11"/>
  <c r="I12" i="11"/>
  <c r="A2" i="11"/>
  <c r="A23" i="10"/>
  <c r="F23" i="10" s="1"/>
  <c r="G23" i="10" s="1"/>
  <c r="A22" i="10"/>
  <c r="F22" i="10" s="1"/>
  <c r="G22" i="10" s="1"/>
  <c r="E8" i="10"/>
  <c r="B8" i="10"/>
  <c r="F45" i="10"/>
  <c r="G45" i="10" s="1"/>
  <c r="D45" i="10"/>
  <c r="A45" i="10"/>
  <c r="A44" i="10"/>
  <c r="F44" i="10"/>
  <c r="G44" i="10" s="1"/>
  <c r="A43" i="10"/>
  <c r="F43" i="10"/>
  <c r="G43" i="10" s="1"/>
  <c r="E38" i="10"/>
  <c r="A38" i="10"/>
  <c r="F38" i="10" s="1"/>
  <c r="G37" i="10"/>
  <c r="A21" i="10"/>
  <c r="C21" i="10" s="1"/>
  <c r="A20" i="10"/>
  <c r="C20" i="10" s="1"/>
  <c r="A2" i="10"/>
  <c r="A1" i="10"/>
  <c r="D44" i="10"/>
  <c r="D43" i="10"/>
  <c r="A2" i="9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C8" i="7"/>
  <c r="B8" i="7"/>
  <c r="B27" i="8"/>
  <c r="C27" i="8"/>
  <c r="D27" i="8"/>
  <c r="E27" i="8"/>
  <c r="F27" i="8"/>
  <c r="G27" i="8"/>
  <c r="H27" i="8"/>
  <c r="J27" i="8"/>
  <c r="K27" i="8"/>
  <c r="Q27" i="8"/>
  <c r="T27" i="8"/>
  <c r="U27" i="8"/>
  <c r="AN27" i="8"/>
  <c r="AO27" i="8"/>
  <c r="AP27" i="8"/>
  <c r="AQ27" i="8"/>
  <c r="AR27" i="8"/>
  <c r="AS27" i="8"/>
  <c r="AT27" i="8"/>
  <c r="AU27" i="8"/>
  <c r="AV27" i="8"/>
  <c r="AW27" i="8"/>
  <c r="AX27" i="8"/>
  <c r="AY27" i="8"/>
  <c r="AZ27" i="8"/>
  <c r="BA27" i="8"/>
  <c r="BB27" i="8"/>
  <c r="C25" i="8"/>
  <c r="D25" i="8"/>
  <c r="E25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U25" i="8"/>
  <c r="V25" i="8"/>
  <c r="W25" i="8"/>
  <c r="X25" i="8"/>
  <c r="Y25" i="8"/>
  <c r="Z25" i="8"/>
  <c r="AA25" i="8"/>
  <c r="AB25" i="8"/>
  <c r="AC25" i="8"/>
  <c r="AD25" i="8"/>
  <c r="AE25" i="8"/>
  <c r="AF25" i="8"/>
  <c r="AG25" i="8"/>
  <c r="AH25" i="8"/>
  <c r="AI25" i="8"/>
  <c r="AJ25" i="8"/>
  <c r="AK25" i="8"/>
  <c r="AL25" i="8"/>
  <c r="AM25" i="8"/>
  <c r="AN25" i="8"/>
  <c r="AO25" i="8"/>
  <c r="AP25" i="8"/>
  <c r="AQ25" i="8"/>
  <c r="AR25" i="8"/>
  <c r="AS25" i="8"/>
  <c r="AT25" i="8"/>
  <c r="AU25" i="8"/>
  <c r="AV25" i="8"/>
  <c r="AW25" i="8"/>
  <c r="AX25" i="8"/>
  <c r="AY25" i="8"/>
  <c r="AZ25" i="8"/>
  <c r="BA25" i="8"/>
  <c r="BB25" i="8"/>
  <c r="BC25" i="8"/>
  <c r="BD25" i="8"/>
  <c r="BE25" i="8"/>
  <c r="C24" i="8"/>
  <c r="D24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B24" i="8"/>
  <c r="AC24" i="8"/>
  <c r="AD24" i="8"/>
  <c r="AE24" i="8"/>
  <c r="AF24" i="8"/>
  <c r="AG24" i="8"/>
  <c r="AH24" i="8"/>
  <c r="AI24" i="8"/>
  <c r="AJ24" i="8"/>
  <c r="AK24" i="8"/>
  <c r="AL24" i="8"/>
  <c r="AM24" i="8"/>
  <c r="AN24" i="8"/>
  <c r="AO24" i="8"/>
  <c r="AP24" i="8"/>
  <c r="AQ24" i="8"/>
  <c r="AR24" i="8"/>
  <c r="AS24" i="8"/>
  <c r="AT24" i="8"/>
  <c r="AU24" i="8"/>
  <c r="AV24" i="8"/>
  <c r="AW24" i="8"/>
  <c r="AX24" i="8"/>
  <c r="AY24" i="8"/>
  <c r="AZ24" i="8"/>
  <c r="BA24" i="8"/>
  <c r="BB24" i="8"/>
  <c r="BC24" i="8"/>
  <c r="BD24" i="8"/>
  <c r="BE24" i="8"/>
  <c r="C20" i="8"/>
  <c r="D20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AF20" i="8"/>
  <c r="AG20" i="8"/>
  <c r="AH20" i="8"/>
  <c r="AI20" i="8"/>
  <c r="AJ20" i="8"/>
  <c r="AK20" i="8"/>
  <c r="AL20" i="8"/>
  <c r="AM20" i="8"/>
  <c r="AN20" i="8"/>
  <c r="AO20" i="8"/>
  <c r="AP20" i="8"/>
  <c r="AQ20" i="8"/>
  <c r="AR20" i="8"/>
  <c r="AS20" i="8"/>
  <c r="AT20" i="8"/>
  <c r="AU20" i="8"/>
  <c r="AV20" i="8"/>
  <c r="AW20" i="8"/>
  <c r="AX20" i="8"/>
  <c r="AY20" i="8"/>
  <c r="AZ20" i="8"/>
  <c r="BA20" i="8"/>
  <c r="BB20" i="8"/>
  <c r="BC20" i="8"/>
  <c r="BD20" i="8"/>
  <c r="BE20" i="8"/>
  <c r="C19" i="8"/>
  <c r="D19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B19" i="8"/>
  <c r="AC19" i="8"/>
  <c r="AD19" i="8"/>
  <c r="AE19" i="8"/>
  <c r="AF19" i="8"/>
  <c r="AG19" i="8"/>
  <c r="AH19" i="8"/>
  <c r="AI19" i="8"/>
  <c r="AJ19" i="8"/>
  <c r="AK19" i="8"/>
  <c r="AL19" i="8"/>
  <c r="AM19" i="8"/>
  <c r="AN19" i="8"/>
  <c r="AO19" i="8"/>
  <c r="AP19" i="8"/>
  <c r="AQ19" i="8"/>
  <c r="AR19" i="8"/>
  <c r="AS19" i="8"/>
  <c r="AT19" i="8"/>
  <c r="AU19" i="8"/>
  <c r="AV19" i="8"/>
  <c r="AW19" i="8"/>
  <c r="AX19" i="8"/>
  <c r="AY19" i="8"/>
  <c r="AZ19" i="8"/>
  <c r="BA19" i="8"/>
  <c r="BB19" i="8"/>
  <c r="BC19" i="8"/>
  <c r="BD19" i="8"/>
  <c r="BE19" i="8"/>
  <c r="B19" i="8"/>
  <c r="C12" i="8"/>
  <c r="C14" i="8" s="1"/>
  <c r="D12" i="8"/>
  <c r="D14" i="8" s="1"/>
  <c r="E12" i="8"/>
  <c r="E14" i="8" s="1"/>
  <c r="F12" i="8"/>
  <c r="F14" i="8" s="1"/>
  <c r="G12" i="8"/>
  <c r="H12" i="8"/>
  <c r="H14" i="8" s="1"/>
  <c r="I12" i="8"/>
  <c r="I14" i="8" s="1"/>
  <c r="J12" i="8"/>
  <c r="J14" i="8" s="1"/>
  <c r="K12" i="8"/>
  <c r="K14" i="8" s="1"/>
  <c r="L12" i="8"/>
  <c r="L14" i="8" s="1"/>
  <c r="M12" i="8"/>
  <c r="M14" i="8" s="1"/>
  <c r="N12" i="8"/>
  <c r="N14" i="8" s="1"/>
  <c r="O12" i="8"/>
  <c r="P12" i="8"/>
  <c r="P14" i="8" s="1"/>
  <c r="Q12" i="8"/>
  <c r="Q14" i="8" s="1"/>
  <c r="R12" i="8"/>
  <c r="R14" i="8" s="1"/>
  <c r="S12" i="8"/>
  <c r="T12" i="8"/>
  <c r="T14" i="8" s="1"/>
  <c r="U12" i="8"/>
  <c r="U14" i="8" s="1"/>
  <c r="V12" i="8"/>
  <c r="V14" i="8" s="1"/>
  <c r="W12" i="8"/>
  <c r="X12" i="8"/>
  <c r="X14" i="8" s="1"/>
  <c r="Y12" i="8"/>
  <c r="Y14" i="8" s="1"/>
  <c r="Z12" i="8"/>
  <c r="Z14" i="8" s="1"/>
  <c r="AA12" i="8"/>
  <c r="AA14" i="8" s="1"/>
  <c r="AB12" i="8"/>
  <c r="AB14" i="8" s="1"/>
  <c r="AC12" i="8"/>
  <c r="AC14" i="8" s="1"/>
  <c r="AD12" i="8"/>
  <c r="AD14" i="8" s="1"/>
  <c r="AE12" i="8"/>
  <c r="AE14" i="8" s="1"/>
  <c r="AF12" i="8"/>
  <c r="AG12" i="8"/>
  <c r="AG14" i="8" s="1"/>
  <c r="AH12" i="8"/>
  <c r="AH14" i="8" s="1"/>
  <c r="AI12" i="8"/>
  <c r="AI14" i="8" s="1"/>
  <c r="AJ12" i="8"/>
  <c r="AJ14" i="8" s="1"/>
  <c r="AK12" i="8"/>
  <c r="AK14" i="8" s="1"/>
  <c r="AL12" i="8"/>
  <c r="AL14" i="8" s="1"/>
  <c r="AM12" i="8"/>
  <c r="AM14" i="8" s="1"/>
  <c r="AN12" i="8"/>
  <c r="AN14" i="8" s="1"/>
  <c r="AO12" i="8"/>
  <c r="AO14" i="8" s="1"/>
  <c r="AP12" i="8"/>
  <c r="AQ12" i="8"/>
  <c r="AQ14" i="8" s="1"/>
  <c r="AR12" i="8"/>
  <c r="AR14" i="8" s="1"/>
  <c r="AS12" i="8"/>
  <c r="AS14" i="8" s="1"/>
  <c r="AT12" i="8"/>
  <c r="AT14" i="8" s="1"/>
  <c r="AU12" i="8"/>
  <c r="AV12" i="8"/>
  <c r="AW12" i="8"/>
  <c r="AW14" i="8" s="1"/>
  <c r="AX12" i="8"/>
  <c r="AX14" i="8" s="1"/>
  <c r="AY12" i="8"/>
  <c r="AY14" i="8" s="1"/>
  <c r="AZ12" i="8"/>
  <c r="AZ14" i="8" s="1"/>
  <c r="BA12" i="8"/>
  <c r="BA14" i="8" s="1"/>
  <c r="BB12" i="8"/>
  <c r="BB14" i="8" s="1"/>
  <c r="BC12" i="8"/>
  <c r="BC14" i="8" s="1"/>
  <c r="BD12" i="8"/>
  <c r="BD14" i="8" s="1"/>
  <c r="BE12" i="8"/>
  <c r="BE14" i="8" s="1"/>
  <c r="C11" i="8"/>
  <c r="C13" i="8" s="1"/>
  <c r="D10" i="7"/>
  <c r="E11" i="8"/>
  <c r="F11" i="8"/>
  <c r="D12" i="7" s="1"/>
  <c r="G11" i="8"/>
  <c r="D13" i="7" s="1"/>
  <c r="H11" i="8"/>
  <c r="D14" i="7" s="1"/>
  <c r="I11" i="8"/>
  <c r="I13" i="8" s="1"/>
  <c r="J11" i="8"/>
  <c r="J13" i="8" s="1"/>
  <c r="K11" i="8"/>
  <c r="K13" i="8" s="1"/>
  <c r="L11" i="8"/>
  <c r="M11" i="8"/>
  <c r="M13" i="8" s="1"/>
  <c r="M30" i="8" s="1"/>
  <c r="F19" i="7" s="1"/>
  <c r="N11" i="8"/>
  <c r="N13" i="8" s="1"/>
  <c r="O11" i="8"/>
  <c r="O13" i="8" s="1"/>
  <c r="P11" i="8"/>
  <c r="P13" i="8" s="1"/>
  <c r="Q11" i="8"/>
  <c r="D23" i="7" s="1"/>
  <c r="R11" i="8"/>
  <c r="R13" i="8" s="1"/>
  <c r="R30" i="8" s="1"/>
  <c r="F24" i="7" s="1"/>
  <c r="S11" i="8"/>
  <c r="S13" i="8" s="1"/>
  <c r="S30" i="8" s="1"/>
  <c r="F25" i="7" s="1"/>
  <c r="T11" i="8"/>
  <c r="T13" i="8" s="1"/>
  <c r="U11" i="8"/>
  <c r="U13" i="8" s="1"/>
  <c r="U30" i="8" s="1"/>
  <c r="F27" i="7" s="1"/>
  <c r="V11" i="8"/>
  <c r="V13" i="8" s="1"/>
  <c r="V30" i="8" s="1"/>
  <c r="F28" i="7" s="1"/>
  <c r="W11" i="8"/>
  <c r="W13" i="8" s="1"/>
  <c r="W30" i="8" s="1"/>
  <c r="F29" i="7" s="1"/>
  <c r="X11" i="8"/>
  <c r="X13" i="8" s="1"/>
  <c r="Y11" i="8"/>
  <c r="Y13" i="8" s="1"/>
  <c r="Z11" i="8"/>
  <c r="D32" i="7" s="1"/>
  <c r="AA11" i="8"/>
  <c r="D33" i="7" s="1"/>
  <c r="AB11" i="8"/>
  <c r="D34" i="7" s="1"/>
  <c r="AC11" i="8"/>
  <c r="D35" i="7" s="1"/>
  <c r="AD11" i="8"/>
  <c r="AD13" i="8" s="1"/>
  <c r="AE11" i="8"/>
  <c r="AF11" i="8"/>
  <c r="AF13" i="8" s="1"/>
  <c r="AF30" i="8" s="1"/>
  <c r="F38" i="7" s="1"/>
  <c r="AG11" i="8"/>
  <c r="AG13" i="8" s="1"/>
  <c r="AH11" i="8"/>
  <c r="AH13" i="8" s="1"/>
  <c r="AI11" i="8"/>
  <c r="AJ11" i="8"/>
  <c r="D42" i="7" s="1"/>
  <c r="AK11" i="8"/>
  <c r="AK13" i="8" s="1"/>
  <c r="AL11" i="8"/>
  <c r="D44" i="7" s="1"/>
  <c r="AM11" i="8"/>
  <c r="AM13" i="8" s="1"/>
  <c r="AN11" i="8"/>
  <c r="AN13" i="8" s="1"/>
  <c r="AN30" i="8" s="1"/>
  <c r="F46" i="7" s="1"/>
  <c r="AO11" i="8"/>
  <c r="AO13" i="8" s="1"/>
  <c r="AP11" i="8"/>
  <c r="D48" i="7" s="1"/>
  <c r="AQ11" i="8"/>
  <c r="AQ13" i="8" s="1"/>
  <c r="AR11" i="8"/>
  <c r="D50" i="7" s="1"/>
  <c r="AS11" i="8"/>
  <c r="D51" i="7" s="1"/>
  <c r="AT11" i="8"/>
  <c r="AT13" i="8" s="1"/>
  <c r="AU11" i="8"/>
  <c r="AU13" i="8" s="1"/>
  <c r="AU30" i="8" s="1"/>
  <c r="F53" i="7" s="1"/>
  <c r="AV11" i="8"/>
  <c r="AV13" i="8" s="1"/>
  <c r="AW11" i="8"/>
  <c r="AX11" i="8"/>
  <c r="AX13" i="8" s="1"/>
  <c r="AY11" i="8"/>
  <c r="D57" i="7" s="1"/>
  <c r="AZ11" i="8"/>
  <c r="AZ13" i="8" s="1"/>
  <c r="AZ30" i="8" s="1"/>
  <c r="F58" i="7" s="1"/>
  <c r="BA11" i="8"/>
  <c r="D59" i="7" s="1"/>
  <c r="BB11" i="8"/>
  <c r="BB13" i="8" s="1"/>
  <c r="BC11" i="8"/>
  <c r="BD11" i="8"/>
  <c r="BD13" i="8" s="1"/>
  <c r="BE11" i="8"/>
  <c r="BE13" i="8" s="1"/>
  <c r="F69" i="8"/>
  <c r="F68" i="8"/>
  <c r="F67" i="8"/>
  <c r="F66" i="8"/>
  <c r="F65" i="8"/>
  <c r="F64" i="8"/>
  <c r="F63" i="8"/>
  <c r="F58" i="8"/>
  <c r="F57" i="8"/>
  <c r="F56" i="8"/>
  <c r="F55" i="8"/>
  <c r="F54" i="8"/>
  <c r="F53" i="8"/>
  <c r="F52" i="8"/>
  <c r="F51" i="8"/>
  <c r="F50" i="8"/>
  <c r="F49" i="8"/>
  <c r="F48" i="8"/>
  <c r="C41" i="8"/>
  <c r="C43" i="8" s="1"/>
  <c r="D31" i="7"/>
  <c r="B25" i="8"/>
  <c r="B24" i="8"/>
  <c r="B20" i="8"/>
  <c r="B12" i="8"/>
  <c r="P2" i="8"/>
  <c r="AD2" i="8"/>
  <c r="AR2" i="8"/>
  <c r="B2" i="8"/>
  <c r="A2" i="7"/>
  <c r="A2" i="6"/>
  <c r="A2" i="5"/>
  <c r="A2" i="4"/>
  <c r="B8" i="4"/>
  <c r="B3" i="1"/>
  <c r="B17" i="1"/>
  <c r="D22" i="5"/>
  <c r="D23" i="5"/>
  <c r="D24" i="5"/>
  <c r="D25" i="5"/>
  <c r="D26" i="5"/>
  <c r="D27" i="5"/>
  <c r="A307" i="3" l="1"/>
  <c r="A371" i="3"/>
  <c r="A249" i="3"/>
  <c r="A194" i="3"/>
  <c r="A134" i="3"/>
  <c r="A75" i="3"/>
  <c r="A369" i="3"/>
  <c r="A247" i="3"/>
  <c r="A136" i="3"/>
  <c r="A77" i="3"/>
  <c r="A306" i="3"/>
  <c r="A370" i="3"/>
  <c r="A248" i="3"/>
  <c r="A193" i="3"/>
  <c r="A133" i="3"/>
  <c r="A74" i="3"/>
  <c r="A305" i="3"/>
  <c r="A308" i="3"/>
  <c r="A250" i="3"/>
  <c r="A368" i="3"/>
  <c r="A246" i="3"/>
  <c r="A135" i="3"/>
  <c r="A76" i="3"/>
  <c r="A17" i="3"/>
  <c r="A16" i="3"/>
  <c r="A15" i="3"/>
  <c r="B15" i="11"/>
  <c r="A330" i="3"/>
  <c r="A390" i="3"/>
  <c r="A267" i="3"/>
  <c r="A389" i="3"/>
  <c r="A155" i="3"/>
  <c r="A96" i="3"/>
  <c r="A329" i="3"/>
  <c r="A269" i="3"/>
  <c r="A210" i="3"/>
  <c r="A156" i="3"/>
  <c r="A97" i="3"/>
  <c r="A331" i="3"/>
  <c r="A388" i="3"/>
  <c r="A268" i="3"/>
  <c r="A157" i="3"/>
  <c r="A95" i="3"/>
  <c r="A38" i="3"/>
  <c r="A37" i="3"/>
  <c r="D22" i="7"/>
  <c r="A520" i="10"/>
  <c r="E520" i="10" s="1"/>
  <c r="G520" i="10" s="1"/>
  <c r="D30" i="7"/>
  <c r="A768" i="10"/>
  <c r="C714" i="10"/>
  <c r="C84" i="3"/>
  <c r="C713" i="10"/>
  <c r="F83" i="3"/>
  <c r="G83" i="3" s="1"/>
  <c r="G86" i="3" s="1"/>
  <c r="AA27" i="8"/>
  <c r="Z27" i="8"/>
  <c r="I27" i="8"/>
  <c r="AM27" i="8"/>
  <c r="L27" i="8"/>
  <c r="F277" i="10"/>
  <c r="G277" i="10" s="1"/>
  <c r="F527" i="10"/>
  <c r="G527" i="10" s="1"/>
  <c r="G529" i="10" s="1"/>
  <c r="F213" i="10"/>
  <c r="G213" i="10" s="1"/>
  <c r="B10" i="11"/>
  <c r="F85" i="10"/>
  <c r="G85" i="10" s="1"/>
  <c r="F403" i="10"/>
  <c r="G403" i="10" s="1"/>
  <c r="F775" i="10"/>
  <c r="G775" i="10" s="1"/>
  <c r="A3" i="24"/>
  <c r="I18" i="11"/>
  <c r="C403" i="10"/>
  <c r="C319" i="3"/>
  <c r="C257" i="3"/>
  <c r="C256" i="3"/>
  <c r="F102" i="3"/>
  <c r="G102" i="3" s="1"/>
  <c r="G104" i="3" s="1"/>
  <c r="F278" i="10"/>
  <c r="G278" i="10" s="1"/>
  <c r="F150" i="10"/>
  <c r="G150" i="10" s="1"/>
  <c r="F651" i="10"/>
  <c r="G651" i="10" s="1"/>
  <c r="F151" i="10"/>
  <c r="G151" i="10" s="1"/>
  <c r="F465" i="10"/>
  <c r="G465" i="10" s="1"/>
  <c r="C23" i="3"/>
  <c r="F21" i="10"/>
  <c r="G21" i="10" s="1"/>
  <c r="F86" i="10"/>
  <c r="G86" i="10" s="1"/>
  <c r="F214" i="10"/>
  <c r="G214" i="10" s="1"/>
  <c r="C528" i="10"/>
  <c r="H13" i="18"/>
  <c r="H8" i="18" s="1"/>
  <c r="G28" i="10"/>
  <c r="D38" i="7"/>
  <c r="B13" i="8"/>
  <c r="B30" i="8" s="1"/>
  <c r="F8" i="7" s="1"/>
  <c r="B18" i="8"/>
  <c r="D54" i="7"/>
  <c r="X17" i="8"/>
  <c r="G347" i="10"/>
  <c r="G349" i="10" s="1"/>
  <c r="E18" i="8"/>
  <c r="AF17" i="8"/>
  <c r="D18" i="8"/>
  <c r="AN17" i="8"/>
  <c r="F13" i="8"/>
  <c r="F22" i="8" s="1"/>
  <c r="D52" i="7"/>
  <c r="U17" i="8"/>
  <c r="R18" i="8"/>
  <c r="D58" i="7"/>
  <c r="AD17" i="8"/>
  <c r="D53" i="7"/>
  <c r="AO17" i="8"/>
  <c r="D24" i="7"/>
  <c r="D40" i="7"/>
  <c r="Q18" i="8"/>
  <c r="E17" i="8"/>
  <c r="BB17" i="8"/>
  <c r="E13" i="8"/>
  <c r="E30" i="8" s="1"/>
  <c r="F11" i="7" s="1"/>
  <c r="AT17" i="8"/>
  <c r="C17" i="8"/>
  <c r="D25" i="7"/>
  <c r="Y18" i="8"/>
  <c r="D27" i="7"/>
  <c r="Y15" i="8"/>
  <c r="Y16" i="8" s="1"/>
  <c r="J21" i="8"/>
  <c r="D9" i="7"/>
  <c r="J17" i="8"/>
  <c r="G13" i="8"/>
  <c r="G30" i="8" s="1"/>
  <c r="F13" i="7" s="1"/>
  <c r="AS13" i="8"/>
  <c r="AS22" i="8" s="1"/>
  <c r="Q17" i="8"/>
  <c r="D16" i="7"/>
  <c r="BB21" i="8"/>
  <c r="D29" i="7"/>
  <c r="J18" i="8"/>
  <c r="AM17" i="8"/>
  <c r="AP13" i="8"/>
  <c r="AP30" i="8" s="1"/>
  <c r="F48" i="7" s="1"/>
  <c r="A131" i="10"/>
  <c r="AV17" i="8"/>
  <c r="G719" i="10"/>
  <c r="I21" i="8"/>
  <c r="G18" i="8"/>
  <c r="AX22" i="8"/>
  <c r="AD18" i="8"/>
  <c r="AB18" i="8"/>
  <c r="D11" i="7"/>
  <c r="F18" i="8"/>
  <c r="D43" i="7"/>
  <c r="AZ17" i="8"/>
  <c r="V18" i="8"/>
  <c r="G781" i="10"/>
  <c r="AQ22" i="8"/>
  <c r="T22" i="8"/>
  <c r="AI17" i="8"/>
  <c r="AC13" i="8"/>
  <c r="AC30" i="8" s="1"/>
  <c r="F35" i="7" s="1"/>
  <c r="AH22" i="8"/>
  <c r="J22" i="8"/>
  <c r="D49" i="7"/>
  <c r="D19" i="7"/>
  <c r="AQ17" i="8"/>
  <c r="BA17" i="8"/>
  <c r="AK22" i="8"/>
  <c r="AK30" i="8"/>
  <c r="F43" i="7" s="1"/>
  <c r="AX18" i="8"/>
  <c r="AN22" i="8"/>
  <c r="D36" i="7"/>
  <c r="R17" i="8"/>
  <c r="AA18" i="8"/>
  <c r="AO22" i="8"/>
  <c r="AA17" i="8"/>
  <c r="N22" i="8"/>
  <c r="R22" i="8"/>
  <c r="T18" i="8"/>
  <c r="I17" i="8"/>
  <c r="D28" i="7"/>
  <c r="AY13" i="8"/>
  <c r="AY30" i="8" s="1"/>
  <c r="F57" i="7" s="1"/>
  <c r="C7" i="12"/>
  <c r="E12" i="12" s="1"/>
  <c r="G720" i="10"/>
  <c r="G30" i="10"/>
  <c r="AM22" i="8"/>
  <c r="G471" i="10"/>
  <c r="G158" i="10"/>
  <c r="AW18" i="8"/>
  <c r="AI18" i="8"/>
  <c r="BD22" i="8"/>
  <c r="C149" i="10"/>
  <c r="F20" i="10"/>
  <c r="G20" i="10" s="1"/>
  <c r="C464" i="10"/>
  <c r="AD22" i="8"/>
  <c r="AD23" i="8"/>
  <c r="AD21" i="8"/>
  <c r="U22" i="8"/>
  <c r="U21" i="8"/>
  <c r="U15" i="8"/>
  <c r="U16" i="8" s="1"/>
  <c r="M23" i="8"/>
  <c r="M15" i="8"/>
  <c r="M16" i="8" s="1"/>
  <c r="M22" i="8"/>
  <c r="X23" i="8"/>
  <c r="AG30" i="8"/>
  <c r="F39" i="7" s="1"/>
  <c r="AG21" i="8"/>
  <c r="AG22" i="8"/>
  <c r="K15" i="8"/>
  <c r="K16" i="8" s="1"/>
  <c r="K30" i="8"/>
  <c r="F17" i="7" s="1"/>
  <c r="K22" i="8"/>
  <c r="X30" i="8"/>
  <c r="F30" i="7" s="1"/>
  <c r="X15" i="8"/>
  <c r="X16" i="8" s="1"/>
  <c r="X22" i="8"/>
  <c r="C30" i="8"/>
  <c r="F9" i="7" s="1"/>
  <c r="C22" i="8"/>
  <c r="C23" i="8"/>
  <c r="C21" i="8"/>
  <c r="AQ21" i="8"/>
  <c r="AQ15" i="8"/>
  <c r="AQ16" i="8" s="1"/>
  <c r="AG17" i="8"/>
  <c r="I22" i="8"/>
  <c r="Y22" i="8"/>
  <c r="BB22" i="8"/>
  <c r="A644" i="10"/>
  <c r="E644" i="10" s="1"/>
  <c r="G644" i="10" s="1"/>
  <c r="AK15" i="8"/>
  <c r="AK16" i="8" s="1"/>
  <c r="F17" i="8"/>
  <c r="D17" i="7"/>
  <c r="AM18" i="8"/>
  <c r="D47" i="7"/>
  <c r="X18" i="8"/>
  <c r="D39" i="7"/>
  <c r="AC18" i="8"/>
  <c r="AQ18" i="8"/>
  <c r="T21" i="8"/>
  <c r="Y27" i="8"/>
  <c r="AC27" i="8"/>
  <c r="M21" i="8"/>
  <c r="C18" i="8"/>
  <c r="G356" i="10"/>
  <c r="G596" i="10"/>
  <c r="D45" i="7"/>
  <c r="A206" i="10"/>
  <c r="D206" i="10" s="1"/>
  <c r="O17" i="8"/>
  <c r="BD17" i="8"/>
  <c r="AO18" i="8"/>
  <c r="AL18" i="8"/>
  <c r="AG18" i="8"/>
  <c r="AC17" i="8"/>
  <c r="K18" i="8"/>
  <c r="N21" i="8"/>
  <c r="I23" i="8"/>
  <c r="O27" i="8"/>
  <c r="AL27" i="8"/>
  <c r="G14" i="8"/>
  <c r="AB13" i="8"/>
  <c r="AB22" i="8" s="1"/>
  <c r="G409" i="10"/>
  <c r="G220" i="10"/>
  <c r="G284" i="10"/>
  <c r="BC13" i="8"/>
  <c r="BC22" i="8" s="1"/>
  <c r="AK21" i="8"/>
  <c r="C15" i="8"/>
  <c r="C16" i="8" s="1"/>
  <c r="AK23" i="8"/>
  <c r="D520" i="10"/>
  <c r="A396" i="10"/>
  <c r="AX15" i="8"/>
  <c r="AX16" i="8" s="1"/>
  <c r="N18" i="8"/>
  <c r="D21" i="7"/>
  <c r="BC17" i="8"/>
  <c r="BD18" i="8"/>
  <c r="N17" i="8"/>
  <c r="K17" i="8"/>
  <c r="AW17" i="8"/>
  <c r="AS17" i="8"/>
  <c r="N30" i="8"/>
  <c r="F20" i="7" s="1"/>
  <c r="AB17" i="8"/>
  <c r="X27" i="8"/>
  <c r="S27" i="8"/>
  <c r="Q13" i="8"/>
  <c r="C86" i="10"/>
  <c r="C277" i="10"/>
  <c r="G782" i="10"/>
  <c r="D20" i="7"/>
  <c r="AY18" i="8"/>
  <c r="AE27" i="8"/>
  <c r="AJ27" i="8"/>
  <c r="C85" i="10"/>
  <c r="G285" i="10"/>
  <c r="AQ23" i="8"/>
  <c r="AY17" i="8"/>
  <c r="BC18" i="8"/>
  <c r="AL13" i="8"/>
  <c r="AM21" i="8"/>
  <c r="M27" i="8"/>
  <c r="V27" i="8"/>
  <c r="F70" i="8"/>
  <c r="E28" i="8" s="1"/>
  <c r="G657" i="10"/>
  <c r="G286" i="10"/>
  <c r="H28" i="18"/>
  <c r="H23" i="18" s="1"/>
  <c r="D61" i="7"/>
  <c r="U18" i="8"/>
  <c r="AR18" i="8"/>
  <c r="AS18" i="8"/>
  <c r="AE17" i="8"/>
  <c r="A3" i="5"/>
  <c r="A78" i="10"/>
  <c r="E78" i="10" s="1"/>
  <c r="G78" i="10" s="1"/>
  <c r="D17" i="8"/>
  <c r="L18" i="8"/>
  <c r="AE18" i="8"/>
  <c r="AQ30" i="8"/>
  <c r="F49" i="7" s="1"/>
  <c r="Y17" i="8"/>
  <c r="AJ17" i="8"/>
  <c r="J30" i="8"/>
  <c r="F16" i="7" s="1"/>
  <c r="AJ18" i="8"/>
  <c r="BD27" i="8"/>
  <c r="AI27" i="8"/>
  <c r="AX17" i="8"/>
  <c r="AZ18" i="8"/>
  <c r="AG23" i="8"/>
  <c r="J23" i="8"/>
  <c r="C340" i="10"/>
  <c r="G156" i="10"/>
  <c r="G595" i="10"/>
  <c r="G31" i="3"/>
  <c r="G324" i="3"/>
  <c r="F23" i="3"/>
  <c r="G23" i="3" s="1"/>
  <c r="G25" i="3"/>
  <c r="G90" i="3"/>
  <c r="G205" i="3"/>
  <c r="G262" i="3"/>
  <c r="A416" i="10"/>
  <c r="A36" i="10"/>
  <c r="G364" i="10"/>
  <c r="C588" i="10"/>
  <c r="C651" i="10"/>
  <c r="C775" i="10"/>
  <c r="G790" i="10"/>
  <c r="G604" i="10"/>
  <c r="G666" i="10"/>
  <c r="C214" i="10"/>
  <c r="C712" i="10"/>
  <c r="A602" i="10"/>
  <c r="G38" i="10"/>
  <c r="F774" i="10"/>
  <c r="G774" i="10" s="1"/>
  <c r="A663" i="10"/>
  <c r="A292" i="10"/>
  <c r="A726" i="10"/>
  <c r="A99" i="10"/>
  <c r="C215" i="10"/>
  <c r="D336" i="3"/>
  <c r="G383" i="3"/>
  <c r="G157" i="10"/>
  <c r="G94" i="10"/>
  <c r="A478" i="10"/>
  <c r="A163" i="10"/>
  <c r="A354" i="10"/>
  <c r="C276" i="10"/>
  <c r="C590" i="10"/>
  <c r="G410" i="10"/>
  <c r="G222" i="10"/>
  <c r="A36" i="3"/>
  <c r="G658" i="10"/>
  <c r="G715" i="10"/>
  <c r="G150" i="3"/>
  <c r="A35" i="10"/>
  <c r="A291" i="10"/>
  <c r="A601" i="10"/>
  <c r="C342" i="10"/>
  <c r="G294" i="10"/>
  <c r="B9" i="11"/>
  <c r="E9" i="11" s="1"/>
  <c r="C212" i="10"/>
  <c r="F84" i="10"/>
  <c r="G84" i="10" s="1"/>
  <c r="F162" i="3"/>
  <c r="G162" i="3" s="1"/>
  <c r="G164" i="3" s="1"/>
  <c r="B14" i="11"/>
  <c r="G102" i="10"/>
  <c r="G728" i="10"/>
  <c r="G480" i="10"/>
  <c r="G166" i="10"/>
  <c r="G45" i="3"/>
  <c r="G230" i="10"/>
  <c r="G736" i="10"/>
  <c r="G174" i="10"/>
  <c r="G418" i="10"/>
  <c r="G542" i="10"/>
  <c r="G397" i="3"/>
  <c r="G46" i="10"/>
  <c r="G674" i="10"/>
  <c r="G238" i="10"/>
  <c r="A48" i="18"/>
  <c r="A104" i="18"/>
  <c r="A90" i="18"/>
  <c r="A33" i="18"/>
  <c r="A3" i="18"/>
  <c r="A18" i="18"/>
  <c r="A76" i="18"/>
  <c r="A62" i="18"/>
  <c r="A294" i="3"/>
  <c r="A195" i="10"/>
  <c r="A385" i="10"/>
  <c r="P3" i="8"/>
  <c r="A122" i="3"/>
  <c r="A695" i="10"/>
  <c r="A3" i="10"/>
  <c r="A357" i="3"/>
  <c r="A323" i="10"/>
  <c r="A3" i="3"/>
  <c r="A3" i="6"/>
  <c r="A63" i="3"/>
  <c r="A3" i="12"/>
  <c r="A3" i="4"/>
  <c r="A447" i="10"/>
  <c r="A3" i="11"/>
  <c r="A633" i="10"/>
  <c r="A3" i="9"/>
  <c r="A571" i="10"/>
  <c r="B3" i="8"/>
  <c r="A67" i="10"/>
  <c r="A3" i="7"/>
  <c r="A235" i="3"/>
  <c r="A259" i="10"/>
  <c r="AD3" i="8"/>
  <c r="A757" i="10"/>
  <c r="A182" i="3"/>
  <c r="A509" i="10"/>
  <c r="AR3" i="8"/>
  <c r="AP17" i="8"/>
  <c r="AP18" i="8"/>
  <c r="AP14" i="8"/>
  <c r="W14" i="8"/>
  <c r="W15" i="8" s="1"/>
  <c r="W16" i="8" s="1"/>
  <c r="W18" i="8"/>
  <c r="W17" i="8"/>
  <c r="E768" i="10"/>
  <c r="G768" i="10" s="1"/>
  <c r="D768" i="10"/>
  <c r="BE30" i="8"/>
  <c r="BE23" i="8"/>
  <c r="BE21" i="8"/>
  <c r="BE15" i="8"/>
  <c r="BE16" i="8" s="1"/>
  <c r="AT21" i="8"/>
  <c r="AT30" i="8"/>
  <c r="F52" i="7" s="1"/>
  <c r="AT23" i="8"/>
  <c r="AT15" i="8"/>
  <c r="AT16" i="8" s="1"/>
  <c r="AT22" i="8"/>
  <c r="AH23" i="8"/>
  <c r="AH21" i="8"/>
  <c r="AH30" i="8"/>
  <c r="F40" i="7" s="1"/>
  <c r="AH15" i="8"/>
  <c r="AU14" i="8"/>
  <c r="AU17" i="8"/>
  <c r="AU18" i="8"/>
  <c r="AO15" i="8"/>
  <c r="AO16" i="8" s="1"/>
  <c r="V21" i="8"/>
  <c r="V15" i="8"/>
  <c r="V16" i="8" s="1"/>
  <c r="V23" i="8"/>
  <c r="V22" i="8"/>
  <c r="L28" i="8"/>
  <c r="G28" i="8"/>
  <c r="BE18" i="8"/>
  <c r="BE17" i="8"/>
  <c r="AN15" i="8"/>
  <c r="AN23" i="8"/>
  <c r="AN21" i="8"/>
  <c r="P23" i="8"/>
  <c r="P15" i="8"/>
  <c r="P16" i="8" s="1"/>
  <c r="P21" i="8"/>
  <c r="P30" i="8"/>
  <c r="F22" i="7" s="1"/>
  <c r="P22" i="8"/>
  <c r="AZ23" i="8"/>
  <c r="AZ21" i="8"/>
  <c r="AZ15" i="8"/>
  <c r="AZ16" i="8" s="1"/>
  <c r="AZ22" i="8"/>
  <c r="BE22" i="8"/>
  <c r="A14" i="3"/>
  <c r="A458" i="10"/>
  <c r="A706" i="10"/>
  <c r="A14" i="10"/>
  <c r="A582" i="10"/>
  <c r="A142" i="10"/>
  <c r="A334" i="10"/>
  <c r="A270" i="10"/>
  <c r="AO23" i="8"/>
  <c r="AI13" i="8"/>
  <c r="D41" i="7"/>
  <c r="K21" i="8"/>
  <c r="K23" i="8"/>
  <c r="AV14" i="8"/>
  <c r="AV15" i="8" s="1"/>
  <c r="AV16" i="8" s="1"/>
  <c r="AV18" i="8"/>
  <c r="AK17" i="8"/>
  <c r="AK18" i="8"/>
  <c r="B14" i="8"/>
  <c r="B17" i="8"/>
  <c r="U23" i="8"/>
  <c r="BD30" i="8"/>
  <c r="BD23" i="8"/>
  <c r="BD21" i="8"/>
  <c r="AN18" i="8"/>
  <c r="D46" i="7"/>
  <c r="P17" i="8"/>
  <c r="P18" i="8"/>
  <c r="BD15" i="8"/>
  <c r="D55" i="7"/>
  <c r="AW13" i="8"/>
  <c r="AR13" i="8"/>
  <c r="AR17" i="8"/>
  <c r="AM30" i="8"/>
  <c r="F45" i="7" s="1"/>
  <c r="AM23" i="8"/>
  <c r="AM15" i="8"/>
  <c r="Z17" i="8"/>
  <c r="Z18" i="8"/>
  <c r="Z13" i="8"/>
  <c r="T30" i="8"/>
  <c r="F26" i="7" s="1"/>
  <c r="T23" i="8"/>
  <c r="T15" i="8"/>
  <c r="O30" i="8"/>
  <c r="F21" i="7" s="1"/>
  <c r="I15" i="8"/>
  <c r="I30" i="8"/>
  <c r="F15" i="7" s="1"/>
  <c r="BB23" i="8"/>
  <c r="BB30" i="8"/>
  <c r="F60" i="7" s="1"/>
  <c r="BB15" i="8"/>
  <c r="AV30" i="8"/>
  <c r="F54" i="7" s="1"/>
  <c r="Y23" i="8"/>
  <c r="Y21" i="8"/>
  <c r="Y30" i="8"/>
  <c r="F31" i="7" s="1"/>
  <c r="T17" i="8"/>
  <c r="D26" i="7"/>
  <c r="N23" i="8"/>
  <c r="N15" i="8"/>
  <c r="H18" i="8"/>
  <c r="H17" i="8"/>
  <c r="H13" i="8"/>
  <c r="AF14" i="8"/>
  <c r="AF18" i="8"/>
  <c r="O18" i="8"/>
  <c r="O14" i="8"/>
  <c r="AX23" i="8"/>
  <c r="AX21" i="8"/>
  <c r="AX30" i="8"/>
  <c r="F56" i="7" s="1"/>
  <c r="BA18" i="8"/>
  <c r="BA13" i="8"/>
  <c r="D37" i="7"/>
  <c r="AE13" i="8"/>
  <c r="G17" i="8"/>
  <c r="F59" i="8"/>
  <c r="AD15" i="8"/>
  <c r="AD30" i="8"/>
  <c r="F36" i="7" s="1"/>
  <c r="R23" i="8"/>
  <c r="R21" i="8"/>
  <c r="R15" i="8"/>
  <c r="L13" i="8"/>
  <c r="L17" i="8"/>
  <c r="D18" i="7"/>
  <c r="S17" i="8"/>
  <c r="S14" i="8"/>
  <c r="D13" i="8"/>
  <c r="J15" i="8"/>
  <c r="D56" i="7"/>
  <c r="S18" i="8"/>
  <c r="A539" i="10"/>
  <c r="A477" i="10"/>
  <c r="A664" i="10"/>
  <c r="AO30" i="8"/>
  <c r="F47" i="7" s="1"/>
  <c r="AG15" i="8"/>
  <c r="AG27" i="8"/>
  <c r="W27" i="8"/>
  <c r="AH27" i="8"/>
  <c r="R27" i="8"/>
  <c r="G302" i="10"/>
  <c r="G472" i="10"/>
  <c r="G534" i="10"/>
  <c r="G612" i="10"/>
  <c r="M17" i="8"/>
  <c r="D60" i="7"/>
  <c r="AH17" i="8"/>
  <c r="V17" i="8"/>
  <c r="AT18" i="8"/>
  <c r="A540" i="10"/>
  <c r="A227" i="10"/>
  <c r="M18" i="8"/>
  <c r="X21" i="8"/>
  <c r="AO21" i="8"/>
  <c r="AF27" i="8"/>
  <c r="AD27" i="8"/>
  <c r="AB27" i="8"/>
  <c r="G339" i="3"/>
  <c r="BB18" i="8"/>
  <c r="AA13" i="8"/>
  <c r="G533" i="10"/>
  <c r="G92" i="10"/>
  <c r="D15" i="7"/>
  <c r="AH18" i="8"/>
  <c r="AL17" i="8"/>
  <c r="A725" i="10"/>
  <c r="A353" i="10"/>
  <c r="A100" i="10"/>
  <c r="A787" i="10"/>
  <c r="AJ13" i="8"/>
  <c r="N27" i="8"/>
  <c r="P27" i="8"/>
  <c r="AK27" i="8"/>
  <c r="I18" i="8"/>
  <c r="A164" i="10"/>
  <c r="A228" i="10"/>
  <c r="A415" i="10"/>
  <c r="A788" i="10"/>
  <c r="BE27" i="8"/>
  <c r="BC27" i="8"/>
  <c r="G426" i="10"/>
  <c r="G550" i="10"/>
  <c r="G110" i="10"/>
  <c r="G488" i="10"/>
  <c r="G217" i="3"/>
  <c r="C23" i="10"/>
  <c r="C527" i="10"/>
  <c r="F148" i="10"/>
  <c r="G148" i="10" s="1"/>
  <c r="C279" i="10"/>
  <c r="F341" i="10"/>
  <c r="G341" i="10" s="1"/>
  <c r="G343" i="10" s="1"/>
  <c r="F402" i="10"/>
  <c r="G402" i="10" s="1"/>
  <c r="F466" i="10"/>
  <c r="G466" i="10" s="1"/>
  <c r="F652" i="10"/>
  <c r="G652" i="10" s="1"/>
  <c r="F274" i="3"/>
  <c r="G274" i="3" s="1"/>
  <c r="G276" i="3" s="1"/>
  <c r="G93" i="10"/>
  <c r="C22" i="10"/>
  <c r="C526" i="10"/>
  <c r="F87" i="10"/>
  <c r="G87" i="10" s="1"/>
  <c r="F589" i="10"/>
  <c r="G589" i="10" s="1"/>
  <c r="G591" i="10" s="1"/>
  <c r="F650" i="10"/>
  <c r="G650" i="10" s="1"/>
  <c r="F776" i="10"/>
  <c r="G776" i="10" s="1"/>
  <c r="C776" i="10"/>
  <c r="C150" i="10"/>
  <c r="C213" i="10"/>
  <c r="G348" i="10"/>
  <c r="C465" i="10"/>
  <c r="C200" i="3"/>
  <c r="G221" i="10"/>
  <c r="G29" i="10"/>
  <c r="C278" i="10"/>
  <c r="C404" i="10"/>
  <c r="G798" i="10"/>
  <c r="H100" i="18"/>
  <c r="H95" i="18" s="1"/>
  <c r="H58" i="18"/>
  <c r="H53" i="18" s="1"/>
  <c r="E17" i="3" l="1"/>
  <c r="G17" i="3" s="1"/>
  <c r="D17" i="3"/>
  <c r="E368" i="3"/>
  <c r="G368" i="3" s="1"/>
  <c r="D368" i="3"/>
  <c r="D74" i="3"/>
  <c r="E74" i="3"/>
  <c r="G74" i="3" s="1"/>
  <c r="D370" i="3"/>
  <c r="E370" i="3"/>
  <c r="G370" i="3" s="1"/>
  <c r="D247" i="3"/>
  <c r="E247" i="3"/>
  <c r="G247" i="3" s="1"/>
  <c r="D194" i="3"/>
  <c r="E194" i="3"/>
  <c r="G194" i="3" s="1"/>
  <c r="AZ28" i="8"/>
  <c r="F15" i="8"/>
  <c r="F16" i="8" s="1"/>
  <c r="E15" i="11"/>
  <c r="D76" i="3"/>
  <c r="E76" i="3"/>
  <c r="G76" i="3" s="1"/>
  <c r="E250" i="3"/>
  <c r="G250" i="3" s="1"/>
  <c r="D250" i="3"/>
  <c r="D133" i="3"/>
  <c r="E133" i="3"/>
  <c r="G133" i="3" s="1"/>
  <c r="D306" i="3"/>
  <c r="E306" i="3"/>
  <c r="G306" i="3" s="1"/>
  <c r="D369" i="3"/>
  <c r="E369" i="3"/>
  <c r="G369" i="3" s="1"/>
  <c r="D249" i="3"/>
  <c r="E249" i="3"/>
  <c r="G249" i="3" s="1"/>
  <c r="AX28" i="8"/>
  <c r="AN28" i="8"/>
  <c r="E15" i="3"/>
  <c r="G15" i="3" s="1"/>
  <c r="D15" i="3"/>
  <c r="D135" i="3"/>
  <c r="E135" i="3"/>
  <c r="G135" i="3" s="1"/>
  <c r="D308" i="3"/>
  <c r="E308" i="3"/>
  <c r="G308" i="3" s="1"/>
  <c r="D193" i="3"/>
  <c r="E193" i="3"/>
  <c r="G193" i="3" s="1"/>
  <c r="D77" i="3"/>
  <c r="E77" i="3"/>
  <c r="G77" i="3" s="1"/>
  <c r="D75" i="3"/>
  <c r="E75" i="3"/>
  <c r="G75" i="3" s="1"/>
  <c r="D371" i="3"/>
  <c r="E371" i="3"/>
  <c r="G371" i="3" s="1"/>
  <c r="AO28" i="8"/>
  <c r="BB28" i="8"/>
  <c r="E16" i="3"/>
  <c r="G16" i="3" s="1"/>
  <c r="D16" i="3"/>
  <c r="E246" i="3"/>
  <c r="G246" i="3" s="1"/>
  <c r="D246" i="3"/>
  <c r="D305" i="3"/>
  <c r="E305" i="3"/>
  <c r="G305" i="3" s="1"/>
  <c r="E248" i="3"/>
  <c r="G248" i="3" s="1"/>
  <c r="D248" i="3"/>
  <c r="D136" i="3"/>
  <c r="E136" i="3"/>
  <c r="G136" i="3" s="1"/>
  <c r="D134" i="3"/>
  <c r="E134" i="3"/>
  <c r="G134" i="3" s="1"/>
  <c r="D307" i="3"/>
  <c r="E307" i="3"/>
  <c r="G307" i="3" s="1"/>
  <c r="F9" i="24"/>
  <c r="F8" i="3" s="1"/>
  <c r="F13" i="24"/>
  <c r="F240" i="3" s="1"/>
  <c r="F11" i="24"/>
  <c r="F127" i="3" s="1"/>
  <c r="F15" i="24"/>
  <c r="F362" i="3" s="1"/>
  <c r="F12" i="24"/>
  <c r="F187" i="3" s="1"/>
  <c r="F14" i="24"/>
  <c r="F299" i="3" s="1"/>
  <c r="G405" i="10"/>
  <c r="F10" i="24"/>
  <c r="F68" i="3" s="1"/>
  <c r="G216" i="10"/>
  <c r="G280" i="10"/>
  <c r="G31" i="10"/>
  <c r="E10" i="11"/>
  <c r="G467" i="10"/>
  <c r="G152" i="10"/>
  <c r="D644" i="10"/>
  <c r="G27" i="3"/>
  <c r="G777" i="10"/>
  <c r="G24" i="10"/>
  <c r="E14" i="12"/>
  <c r="G597" i="10"/>
  <c r="F21" i="8"/>
  <c r="F23" i="8"/>
  <c r="F30" i="8"/>
  <c r="F12" i="7" s="1"/>
  <c r="G783" i="10"/>
  <c r="G21" i="8"/>
  <c r="G22" i="8"/>
  <c r="G721" i="10"/>
  <c r="E13" i="12"/>
  <c r="E15" i="8"/>
  <c r="E16" i="8" s="1"/>
  <c r="E23" i="8"/>
  <c r="E21" i="8"/>
  <c r="G287" i="10"/>
  <c r="E22" i="8"/>
  <c r="BC30" i="8"/>
  <c r="F61" i="7" s="1"/>
  <c r="G411" i="10"/>
  <c r="BC21" i="8"/>
  <c r="E14" i="11"/>
  <c r="BC23" i="8"/>
  <c r="AP22" i="8"/>
  <c r="AS23" i="8"/>
  <c r="AS21" i="8"/>
  <c r="AS15" i="8"/>
  <c r="AS16" i="8" s="1"/>
  <c r="AS30" i="8"/>
  <c r="F51" i="7" s="1"/>
  <c r="AV23" i="8"/>
  <c r="AY23" i="8"/>
  <c r="AY21" i="8"/>
  <c r="BC15" i="8"/>
  <c r="BC16" i="8" s="1"/>
  <c r="AC23" i="8"/>
  <c r="G23" i="8"/>
  <c r="AC15" i="8"/>
  <c r="AC16" i="8" s="1"/>
  <c r="G223" i="10"/>
  <c r="AX29" i="8"/>
  <c r="AX31" i="8" s="1"/>
  <c r="G56" i="7" s="1"/>
  <c r="H56" i="7" s="1"/>
  <c r="AC22" i="8"/>
  <c r="AC21" i="8"/>
  <c r="G473" i="10"/>
  <c r="AV21" i="8"/>
  <c r="AY15" i="8"/>
  <c r="AY16" i="8" s="1"/>
  <c r="AY22" i="8"/>
  <c r="BA28" i="8"/>
  <c r="K28" i="8"/>
  <c r="K29" i="8" s="1"/>
  <c r="G659" i="10"/>
  <c r="G159" i="10"/>
  <c r="G384" i="3"/>
  <c r="BC28" i="8"/>
  <c r="B28" i="8"/>
  <c r="AP28" i="8"/>
  <c r="AU28" i="8"/>
  <c r="F28" i="8"/>
  <c r="C28" i="8"/>
  <c r="C29" i="8" s="1"/>
  <c r="Q21" i="8"/>
  <c r="Q30" i="8"/>
  <c r="F23" i="7" s="1"/>
  <c r="Q22" i="8"/>
  <c r="P28" i="8"/>
  <c r="P29" i="8" s="1"/>
  <c r="AS28" i="8"/>
  <c r="AT28" i="8"/>
  <c r="AT29" i="8" s="1"/>
  <c r="AT32" i="8" s="1"/>
  <c r="E52" i="7" s="1"/>
  <c r="G15" i="8"/>
  <c r="G16" i="8" s="1"/>
  <c r="AZ29" i="8"/>
  <c r="AZ31" i="8" s="1"/>
  <c r="G58" i="7" s="1"/>
  <c r="H58" i="7" s="1"/>
  <c r="AY28" i="8"/>
  <c r="I28" i="8"/>
  <c r="AR28" i="8"/>
  <c r="AP23" i="8"/>
  <c r="E396" i="10"/>
  <c r="G396" i="10" s="1"/>
  <c r="D396" i="10"/>
  <c r="AB23" i="8"/>
  <c r="D28" i="8"/>
  <c r="AQ28" i="8"/>
  <c r="AQ29" i="8" s="1"/>
  <c r="AQ31" i="8" s="1"/>
  <c r="G49" i="7" s="1"/>
  <c r="H49" i="7" s="1"/>
  <c r="J28" i="8"/>
  <c r="E206" i="10"/>
  <c r="G206" i="10" s="1"/>
  <c r="AB15" i="8"/>
  <c r="AB16" i="8" s="1"/>
  <c r="M29" i="8"/>
  <c r="M32" i="8" s="1"/>
  <c r="E19" i="7" s="1"/>
  <c r="AW28" i="8"/>
  <c r="M28" i="8"/>
  <c r="H28" i="8"/>
  <c r="AB21" i="8"/>
  <c r="AL21" i="8"/>
  <c r="AL15" i="8"/>
  <c r="AL16" i="8" s="1"/>
  <c r="AL22" i="8"/>
  <c r="AL30" i="8"/>
  <c r="F44" i="7" s="1"/>
  <c r="AL23" i="8"/>
  <c r="Q15" i="8"/>
  <c r="Q16" i="8" s="1"/>
  <c r="AO29" i="8"/>
  <c r="AO32" i="8" s="1"/>
  <c r="E47" i="7" s="1"/>
  <c r="Q23" i="8"/>
  <c r="O28" i="8"/>
  <c r="AV28" i="8"/>
  <c r="N28" i="8"/>
  <c r="AB30" i="8"/>
  <c r="F34" i="7" s="1"/>
  <c r="D78" i="10"/>
  <c r="G206" i="3"/>
  <c r="G91" i="3"/>
  <c r="G32" i="3"/>
  <c r="G151" i="3"/>
  <c r="G325" i="3"/>
  <c r="G263" i="3"/>
  <c r="G88" i="10"/>
  <c r="G653" i="10"/>
  <c r="E706" i="10"/>
  <c r="G706" i="10" s="1"/>
  <c r="D706" i="10"/>
  <c r="AH16" i="8"/>
  <c r="G95" i="10"/>
  <c r="J16" i="8"/>
  <c r="BA23" i="8"/>
  <c r="BA21" i="8"/>
  <c r="BA30" i="8"/>
  <c r="F59" i="7" s="1"/>
  <c r="BA15" i="8"/>
  <c r="BA16" i="8" s="1"/>
  <c r="BA22" i="8"/>
  <c r="AF23" i="8"/>
  <c r="AF15" i="8"/>
  <c r="AF16" i="8" s="1"/>
  <c r="AF21" i="8"/>
  <c r="AF22" i="8"/>
  <c r="T16" i="8"/>
  <c r="E270" i="10"/>
  <c r="G270" i="10" s="1"/>
  <c r="D270" i="10"/>
  <c r="E582" i="10"/>
  <c r="G582" i="10" s="1"/>
  <c r="D582" i="10"/>
  <c r="AP21" i="8"/>
  <c r="AJ21" i="8"/>
  <c r="AJ15" i="8"/>
  <c r="AJ16" i="8" s="1"/>
  <c r="AJ30" i="8"/>
  <c r="F42" i="7" s="1"/>
  <c r="AJ22" i="8"/>
  <c r="AJ23" i="8"/>
  <c r="D21" i="8"/>
  <c r="D15" i="8"/>
  <c r="D16" i="8" s="1"/>
  <c r="D23" i="8"/>
  <c r="D22" i="8"/>
  <c r="D30" i="8"/>
  <c r="F10" i="7" s="1"/>
  <c r="H15" i="8"/>
  <c r="H16" i="8" s="1"/>
  <c r="H23" i="8"/>
  <c r="H21" i="8"/>
  <c r="H30" i="8"/>
  <c r="F14" i="7" s="1"/>
  <c r="H22" i="8"/>
  <c r="BD16" i="8"/>
  <c r="AP15" i="8"/>
  <c r="AP16" i="8" s="1"/>
  <c r="R16" i="8"/>
  <c r="S21" i="8"/>
  <c r="S23" i="8"/>
  <c r="S22" i="8"/>
  <c r="S15" i="8"/>
  <c r="S16" i="8" s="1"/>
  <c r="AR21" i="8"/>
  <c r="AR23" i="8"/>
  <c r="AR22" i="8"/>
  <c r="AR15" i="8"/>
  <c r="AR16" i="8" s="1"/>
  <c r="AR30" i="8"/>
  <c r="F50" i="7" s="1"/>
  <c r="AI30" i="8"/>
  <c r="F41" i="7" s="1"/>
  <c r="AI23" i="8"/>
  <c r="AI15" i="8"/>
  <c r="AI16" i="8" s="1"/>
  <c r="AI21" i="8"/>
  <c r="AI22" i="8"/>
  <c r="AA30" i="8"/>
  <c r="F33" i="7" s="1"/>
  <c r="AA23" i="8"/>
  <c r="AA15" i="8"/>
  <c r="AA16" i="8" s="1"/>
  <c r="AA21" i="8"/>
  <c r="AA22" i="8"/>
  <c r="AD16" i="8"/>
  <c r="Z15" i="8"/>
  <c r="Z16" i="8" s="1"/>
  <c r="Z21" i="8"/>
  <c r="Z23" i="8"/>
  <c r="Z30" i="8"/>
  <c r="F32" i="7" s="1"/>
  <c r="Z22" i="8"/>
  <c r="AW15" i="8"/>
  <c r="AW16" i="8" s="1"/>
  <c r="AW30" i="8"/>
  <c r="F55" i="7" s="1"/>
  <c r="AW21" i="8"/>
  <c r="AW23" i="8"/>
  <c r="AW22" i="8"/>
  <c r="G535" i="10"/>
  <c r="AC28" i="8"/>
  <c r="AE28" i="8"/>
  <c r="BE28" i="8"/>
  <c r="BE29" i="8" s="1"/>
  <c r="AK28" i="8"/>
  <c r="AK29" i="8" s="1"/>
  <c r="AM28" i="8"/>
  <c r="R28" i="8"/>
  <c r="V28" i="8"/>
  <c r="V29" i="8" s="1"/>
  <c r="X28" i="8"/>
  <c r="X29" i="8" s="1"/>
  <c r="Z28" i="8"/>
  <c r="AL28" i="8"/>
  <c r="AF28" i="8"/>
  <c r="AH28" i="8"/>
  <c r="T28" i="8"/>
  <c r="S28" i="8"/>
  <c r="BD28" i="8"/>
  <c r="AI28" i="8"/>
  <c r="U28" i="8"/>
  <c r="U29" i="8" s="1"/>
  <c r="W28" i="8"/>
  <c r="AG28" i="8"/>
  <c r="Y28" i="8"/>
  <c r="Y29" i="8" s="1"/>
  <c r="AB28" i="8"/>
  <c r="AJ28" i="8"/>
  <c r="Q28" i="8"/>
  <c r="AD28" i="8"/>
  <c r="AA28" i="8"/>
  <c r="N16" i="8"/>
  <c r="N29" i="8" s="1"/>
  <c r="D334" i="10"/>
  <c r="E334" i="10"/>
  <c r="G334" i="10" s="1"/>
  <c r="D458" i="10"/>
  <c r="E458" i="10"/>
  <c r="G458" i="10" s="1"/>
  <c r="O15" i="8"/>
  <c r="O16" i="8" s="1"/>
  <c r="O22" i="8"/>
  <c r="O23" i="8"/>
  <c r="I16" i="8"/>
  <c r="B21" i="8"/>
  <c r="B15" i="8"/>
  <c r="B16" i="8" s="1"/>
  <c r="B23" i="8"/>
  <c r="B22" i="8"/>
  <c r="E142" i="10"/>
  <c r="G142" i="10" s="1"/>
  <c r="D142" i="10"/>
  <c r="D14" i="10"/>
  <c r="E14" i="10"/>
  <c r="G14" i="10" s="1"/>
  <c r="E14" i="3"/>
  <c r="G14" i="3" s="1"/>
  <c r="D14" i="3"/>
  <c r="AN16" i="8"/>
  <c r="AN29" i="8" s="1"/>
  <c r="BB16" i="8"/>
  <c r="BB29" i="8" s="1"/>
  <c r="AG16" i="8"/>
  <c r="L21" i="8"/>
  <c r="L30" i="8"/>
  <c r="F18" i="7" s="1"/>
  <c r="L15" i="8"/>
  <c r="L16" i="8" s="1"/>
  <c r="L23" i="8"/>
  <c r="L22" i="8"/>
  <c r="AE21" i="8"/>
  <c r="AE15" i="8"/>
  <c r="AE16" i="8" s="1"/>
  <c r="AE30" i="8"/>
  <c r="F37" i="7" s="1"/>
  <c r="AE23" i="8"/>
  <c r="AE22" i="8"/>
  <c r="O21" i="8"/>
  <c r="AM16" i="8"/>
  <c r="AV22" i="8"/>
  <c r="AU15" i="8"/>
  <c r="AU16" i="8" s="1"/>
  <c r="AU23" i="8"/>
  <c r="AU21" i="8"/>
  <c r="AU22" i="8"/>
  <c r="W21" i="8"/>
  <c r="W23" i="8"/>
  <c r="W22" i="8"/>
  <c r="AD29" i="8" l="1"/>
  <c r="AM29" i="8"/>
  <c r="I29" i="8"/>
  <c r="J29" i="8"/>
  <c r="J31" i="8" s="1"/>
  <c r="G16" i="7" s="1"/>
  <c r="H16" i="7" s="1"/>
  <c r="F29" i="8"/>
  <c r="F31" i="8" s="1"/>
  <c r="G12" i="7" s="1"/>
  <c r="H12" i="7" s="1"/>
  <c r="AX32" i="8"/>
  <c r="E56" i="7" s="1"/>
  <c r="E29" i="8"/>
  <c r="E32" i="8" s="1"/>
  <c r="E11" i="7" s="1"/>
  <c r="BC29" i="8"/>
  <c r="BC31" i="8" s="1"/>
  <c r="G61" i="7" s="1"/>
  <c r="H61" i="7" s="1"/>
  <c r="AS29" i="8"/>
  <c r="AS31" i="8" s="1"/>
  <c r="G51" i="7" s="1"/>
  <c r="H51" i="7" s="1"/>
  <c r="R29" i="8"/>
  <c r="R32" i="8" s="1"/>
  <c r="E24" i="7" s="1"/>
  <c r="AB29" i="8"/>
  <c r="AB32" i="8" s="1"/>
  <c r="E34" i="7" s="1"/>
  <c r="G29" i="8"/>
  <c r="G31" i="8" s="1"/>
  <c r="G13" i="7" s="1"/>
  <c r="H13" i="7" s="1"/>
  <c r="AC29" i="8"/>
  <c r="AC32" i="8" s="1"/>
  <c r="E35" i="7" s="1"/>
  <c r="AZ32" i="8"/>
  <c r="E58" i="7" s="1"/>
  <c r="AQ32" i="8"/>
  <c r="E49" i="7" s="1"/>
  <c r="AY29" i="8"/>
  <c r="AY32" i="8" s="1"/>
  <c r="E57" i="7" s="1"/>
  <c r="AH29" i="8"/>
  <c r="AH32" i="8" s="1"/>
  <c r="E40" i="7" s="1"/>
  <c r="AO31" i="8"/>
  <c r="G47" i="7" s="1"/>
  <c r="H47" i="7" s="1"/>
  <c r="AA29" i="8"/>
  <c r="AA32" i="8" s="1"/>
  <c r="E33" i="7" s="1"/>
  <c r="AP29" i="8"/>
  <c r="AP31" i="8" s="1"/>
  <c r="G48" i="7" s="1"/>
  <c r="H48" i="7" s="1"/>
  <c r="T29" i="8"/>
  <c r="T31" i="8" s="1"/>
  <c r="G26" i="7" s="1"/>
  <c r="H26" i="7" s="1"/>
  <c r="C32" i="8"/>
  <c r="E9" i="7" s="1"/>
  <c r="C31" i="8"/>
  <c r="G9" i="7" s="1"/>
  <c r="H9" i="7" s="1"/>
  <c r="P32" i="8"/>
  <c r="E22" i="7" s="1"/>
  <c r="I11" i="11" s="1"/>
  <c r="P31" i="8"/>
  <c r="G22" i="7" s="1"/>
  <c r="H22" i="7" s="1"/>
  <c r="S29" i="8"/>
  <c r="S31" i="8" s="1"/>
  <c r="G25" i="7" s="1"/>
  <c r="H25" i="7" s="1"/>
  <c r="AG29" i="8"/>
  <c r="AG31" i="8" s="1"/>
  <c r="G39" i="7" s="1"/>
  <c r="H39" i="7" s="1"/>
  <c r="B29" i="8"/>
  <c r="B31" i="8" s="1"/>
  <c r="G8" i="7" s="1"/>
  <c r="H8" i="7" s="1"/>
  <c r="AL29" i="8"/>
  <c r="AL31" i="8" s="1"/>
  <c r="G44" i="7" s="1"/>
  <c r="H44" i="7" s="1"/>
  <c r="Q29" i="8"/>
  <c r="Q31" i="8" s="1"/>
  <c r="G23" i="7" s="1"/>
  <c r="H23" i="7" s="1"/>
  <c r="Z29" i="8"/>
  <c r="Z31" i="8" s="1"/>
  <c r="G32" i="7" s="1"/>
  <c r="H32" i="7" s="1"/>
  <c r="BD29" i="8"/>
  <c r="BD31" i="8" s="1"/>
  <c r="M31" i="8"/>
  <c r="G19" i="7" s="1"/>
  <c r="H19" i="7" s="1"/>
  <c r="AT31" i="8"/>
  <c r="G52" i="7" s="1"/>
  <c r="H52" i="7" s="1"/>
  <c r="W29" i="8"/>
  <c r="W31" i="8" s="1"/>
  <c r="G29" i="7" s="1"/>
  <c r="H29" i="7" s="1"/>
  <c r="AV29" i="8"/>
  <c r="AV32" i="8" s="1"/>
  <c r="E54" i="7" s="1"/>
  <c r="AI29" i="8"/>
  <c r="AI32" i="8" s="1"/>
  <c r="E41" i="7" s="1"/>
  <c r="AR29" i="8"/>
  <c r="AR32" i="8" s="1"/>
  <c r="E50" i="7" s="1"/>
  <c r="H29" i="8"/>
  <c r="H31" i="8" s="1"/>
  <c r="G14" i="7" s="1"/>
  <c r="H14" i="7" s="1"/>
  <c r="AU29" i="8"/>
  <c r="AU31" i="8" s="1"/>
  <c r="G53" i="7" s="1"/>
  <c r="H53" i="7" s="1"/>
  <c r="BE31" i="8"/>
  <c r="BE32" i="8"/>
  <c r="I31" i="8"/>
  <c r="G15" i="7" s="1"/>
  <c r="H15" i="7" s="1"/>
  <c r="I32" i="8"/>
  <c r="E15" i="7" s="1"/>
  <c r="U32" i="8"/>
  <c r="E27" i="7" s="1"/>
  <c r="U31" i="8"/>
  <c r="G27" i="7" s="1"/>
  <c r="H27" i="7" s="1"/>
  <c r="Z32" i="8"/>
  <c r="E32" i="7" s="1"/>
  <c r="BB32" i="8"/>
  <c r="E60" i="7" s="1"/>
  <c r="BB31" i="8"/>
  <c r="G60" i="7" s="1"/>
  <c r="H60" i="7" s="1"/>
  <c r="X31" i="8"/>
  <c r="G30" i="7" s="1"/>
  <c r="H30" i="7" s="1"/>
  <c r="X32" i="8"/>
  <c r="E30" i="7" s="1"/>
  <c r="BC32" i="8"/>
  <c r="N31" i="8"/>
  <c r="G20" i="7" s="1"/>
  <c r="H20" i="7" s="1"/>
  <c r="N32" i="8"/>
  <c r="E20" i="7" s="1"/>
  <c r="V31" i="8"/>
  <c r="G28" i="7" s="1"/>
  <c r="H28" i="7" s="1"/>
  <c r="V32" i="8"/>
  <c r="E28" i="7" s="1"/>
  <c r="AM32" i="8"/>
  <c r="E45" i="7" s="1"/>
  <c r="AM31" i="8"/>
  <c r="G45" i="7" s="1"/>
  <c r="H45" i="7" s="1"/>
  <c r="AN32" i="8"/>
  <c r="E46" i="7" s="1"/>
  <c r="AN31" i="8"/>
  <c r="G46" i="7" s="1"/>
  <c r="H46" i="7" s="1"/>
  <c r="Y31" i="8"/>
  <c r="G31" i="7" s="1"/>
  <c r="H31" i="7" s="1"/>
  <c r="Y32" i="8"/>
  <c r="E31" i="7" s="1"/>
  <c r="D29" i="8"/>
  <c r="L29" i="8"/>
  <c r="AK31" i="8"/>
  <c r="G43" i="7" s="1"/>
  <c r="H43" i="7" s="1"/>
  <c r="AK32" i="8"/>
  <c r="E43" i="7" s="1"/>
  <c r="BA29" i="8"/>
  <c r="G32" i="8"/>
  <c r="E13" i="7" s="1"/>
  <c r="AD32" i="8"/>
  <c r="E36" i="7" s="1"/>
  <c r="AD31" i="8"/>
  <c r="G36" i="7" s="1"/>
  <c r="H36" i="7" s="1"/>
  <c r="O29" i="8"/>
  <c r="AF29" i="8"/>
  <c r="AE29" i="8"/>
  <c r="AW29" i="8"/>
  <c r="AJ29" i="8"/>
  <c r="K31" i="8"/>
  <c r="G17" i="7" s="1"/>
  <c r="H17" i="7" s="1"/>
  <c r="K32" i="8"/>
  <c r="E17" i="7" s="1"/>
  <c r="E389" i="3" l="1"/>
  <c r="G389" i="3" s="1"/>
  <c r="E268" i="3"/>
  <c r="G268" i="3" s="1"/>
  <c r="E156" i="3"/>
  <c r="G156" i="3" s="1"/>
  <c r="E330" i="3"/>
  <c r="G330" i="3" s="1"/>
  <c r="E96" i="3"/>
  <c r="G96" i="3" s="1"/>
  <c r="E210" i="3"/>
  <c r="G210" i="3" s="1"/>
  <c r="E37" i="3"/>
  <c r="G37" i="3" s="1"/>
  <c r="E38" i="3"/>
  <c r="G38" i="3" s="1"/>
  <c r="E331" i="3"/>
  <c r="G331" i="3" s="1"/>
  <c r="E157" i="3"/>
  <c r="G157" i="3" s="1"/>
  <c r="E269" i="3"/>
  <c r="G269" i="3" s="1"/>
  <c r="E97" i="3"/>
  <c r="G97" i="3" s="1"/>
  <c r="E390" i="3"/>
  <c r="G390" i="3" s="1"/>
  <c r="F14" i="11"/>
  <c r="I14" i="11" s="1"/>
  <c r="F15" i="11"/>
  <c r="I15" i="11" s="1"/>
  <c r="E388" i="3"/>
  <c r="G388" i="3" s="1"/>
  <c r="E329" i="3"/>
  <c r="G329" i="3" s="1"/>
  <c r="E155" i="3"/>
  <c r="G155" i="3" s="1"/>
  <c r="E95" i="3"/>
  <c r="G95" i="3" s="1"/>
  <c r="E267" i="3"/>
  <c r="G267" i="3" s="1"/>
  <c r="J32" i="8"/>
  <c r="E16" i="7" s="1"/>
  <c r="AC31" i="8"/>
  <c r="G35" i="7" s="1"/>
  <c r="H35" i="7" s="1"/>
  <c r="T32" i="8"/>
  <c r="E26" i="7" s="1"/>
  <c r="AP32" i="8"/>
  <c r="E48" i="7" s="1"/>
  <c r="BD32" i="8"/>
  <c r="F32" i="8"/>
  <c r="E12" i="7" s="1"/>
  <c r="AS32" i="8"/>
  <c r="E51" i="7" s="1"/>
  <c r="E36" i="3"/>
  <c r="G36" i="3" s="1"/>
  <c r="AH31" i="8"/>
  <c r="G40" i="7" s="1"/>
  <c r="H40" i="7" s="1"/>
  <c r="E725" i="10" s="1"/>
  <c r="G725" i="10" s="1"/>
  <c r="H32" i="8"/>
  <c r="E14" i="7" s="1"/>
  <c r="AR31" i="8"/>
  <c r="G50" i="7" s="1"/>
  <c r="H50" i="7" s="1"/>
  <c r="R31" i="8"/>
  <c r="G24" i="7" s="1"/>
  <c r="H24" i="7" s="1"/>
  <c r="AB31" i="8"/>
  <c r="G34" i="7" s="1"/>
  <c r="H34" i="7" s="1"/>
  <c r="S32" i="8"/>
  <c r="E25" i="7" s="1"/>
  <c r="AU32" i="8"/>
  <c r="E53" i="7" s="1"/>
  <c r="E31" i="8"/>
  <c r="G11" i="7" s="1"/>
  <c r="H11" i="7" s="1"/>
  <c r="AA31" i="8"/>
  <c r="G33" i="7" s="1"/>
  <c r="H33" i="7" s="1"/>
  <c r="W32" i="8"/>
  <c r="E29" i="7" s="1"/>
  <c r="AG32" i="8"/>
  <c r="E39" i="7" s="1"/>
  <c r="B32" i="8"/>
  <c r="E8" i="7" s="1"/>
  <c r="AY31" i="8"/>
  <c r="G57" i="7" s="1"/>
  <c r="H57" i="7" s="1"/>
  <c r="AV31" i="8"/>
  <c r="G54" i="7" s="1"/>
  <c r="H54" i="7" s="1"/>
  <c r="Q32" i="8"/>
  <c r="E23" i="7" s="1"/>
  <c r="AI31" i="8"/>
  <c r="G41" i="7" s="1"/>
  <c r="H41" i="7" s="1"/>
  <c r="AL32" i="8"/>
  <c r="E44" i="7" s="1"/>
  <c r="E61" i="7"/>
  <c r="E416" i="10"/>
  <c r="G416" i="10" s="1"/>
  <c r="E292" i="10"/>
  <c r="G292" i="10" s="1"/>
  <c r="E726" i="10"/>
  <c r="G726" i="10" s="1"/>
  <c r="E602" i="10"/>
  <c r="G602" i="10" s="1"/>
  <c r="E478" i="10"/>
  <c r="G478" i="10" s="1"/>
  <c r="E36" i="10"/>
  <c r="G36" i="10" s="1"/>
  <c r="E354" i="10"/>
  <c r="G354" i="10" s="1"/>
  <c r="E100" i="10"/>
  <c r="G100" i="10" s="1"/>
  <c r="E788" i="10"/>
  <c r="G788" i="10" s="1"/>
  <c r="E228" i="10"/>
  <c r="G228" i="10" s="1"/>
  <c r="E540" i="10"/>
  <c r="G540" i="10" s="1"/>
  <c r="E164" i="10"/>
  <c r="G164" i="10" s="1"/>
  <c r="E664" i="10"/>
  <c r="G664" i="10" s="1"/>
  <c r="AW31" i="8"/>
  <c r="G55" i="7" s="1"/>
  <c r="H55" i="7" s="1"/>
  <c r="AW32" i="8"/>
  <c r="E55" i="7" s="1"/>
  <c r="L32" i="8"/>
  <c r="E18" i="7" s="1"/>
  <c r="L31" i="8"/>
  <c r="G18" i="7" s="1"/>
  <c r="H18" i="7" s="1"/>
  <c r="AJ31" i="8"/>
  <c r="G42" i="7" s="1"/>
  <c r="H42" i="7" s="1"/>
  <c r="AJ32" i="8"/>
  <c r="E42" i="7" s="1"/>
  <c r="AE31" i="8"/>
  <c r="G37" i="7" s="1"/>
  <c r="H37" i="7" s="1"/>
  <c r="AE32" i="8"/>
  <c r="E37" i="7" s="1"/>
  <c r="AF31" i="8"/>
  <c r="G38" i="7" s="1"/>
  <c r="H38" i="7" s="1"/>
  <c r="AF32" i="8"/>
  <c r="E38" i="7" s="1"/>
  <c r="O31" i="8"/>
  <c r="G21" i="7" s="1"/>
  <c r="H21" i="7" s="1"/>
  <c r="O32" i="8"/>
  <c r="E21" i="7" s="1"/>
  <c r="D31" i="8"/>
  <c r="G10" i="7" s="1"/>
  <c r="H10" i="7" s="1"/>
  <c r="D32" i="8"/>
  <c r="E10" i="7" s="1"/>
  <c r="F10" i="11" s="1"/>
  <c r="I10" i="11" s="1"/>
  <c r="BA31" i="8"/>
  <c r="G59" i="7" s="1"/>
  <c r="H59" i="7" s="1"/>
  <c r="BA32" i="8"/>
  <c r="E59" i="7" s="1"/>
  <c r="I13" i="11" l="1"/>
  <c r="G332" i="3"/>
  <c r="E309" i="3" s="1"/>
  <c r="G211" i="3"/>
  <c r="G39" i="3"/>
  <c r="G391" i="3"/>
  <c r="E372" i="3" s="1"/>
  <c r="G372" i="3" s="1"/>
  <c r="E35" i="10"/>
  <c r="G35" i="10" s="1"/>
  <c r="G39" i="10" s="1"/>
  <c r="A15" i="10" s="1"/>
  <c r="F9" i="11"/>
  <c r="I9" i="11" s="1"/>
  <c r="E415" i="10"/>
  <c r="G415" i="10" s="1"/>
  <c r="G419" i="10" s="1"/>
  <c r="F397" i="10" s="1"/>
  <c r="E227" i="10"/>
  <c r="G227" i="10" s="1"/>
  <c r="G231" i="10" s="1"/>
  <c r="E539" i="10"/>
  <c r="G539" i="10" s="1"/>
  <c r="G543" i="10" s="1"/>
  <c r="A521" i="10" s="1"/>
  <c r="E163" i="10"/>
  <c r="G163" i="10" s="1"/>
  <c r="G167" i="10" s="1"/>
  <c r="A143" i="10" s="1"/>
  <c r="E787" i="10"/>
  <c r="G787" i="10" s="1"/>
  <c r="G791" i="10" s="1"/>
  <c r="F769" i="10" s="1"/>
  <c r="E291" i="10"/>
  <c r="G291" i="10" s="1"/>
  <c r="G295" i="10" s="1"/>
  <c r="F271" i="10" s="1"/>
  <c r="E477" i="10"/>
  <c r="G477" i="10" s="1"/>
  <c r="G481" i="10" s="1"/>
  <c r="E601" i="10"/>
  <c r="G601" i="10" s="1"/>
  <c r="G605" i="10" s="1"/>
  <c r="F583" i="10" s="1"/>
  <c r="E663" i="10"/>
  <c r="G663" i="10" s="1"/>
  <c r="G667" i="10" s="1"/>
  <c r="A645" i="10" s="1"/>
  <c r="E99" i="10"/>
  <c r="G99" i="10" s="1"/>
  <c r="G103" i="10" s="1"/>
  <c r="E353" i="10"/>
  <c r="G353" i="10" s="1"/>
  <c r="G357" i="10" s="1"/>
  <c r="A335" i="10" s="1"/>
  <c r="G729" i="10"/>
  <c r="A707" i="10" s="1"/>
  <c r="G98" i="3"/>
  <c r="E78" i="3" s="1"/>
  <c r="G158" i="3"/>
  <c r="E137" i="3" s="1"/>
  <c r="G137" i="3" s="1"/>
  <c r="G270" i="3"/>
  <c r="E251" i="3" s="1"/>
  <c r="G251" i="3" s="1"/>
  <c r="E195" i="3" l="1"/>
  <c r="G195" i="3" s="1"/>
  <c r="G196" i="3" s="1"/>
  <c r="G309" i="3"/>
  <c r="E18" i="3"/>
  <c r="G78" i="3"/>
  <c r="I8" i="11"/>
  <c r="F79" i="10"/>
  <c r="A79" i="10"/>
  <c r="E79" i="10" s="1"/>
  <c r="A583" i="10"/>
  <c r="D583" i="10" s="1"/>
  <c r="F707" i="10"/>
  <c r="F335" i="10"/>
  <c r="F645" i="10"/>
  <c r="A769" i="10"/>
  <c r="B769" i="10" s="1"/>
  <c r="F15" i="10"/>
  <c r="A397" i="10"/>
  <c r="E397" i="10" s="1"/>
  <c r="G397" i="10" s="1"/>
  <c r="G398" i="10" s="1"/>
  <c r="G428" i="10" s="1"/>
  <c r="A271" i="10"/>
  <c r="D271" i="10" s="1"/>
  <c r="F143" i="10"/>
  <c r="F521" i="10"/>
  <c r="D521" i="10"/>
  <c r="E521" i="10"/>
  <c r="B521" i="10"/>
  <c r="A207" i="10"/>
  <c r="F207" i="10"/>
  <c r="E645" i="10"/>
  <c r="D645" i="10"/>
  <c r="B645" i="10"/>
  <c r="D335" i="10"/>
  <c r="E335" i="10"/>
  <c r="B335" i="10"/>
  <c r="A459" i="10"/>
  <c r="F459" i="10"/>
  <c r="B143" i="10"/>
  <c r="D143" i="10"/>
  <c r="E143" i="10"/>
  <c r="E707" i="10"/>
  <c r="D707" i="10"/>
  <c r="B707" i="10"/>
  <c r="E15" i="10"/>
  <c r="D15" i="10"/>
  <c r="B15" i="10"/>
  <c r="G645" i="10" l="1"/>
  <c r="G646" i="10" s="1"/>
  <c r="G676" i="10" s="1"/>
  <c r="G682" i="10" s="1"/>
  <c r="G373" i="3"/>
  <c r="G18" i="3"/>
  <c r="G19" i="3" s="1"/>
  <c r="G47" i="3" s="1"/>
  <c r="G79" i="10"/>
  <c r="G80" i="10" s="1"/>
  <c r="G112" i="10" s="1"/>
  <c r="G118" i="10" s="1"/>
  <c r="B583" i="10"/>
  <c r="G15" i="10"/>
  <c r="G16" i="10" s="1"/>
  <c r="G48" i="10" s="1"/>
  <c r="G55" i="10" s="1"/>
  <c r="G707" i="10"/>
  <c r="G708" i="10" s="1"/>
  <c r="G738" i="10" s="1"/>
  <c r="G745" i="10" s="1"/>
  <c r="D79" i="10"/>
  <c r="B79" i="10"/>
  <c r="G310" i="3"/>
  <c r="B397" i="10"/>
  <c r="D397" i="10"/>
  <c r="E583" i="10"/>
  <c r="G583" i="10" s="1"/>
  <c r="G584" i="10" s="1"/>
  <c r="G614" i="10" s="1"/>
  <c r="G620" i="10" s="1"/>
  <c r="G335" i="10"/>
  <c r="G336" i="10" s="1"/>
  <c r="G366" i="10" s="1"/>
  <c r="G372" i="10" s="1"/>
  <c r="B271" i="10"/>
  <c r="E271" i="10"/>
  <c r="G271" i="10" s="1"/>
  <c r="G272" i="10" s="1"/>
  <c r="G304" i="10" s="1"/>
  <c r="G310" i="10" s="1"/>
  <c r="G143" i="10"/>
  <c r="G144" i="10" s="1"/>
  <c r="G176" i="10" s="1"/>
  <c r="G182" i="10" s="1"/>
  <c r="D769" i="10"/>
  <c r="E769" i="10"/>
  <c r="G769" i="10" s="1"/>
  <c r="G770" i="10" s="1"/>
  <c r="G800" i="10" s="1"/>
  <c r="G807" i="10" s="1"/>
  <c r="G521" i="10"/>
  <c r="G522" i="10" s="1"/>
  <c r="G552" i="10" s="1"/>
  <c r="G558" i="10" s="1"/>
  <c r="G434" i="10"/>
  <c r="G435" i="10"/>
  <c r="D459" i="10"/>
  <c r="E459" i="10"/>
  <c r="G459" i="10" s="1"/>
  <c r="G460" i="10" s="1"/>
  <c r="G490" i="10" s="1"/>
  <c r="B459" i="10"/>
  <c r="G138" i="3"/>
  <c r="E207" i="10"/>
  <c r="G207" i="10" s="1"/>
  <c r="G208" i="10" s="1"/>
  <c r="G240" i="10" s="1"/>
  <c r="D207" i="10"/>
  <c r="B207" i="10"/>
  <c r="G79" i="3"/>
  <c r="G106" i="3" s="1"/>
  <c r="G683" i="10" l="1"/>
  <c r="G119" i="10"/>
  <c r="G53" i="3"/>
  <c r="G744" i="10"/>
  <c r="G54" i="10"/>
  <c r="G621" i="10"/>
  <c r="G311" i="10"/>
  <c r="G373" i="10"/>
  <c r="G806" i="10"/>
  <c r="G183" i="10"/>
  <c r="G559" i="10"/>
  <c r="G496" i="10"/>
  <c r="G497" i="10"/>
  <c r="G112" i="3"/>
  <c r="G246" i="10"/>
  <c r="G247" i="10"/>
  <c r="F142" i="3" l="1"/>
  <c r="G142" i="3" s="1"/>
  <c r="G146" i="3" l="1"/>
  <c r="G166" i="3" s="1"/>
  <c r="G172" i="3" s="1"/>
  <c r="F200" i="3"/>
  <c r="G200" i="3" s="1"/>
  <c r="G201" i="3" s="1"/>
  <c r="G219" i="3" s="1"/>
  <c r="G225" i="3" l="1"/>
  <c r="G252" i="3"/>
  <c r="F256" i="3"/>
  <c r="G256" i="3" s="1"/>
  <c r="G258" i="3" s="1"/>
  <c r="G278" i="3" l="1"/>
  <c r="G284" i="3" s="1"/>
  <c r="F319" i="3"/>
  <c r="G319" i="3" s="1"/>
  <c r="G320" i="3" l="1"/>
  <c r="G341" i="3" s="1"/>
  <c r="G347" i="3" s="1"/>
  <c r="F377" i="3"/>
  <c r="G377" i="3" s="1"/>
  <c r="G379" i="3" s="1"/>
  <c r="G399" i="3" s="1"/>
  <c r="G405" i="3" l="1"/>
  <c r="H109" i="18"/>
  <c r="H16" i="25" l="1"/>
  <c r="H17" i="25" s="1"/>
  <c r="H19" i="25"/>
  <c r="H18" i="25"/>
  <c r="G8" i="3"/>
  <c r="F52" i="3"/>
  <c r="G52" i="3"/>
  <c r="F54" i="3"/>
  <c r="G54" i="3"/>
  <c r="G56" i="3"/>
  <c r="G68" i="3"/>
  <c r="F111" i="3"/>
  <c r="G111" i="3"/>
  <c r="F113" i="3"/>
  <c r="G113" i="3"/>
  <c r="G115" i="3"/>
  <c r="G127" i="3"/>
  <c r="F171" i="3"/>
  <c r="G171" i="3"/>
  <c r="F173" i="3"/>
  <c r="G173" i="3"/>
  <c r="G175" i="3"/>
  <c r="G187" i="3"/>
  <c r="F224" i="3"/>
  <c r="G224" i="3"/>
  <c r="F226" i="3"/>
  <c r="G226" i="3"/>
  <c r="G228" i="3"/>
  <c r="G240" i="3"/>
  <c r="F283" i="3"/>
  <c r="G283" i="3"/>
  <c r="F285" i="3"/>
  <c r="G285" i="3"/>
  <c r="G287" i="3"/>
  <c r="G299" i="3"/>
  <c r="F346" i="3"/>
  <c r="G346" i="3"/>
  <c r="F348" i="3"/>
  <c r="G348" i="3"/>
  <c r="G350" i="3"/>
  <c r="G362" i="3"/>
  <c r="F404" i="3"/>
  <c r="G404" i="3"/>
  <c r="F406" i="3"/>
  <c r="G406" i="3"/>
  <c r="G408" i="3"/>
  <c r="G8" i="10"/>
  <c r="F53" i="10"/>
  <c r="G53" i="10"/>
  <c r="F56" i="10"/>
  <c r="G56" i="10"/>
  <c r="G58" i="10"/>
  <c r="G72" i="10"/>
  <c r="F117" i="10"/>
  <c r="G117" i="10"/>
  <c r="F120" i="10"/>
  <c r="G120" i="10"/>
  <c r="G122" i="10"/>
  <c r="G136" i="10"/>
  <c r="F181" i="10"/>
  <c r="G181" i="10"/>
  <c r="F184" i="10"/>
  <c r="G184" i="10"/>
  <c r="G186" i="10"/>
  <c r="G200" i="10"/>
  <c r="F245" i="10"/>
  <c r="G245" i="10"/>
  <c r="F248" i="10"/>
  <c r="G248" i="10"/>
  <c r="G250" i="10"/>
  <c r="G264" i="10"/>
  <c r="F309" i="10"/>
  <c r="G309" i="10"/>
  <c r="F312" i="10"/>
  <c r="G312" i="10"/>
  <c r="G314" i="10"/>
  <c r="G328" i="10"/>
  <c r="F371" i="10"/>
  <c r="G371" i="10"/>
  <c r="F374" i="10"/>
  <c r="G374" i="10"/>
  <c r="G376" i="10"/>
  <c r="G390" i="10"/>
  <c r="F433" i="10"/>
  <c r="G433" i="10"/>
  <c r="F436" i="10"/>
  <c r="G436" i="10"/>
  <c r="G438" i="10"/>
  <c r="G452" i="10"/>
  <c r="F495" i="10"/>
  <c r="G495" i="10"/>
  <c r="F498" i="10"/>
  <c r="G498" i="10"/>
  <c r="G500" i="10"/>
  <c r="G514" i="10"/>
  <c r="F557" i="10"/>
  <c r="G557" i="10"/>
  <c r="F560" i="10"/>
  <c r="G560" i="10"/>
  <c r="G562" i="10"/>
  <c r="G576" i="10"/>
  <c r="F619" i="10"/>
  <c r="G619" i="10"/>
  <c r="F622" i="10"/>
  <c r="G622" i="10"/>
  <c r="G624" i="10"/>
  <c r="G638" i="10"/>
  <c r="F681" i="10"/>
  <c r="G681" i="10"/>
  <c r="F684" i="10"/>
  <c r="G684" i="10"/>
  <c r="G686" i="10"/>
  <c r="G700" i="10"/>
  <c r="F743" i="10"/>
  <c r="G743" i="10"/>
  <c r="F746" i="10"/>
  <c r="G746" i="10"/>
  <c r="G748" i="10"/>
  <c r="G762" i="10"/>
  <c r="F805" i="10"/>
  <c r="G805" i="10"/>
  <c r="F808" i="10"/>
  <c r="G808" i="10"/>
  <c r="G810" i="10"/>
  <c r="I23" i="11"/>
  <c r="I24" i="11"/>
  <c r="E25" i="11"/>
  <c r="I25" i="11"/>
  <c r="E27" i="11"/>
  <c r="I27" i="11"/>
  <c r="E28" i="11"/>
  <c r="I28" i="11"/>
  <c r="E29" i="11"/>
  <c r="I29" i="11"/>
  <c r="E30" i="11"/>
  <c r="I30" i="11"/>
  <c r="E31" i="11"/>
  <c r="I31" i="11"/>
  <c r="I32" i="11"/>
  <c r="I33" i="11"/>
  <c r="I34" i="11"/>
  <c r="I35" i="11"/>
  <c r="K35" i="11"/>
  <c r="I36" i="11"/>
  <c r="I38" i="11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B6" i="12"/>
  <c r="C6" i="12"/>
  <c r="C8" i="12"/>
  <c r="C12" i="12"/>
  <c r="D12" i="12"/>
  <c r="G12" i="12"/>
  <c r="C13" i="12"/>
  <c r="D13" i="12"/>
  <c r="G13" i="12"/>
  <c r="C14" i="12"/>
  <c r="D14" i="12"/>
  <c r="G14" i="12"/>
  <c r="C15" i="12"/>
  <c r="D15" i="12"/>
  <c r="E15" i="12"/>
  <c r="G15" i="12"/>
  <c r="A17" i="12"/>
  <c r="C17" i="12"/>
  <c r="G17" i="12"/>
  <c r="G18" i="12"/>
  <c r="G19" i="12"/>
  <c r="G20" i="12"/>
  <c r="G21" i="12"/>
  <c r="G9" i="24"/>
  <c r="H9" i="24"/>
  <c r="G10" i="24"/>
  <c r="H10" i="24"/>
  <c r="G11" i="24"/>
  <c r="H11" i="24"/>
  <c r="G12" i="24"/>
  <c r="H12" i="24"/>
  <c r="G13" i="24"/>
  <c r="H13" i="24"/>
  <c r="G14" i="24"/>
  <c r="H14" i="24"/>
  <c r="G15" i="24"/>
  <c r="H15" i="24"/>
  <c r="H16" i="24"/>
  <c r="H17" i="24"/>
  <c r="G18" i="24"/>
  <c r="H18" i="24"/>
  <c r="H19" i="24"/>
  <c r="H20" i="24"/>
  <c r="H21" i="24"/>
  <c r="H22" i="24"/>
</calcChain>
</file>

<file path=xl/sharedStrings.xml><?xml version="1.0" encoding="utf-8"?>
<sst xmlns="http://schemas.openxmlformats.org/spreadsheetml/2006/main" count="2907" uniqueCount="850">
  <si>
    <t>DEPARTAMENTO DE ANTIOQUIA</t>
  </si>
  <si>
    <t>DATOS INICIALES</t>
  </si>
  <si>
    <t>ENTIDAD:</t>
  </si>
  <si>
    <t>NOMBRE DEL PROYECTO:</t>
  </si>
  <si>
    <t>RESPONSABLE:</t>
  </si>
  <si>
    <t>CARGO DE RESPONSABLE:</t>
  </si>
  <si>
    <t>DEPENDENCIA DE RESPONSABLE:</t>
  </si>
  <si>
    <t>MATRÍCULA PROFESIONAL RESPONSABLE:</t>
  </si>
  <si>
    <t>SALARIO MÍNIMO MENSUAL VIGENTE:</t>
  </si>
  <si>
    <t>AUXILIO DE TRANSPORTE VIGENTE:</t>
  </si>
  <si>
    <t>EXONERADO ART 114-1 ET PARA LA OBRA:</t>
  </si>
  <si>
    <t>EXONERADO ART 114-1 ET PARA LA INTERVENTORÍA</t>
  </si>
  <si>
    <t>NIVEL DE RIESGO ARL APLICABLE</t>
  </si>
  <si>
    <t>% ARL</t>
  </si>
  <si>
    <t>DURACIÓN ESTIMADA DE OBRA (MESES)</t>
  </si>
  <si>
    <t>DISTANCIA A SITIO DE BOTADA DE TIERRA (KM)</t>
  </si>
  <si>
    <t>DISTANCIA A SITIO DE BOTADA DE ESCOMBROS (KM)</t>
  </si>
  <si>
    <t>DISTANCIA A SITIO DE PROVISIÓN  DE MATERIAL GRANULAR (KM)</t>
  </si>
  <si>
    <t>DISTANCIA A SITIO DE PROVISIÓN  DE INSUMOS GENERALES (KM)</t>
  </si>
  <si>
    <t>DISTANCIA A SITIO DE PROVISIÓN  DE ASFALTOS (KM)</t>
  </si>
  <si>
    <t>PÓLIZA DE RCE EXIGIBLE A LA INTERVENTORÍA</t>
  </si>
  <si>
    <t>SI</t>
  </si>
  <si>
    <t>V</t>
  </si>
  <si>
    <t>Elija el municipio de la lista desplegable</t>
  </si>
  <si>
    <t>Digite el nombre del proyecto. Recuerde que debe coincidir con el objeto del contrato resultante de este proceso.</t>
  </si>
  <si>
    <t>Digite el nombre del profesional responsable del presupuesto.</t>
  </si>
  <si>
    <t>Digite el cargo del profesional responsable del presupuesto.</t>
  </si>
  <si>
    <t>Digite el nombre de la dependencia del profesional responsable del presupuesto.</t>
  </si>
  <si>
    <t>Digite la matrícula profesional del profesional responsable del presupuesto.</t>
  </si>
  <si>
    <r>
      <t>Elegir de las listas desplegables</t>
    </r>
    <r>
      <rPr>
        <b/>
        <i/>
        <u/>
        <sz val="11"/>
        <color rgb="FFFF0000"/>
        <rFont val="Calibri"/>
        <family val="2"/>
        <scheme val="minor"/>
      </rPr>
      <t xml:space="preserve"> (Ver artículo 114-1 del Estatuto Tributario.</t>
    </r>
    <r>
      <rPr>
        <b/>
        <i/>
        <sz val="11"/>
        <color rgb="FFFF0000"/>
        <rFont val="Calibri"/>
        <family val="2"/>
        <scheme val="minor"/>
      </rPr>
      <t xml:space="preserve"> Cabe aclarar que, al momento de proyectar los documentos del proceso de selección, deberá incluirse el método o procedimiento mediante el cual la Administración se asegurará de que, si el contratista elegido es de naturaleza contraria a esta decisión, el equilibrio contractual se encuentre garantizado).</t>
    </r>
  </si>
  <si>
    <r>
      <rPr>
        <b/>
        <i/>
        <sz val="11"/>
        <color rgb="FFFF0000"/>
        <rFont val="Calibri"/>
        <family val="2"/>
        <scheme val="minor"/>
      </rPr>
      <t>Elegir de la lista desplegable (</t>
    </r>
    <r>
      <rPr>
        <b/>
        <i/>
        <u/>
        <sz val="11"/>
        <color rgb="FFFF0000"/>
        <rFont val="Calibri"/>
        <family val="2"/>
        <scheme val="minor"/>
      </rPr>
      <t xml:space="preserve">Ver Decreto 1607 de 2002 </t>
    </r>
    <r>
      <rPr>
        <b/>
        <i/>
        <sz val="11"/>
        <color rgb="FFFF0000"/>
        <rFont val="Calibri"/>
        <family val="2"/>
        <scheme val="minor"/>
      </rPr>
      <t>para asignación de Riesgo ARL Aplicable).</t>
    </r>
  </si>
  <si>
    <t>Digite la duración de la obra de acuerdo al cronograma</t>
  </si>
  <si>
    <t>Digite la distancia al sitio de botada de tierra de acuerdo al certificado expedido por la entidad.</t>
  </si>
  <si>
    <t>Digite la distancia al sitio de botada de escombros de acuerdo al certificado expedido por la entidad.</t>
  </si>
  <si>
    <t>Digite la distancia al sitio de provisión de material de playa de acuerdo al certificado expedido por la entidad.</t>
  </si>
  <si>
    <t>Digite la distancia al sitio de provisión de material granular de acuerdo al certificado expedido por la entidad.</t>
  </si>
  <si>
    <t>Digite la distancia al sitio de provisión de insumos generales de acuerdo al certificado expedido por la entidad.</t>
  </si>
  <si>
    <t>Digite la distancia al sitio de provisión de asfaltos de acuerdo al certificado expedido por la entidad.</t>
  </si>
  <si>
    <t>Elegir de la lista desplegable si se solicitará a la interventoría la póliza de responsabilidad civil extracontractual</t>
  </si>
  <si>
    <t>Nota 1: El archivo contiene referencias circulares, por lo tanto se debe tener activo el calculo iterativo de las fórmulas</t>
  </si>
  <si>
    <t>Fecha de actualización: 22 de FEBRERO de 2021</t>
  </si>
  <si>
    <t>PRESUPUESTO GENERAL</t>
  </si>
  <si>
    <t>ITEM</t>
  </si>
  <si>
    <t>ESPECIFICACIONES</t>
  </si>
  <si>
    <t>DESCRIPCIÓN</t>
  </si>
  <si>
    <t>UNIDAD</t>
  </si>
  <si>
    <t>CANTIDAD</t>
  </si>
  <si>
    <t>VR.UNITARIO</t>
  </si>
  <si>
    <t>VALOR TOTAL</t>
  </si>
  <si>
    <t>m2</t>
  </si>
  <si>
    <t>1.1</t>
  </si>
  <si>
    <t/>
  </si>
  <si>
    <t>ANÁLISIS DE PRECIOS UNITARIOS</t>
  </si>
  <si>
    <t>COSTO DIRECTO</t>
  </si>
  <si>
    <t>1. COSTOS DIRECTOS</t>
  </si>
  <si>
    <t>I. EQUIPO</t>
  </si>
  <si>
    <t>CÓDIGO</t>
  </si>
  <si>
    <t>TARIFA</t>
  </si>
  <si>
    <t>RENDIMIENTO</t>
  </si>
  <si>
    <t>VR. UNITARIO</t>
  </si>
  <si>
    <t>ESTACIÓN TOTAL</t>
  </si>
  <si>
    <t>NIVEL DE PRECISIÓN</t>
  </si>
  <si>
    <t>SUBTOTAL</t>
  </si>
  <si>
    <t>II. MATERIALES</t>
  </si>
  <si>
    <t>DESP.</t>
  </si>
  <si>
    <t>PRECIO UNIT.</t>
  </si>
  <si>
    <t>III. TRANSPORTES</t>
  </si>
  <si>
    <t>TIPO</t>
  </si>
  <si>
    <t>VOLUMEN/PESO</t>
  </si>
  <si>
    <t>DISTANCIA</t>
  </si>
  <si>
    <t>IV. MANO DE OBRA</t>
  </si>
  <si>
    <t>CARGOS PERSONAL</t>
  </si>
  <si>
    <t>JORNAL TOTAL</t>
  </si>
  <si>
    <t>TOPÓGRAFO</t>
  </si>
  <si>
    <t>CADENERO 1</t>
  </si>
  <si>
    <t>CADENERO 2</t>
  </si>
  <si>
    <t>V. SERVICIOS</t>
  </si>
  <si>
    <t>TOTAL COSTO DIRECTO</t>
  </si>
  <si>
    <t>2. COSTOS INDIRECTOS</t>
  </si>
  <si>
    <t>PORCENTAJE</t>
  </si>
  <si>
    <t>ADMINISTRACION</t>
  </si>
  <si>
    <t>IMPREVISTOS</t>
  </si>
  <si>
    <t>UTILIDADES</t>
  </si>
  <si>
    <t>TOTAL COSTO INDIRECTO</t>
  </si>
  <si>
    <t>PRECIO UNITARIO TOTAL APROXIMADO AL PESO</t>
  </si>
  <si>
    <t>FIRMA RESPONSABLE</t>
  </si>
  <si>
    <t>LISTADO DE INSUMOS - EQUIPOS</t>
  </si>
  <si>
    <t>VALOR UNITARIO</t>
  </si>
  <si>
    <t>EQ001</t>
  </si>
  <si>
    <t>%</t>
  </si>
  <si>
    <t>EQ002</t>
  </si>
  <si>
    <t>DÍA</t>
  </si>
  <si>
    <t>EQ003</t>
  </si>
  <si>
    <t>EQ004</t>
  </si>
  <si>
    <t>CONCRETADORA 1.5 SACOS A GASOLINA</t>
  </si>
  <si>
    <t>EQ005</t>
  </si>
  <si>
    <t>VEHÍCULO DOBLE TRACCIÓN, DOBLE CABINA, 2000 CC O SUPERIOR (MODELO 2015 O SUPERIOR)  TARIFA DE ALQUILER TIEMPO COMPLETO, INCLUYE COMBUSTIBLE Y CONDUCTOR. SE DEBE GARANTIZAR PERMANENCIA DE LOS VEHÍCULOS DURANTE TODA LA EJECUCIÓN DEL PROYECTO.</t>
  </si>
  <si>
    <t>MES</t>
  </si>
  <si>
    <t>EQ006</t>
  </si>
  <si>
    <t xml:space="preserve">MOTO ALQUILER MODELO 2014 O SUPERIOR  - TARIFA DE ALQUILER </t>
  </si>
  <si>
    <t>EQ007</t>
  </si>
  <si>
    <t>TARIFA PUESTO DE TRABAJO DEL PERSONAL DE OFICINA DE CAMPO, INCLUYE: ALQUILER DE UN (1) EQUIPO DE COMPUTO COMPLETO, ESCRITORIO, SILLA Y OTROS ENSERES DE OFICINA POR PUESTO DE TRABAJO</t>
  </si>
  <si>
    <t>EQ008</t>
  </si>
  <si>
    <t>IMPRESORA EN OBRA (ALQUILER)</t>
  </si>
  <si>
    <t>EQ009</t>
  </si>
  <si>
    <t>COMUNICACIONES (TELÉFONO, FAX, CELULAR, INTERNET, ETC.) MENSUAL EN CAMPO</t>
  </si>
  <si>
    <t>EQ010</t>
  </si>
  <si>
    <t>RADIOTELÉFONOS PARE-SIGA</t>
  </si>
  <si>
    <t>EQ011</t>
  </si>
  <si>
    <t>ALQUILER BAÑOS PORTÁTILES + MANTENIMIENTO Y LIMPIEZA</t>
  </si>
  <si>
    <t>EQ012</t>
  </si>
  <si>
    <t>EQUIPO COMPLETO PARA GEORREFERENCIACIÓN Y CAPTURA , ALMACENAMIENTO, ANALISIS, TRANSFORMACIÓN Y PRESENTACIÓN DE TODA LA INFORMACIÓN GEOGRÁFICA Y SUS ATRIBUTOS, INCLUYE SOFTWARE</t>
  </si>
  <si>
    <t>EQ013</t>
  </si>
  <si>
    <t>HERRAMIENTAS DE CAMPO (CÁMARA-EQUIPO DE MEDICIÓN-LASER Y HERRAMIENTA MENOR)</t>
  </si>
  <si>
    <t>EQ014</t>
  </si>
  <si>
    <t>HORA</t>
  </si>
  <si>
    <t>EQ015</t>
  </si>
  <si>
    <t>EQ016</t>
  </si>
  <si>
    <t>EQ017</t>
  </si>
  <si>
    <t>EQ018</t>
  </si>
  <si>
    <t>EQ019</t>
  </si>
  <si>
    <t>EQ020</t>
  </si>
  <si>
    <t>RETROEXCAVADORA LLANTA</t>
  </si>
  <si>
    <t>EQ021</t>
  </si>
  <si>
    <t>COMPACTADOR VIBRATORIO 11 TON.</t>
  </si>
  <si>
    <t>EQ022</t>
  </si>
  <si>
    <t>CIZALLA DE BANCO CORTA PERNO, INCLUYE DADOS</t>
  </si>
  <si>
    <t>EQ023</t>
  </si>
  <si>
    <t>SIERRA CIRCULAR</t>
  </si>
  <si>
    <t>EQ024</t>
  </si>
  <si>
    <t>VIBRADOR DE CONCRETO A GASOLINA (ALQUILER)</t>
  </si>
  <si>
    <t>EQ025</t>
  </si>
  <si>
    <t>FINISHER</t>
  </si>
  <si>
    <t>EQ026</t>
  </si>
  <si>
    <t>VEHÍCULO DELINEADOR PARA PINTAR LÍNEAS DE 10 A 20 CM</t>
  </si>
  <si>
    <t>EQ027</t>
  </si>
  <si>
    <t>CAMIONETA D300</t>
  </si>
  <si>
    <t>EQ028</t>
  </si>
  <si>
    <t>COMPACTADOR NEUMATICO O DE LLANTAS</t>
  </si>
  <si>
    <t>EQ029</t>
  </si>
  <si>
    <t>COMPRESOR NEUMATICO 1 MARTILLO</t>
  </si>
  <si>
    <t>EQ030</t>
  </si>
  <si>
    <t xml:space="preserve">FORMALETA METALICA (CONCRETO HIDRAULICO) </t>
  </si>
  <si>
    <t>DIA</t>
  </si>
  <si>
    <t>EQ031</t>
  </si>
  <si>
    <t>CIZALLA MANUAL</t>
  </si>
  <si>
    <t>EQ032</t>
  </si>
  <si>
    <t>VOLQUETA 15 M3</t>
  </si>
  <si>
    <t>GENERAL</t>
  </si>
  <si>
    <t>PARTICULAR</t>
  </si>
  <si>
    <t>LISTADO DE INSUMOS - MATERIALES</t>
  </si>
  <si>
    <t>APU AUXILIARES</t>
  </si>
  <si>
    <t>MA001</t>
  </si>
  <si>
    <t>CONCRETO 2000 PSI (140 MPA) EN OBRA</t>
  </si>
  <si>
    <t>M3</t>
  </si>
  <si>
    <t>MA002</t>
  </si>
  <si>
    <t>CONCRETO 2500 PSI (175 MPA) EN OBRA</t>
  </si>
  <si>
    <t>MA003</t>
  </si>
  <si>
    <t>CONCRETO 3000 PSI (210 MPA) EN OBRA</t>
  </si>
  <si>
    <t>MA004</t>
  </si>
  <si>
    <t>CONCRETO 3500 PSI (245 MPA) EN OBRA</t>
  </si>
  <si>
    <t>MA005</t>
  </si>
  <si>
    <t>CONCRETO 4000 PSI (280 MPA) EN OBRA</t>
  </si>
  <si>
    <t>MA006</t>
  </si>
  <si>
    <t>MORTERO 1:2 EN OBRA (REVOQUE)</t>
  </si>
  <si>
    <t>MA007</t>
  </si>
  <si>
    <t>MORTERO 1:2 EN OBRA (GROUT)</t>
  </si>
  <si>
    <t>MA008</t>
  </si>
  <si>
    <t>MORTERO 1:3 EN OBRA (REVOQUE)</t>
  </si>
  <si>
    <t>MA009</t>
  </si>
  <si>
    <t>MORTERO 1:3 EN OBRA (GROUT)</t>
  </si>
  <si>
    <t>MA010</t>
  </si>
  <si>
    <t>MORTERO 1:3 EN OBRA (PEGA)</t>
  </si>
  <si>
    <t>MA011</t>
  </si>
  <si>
    <t>MORTERO 1:4 EN OBRA (REVOQUE)</t>
  </si>
  <si>
    <t>MA012</t>
  </si>
  <si>
    <t>MORTERO 1:4 EN OBRA (GROUT)</t>
  </si>
  <si>
    <t>MA013</t>
  </si>
  <si>
    <t>MORTERO 1:4 EN OBRA (PEGA)</t>
  </si>
  <si>
    <t>MA014</t>
  </si>
  <si>
    <t>MORTERO 1:5 EN OBRA (REVOQUE)</t>
  </si>
  <si>
    <t>MA015</t>
  </si>
  <si>
    <t>MORTERO 1:5 EN OBRA (PEGA)</t>
  </si>
  <si>
    <t>MA016</t>
  </si>
  <si>
    <t>MORTERO 1:6 EN OBRA (PEGA)</t>
  </si>
  <si>
    <t>MA017</t>
  </si>
  <si>
    <t>FORMALETA PARA MUROS, ALETAS, DISIPADORES Y ESTRIBOS (6 USOS)</t>
  </si>
  <si>
    <t>M2</t>
  </si>
  <si>
    <t>MA018</t>
  </si>
  <si>
    <t>MA019</t>
  </si>
  <si>
    <t>MATERIALES</t>
  </si>
  <si>
    <t>MA020</t>
  </si>
  <si>
    <t>CEMENTO GRIS (50 KG) PORTLAND TIPO I</t>
  </si>
  <si>
    <t>MA021</t>
  </si>
  <si>
    <t xml:space="preserve">ARENA DE PEGA </t>
  </si>
  <si>
    <t>MA022</t>
  </si>
  <si>
    <t xml:space="preserve">ARENA DE REVOQUE </t>
  </si>
  <si>
    <t>MA023</t>
  </si>
  <si>
    <t>ARENA FINA PARA CONCRETOS</t>
  </si>
  <si>
    <t>MA024</t>
  </si>
  <si>
    <t>MA025</t>
  </si>
  <si>
    <t>AGUA</t>
  </si>
  <si>
    <t>MA026</t>
  </si>
  <si>
    <t>MA027</t>
  </si>
  <si>
    <t>MA028</t>
  </si>
  <si>
    <t>KG</t>
  </si>
  <si>
    <t>MA029</t>
  </si>
  <si>
    <t>MA030</t>
  </si>
  <si>
    <t>UN</t>
  </si>
  <si>
    <t>MA031</t>
  </si>
  <si>
    <t>MA032</t>
  </si>
  <si>
    <t>MA033</t>
  </si>
  <si>
    <t>MA034</t>
  </si>
  <si>
    <t>MA035</t>
  </si>
  <si>
    <t>MA036</t>
  </si>
  <si>
    <t>MA037</t>
  </si>
  <si>
    <t>MA038</t>
  </si>
  <si>
    <t>MA039</t>
  </si>
  <si>
    <t>MA040</t>
  </si>
  <si>
    <t>MA041</t>
  </si>
  <si>
    <t>MA042</t>
  </si>
  <si>
    <t>LISTADO DE INSUMOS - TRANSPORTES</t>
  </si>
  <si>
    <t>TR001</t>
  </si>
  <si>
    <t>TON-KM</t>
  </si>
  <si>
    <t>TR002</t>
  </si>
  <si>
    <t>M3-KM</t>
  </si>
  <si>
    <t>TR003</t>
  </si>
  <si>
    <t>TRANSPORTE DE MATERIAL DE EXCAVACIÓN</t>
  </si>
  <si>
    <t>TR004</t>
  </si>
  <si>
    <t>TRANSPORTE DE ESCOMBROS</t>
  </si>
  <si>
    <t>TR005</t>
  </si>
  <si>
    <t>TRANSPORTE DE MATERIALES GRANULARES</t>
  </si>
  <si>
    <t>TR006</t>
  </si>
  <si>
    <t>TRANSPORTE DE MEZCLAS ASFÁLTICAS</t>
  </si>
  <si>
    <t>TR007</t>
  </si>
  <si>
    <t>TR008</t>
  </si>
  <si>
    <t>TR009</t>
  </si>
  <si>
    <t>TR010</t>
  </si>
  <si>
    <t>TR011</t>
  </si>
  <si>
    <t>TR012</t>
  </si>
  <si>
    <t>TR013</t>
  </si>
  <si>
    <t>TR014</t>
  </si>
  <si>
    <t>TR015</t>
  </si>
  <si>
    <t>TR016</t>
  </si>
  <si>
    <t>TR017</t>
  </si>
  <si>
    <t>TR018</t>
  </si>
  <si>
    <t>TR019</t>
  </si>
  <si>
    <t>TR020</t>
  </si>
  <si>
    <t>LISTADO DE INSUMOS - MANO DE OBRA</t>
  </si>
  <si>
    <t>CARGO</t>
  </si>
  <si>
    <t>CLASE</t>
  </si>
  <si>
    <t>SALARIO MENSUAL</t>
  </si>
  <si>
    <t>FACTOR PRESTACIONAL</t>
  </si>
  <si>
    <t>JORNAL</t>
  </si>
  <si>
    <t>PRESTACIONES</t>
  </si>
  <si>
    <t>CÁLCULO DE FACTOR PRESTACIONAL</t>
  </si>
  <si>
    <t>SALARIO MENSUAL SMMLV</t>
  </si>
  <si>
    <t>(A) SALARIO MES</t>
  </si>
  <si>
    <t>(B) AUXILIO TRANSPORTE MES</t>
  </si>
  <si>
    <t>(C) SUELDO ANUAL 
(A x 12)</t>
  </si>
  <si>
    <t>(D) AUXILIO TRANSPORTE ANUAL 
(B x 12)</t>
  </si>
  <si>
    <t>INTERES DE CESANTIA 
(F x 12%)</t>
  </si>
  <si>
    <t>VACACIONES 
(A + B) / 2</t>
  </si>
  <si>
    <t>PRIMA DE SERVICIOS
(A + B)</t>
  </si>
  <si>
    <t>FONDO INDUSTRIA DE LA CONSTRUCCIÓN SENA - FIC
(SMMLV x 12 / 40)</t>
  </si>
  <si>
    <t>EPS (SALUD) - VERIFICAR CREE
(C + D) x 8.5%</t>
  </si>
  <si>
    <t>AFP (PENSION)
(C + D) x 12%</t>
  </si>
  <si>
    <t>RIESGOS PROFESIONALES 
(C + D) x FACTOR DE RIESGO</t>
  </si>
  <si>
    <t>CAJA DE COMPENSACION 
(C + D) x 4%</t>
  </si>
  <si>
    <t>SENA - VERIFICAR CREE
(C + D) X 2%</t>
  </si>
  <si>
    <t>ICBF - VERIFICAR CREE
(C + D) X 3%</t>
  </si>
  <si>
    <t>EXAMEN DE INGRESO - EGRESO</t>
  </si>
  <si>
    <t xml:space="preserve">DOTACIÓN </t>
  </si>
  <si>
    <t>KIT ELEMENTOS DE PROTECCIÓN PERSONAL</t>
  </si>
  <si>
    <t>TOTAL ANUAL</t>
  </si>
  <si>
    <t>MO001</t>
  </si>
  <si>
    <t>MO002</t>
  </si>
  <si>
    <t>MO003</t>
  </si>
  <si>
    <t>MO004</t>
  </si>
  <si>
    <t>MO005</t>
  </si>
  <si>
    <t>MO006</t>
  </si>
  <si>
    <t>MO007</t>
  </si>
  <si>
    <t>MO008</t>
  </si>
  <si>
    <t>MO009</t>
  </si>
  <si>
    <t>MO010</t>
  </si>
  <si>
    <t>MO011</t>
  </si>
  <si>
    <t>MO012</t>
  </si>
  <si>
    <t>MO013</t>
  </si>
  <si>
    <t>MO014</t>
  </si>
  <si>
    <t>MO015</t>
  </si>
  <si>
    <t>MO016</t>
  </si>
  <si>
    <t>MO017</t>
  </si>
  <si>
    <t>MO018</t>
  </si>
  <si>
    <t>MO019</t>
  </si>
  <si>
    <t>MO020</t>
  </si>
  <si>
    <t>MO021</t>
  </si>
  <si>
    <t>MO022</t>
  </si>
  <si>
    <t>MO023</t>
  </si>
  <si>
    <t>MO024</t>
  </si>
  <si>
    <t>MO025</t>
  </si>
  <si>
    <t>MO026</t>
  </si>
  <si>
    <t>MO027</t>
  </si>
  <si>
    <t>MO028</t>
  </si>
  <si>
    <t>MO029</t>
  </si>
  <si>
    <t>MO030</t>
  </si>
  <si>
    <t>MO031</t>
  </si>
  <si>
    <t>MO032</t>
  </si>
  <si>
    <t>MO033</t>
  </si>
  <si>
    <t>MO034</t>
  </si>
  <si>
    <t>MO035</t>
  </si>
  <si>
    <t>MO036</t>
  </si>
  <si>
    <t>MO037</t>
  </si>
  <si>
    <t>MO038</t>
  </si>
  <si>
    <t>MO039</t>
  </si>
  <si>
    <t>MO040</t>
  </si>
  <si>
    <t>MO041</t>
  </si>
  <si>
    <t>MO042</t>
  </si>
  <si>
    <t>MO043</t>
  </si>
  <si>
    <t>MO044</t>
  </si>
  <si>
    <t>MO045</t>
  </si>
  <si>
    <t>MO046</t>
  </si>
  <si>
    <t>MO047</t>
  </si>
  <si>
    <t>MO048</t>
  </si>
  <si>
    <t>MO049</t>
  </si>
  <si>
    <t>MO050</t>
  </si>
  <si>
    <t>MO051</t>
  </si>
  <si>
    <t>MO052</t>
  </si>
  <si>
    <t>MO053</t>
  </si>
  <si>
    <t>MO054</t>
  </si>
  <si>
    <t>MO055</t>
  </si>
  <si>
    <t>MO056</t>
  </si>
  <si>
    <t>DIRECTOR DE OBRA</t>
  </si>
  <si>
    <t>DIRECTOR DE INTERVENTORÍA</t>
  </si>
  <si>
    <t>RESIDENTE DE OBRA</t>
  </si>
  <si>
    <t>RESIDENTE DE INTERVENTORÍA</t>
  </si>
  <si>
    <t>RESIDENTE AMBIENTAL</t>
  </si>
  <si>
    <t>RESIDENTE SOCIAL</t>
  </si>
  <si>
    <t>AUXILIAR DE RESIDENCIA</t>
  </si>
  <si>
    <t>TECNÓLOGO SST</t>
  </si>
  <si>
    <t>ASESOR LEGAL</t>
  </si>
  <si>
    <t>CONTADOR</t>
  </si>
  <si>
    <t>ALMACENISTA</t>
  </si>
  <si>
    <t>AUXILIAR DE ALMACÉN</t>
  </si>
  <si>
    <t>SECRETARIA</t>
  </si>
  <si>
    <t>MENSAJERO</t>
  </si>
  <si>
    <t>VIGILANTE</t>
  </si>
  <si>
    <t>MAESTRO PRIMERO</t>
  </si>
  <si>
    <t>MAESTRO SEGUNDO</t>
  </si>
  <si>
    <t>OFICIAL ELÉCTRICO</t>
  </si>
  <si>
    <t>AYUDANTE ELÉCTRICO</t>
  </si>
  <si>
    <t>OFICIAL PLOMERO</t>
  </si>
  <si>
    <t>AYUDANTE PLOMERO</t>
  </si>
  <si>
    <t>OFICIAL CARPINTERO</t>
  </si>
  <si>
    <t>AYUDANTE CARPINTERO</t>
  </si>
  <si>
    <t>OFICIAL PINTOR</t>
  </si>
  <si>
    <t>OFICIAL DE OBRA BLANCA</t>
  </si>
  <si>
    <t>OFICIAL DE OBRA NEGRA</t>
  </si>
  <si>
    <t>OFICIAL HIERRO</t>
  </si>
  <si>
    <t>AYUDANTE ENTENDIDO</t>
  </si>
  <si>
    <t>AYUDANTE RASO</t>
  </si>
  <si>
    <t>OPERADOR EQUIPO LIVIANO</t>
  </si>
  <si>
    <t>OPERADOR EQUIPO MEDIANO</t>
  </si>
  <si>
    <t>OPERADOR EQUIPO PESADO</t>
  </si>
  <si>
    <t>AUXILIAR HERRAMIENTA</t>
  </si>
  <si>
    <t>PATIERO</t>
  </si>
  <si>
    <t>AUXILIAR PARE-SIGA</t>
  </si>
  <si>
    <t>INGENIERO SIG</t>
  </si>
  <si>
    <t>TECNÓLOGO SIG</t>
  </si>
  <si>
    <t>DIRECTOR DE CONSULTORÍA</t>
  </si>
  <si>
    <t>DIBUJANTE</t>
  </si>
  <si>
    <t>INGENIERO ESPECIALISTA GEOTECNIA</t>
  </si>
  <si>
    <t>GEÓLOGO</t>
  </si>
  <si>
    <t xml:space="preserve">ARQUITECTO ESPECIALISTA URBANISMO </t>
  </si>
  <si>
    <t>ARQUITECTO ESPECIALISTA PAISAJISMO</t>
  </si>
  <si>
    <t>ARQUITECTO DISEÑADOR</t>
  </si>
  <si>
    <t>INGENIERO ESPECIALISTA ESTRUCTURAL</t>
  </si>
  <si>
    <t>INGENIERO REVISOR ESTRUCTURAL</t>
  </si>
  <si>
    <t>INGENIERO ESPECIALISTA HIDRÁULICO</t>
  </si>
  <si>
    <t>INGENIERO ELECTRICISTA</t>
  </si>
  <si>
    <t>INGENIERO AMBIENTAL</t>
  </si>
  <si>
    <t>INGENIERO FORESTAL</t>
  </si>
  <si>
    <t>TÉCNICO AMBIENTAL</t>
  </si>
  <si>
    <t>ADMÓN</t>
  </si>
  <si>
    <t>OBRA</t>
  </si>
  <si>
    <t>(F) CESANTIAS 
(C + D) x12%</t>
  </si>
  <si>
    <t>VALOR / UN</t>
  </si>
  <si>
    <t>OBSERVACIONES</t>
  </si>
  <si>
    <t>Calzado</t>
  </si>
  <si>
    <t>Pantalón</t>
  </si>
  <si>
    <t>Camisa</t>
  </si>
  <si>
    <t>Par</t>
  </si>
  <si>
    <t>Unidad</t>
  </si>
  <si>
    <t>Total Dotación</t>
  </si>
  <si>
    <t>Frecuencia</t>
  </si>
  <si>
    <t>Total anual</t>
  </si>
  <si>
    <t>BOTA TRABAJO PUNTA ACERO MIAMI</t>
  </si>
  <si>
    <t>JEAN CLASICO LABORAL INDIGO AZUL</t>
  </si>
  <si>
    <t>BLUSA 3/4 MANGA LARGA CAQUI</t>
  </si>
  <si>
    <t>CÁLCULO EPP PARA PERSONAL DE OBRA (NO INCLUYE DOTACIÓN PAPSO)</t>
  </si>
  <si>
    <t>VR. UNIT.</t>
  </si>
  <si>
    <t>VR. TOTAL</t>
  </si>
  <si>
    <t>CASCO</t>
  </si>
  <si>
    <t>CASCO ECO TIPO I CREMALLERA
1 ANUAL POR PERSONA</t>
  </si>
  <si>
    <t>TAFILETES</t>
  </si>
  <si>
    <t>TAFILETE CINTA CASCO
2 ANUALES ADICIONAL POR PERSONA</t>
  </si>
  <si>
    <t>GUANTES CARNAZA</t>
  </si>
  <si>
    <t>PAR</t>
  </si>
  <si>
    <t>GUANTE CARNAZA REFORZADO LARGO
1 SEMANAL CADA 10 PERSONAS (FIERREROS)</t>
  </si>
  <si>
    <t>GUANTES GENERALES</t>
  </si>
  <si>
    <t>GUANTE ALGODÓN LATEX
1 QUINCENAL A CADA TRABAJADOR</t>
  </si>
  <si>
    <t>GUANTES LARGOS</t>
  </si>
  <si>
    <t>GUANTE PVC SEMICORRUGADO AZUL MANGA 60CM
1 QUINCENAL CADA 20 PERSONAS (CORTADORES)</t>
  </si>
  <si>
    <t>CHALECOS REFLECTIVOS</t>
  </si>
  <si>
    <t>CHALECO CONSTRUCCIÓN
1 TRIMESTRAL A CADA TRABAJADOR</t>
  </si>
  <si>
    <t>DELANTAL IMPERMEABLE</t>
  </si>
  <si>
    <t>DELANTAL NEGRO VESTIFLEX 81X118CM
1 MENSUAL CADA 20 PERSONAS (CORTADORES)</t>
  </si>
  <si>
    <t>MONOGAFAS</t>
  </si>
  <si>
    <t>GAFAS DE SEGURIDAD LENTE CLARO
1 SEMANAL CADA 5 TRABAJADORES (DEMOLICIÓN)</t>
  </si>
  <si>
    <t>TAPONES AUDITIVOS SENCILLOS</t>
  </si>
  <si>
    <t>TAPON OIDO 32 DECÍBELES DESECHABLE CORDON 
1 SEMANAL POR CADA TRABAJADOR</t>
  </si>
  <si>
    <t>PROTECTORES AUDITIVOS DE COPA</t>
  </si>
  <si>
    <t>PROTECTOR OIDO COPA 23 DECÍBELES 
1 MENSUAL CADA 10 TRABAJADORES</t>
  </si>
  <si>
    <t>ARNÉS DE SEGURIDAD  + ESLINGA</t>
  </si>
  <si>
    <t>KIT DE ARNÉS CON ESLINGA INTEGRADA - 3M 
1 ANUAL CADA 4 PERSONAS</t>
  </si>
  <si>
    <t>TOTAL EPP ANUAL</t>
  </si>
  <si>
    <t>CÁLCULO EPP PARA PERSONAL DE OFICINA (NO INCLUYE DOTACIÓN PAPSO)</t>
  </si>
  <si>
    <t>CASCO ECO DIELECTRICO RATCHET BLANCO
1 ANUAL POR PERSONA</t>
  </si>
  <si>
    <t>GAFAS SEGURIDAD CREONTE LENTE OSCURO AF
2 ANUALES POR PERSONA</t>
  </si>
  <si>
    <t>TAPABOCAS</t>
  </si>
  <si>
    <t>RESPIRADOR N95 VÁLVULA CARBÓN ACTIVADO
2 ANUALES POR PERSONA</t>
  </si>
  <si>
    <t>TAPON OIDO SILICONADO
1 MENSUAL POR CADA TRABAJADOR</t>
  </si>
  <si>
    <t>CHALECO MULTIFUNCIONAL
1 SEMESTRAL A CADA TRABAJADOR</t>
  </si>
  <si>
    <t>SE005</t>
  </si>
  <si>
    <t>ADQUISICIÓN DE CARTOGRAFIA (IMÁGENES DE SATELITE Y FOTOS AÉREAS EXISTENTES) S/COMPROBANTE PAGO</t>
  </si>
  <si>
    <t>SE003</t>
  </si>
  <si>
    <t>ARRIENDO OFICINA DE CAMPO + DOTACIÓN</t>
  </si>
  <si>
    <t>SE001</t>
  </si>
  <si>
    <t>COMISIÓN TOPOGRÁFICA (1 TOP. + 1 CAD. 1 + 1 CAD. 2)</t>
  </si>
  <si>
    <t>SE002</t>
  </si>
  <si>
    <t>COMISIÓN TOPOGRÁFICA (1 TOP. + 1 CAD. 1)</t>
  </si>
  <si>
    <t>SEL009</t>
  </si>
  <si>
    <t>Compactación, densidad, estabilidad y flujo por briqueta para asfaltos</t>
  </si>
  <si>
    <t>SE004</t>
  </si>
  <si>
    <t>DERECHO A BOTADERO</t>
  </si>
  <si>
    <t>SEL003</t>
  </si>
  <si>
    <t>Determinación de terrones de arcilla y partículas deleznables en los agregados</t>
  </si>
  <si>
    <t>SEL006</t>
  </si>
  <si>
    <t>Diseños de mezcla para una resistencia determinada (Incluye ensayos a agregados y verificación de resistencia)</t>
  </si>
  <si>
    <t>SEL008</t>
  </si>
  <si>
    <t>Extracción cuantitativa del asfalto en mezclas en caliente para pavimentos (contenido de asfalto)</t>
  </si>
  <si>
    <t>SEL001</t>
  </si>
  <si>
    <t>Granulometría por tamizado con lavado sobre tamiz No 200</t>
  </si>
  <si>
    <t>SEL005</t>
  </si>
  <si>
    <t>Relación de Soporte del Suelo en el laboratorio (CBR en el laboratorio) remodelado y sumergido. Suelos granulares (3 puntos)</t>
  </si>
  <si>
    <t>SEL004</t>
  </si>
  <si>
    <t>Relaciones de humedad - masa unitaria seca en los suelos (ensayo modificado de compactación - Proctor Modificado) con corrección del peso unitario y contenido de agua</t>
  </si>
  <si>
    <t>SEL007</t>
  </si>
  <si>
    <t>Resistencia a la compresión de cilindros de concreto (método normal)</t>
  </si>
  <si>
    <t>SEL002</t>
  </si>
  <si>
    <t>Resistencia al desgaste de los agregados de tamaños menores a 37,5 mm (1 1/2") por medio de la máquina de los ángeles.</t>
  </si>
  <si>
    <t>N.D</t>
  </si>
  <si>
    <t>PLAYA</t>
  </si>
  <si>
    <t>INSUMOS</t>
  </si>
  <si>
    <t>TRANSPORTE DE INSUMOS GENERALES 0-10 KM</t>
  </si>
  <si>
    <t>TRANSPORTE DE INSUMOS GENERALES 11-30 KM</t>
  </si>
  <si>
    <t>TRANSPORTE DE INSUMOS GENERALES 31-70 KM</t>
  </si>
  <si>
    <t>TRANSPORTE DE INSUMOS GENERALES 71-150 KM</t>
  </si>
  <si>
    <t>TRANSPORTE DE INSUMOS GENERALES 151-310 KM</t>
  </si>
  <si>
    <t>TRANSPORTE DE INSUMOS GENERALES MAYOR A 310 KM</t>
  </si>
  <si>
    <t>TRANSPORTE DE MATERIALES DE PLAYA, TIERRA O ESCOMBROS 0-10 KM</t>
  </si>
  <si>
    <t>TRANSPORTE DE MATERIALES DE PLAYA, TIERRA O ESCOMBROS 11-30 KM</t>
  </si>
  <si>
    <t>TRANSPORTE DE MATERIALES DE PLAYA, TIERRA O ESCOMBROS 31-70 KM</t>
  </si>
  <si>
    <t>TRANSPORTE DE MATERIALES DE PLAYA, TIERRA O ESCOMBROS 71-150 KM</t>
  </si>
  <si>
    <t>TRANSPORTE DE MATERIALES DE PLAYA, TIERRA O ESCOMBROS 151-310 KM</t>
  </si>
  <si>
    <t>TRANSPORTE DE MATERIALES DE PLAYA, TIERRA O ESCOMBROS MAYOR A 310 KM</t>
  </si>
  <si>
    <t>ACARREO INTERNO DE MATERIALES</t>
  </si>
  <si>
    <t>CANT</t>
  </si>
  <si>
    <t>VALOR MENSUAL</t>
  </si>
  <si>
    <t xml:space="preserve">PREST. SOC. </t>
  </si>
  <si>
    <t>DEDIC. %</t>
  </si>
  <si>
    <t>PLAZO</t>
  </si>
  <si>
    <t>VALOR PARCIAL</t>
  </si>
  <si>
    <t>EQUIPO PROFESIONAL</t>
  </si>
  <si>
    <t>ADMINISTRACIÓN, IMPREVISTOS Y UTILIDADES - AIU</t>
  </si>
  <si>
    <t>1.2</t>
  </si>
  <si>
    <t>PERSONAL TÉCNICO NO PROFESIONAL DE  OBRA - VIÁTICOS</t>
  </si>
  <si>
    <t>2.1</t>
  </si>
  <si>
    <t>GASTOS OFICINA CENTRAL</t>
  </si>
  <si>
    <t>3.1</t>
  </si>
  <si>
    <t>4.1</t>
  </si>
  <si>
    <t>4.2</t>
  </si>
  <si>
    <t>5.1</t>
  </si>
  <si>
    <t>6.1</t>
  </si>
  <si>
    <t>6.2</t>
  </si>
  <si>
    <t>SERVICIOS DE LABORATORIO</t>
  </si>
  <si>
    <t>VALLA CONTRACTUAL</t>
  </si>
  <si>
    <t>GASTOS DE LEGALIZACIÓN DEL CONTRATO</t>
  </si>
  <si>
    <t>PÓLIZAS</t>
  </si>
  <si>
    <t>IMPUESTO DE CONTRIBUCIÓN ESPECIAL 5%</t>
  </si>
  <si>
    <t>ESTAMPILLAS</t>
  </si>
  <si>
    <t>Pro Hospital</t>
  </si>
  <si>
    <t>Pro cultura</t>
  </si>
  <si>
    <t>Pro Anciano</t>
  </si>
  <si>
    <t>Pro Deporte y Recreación</t>
  </si>
  <si>
    <t>SUBTOTAL DE COSTOS DE ADMINISTRACIÓN</t>
  </si>
  <si>
    <t>AJUSTE ADMINISTRACIÓN POR REDONDE DE DECIMALES</t>
  </si>
  <si>
    <t>TOTAL COSTOS DE ADMINISTRACIÓN</t>
  </si>
  <si>
    <t>TOTAL COSTOS DIRECTOS</t>
  </si>
  <si>
    <t>% ADMINISTRACIÓN</t>
  </si>
  <si>
    <t>%UTILIDADES</t>
  </si>
  <si>
    <t>TOTAL AIU</t>
  </si>
  <si>
    <t>_______________________________________</t>
  </si>
  <si>
    <t>ml</t>
  </si>
  <si>
    <t>SUBTOTAL COSTOS DIRECTOS</t>
  </si>
  <si>
    <t>%ADMINISTRACIÓN</t>
  </si>
  <si>
    <t>VALOR TOTAL DE LA OBRA</t>
  </si>
  <si>
    <t>CÁLCULO DE PÓLIZAS DE OBRA</t>
  </si>
  <si>
    <t>VALOR DEL CONTRATO ( $ )</t>
  </si>
  <si>
    <t>PLAZO DEL CONTRATO</t>
  </si>
  <si>
    <t>ANTICIPO</t>
  </si>
  <si>
    <t>TIPO DE GARANTÍA</t>
  </si>
  <si>
    <t>VALOR ASEGURADO</t>
  </si>
  <si>
    <t>COBERTURA 
( DÍAS )</t>
  </si>
  <si>
    <t>TASA 
ANUAL</t>
  </si>
  <si>
    <t>PRIMA</t>
  </si>
  <si>
    <t>BASE</t>
  </si>
  <si>
    <t>VALOR</t>
  </si>
  <si>
    <t>CUMPLIMIENTO</t>
  </si>
  <si>
    <t>BUEN MANEJO Y CORRECTA INVERSIÓN DEL ANTICIPO</t>
  </si>
  <si>
    <t>SALARIOS Y PRESTACIONES SOCIALES</t>
  </si>
  <si>
    <t>ESTABILIDAD Y CALIDAD DE LA OBRAS</t>
  </si>
  <si>
    <t>DECRETO 1082 SMMLV RESPONSABILIDAD CIVIL</t>
  </si>
  <si>
    <t>SMMLV</t>
  </si>
  <si>
    <t>MONTO ASEGURABLE</t>
  </si>
  <si>
    <t>PLAZO MESES</t>
  </si>
  <si>
    <t>TASA ANUAL</t>
  </si>
  <si>
    <t>SUBTOTAL PRIMA</t>
  </si>
  <si>
    <t>GASTOS DE EXPEDICIÓN</t>
  </si>
  <si>
    <t>IVA</t>
  </si>
  <si>
    <t>TOTAL POLIZAS</t>
  </si>
  <si>
    <t>AGREGADO TRITURADO</t>
  </si>
  <si>
    <t>MA043</t>
  </si>
  <si>
    <t>EQ033</t>
  </si>
  <si>
    <t xml:space="preserve">CORTADORA DE PAVIMENTOS </t>
  </si>
  <si>
    <t>MA044</t>
  </si>
  <si>
    <t>MA045</t>
  </si>
  <si>
    <t>MA046</t>
  </si>
  <si>
    <t>DISTANCIA A SITIO DE PROVISIÓN  DE MATERIAL DE PLAYA (ARENILLON, PIEDRA RODADA DE RIO) (KM)</t>
  </si>
  <si>
    <t>MA047</t>
  </si>
  <si>
    <t>MA048</t>
  </si>
  <si>
    <t>MA049</t>
  </si>
  <si>
    <t>MA051</t>
  </si>
  <si>
    <t>DISTANCIA A SITIO DE PROVISIÓN DE MATERIAL DE PLAYA (TRITURADO) (KM)</t>
  </si>
  <si>
    <t>PLAYATRITURADO</t>
  </si>
  <si>
    <t>TRANSPORTE DE MATERIALES  (TRITURADO), 0-54 KM</t>
  </si>
  <si>
    <t>TRANSPORTE DE MATERIALES DE PLAYA (ARENILLON, PIEDRA RODADA DE RIO DMAX=1") 0-1KM</t>
  </si>
  <si>
    <t>TRANSPORTE DE INSUMOS GENERALES 0-1KM</t>
  </si>
  <si>
    <t>MA052</t>
  </si>
  <si>
    <t>MA053</t>
  </si>
  <si>
    <t>MA054</t>
  </si>
  <si>
    <t>MA055</t>
  </si>
  <si>
    <t>MA056</t>
  </si>
  <si>
    <t>MA057</t>
  </si>
  <si>
    <t>MA058</t>
  </si>
  <si>
    <t>MA059</t>
  </si>
  <si>
    <t>MA060</t>
  </si>
  <si>
    <t>MA061</t>
  </si>
  <si>
    <t>Formaleta de cuerpo MH D=1,20m</t>
  </si>
  <si>
    <t>MA062</t>
  </si>
  <si>
    <t>EQ034</t>
  </si>
  <si>
    <t>MA063</t>
  </si>
  <si>
    <t>MA064</t>
  </si>
  <si>
    <t>MA065</t>
  </si>
  <si>
    <t>MA066</t>
  </si>
  <si>
    <t>MA067</t>
  </si>
  <si>
    <t>MA068</t>
  </si>
  <si>
    <t>MEMORIA DE CANTIDADES</t>
  </si>
  <si>
    <t>DETALLE</t>
  </si>
  <si>
    <t>FACTOR</t>
  </si>
  <si>
    <t>A (ML)</t>
  </si>
  <si>
    <t>B(M2)</t>
  </si>
  <si>
    <t>C(M3)</t>
  </si>
  <si>
    <t>TOTAL</t>
  </si>
  <si>
    <t>MA069</t>
  </si>
  <si>
    <t>MA070</t>
  </si>
  <si>
    <t>MA071</t>
  </si>
  <si>
    <t>MA072</t>
  </si>
  <si>
    <t>MA073</t>
  </si>
  <si>
    <t>MA074</t>
  </si>
  <si>
    <t>MA075</t>
  </si>
  <si>
    <t>MA076</t>
  </si>
  <si>
    <t>MA077</t>
  </si>
  <si>
    <t>MA078</t>
  </si>
  <si>
    <t>MA079</t>
  </si>
  <si>
    <t>MA080</t>
  </si>
  <si>
    <t>Und</t>
  </si>
  <si>
    <t>und</t>
  </si>
  <si>
    <t>kg</t>
  </si>
  <si>
    <t>Secretaría de Planeación e Infraestructura</t>
  </si>
  <si>
    <t>SECRETARIA DE PLANEACIÓN E INFRAESTRUCTURA</t>
  </si>
  <si>
    <t>LISTADO DE INSUMOS - SERVICIOS</t>
  </si>
  <si>
    <t>EQ035</t>
  </si>
  <si>
    <t>EQ036</t>
  </si>
  <si>
    <t>EQ037</t>
  </si>
  <si>
    <t>EQ038</t>
  </si>
  <si>
    <t>Andamio</t>
  </si>
  <si>
    <t>CAN</t>
  </si>
  <si>
    <t>TACO METALICO</t>
  </si>
  <si>
    <t>Cortadora adobe eléctrica de disco</t>
  </si>
  <si>
    <t xml:space="preserve">lechada boquilla </t>
  </si>
  <si>
    <t xml:space="preserve">estopa </t>
  </si>
  <si>
    <t xml:space="preserve">ceramica de 20,5 x 20,5 cm trafico 4 </t>
  </si>
  <si>
    <t>Puertas en Lamina 0.70 Cal 20, Incluye marco y chapa</t>
  </si>
  <si>
    <t>pintura a base de aceite</t>
  </si>
  <si>
    <t xml:space="preserve">galon </t>
  </si>
  <si>
    <t xml:space="preserve">disolvente </t>
  </si>
  <si>
    <t xml:space="preserve">garrafa </t>
  </si>
  <si>
    <t>lija 110-180</t>
  </si>
  <si>
    <t>hoja</t>
  </si>
  <si>
    <t xml:space="preserve">cinta </t>
  </si>
  <si>
    <t>rollo</t>
  </si>
  <si>
    <t>EQ039</t>
  </si>
  <si>
    <t xml:space="preserve">Compresor </t>
  </si>
  <si>
    <t>Vidrio Crudo 4mm (Instalado)</t>
  </si>
  <si>
    <t>Ventana en aluminio</t>
  </si>
  <si>
    <t>EQ040</t>
  </si>
  <si>
    <t>EQ041</t>
  </si>
  <si>
    <t>EQ042</t>
  </si>
  <si>
    <t>EQ043</t>
  </si>
  <si>
    <t>Escalera</t>
  </si>
  <si>
    <t>Arnes Completo</t>
  </si>
  <si>
    <t>Equipo soldador media tensión</t>
  </si>
  <si>
    <t>Tronzadora de banco corte metal</t>
  </si>
  <si>
    <t>Amoladora industrial</t>
  </si>
  <si>
    <t>EQ044</t>
  </si>
  <si>
    <t>angulo metalico de 1"</t>
  </si>
  <si>
    <t>Lamina galvanizada 2x1 calibre 20</t>
  </si>
  <si>
    <t>Tapas para laterales canoas</t>
  </si>
  <si>
    <t>Embudo</t>
  </si>
  <si>
    <t>Ganchos para instalación de Canoa</t>
  </si>
  <si>
    <t xml:space="preserve">Anticorrosivo </t>
  </si>
  <si>
    <t>gln</t>
  </si>
  <si>
    <t>Grata metálica trenzada 7"</t>
  </si>
  <si>
    <t>Disco pulir metal 7"</t>
  </si>
  <si>
    <t xml:space="preserve">tubo pvc de 1/2" presion </t>
  </si>
  <si>
    <t>accesorios pvc 1/2"</t>
  </si>
  <si>
    <t xml:space="preserve">und </t>
  </si>
  <si>
    <t>limpiador  removedor 760</t>
  </si>
  <si>
    <t xml:space="preserve">pega pvc </t>
  </si>
  <si>
    <t>tuberia PVC 2" Sanitaria 6m</t>
  </si>
  <si>
    <t>codo 90° sanitario PVC 2"</t>
  </si>
  <si>
    <t>union sanitaria PVC 2"</t>
  </si>
  <si>
    <t>tuberia sanitaria 4"</t>
  </si>
  <si>
    <t>codo 90° sanitario 4"</t>
  </si>
  <si>
    <t>union sanitaria 4"</t>
  </si>
  <si>
    <t>Tee C X c, PVC-S4"</t>
  </si>
  <si>
    <t>MA081</t>
  </si>
  <si>
    <t>MA082</t>
  </si>
  <si>
    <t>MA083</t>
  </si>
  <si>
    <t>MA084</t>
  </si>
  <si>
    <t>yee sanitaria de 4"-2"</t>
  </si>
  <si>
    <t>buje de 4"-2"</t>
  </si>
  <si>
    <t>MA085</t>
  </si>
  <si>
    <t>sifon sanitario de 2"</t>
  </si>
  <si>
    <t>MA086</t>
  </si>
  <si>
    <t>yee sanitaria de 4"</t>
  </si>
  <si>
    <t>MA087</t>
  </si>
  <si>
    <t>rejilla en aluminio 2"</t>
  </si>
  <si>
    <t xml:space="preserve">cemento blanco </t>
  </si>
  <si>
    <t>MA088</t>
  </si>
  <si>
    <t>MA089</t>
  </si>
  <si>
    <t>tuberia agua lluvia  4"</t>
  </si>
  <si>
    <t xml:space="preserve">abrazaderas metalicas </t>
  </si>
  <si>
    <t>MA090</t>
  </si>
  <si>
    <t>MA091</t>
  </si>
  <si>
    <t>tapa cuadrada con agulo de 2"</t>
  </si>
  <si>
    <t>MA092</t>
  </si>
  <si>
    <t xml:space="preserve">tapa metalica  para medidor de agua </t>
  </si>
  <si>
    <t xml:space="preserve">valvula antifraude </t>
  </si>
  <si>
    <t xml:space="preserve">valvula de contecion </t>
  </si>
  <si>
    <t xml:space="preserve">medidor de agua </t>
  </si>
  <si>
    <t>MA093</t>
  </si>
  <si>
    <t>MA094</t>
  </si>
  <si>
    <t>MA095</t>
  </si>
  <si>
    <t>MA096</t>
  </si>
  <si>
    <t>Alambre Cu rígido No 12 colores</t>
  </si>
  <si>
    <t>Tub.elect.PVC 1/2 pulg</t>
  </si>
  <si>
    <t>caja de empalme  plastica de 2X4"</t>
  </si>
  <si>
    <t xml:space="preserve">caja octagonal </t>
  </si>
  <si>
    <t>Swicht Sencillo</t>
  </si>
  <si>
    <t>Plafon losa</t>
  </si>
  <si>
    <t>Curva Electrica pvc 1/2 pulg</t>
  </si>
  <si>
    <t>MA097</t>
  </si>
  <si>
    <t>MA098</t>
  </si>
  <si>
    <t>MA099</t>
  </si>
  <si>
    <t>MA100</t>
  </si>
  <si>
    <t>MA101</t>
  </si>
  <si>
    <t>MA102</t>
  </si>
  <si>
    <t>MA103</t>
  </si>
  <si>
    <t>Tomacor Doble</t>
  </si>
  <si>
    <t>MA104</t>
  </si>
  <si>
    <t>Tomacor Doble GFCI</t>
  </si>
  <si>
    <t>MA105</t>
  </si>
  <si>
    <t>alambre CU rigido  N° 8</t>
  </si>
  <si>
    <t>caja de breaker x 6</t>
  </si>
  <si>
    <t>breaker de 15A-20A</t>
  </si>
  <si>
    <t xml:space="preserve">cinta 3 m </t>
  </si>
  <si>
    <t>Varilla Copperweld 99.9 cobre *2,40 m</t>
  </si>
  <si>
    <t>Conector de bronce para varilla copperweld</t>
  </si>
  <si>
    <t>MA106</t>
  </si>
  <si>
    <t>MA107</t>
  </si>
  <si>
    <t>MA108</t>
  </si>
  <si>
    <t>MA109</t>
  </si>
  <si>
    <t>MA110</t>
  </si>
  <si>
    <t>MA111</t>
  </si>
  <si>
    <t>Juego Sanitario, lavamanos grifería e (4) incrustaciones</t>
  </si>
  <si>
    <t>brida sanitaria</t>
  </si>
  <si>
    <t xml:space="preserve">abasto plastico </t>
  </si>
  <si>
    <t xml:space="preserve">teflon </t>
  </si>
  <si>
    <t>silicona</t>
  </si>
  <si>
    <t>MA112</t>
  </si>
  <si>
    <t>MA113</t>
  </si>
  <si>
    <t>MA114</t>
  </si>
  <si>
    <t>MA115</t>
  </si>
  <si>
    <t>MA116</t>
  </si>
  <si>
    <t>MA117</t>
  </si>
  <si>
    <t xml:space="preserve">valvula de regulacion plastica </t>
  </si>
  <si>
    <t>Mesón en acero inoxidable de 1.50 de ancho con 4 quemadores y pozuelo integrado</t>
  </si>
  <si>
    <t>Sifón y canastilla lavaplatos</t>
  </si>
  <si>
    <t xml:space="preserve">griferia sencilla </t>
  </si>
  <si>
    <t>MA118</t>
  </si>
  <si>
    <t>MA119</t>
  </si>
  <si>
    <t>MA120</t>
  </si>
  <si>
    <t>Lavadero 80x60x25 cm granito pulido prefabricado</t>
  </si>
  <si>
    <t xml:space="preserve">canilla cromada </t>
  </si>
  <si>
    <t xml:space="preserve">sifon </t>
  </si>
  <si>
    <t>MA121</t>
  </si>
  <si>
    <t>MA122</t>
  </si>
  <si>
    <t>MA123</t>
  </si>
  <si>
    <t xml:space="preserve">ducha una sola agua, incluye pomo </t>
  </si>
  <si>
    <t>MA124</t>
  </si>
  <si>
    <t>EQ045</t>
  </si>
  <si>
    <t>Linea de Vida</t>
  </si>
  <si>
    <t>clip sencillo</t>
  </si>
  <si>
    <t>teja arquictectonica galvanizada 3.05 x 0.73 m</t>
  </si>
  <si>
    <t xml:space="preserve">caballete teja arquictectonica galvanizada </t>
  </si>
  <si>
    <t>Tornillo autoperforante de cabeza hexagonal de 1" y arandela de neopreno</t>
  </si>
  <si>
    <t>MA125</t>
  </si>
  <si>
    <t>MA126</t>
  </si>
  <si>
    <t>MA127</t>
  </si>
  <si>
    <t>MA128</t>
  </si>
  <si>
    <t>MA129</t>
  </si>
  <si>
    <t>tubo estructural rectangular de 3" x 1/2" x 6.00 m calibre 1.5 mm</t>
  </si>
  <si>
    <t>Equipo de oxicorte</t>
  </si>
  <si>
    <t>Equipo y elementos auxiliares para soldadura</t>
  </si>
  <si>
    <t>EQ046</t>
  </si>
  <si>
    <t>EQ047</t>
  </si>
  <si>
    <t>Perfil  metalico de 100x100x2.5mm x 6m cal 21</t>
  </si>
  <si>
    <t>MA130</t>
  </si>
  <si>
    <t>6.3</t>
  </si>
  <si>
    <t>6.3.1</t>
  </si>
  <si>
    <t>6.3.2</t>
  </si>
  <si>
    <t>6.3.3</t>
  </si>
  <si>
    <t>6.3.4</t>
  </si>
  <si>
    <t>MA131</t>
  </si>
  <si>
    <t>MA132</t>
  </si>
  <si>
    <t>Bloque arcilla 12x15x40</t>
  </si>
  <si>
    <t>Malla electrosoldada U-50</t>
  </si>
  <si>
    <t>MA133</t>
  </si>
  <si>
    <t>Casetón en icopor recuperable altura hasta=50cm</t>
  </si>
  <si>
    <t>MA134</t>
  </si>
  <si>
    <t>Telera de 0,90 x 1,35 m.</t>
  </si>
  <si>
    <t>Viga metálica de 3 m.</t>
  </si>
  <si>
    <t>Taco metálico largo hasta 4,50 m, incluye transporte</t>
  </si>
  <si>
    <t>Telera de 0,45 x 1,35 m.</t>
  </si>
  <si>
    <t>día</t>
  </si>
  <si>
    <t>EQ048</t>
  </si>
  <si>
    <t>EQ049</t>
  </si>
  <si>
    <t>EQ050</t>
  </si>
  <si>
    <t>EQ051</t>
  </si>
  <si>
    <t>Bloque arcilla 10x20x40</t>
  </si>
  <si>
    <t>1.3</t>
  </si>
  <si>
    <t>1.4</t>
  </si>
  <si>
    <t>MUNICIPIO DE DABEIBA</t>
  </si>
  <si>
    <t>DIONISIO NAVARRO CASTAÑEDA</t>
  </si>
  <si>
    <t>PROFESIONAL UNIVERSITARIO</t>
  </si>
  <si>
    <t>MAT No. A08092009-72280770</t>
  </si>
  <si>
    <t>HADY LORENA VILLA CARVAJAL</t>
  </si>
  <si>
    <t>Profesional Universitario</t>
  </si>
  <si>
    <t>M.P A08092009-72280770</t>
  </si>
  <si>
    <t>1.5</t>
  </si>
  <si>
    <t>1.6</t>
  </si>
  <si>
    <t>1.7</t>
  </si>
  <si>
    <t>1.8</t>
  </si>
  <si>
    <t>MANIJA TANQUE SANITARIO SISTEMA TRADICIONAL</t>
  </si>
  <si>
    <t>ORINAL PETTITE DE ENTRADA SUPERIOR USO INSTITUCIONAL</t>
  </si>
  <si>
    <t xml:space="preserve">PASADOR COMÚN SATINADO </t>
  </si>
  <si>
    <t>PINTURA EXTERIOR KORAZA BCO 2650 CUÑ 5</t>
  </si>
  <si>
    <t>POLISOMBRA NEGRA 80% 1.0MT X 4.0MT (L X A) ANTI-UV</t>
  </si>
  <si>
    <t>PUERTA METALICA RANGO DE 0.60 A 0.90 X 2,06 CALIBRE 22 CON CHAPA</t>
  </si>
  <si>
    <t>ESMALTE PINTX MP ALUM 86 1/8 GAL</t>
  </si>
  <si>
    <t>REJILLA PISO CLÁSICA 10 X 10 CM 1,1/2 X 3 PULGADAS</t>
  </si>
  <si>
    <t>MANGUERA 1" POLIETIL ROLLO 100MTS CAL 60</t>
  </si>
  <si>
    <t>MANGUERA 1/2" POLIETIL ROLLO 100MT CAL40</t>
  </si>
  <si>
    <t>MANGUERA 3/4" POLIETIL ROLLO 100MT CAL60</t>
  </si>
  <si>
    <t>SANITARIO LAGUNA BLANCO</t>
  </si>
  <si>
    <t>TANQUE DE ALMACENAMIENTO DE AGUA DE 2000 LTS.</t>
  </si>
  <si>
    <t>TAPA TANQUE DE ALMACENAMIENTO DE AGUA DE 1000LTS</t>
  </si>
  <si>
    <t>TEJA PERFIL 7#6 FIBROCEMENTO</t>
  </si>
  <si>
    <t>TOMA CORRIENTE DOBLE</t>
  </si>
  <si>
    <t>VALVULA BOLA 1/2PULG PVC SOLDAR LIVIANA PCP</t>
  </si>
  <si>
    <t>VALVULA 7/8 ENTRADA TRADICIONAL 26-32CM 2 PIEZAS</t>
  </si>
  <si>
    <t>VALVULA 2-PULG SALIDA SENCILLA TRADICIONAL 2 PIEZAS</t>
  </si>
  <si>
    <t>REPOSICIÓN, AMPLIACIÓN Y REPARACIÓN DE LUMINARIAS QUE HACEN PARTE DE LA RED DE ALUMBRADOPÚBLICO DEL PARQUE PRINCIPAL Y CORREGIMIENTO SAN JOSÉ DE URAMA DEL MUNICIPIO DE DABEIBA.</t>
  </si>
  <si>
    <t>PLANEACIÓN Y HABITAT</t>
  </si>
  <si>
    <t>SUMINISTRO, TRANSPORTE, DESMONTE, INSTALACION DE LAMPARAS MALAS Y REPOSICION Y DEMÁS ELEMENTOS PARA SU CORRECTO FUNCIONAMIENTO</t>
  </si>
  <si>
    <t>UND</t>
  </si>
  <si>
    <t>SUMINISTRO, TRANSPORTE, DESMONTE, INSTALACION DE BRAZO PARA LAMPARAS MALAS Y REPOSICION Y DEMÁS ELEMENTOS PARA SU CORRECTO FUNCIONAMIENTO</t>
  </si>
  <si>
    <t>SUNINISTRO, TRANSPORTE E INSTALACION DE ENCAUCHETADO 3X12 Y DEMÁS ELEMENTOS PARA SU CORRECTO FUNCIONAMIENTO</t>
  </si>
  <si>
    <t>M</t>
  </si>
  <si>
    <t>SUMINISTRO, TRANSPORTE, INSTALACION CONECTOR TIPO RESORTE
CAPUCHA Y DEMÁS ELEMENTOS PARA SU CORRECTO
FUNCIONAMIENTO</t>
  </si>
  <si>
    <t>SUMINISTRO, TRANSPORTE, INSTALACION ESPACIADORES 8´´ Y
DEMÁS ELEMENTOS PARA SU CORRECTO FUNCIONAMIENTO</t>
  </si>
  <si>
    <t>SUMINISTROS, TRANSPORTE E INSTALACION DE FOTOCELDAS CON SU
RESPECTIVA BASE Y DEMAS ELEMENTOS DE FIJACION</t>
  </si>
  <si>
    <t>SUMINISTRO, TRANSPORTE E INSTALACION DE CINTA BANDY, EVILLAS Y
DEMAS ELEMENTOS DE FIJACION</t>
  </si>
  <si>
    <t>PARQUE PRINCIPAL</t>
  </si>
  <si>
    <t>CORREGIMIENTO URAMA</t>
  </si>
  <si>
    <t>%HONORARIOS EDU</t>
  </si>
  <si>
    <t>HERRAMIENTA MENOR (10% DE LA MANO DE OBRA)</t>
  </si>
  <si>
    <t>TALADRO ROTOPERCUTOR</t>
  </si>
  <si>
    <t>CUERPO DE ANDAMIOS CERTIFICADOS H=1M</t>
  </si>
  <si>
    <t>CAMIONETA 4X4 PARA MOVILIZACION DE CUADRILLA</t>
  </si>
  <si>
    <t>PULIDORA MANUAL 4 1/2" 11KRPM</t>
  </si>
  <si>
    <t>LUMINARIA ALUMBRADO PUBLICO DXPRO 60W 120-240V 150LM/W</t>
  </si>
  <si>
    <t>CABLE ENCAUCHETADO 3X12 AWG</t>
  </si>
  <si>
    <t>CINTA AISLANTE SUPER SCOTCH 33</t>
  </si>
  <si>
    <t>DISCO CORTE METAL</t>
  </si>
  <si>
    <t>6.3.5</t>
  </si>
  <si>
    <t>Pro Familia</t>
  </si>
  <si>
    <t>BRAZO GALVANIZADO ALUMBRADO PUBICO 1.5M  X 1 1/4"</t>
  </si>
  <si>
    <t>CINTA AISLANTE AUTOFUNDENTE SUPER 23</t>
  </si>
  <si>
    <t>AMARRA PLÁSTICA DEXSON</t>
  </si>
  <si>
    <t>BASE FOTOCELDA 250V INTEMPERIE</t>
  </si>
  <si>
    <t>FOTOCELDA ALUMBRADO PUBLICO 100-240V 2F+T</t>
  </si>
  <si>
    <t xml:space="preserve">PONCHADORA CONECTORES BAJA TENSION </t>
  </si>
  <si>
    <t>CONECTOR 10-10</t>
  </si>
  <si>
    <t xml:space="preserve">CONECTOR EMPALME RESORTE </t>
  </si>
  <si>
    <t>ESPACIADOR 5/8" X 8" + 4TUERC/ARAND CON GUASA</t>
  </si>
  <si>
    <t>CINTA BANDIT 1/2"</t>
  </si>
  <si>
    <t>FLEJE CINTA BANDIT 1/2"</t>
  </si>
  <si>
    <t>ZUNCHADORA MANUAL ALQR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</si>
</sst>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5" formatCode="&quot;$&quot;\ #,##0;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00%"/>
    <numFmt numFmtId="165" formatCode="#,##0.0&quot; MESES&quot;"/>
    <numFmt numFmtId="166" formatCode="#,##0.00&quot; KM&quot;"/>
    <numFmt numFmtId="167" formatCode="&quot;$&quot;\ #,##0"/>
    <numFmt numFmtId="168" formatCode="0.00000_ ;\-0.00000\ "/>
    <numFmt numFmtId="169" formatCode="#,##0.000000"/>
    <numFmt numFmtId="170" formatCode="&quot;$&quot;#,##0."/>
    <numFmt numFmtId="171" formatCode="#,##0.00000"/>
    <numFmt numFmtId="172" formatCode="#,##0.00&quot; SMMLV&quot;"/>
    <numFmt numFmtId="173" formatCode="#,##0&quot; DÍAS&quot;"/>
    <numFmt numFmtId="174" formatCode="_-&quot;$&quot;\ * #,##0_-;\-&quot;$&quot;\ * #,##0_-;_-&quot;$&quot;\ * &quot;-&quot;??_-;_-@_-"/>
    <numFmt numFmtId="175" formatCode="_-&quot;$&quot;* #,##0.00_-;\-&quot;$&quot;* #,##0.00_-;_-&quot;$&quot;* &quot;-&quot;??_-;_-@_-"/>
    <numFmt numFmtId="176" formatCode="&quot;$&quot;#,##0.00;[Red]\-&quot;$&quot;#,##0.00"/>
    <numFmt numFmtId="177" formatCode="_(&quot;$&quot;\ * #,##0.00_);_(&quot;$&quot;\ * \(#,##0.00\);_(&quot;$&quot;\ * &quot;-&quot;??_);_(@_)"/>
    <numFmt numFmtId="178" formatCode="_ &quot;$&quot;\ * #,##0_ ;_ &quot;$&quot;\ * \-#,##0_ ;_ &quot;$&quot;\ * &quot;-&quot;_ ;_ @_ "/>
    <numFmt numFmtId="179" formatCode="#,##0.000"/>
    <numFmt numFmtId="180" formatCode="#,##0.0000"/>
  </numFmts>
  <fonts count="5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indexed="8"/>
      <name val="Calibri"/>
      <family val="2"/>
    </font>
    <font>
      <b/>
      <sz val="16"/>
      <color indexed="8"/>
      <name val="Calibri"/>
      <family val="2"/>
    </font>
    <font>
      <b/>
      <sz val="12"/>
      <color indexed="8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i/>
      <sz val="11"/>
      <color rgb="FFFF0000"/>
      <name val="Calibri"/>
      <family val="2"/>
    </font>
    <font>
      <b/>
      <i/>
      <sz val="11"/>
      <color rgb="FFFF0000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3"/>
      <name val="Arial Narrow"/>
      <family val="2"/>
    </font>
    <font>
      <b/>
      <u/>
      <sz val="11"/>
      <color rgb="FFC00000"/>
      <name val="Arial Narrow"/>
      <family val="2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  <font>
      <b/>
      <sz val="14"/>
      <color indexed="8"/>
      <name val="Calibri"/>
      <family val="2"/>
    </font>
    <font>
      <b/>
      <sz val="8"/>
      <color indexed="8"/>
      <name val="Calibri"/>
      <family val="2"/>
    </font>
    <font>
      <sz val="8"/>
      <color indexed="8"/>
      <name val="Calibri"/>
      <family val="2"/>
    </font>
    <font>
      <sz val="9"/>
      <color indexed="8"/>
      <name val="Calibri"/>
      <family val="2"/>
    </font>
    <font>
      <b/>
      <sz val="8"/>
      <color rgb="FF000000"/>
      <name val="Calibri"/>
      <family val="2"/>
    </font>
    <font>
      <sz val="8"/>
      <color theme="1"/>
      <name val="Calibri"/>
      <family val="2"/>
    </font>
    <font>
      <sz val="8"/>
      <name val="Calibri"/>
      <family val="2"/>
    </font>
    <font>
      <sz val="8"/>
      <color rgb="FF000000"/>
      <name val="Calibri"/>
      <family val="2"/>
    </font>
    <font>
      <b/>
      <sz val="8"/>
      <color theme="1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sz val="9"/>
      <color theme="1"/>
      <name val="Calibri"/>
      <family val="2"/>
      <scheme val="minor"/>
    </font>
    <font>
      <sz val="10"/>
      <name val="Calibri"/>
      <family val="2"/>
    </font>
    <font>
      <b/>
      <sz val="18"/>
      <color indexed="8"/>
      <name val="Calibri"/>
      <family val="2"/>
    </font>
    <font>
      <b/>
      <sz val="9"/>
      <color theme="1"/>
      <name val="Calibri"/>
      <family val="2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2"/>
      <color theme="1"/>
      <name val="Verdana"/>
      <family val="2"/>
    </font>
    <font>
      <sz val="10"/>
      <color theme="1"/>
      <name val="Calibri"/>
      <family val="2"/>
    </font>
    <font>
      <sz val="10"/>
      <color rgb="FF000000"/>
      <name val="Arial"/>
      <family val="2"/>
    </font>
    <font>
      <b/>
      <sz val="24"/>
      <color rgb="FF333333"/>
      <name val="Arial"/>
      <family val="2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0"/>
      <color indexed="8"/>
      <name val="Arial"/>
      <family val="2"/>
    </font>
    <font>
      <sz val="11"/>
      <color theme="1"/>
      <name val="Arial"/>
      <family val="2"/>
    </font>
    <font>
      <b/>
      <sz val="16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sz val="16"/>
      <color rgb="FF000000"/>
      <name val="Arial"/>
      <family val="2"/>
    </font>
    <font>
      <b/>
      <sz val="18"/>
      <color indexed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7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0" fillId="0" borderId="0" applyNumberFormat="0" applyFill="0" applyBorder="0" applyAlignment="0" applyProtection="0"/>
    <xf numFmtId="0" fontId="14" fillId="0" borderId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7" fillId="0" borderId="0"/>
    <xf numFmtId="175" fontId="1" fillId="0" borderId="0" applyFont="0" applyFill="0" applyBorder="0" applyAlignment="0" applyProtection="0"/>
    <xf numFmtId="176" fontId="37" fillId="0" borderId="0" applyFont="0" applyFill="0" applyBorder="0" applyAlignment="0" applyProtection="0"/>
    <xf numFmtId="0" fontId="1" fillId="0" borderId="0"/>
    <xf numFmtId="178" fontId="37" fillId="0" borderId="0" applyFont="0" applyFill="0" applyBorder="0" applyAlignment="0" applyProtection="0"/>
    <xf numFmtId="0" fontId="37" fillId="0" borderId="0"/>
    <xf numFmtId="177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564">
    <xf numFmtId="0" fontId="0" fillId="0" borderId="0" xfId="0"/>
    <xf numFmtId="0" fontId="3" fillId="2" borderId="1" xfId="3" applyFont="1" applyFill="1" applyBorder="1" applyAlignment="1">
      <alignment horizontal="center" vertical="center"/>
    </xf>
    <xf numFmtId="0" fontId="4" fillId="3" borderId="1" xfId="3" applyFont="1" applyFill="1" applyBorder="1" applyAlignment="1">
      <alignment horizontal="center" vertical="center" wrapText="1"/>
    </xf>
    <xf numFmtId="0" fontId="5" fillId="4" borderId="1" xfId="3" applyFont="1" applyFill="1" applyBorder="1" applyAlignment="1">
      <alignment horizontal="center" vertical="center" wrapText="1"/>
    </xf>
    <xf numFmtId="0" fontId="6" fillId="0" borderId="0" xfId="3" applyFont="1" applyAlignment="1">
      <alignment vertical="center"/>
    </xf>
    <xf numFmtId="0" fontId="7" fillId="5" borderId="1" xfId="3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9" fillId="6" borderId="1" xfId="0" applyFont="1" applyFill="1" applyBorder="1" applyAlignment="1">
      <alignment vertical="center"/>
    </xf>
    <xf numFmtId="5" fontId="9" fillId="0" borderId="1" xfId="1" applyNumberFormat="1" applyFont="1" applyFill="1" applyBorder="1" applyAlignment="1">
      <alignment horizontal="left" vertical="center"/>
    </xf>
    <xf numFmtId="164" fontId="9" fillId="0" borderId="1" xfId="2" applyNumberFormat="1" applyFont="1" applyBorder="1" applyAlignment="1">
      <alignment horizontal="left" vertical="center"/>
    </xf>
    <xf numFmtId="165" fontId="9" fillId="6" borderId="1" xfId="2" applyNumberFormat="1" applyFont="1" applyFill="1" applyBorder="1" applyAlignment="1">
      <alignment horizontal="left" vertical="center"/>
    </xf>
    <xf numFmtId="166" fontId="9" fillId="6" borderId="1" xfId="2" applyNumberFormat="1" applyFont="1" applyFill="1" applyBorder="1" applyAlignment="1">
      <alignment horizontal="left" vertical="center"/>
    </xf>
    <xf numFmtId="0" fontId="11" fillId="0" borderId="0" xfId="0" applyFont="1" applyAlignment="1">
      <alignment horizontal="justify" vertical="center"/>
    </xf>
    <xf numFmtId="0" fontId="13" fillId="0" borderId="0" xfId="4" applyFont="1" applyAlignment="1">
      <alignment horizontal="justify" vertical="center" wrapText="1"/>
    </xf>
    <xf numFmtId="0" fontId="15" fillId="0" borderId="0" xfId="5" applyFont="1"/>
    <xf numFmtId="0" fontId="16" fillId="0" borderId="0" xfId="5" applyFont="1"/>
    <xf numFmtId="0" fontId="6" fillId="0" borderId="0" xfId="3" applyFont="1" applyAlignment="1">
      <alignment horizontal="center" vertical="center"/>
    </xf>
    <xf numFmtId="0" fontId="0" fillId="0" borderId="0" xfId="0" applyAlignment="1">
      <alignment horizontal="center"/>
    </xf>
    <xf numFmtId="0" fontId="21" fillId="0" borderId="0" xfId="3" applyFont="1" applyAlignment="1">
      <alignment vertical="center"/>
    </xf>
    <xf numFmtId="0" fontId="21" fillId="0" borderId="0" xfId="3" applyFont="1" applyAlignment="1">
      <alignment horizontal="center" vertical="center" wrapText="1"/>
    </xf>
    <xf numFmtId="167" fontId="21" fillId="0" borderId="0" xfId="3" applyNumberFormat="1" applyFont="1" applyAlignment="1">
      <alignment vertical="center"/>
    </xf>
    <xf numFmtId="0" fontId="18" fillId="8" borderId="1" xfId="3" applyFont="1" applyFill="1" applyBorder="1" applyAlignment="1">
      <alignment horizontal="center" vertical="center" wrapText="1"/>
    </xf>
    <xf numFmtId="0" fontId="18" fillId="8" borderId="1" xfId="3" applyFont="1" applyFill="1" applyBorder="1" applyAlignment="1">
      <alignment horizontal="center" vertical="center"/>
    </xf>
    <xf numFmtId="167" fontId="18" fillId="8" borderId="1" xfId="3" applyNumberFormat="1" applyFont="1" applyFill="1" applyBorder="1" applyAlignment="1">
      <alignment horizontal="center" vertical="center"/>
    </xf>
    <xf numFmtId="0" fontId="22" fillId="6" borderId="1" xfId="3" applyFont="1" applyFill="1" applyBorder="1" applyAlignment="1">
      <alignment horizontal="center" vertical="center" wrapText="1"/>
    </xf>
    <xf numFmtId="4" fontId="25" fillId="0" borderId="1" xfId="3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readingOrder="1"/>
    </xf>
    <xf numFmtId="167" fontId="26" fillId="0" borderId="1" xfId="0" applyNumberFormat="1" applyFont="1" applyBorder="1" applyAlignment="1">
      <alignment horizontal="center" vertical="center" readingOrder="1"/>
    </xf>
    <xf numFmtId="168" fontId="26" fillId="6" borderId="1" xfId="0" applyNumberFormat="1" applyFont="1" applyFill="1" applyBorder="1" applyAlignment="1">
      <alignment horizontal="center" vertical="center" readingOrder="1"/>
    </xf>
    <xf numFmtId="167" fontId="26" fillId="0" borderId="1" xfId="0" applyNumberFormat="1" applyFont="1" applyBorder="1" applyAlignment="1">
      <alignment horizontal="right" vertical="center" readingOrder="1"/>
    </xf>
    <xf numFmtId="0" fontId="24" fillId="0" borderId="1" xfId="0" applyFont="1" applyBorder="1" applyAlignment="1">
      <alignment horizontal="center" vertical="center"/>
    </xf>
    <xf numFmtId="9" fontId="26" fillId="0" borderId="1" xfId="2" applyFont="1" applyFill="1" applyBorder="1" applyAlignment="1">
      <alignment horizontal="center" vertical="center" readingOrder="1"/>
    </xf>
    <xf numFmtId="5" fontId="26" fillId="0" borderId="1" xfId="0" applyNumberFormat="1" applyFont="1" applyBorder="1" applyAlignment="1">
      <alignment horizontal="center" vertical="center" readingOrder="1"/>
    </xf>
    <xf numFmtId="0" fontId="27" fillId="0" borderId="0" xfId="0" applyFont="1" applyAlignment="1">
      <alignment vertical="center"/>
    </xf>
    <xf numFmtId="0" fontId="23" fillId="0" borderId="0" xfId="0" applyFont="1" applyAlignment="1">
      <alignment vertical="center" readingOrder="1"/>
    </xf>
    <xf numFmtId="169" fontId="23" fillId="0" borderId="0" xfId="0" applyNumberFormat="1" applyFont="1" applyAlignment="1">
      <alignment horizontal="left" vertical="center" readingOrder="1"/>
    </xf>
    <xf numFmtId="0" fontId="23" fillId="0" borderId="1" xfId="0" applyFont="1" applyBorder="1" applyAlignment="1">
      <alignment horizontal="center" vertical="center" readingOrder="1"/>
    </xf>
    <xf numFmtId="170" fontId="23" fillId="0" borderId="1" xfId="0" applyNumberFormat="1" applyFont="1" applyBorder="1" applyAlignment="1">
      <alignment horizontal="right" vertical="center" readingOrder="1"/>
    </xf>
    <xf numFmtId="0" fontId="23" fillId="0" borderId="0" xfId="0" applyFont="1" applyAlignment="1">
      <alignment horizontal="center" vertical="center" readingOrder="1"/>
    </xf>
    <xf numFmtId="170" fontId="23" fillId="0" borderId="0" xfId="0" applyNumberFormat="1" applyFont="1" applyAlignment="1">
      <alignment horizontal="right" vertical="center" readingOrder="1"/>
    </xf>
    <xf numFmtId="0" fontId="23" fillId="9" borderId="15" xfId="0" applyFont="1" applyFill="1" applyBorder="1" applyAlignment="1">
      <alignment horizontal="center" vertical="center" readingOrder="1"/>
    </xf>
    <xf numFmtId="0" fontId="23" fillId="9" borderId="16" xfId="0" applyFont="1" applyFill="1" applyBorder="1" applyAlignment="1">
      <alignment horizontal="center" vertical="center" readingOrder="1"/>
    </xf>
    <xf numFmtId="4" fontId="25" fillId="6" borderId="1" xfId="3" applyNumberFormat="1" applyFont="1" applyFill="1" applyBorder="1" applyAlignment="1">
      <alignment horizontal="left" vertical="center" wrapText="1"/>
    </xf>
    <xf numFmtId="0" fontId="26" fillId="0" borderId="15" xfId="0" applyFont="1" applyBorder="1" applyAlignment="1">
      <alignment horizontal="center" vertical="center" readingOrder="1"/>
    </xf>
    <xf numFmtId="171" fontId="26" fillId="6" borderId="16" xfId="0" applyNumberFormat="1" applyFont="1" applyFill="1" applyBorder="1" applyAlignment="1">
      <alignment horizontal="center" vertical="center" readingOrder="1"/>
    </xf>
    <xf numFmtId="9" fontId="26" fillId="6" borderId="16" xfId="2" applyFont="1" applyFill="1" applyBorder="1" applyAlignment="1">
      <alignment horizontal="center" vertical="center" readingOrder="1"/>
    </xf>
    <xf numFmtId="167" fontId="26" fillId="0" borderId="15" xfId="0" applyNumberFormat="1" applyFont="1" applyBorder="1" applyAlignment="1">
      <alignment horizontal="center" vertical="center" readingOrder="1"/>
    </xf>
    <xf numFmtId="0" fontId="23" fillId="0" borderId="17" xfId="0" applyFont="1" applyBorder="1" applyAlignment="1">
      <alignment vertical="center" readingOrder="1"/>
    </xf>
    <xf numFmtId="0" fontId="23" fillId="0" borderId="0" xfId="0" applyFont="1" applyAlignment="1">
      <alignment horizontal="right" vertical="center" readingOrder="1"/>
    </xf>
    <xf numFmtId="0" fontId="26" fillId="6" borderId="1" xfId="0" applyFont="1" applyFill="1" applyBorder="1" applyAlignment="1">
      <alignment horizontal="center" vertical="center" readingOrder="1"/>
    </xf>
    <xf numFmtId="4" fontId="26" fillId="0" borderId="16" xfId="0" applyNumberFormat="1" applyFont="1" applyBorder="1" applyAlignment="1">
      <alignment horizontal="center" vertical="center" readingOrder="1"/>
    </xf>
    <xf numFmtId="0" fontId="23" fillId="0" borderId="8" xfId="0" applyFont="1" applyBorder="1" applyAlignment="1">
      <alignment horizontal="left" vertical="center" readingOrder="1"/>
    </xf>
    <xf numFmtId="4" fontId="26" fillId="6" borderId="16" xfId="0" applyNumberFormat="1" applyFont="1" applyFill="1" applyBorder="1" applyAlignment="1">
      <alignment horizontal="center" vertical="center" readingOrder="1"/>
    </xf>
    <xf numFmtId="167" fontId="26" fillId="0" borderId="16" xfId="0" applyNumberFormat="1" applyFont="1" applyBorder="1" applyAlignment="1">
      <alignment horizontal="right" vertical="center" readingOrder="1"/>
    </xf>
    <xf numFmtId="171" fontId="26" fillId="0" borderId="1" xfId="0" applyNumberFormat="1" applyFont="1" applyBorder="1" applyAlignment="1">
      <alignment horizontal="center" vertical="center" readingOrder="1"/>
    </xf>
    <xf numFmtId="0" fontId="26" fillId="0" borderId="0" xfId="0" applyFont="1" applyAlignment="1">
      <alignment horizontal="center" vertical="center" readingOrder="1"/>
    </xf>
    <xf numFmtId="0" fontId="24" fillId="0" borderId="0" xfId="0" applyFont="1" applyAlignment="1">
      <alignment vertical="center"/>
    </xf>
    <xf numFmtId="171" fontId="26" fillId="6" borderId="1" xfId="0" applyNumberFormat="1" applyFont="1" applyFill="1" applyBorder="1" applyAlignment="1">
      <alignment horizontal="center" vertical="center" readingOrder="1"/>
    </xf>
    <xf numFmtId="0" fontId="23" fillId="0" borderId="6" xfId="0" applyFont="1" applyBorder="1" applyAlignment="1">
      <alignment horizontal="center" vertical="center" readingOrder="1"/>
    </xf>
    <xf numFmtId="167" fontId="23" fillId="10" borderId="1" xfId="0" applyNumberFormat="1" applyFont="1" applyFill="1" applyBorder="1" applyAlignment="1">
      <alignment horizontal="right" vertical="center" readingOrder="1"/>
    </xf>
    <xf numFmtId="170" fontId="23" fillId="9" borderId="1" xfId="0" applyNumberFormat="1" applyFont="1" applyFill="1" applyBorder="1" applyAlignment="1">
      <alignment horizontal="center" vertical="center" readingOrder="1"/>
    </xf>
    <xf numFmtId="10" fontId="26" fillId="0" borderId="1" xfId="0" applyNumberFormat="1" applyFont="1" applyBorder="1" applyAlignment="1">
      <alignment horizontal="right" vertical="center" readingOrder="1"/>
    </xf>
    <xf numFmtId="170" fontId="26" fillId="0" borderId="1" xfId="0" applyNumberFormat="1" applyFont="1" applyBorder="1" applyAlignment="1">
      <alignment horizontal="right" vertical="center" readingOrder="1"/>
    </xf>
    <xf numFmtId="10" fontId="23" fillId="10" borderId="1" xfId="0" applyNumberFormat="1" applyFont="1" applyFill="1" applyBorder="1" applyAlignment="1">
      <alignment horizontal="right" vertical="center" readingOrder="1"/>
    </xf>
    <xf numFmtId="170" fontId="23" fillId="10" borderId="1" xfId="0" applyNumberFormat="1" applyFont="1" applyFill="1" applyBorder="1" applyAlignment="1">
      <alignment horizontal="right" vertical="center" readingOrder="1"/>
    </xf>
    <xf numFmtId="170" fontId="26" fillId="0" borderId="0" xfId="0" applyNumberFormat="1" applyFont="1" applyAlignment="1">
      <alignment horizontal="right" vertical="center" readingOrder="1"/>
    </xf>
    <xf numFmtId="170" fontId="23" fillId="7" borderId="1" xfId="0" applyNumberFormat="1" applyFont="1" applyFill="1" applyBorder="1" applyAlignment="1">
      <alignment horizontal="right" vertical="center" readingOrder="1"/>
    </xf>
    <xf numFmtId="0" fontId="21" fillId="0" borderId="13" xfId="3" applyFont="1" applyBorder="1" applyAlignment="1">
      <alignment vertical="center"/>
    </xf>
    <xf numFmtId="0" fontId="6" fillId="0" borderId="0" xfId="3" applyFont="1" applyAlignment="1">
      <alignment vertical="center" wrapText="1"/>
    </xf>
    <xf numFmtId="0" fontId="6" fillId="0" borderId="0" xfId="3" applyFont="1" applyAlignment="1">
      <alignment horizontal="center" vertical="center" wrapText="1"/>
    </xf>
    <xf numFmtId="167" fontId="6" fillId="0" borderId="0" xfId="3" applyNumberFormat="1" applyFont="1" applyAlignment="1">
      <alignment vertical="center"/>
    </xf>
    <xf numFmtId="0" fontId="18" fillId="11" borderId="1" xfId="3" applyFont="1" applyFill="1" applyBorder="1" applyAlignment="1">
      <alignment horizontal="center" vertical="center" wrapText="1"/>
    </xf>
    <xf numFmtId="167" fontId="18" fillId="11" borderId="1" xfId="3" applyNumberFormat="1" applyFont="1" applyFill="1" applyBorder="1" applyAlignment="1">
      <alignment horizontal="center" vertical="center" wrapText="1"/>
    </xf>
    <xf numFmtId="4" fontId="28" fillId="0" borderId="1" xfId="3" applyNumberFormat="1" applyFont="1" applyBorder="1" applyAlignment="1">
      <alignment horizontal="center" vertical="center" wrapText="1"/>
    </xf>
    <xf numFmtId="4" fontId="28" fillId="0" borderId="1" xfId="3" applyNumberFormat="1" applyFont="1" applyBorder="1" applyAlignment="1">
      <alignment horizontal="left" vertical="center" wrapText="1"/>
    </xf>
    <xf numFmtId="9" fontId="28" fillId="6" borderId="1" xfId="2" applyFont="1" applyFill="1" applyBorder="1" applyAlignment="1">
      <alignment horizontal="center" vertical="center"/>
    </xf>
    <xf numFmtId="4" fontId="28" fillId="6" borderId="1" xfId="3" applyNumberFormat="1" applyFont="1" applyFill="1" applyBorder="1" applyAlignment="1">
      <alignment horizontal="left" vertical="center" wrapText="1"/>
    </xf>
    <xf numFmtId="4" fontId="28" fillId="6" borderId="1" xfId="3" applyNumberFormat="1" applyFont="1" applyFill="1" applyBorder="1" applyAlignment="1">
      <alignment horizontal="center" vertical="center" wrapText="1"/>
    </xf>
    <xf numFmtId="167" fontId="28" fillId="6" borderId="1" xfId="3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8" fillId="7" borderId="1" xfId="3" applyFont="1" applyFill="1" applyBorder="1" applyAlignment="1">
      <alignment horizontal="center" vertical="center"/>
    </xf>
    <xf numFmtId="0" fontId="22" fillId="0" borderId="1" xfId="3" applyFont="1" applyBorder="1" applyAlignment="1">
      <alignment horizontal="center" vertical="center" wrapText="1"/>
    </xf>
    <xf numFmtId="0" fontId="7" fillId="11" borderId="1" xfId="3" applyFont="1" applyFill="1" applyBorder="1" applyAlignment="1">
      <alignment horizontal="center" vertical="center" wrapText="1"/>
    </xf>
    <xf numFmtId="167" fontId="7" fillId="11" borderId="1" xfId="3" applyNumberFormat="1" applyFont="1" applyFill="1" applyBorder="1" applyAlignment="1">
      <alignment horizontal="center" vertical="center" wrapText="1"/>
    </xf>
    <xf numFmtId="4" fontId="28" fillId="0" borderId="1" xfId="3" applyNumberFormat="1" applyFont="1" applyBorder="1" applyAlignment="1">
      <alignment horizontal="center" vertical="center"/>
    </xf>
    <xf numFmtId="167" fontId="28" fillId="0" borderId="1" xfId="3" applyNumberFormat="1" applyFont="1" applyBorder="1" applyAlignment="1">
      <alignment horizontal="center" vertical="center"/>
    </xf>
    <xf numFmtId="4" fontId="28" fillId="6" borderId="1" xfId="3" applyNumberFormat="1" applyFont="1" applyFill="1" applyBorder="1" applyAlignment="1">
      <alignment horizontal="center" vertical="center"/>
    </xf>
    <xf numFmtId="4" fontId="28" fillId="6" borderId="3" xfId="3" applyNumberFormat="1" applyFont="1" applyFill="1" applyBorder="1" applyAlignment="1">
      <alignment horizontal="left" vertical="center" wrapText="1"/>
    </xf>
    <xf numFmtId="4" fontId="29" fillId="0" borderId="2" xfId="3" applyNumberFormat="1" applyFont="1" applyBorder="1" applyAlignment="1">
      <alignment vertical="center" wrapText="1"/>
    </xf>
    <xf numFmtId="4" fontId="29" fillId="0" borderId="3" xfId="3" applyNumberFormat="1" applyFont="1" applyBorder="1" applyAlignment="1">
      <alignment vertical="center" wrapText="1"/>
    </xf>
    <xf numFmtId="4" fontId="29" fillId="0" borderId="4" xfId="3" applyNumberFormat="1" applyFont="1" applyBorder="1" applyAlignment="1">
      <alignment vertical="center" wrapText="1"/>
    </xf>
    <xf numFmtId="4" fontId="31" fillId="0" borderId="1" xfId="3" applyNumberFormat="1" applyFont="1" applyBorder="1" applyAlignment="1">
      <alignment horizontal="center" vertical="center" wrapText="1"/>
    </xf>
    <xf numFmtId="4" fontId="31" fillId="0" borderId="1" xfId="3" applyNumberFormat="1" applyFont="1" applyBorder="1" applyAlignment="1">
      <alignment horizontal="center" vertical="center"/>
    </xf>
    <xf numFmtId="167" fontId="31" fillId="6" borderId="1" xfId="3" applyNumberFormat="1" applyFont="1" applyFill="1" applyBorder="1" applyAlignment="1">
      <alignment horizontal="center" vertical="center"/>
    </xf>
    <xf numFmtId="0" fontId="6" fillId="6" borderId="1" xfId="3" applyFont="1" applyFill="1" applyBorder="1" applyAlignment="1">
      <alignment horizontal="left" vertical="center" wrapText="1"/>
    </xf>
    <xf numFmtId="0" fontId="6" fillId="6" borderId="1" xfId="3" applyFont="1" applyFill="1" applyBorder="1" applyAlignment="1">
      <alignment horizontal="center" vertical="center" wrapText="1"/>
    </xf>
    <xf numFmtId="4" fontId="6" fillId="0" borderId="0" xfId="3" applyNumberFormat="1" applyFont="1" applyAlignment="1">
      <alignment horizontal="center" vertical="center"/>
    </xf>
    <xf numFmtId="4" fontId="6" fillId="0" borderId="0" xfId="3" applyNumberFormat="1" applyFont="1" applyAlignment="1">
      <alignment vertical="center"/>
    </xf>
    <xf numFmtId="4" fontId="7" fillId="11" borderId="1" xfId="3" applyNumberFormat="1" applyFont="1" applyFill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0" fontId="6" fillId="0" borderId="0" xfId="3" applyFont="1" applyAlignment="1">
      <alignment horizontal="left" vertical="center"/>
    </xf>
    <xf numFmtId="0" fontId="29" fillId="7" borderId="1" xfId="3" applyFont="1" applyFill="1" applyBorder="1" applyAlignment="1">
      <alignment horizontal="center" vertical="center" wrapText="1"/>
    </xf>
    <xf numFmtId="0" fontId="33" fillId="11" borderId="1" xfId="0" applyFont="1" applyFill="1" applyBorder="1" applyAlignment="1">
      <alignment horizontal="center" vertical="center"/>
    </xf>
    <xf numFmtId="0" fontId="33" fillId="8" borderId="1" xfId="0" applyFont="1" applyFill="1" applyBorder="1" applyAlignment="1">
      <alignment horizontal="center" vertical="center"/>
    </xf>
    <xf numFmtId="4" fontId="28" fillId="10" borderId="1" xfId="3" applyNumberFormat="1" applyFont="1" applyFill="1" applyBorder="1" applyAlignment="1">
      <alignment vertical="center" wrapText="1"/>
    </xf>
    <xf numFmtId="4" fontId="28" fillId="0" borderId="1" xfId="3" applyNumberFormat="1" applyFont="1" applyBorder="1" applyAlignment="1">
      <alignment horizontal="left" vertical="center"/>
    </xf>
    <xf numFmtId="4" fontId="22" fillId="0" borderId="1" xfId="3" applyNumberFormat="1" applyFont="1" applyBorder="1" applyAlignment="1">
      <alignment vertical="center" wrapText="1"/>
    </xf>
    <xf numFmtId="4" fontId="29" fillId="0" borderId="1" xfId="3" applyNumberFormat="1" applyFont="1" applyBorder="1" applyAlignment="1">
      <alignment vertical="center"/>
    </xf>
    <xf numFmtId="0" fontId="18" fillId="10" borderId="1" xfId="3" applyFont="1" applyFill="1" applyBorder="1" applyAlignment="1">
      <alignment vertical="center" wrapText="1"/>
    </xf>
    <xf numFmtId="0" fontId="29" fillId="7" borderId="1" xfId="3" applyFont="1" applyFill="1" applyBorder="1" applyAlignment="1">
      <alignment horizontal="center" vertical="center"/>
    </xf>
    <xf numFmtId="4" fontId="29" fillId="6" borderId="1" xfId="3" applyNumberFormat="1" applyFont="1" applyFill="1" applyBorder="1" applyAlignment="1">
      <alignment horizontal="center" vertical="center"/>
    </xf>
    <xf numFmtId="4" fontId="22" fillId="6" borderId="1" xfId="3" applyNumberFormat="1" applyFont="1" applyFill="1" applyBorder="1" applyAlignment="1">
      <alignment horizontal="center" vertical="center"/>
    </xf>
    <xf numFmtId="44" fontId="6" fillId="0" borderId="0" xfId="6" applyFont="1" applyAlignment="1">
      <alignment horizontal="left" vertical="center"/>
    </xf>
    <xf numFmtId="44" fontId="29" fillId="7" borderId="1" xfId="6" applyFont="1" applyFill="1" applyBorder="1" applyAlignment="1">
      <alignment horizontal="center" vertical="center"/>
    </xf>
    <xf numFmtId="44" fontId="18" fillId="11" borderId="1" xfId="6" applyFont="1" applyFill="1" applyBorder="1" applyAlignment="1">
      <alignment horizontal="center" vertical="center" wrapText="1"/>
    </xf>
    <xf numFmtId="44" fontId="18" fillId="8" borderId="1" xfId="6" applyFont="1" applyFill="1" applyBorder="1" applyAlignment="1">
      <alignment horizontal="center" vertical="center" wrapText="1"/>
    </xf>
    <xf numFmtId="44" fontId="28" fillId="6" borderId="1" xfId="6" applyFont="1" applyFill="1" applyBorder="1" applyAlignment="1">
      <alignment horizontal="center" vertical="center"/>
    </xf>
    <xf numFmtId="44" fontId="0" fillId="0" borderId="0" xfId="6" applyFont="1"/>
    <xf numFmtId="0" fontId="23" fillId="0" borderId="0" xfId="0" applyFont="1" applyAlignment="1">
      <alignment horizontal="left" vertical="center" readingOrder="1"/>
    </xf>
    <xf numFmtId="0" fontId="23" fillId="9" borderId="1" xfId="0" applyFont="1" applyFill="1" applyBorder="1" applyAlignment="1">
      <alignment horizontal="center" vertical="center" readingOrder="1"/>
    </xf>
    <xf numFmtId="0" fontId="26" fillId="0" borderId="0" xfId="0" applyFont="1" applyAlignment="1">
      <alignment horizontal="left" vertical="center" readingOrder="1"/>
    </xf>
    <xf numFmtId="0" fontId="0" fillId="0" borderId="1" xfId="0" applyBorder="1" applyAlignment="1">
      <alignment horizontal="center"/>
    </xf>
    <xf numFmtId="44" fontId="0" fillId="0" borderId="1" xfId="6" applyFont="1" applyBorder="1" applyAlignment="1">
      <alignment horizontal="center"/>
    </xf>
    <xf numFmtId="44" fontId="0" fillId="0" borderId="1" xfId="6" applyFont="1" applyBorder="1"/>
    <xf numFmtId="0" fontId="34" fillId="0" borderId="1" xfId="0" applyFont="1" applyBorder="1" applyAlignment="1">
      <alignment horizontal="center"/>
    </xf>
    <xf numFmtId="44" fontId="34" fillId="0" borderId="1" xfId="6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44" fontId="30" fillId="0" borderId="1" xfId="6" applyFont="1" applyBorder="1" applyAlignment="1">
      <alignment horizontal="center"/>
    </xf>
    <xf numFmtId="44" fontId="30" fillId="0" borderId="1" xfId="0" applyNumberFormat="1" applyFont="1" applyBorder="1"/>
    <xf numFmtId="44" fontId="30" fillId="0" borderId="1" xfId="6" applyFont="1" applyBorder="1"/>
    <xf numFmtId="4" fontId="29" fillId="10" borderId="1" xfId="3" applyNumberFormat="1" applyFont="1" applyFill="1" applyBorder="1" applyAlignment="1">
      <alignment horizontal="center" vertical="center"/>
    </xf>
    <xf numFmtId="0" fontId="18" fillId="10" borderId="1" xfId="3" applyFont="1" applyFill="1" applyBorder="1" applyAlignment="1">
      <alignment horizontal="center" vertical="center"/>
    </xf>
    <xf numFmtId="167" fontId="28" fillId="0" borderId="1" xfId="3" applyNumberFormat="1" applyFont="1" applyBorder="1" applyAlignment="1">
      <alignment horizontal="right" vertical="center" wrapText="1"/>
    </xf>
    <xf numFmtId="167" fontId="22" fillId="0" borderId="1" xfId="7" applyNumberFormat="1" applyFont="1" applyFill="1" applyBorder="1" applyAlignment="1">
      <alignment horizontal="right" vertical="center"/>
    </xf>
    <xf numFmtId="0" fontId="18" fillId="11" borderId="1" xfId="3" applyFont="1" applyFill="1" applyBorder="1" applyAlignment="1">
      <alignment horizontal="left" vertical="center" wrapText="1"/>
    </xf>
    <xf numFmtId="4" fontId="18" fillId="11" borderId="1" xfId="3" applyNumberFormat="1" applyFont="1" applyFill="1" applyBorder="1" applyAlignment="1">
      <alignment horizontal="center" vertical="center" wrapText="1"/>
    </xf>
    <xf numFmtId="167" fontId="18" fillId="11" borderId="1" xfId="3" applyNumberFormat="1" applyFont="1" applyFill="1" applyBorder="1" applyAlignment="1">
      <alignment horizontal="right" vertical="center" wrapText="1"/>
    </xf>
    <xf numFmtId="167" fontId="18" fillId="11" borderId="1" xfId="3" applyNumberFormat="1" applyFont="1" applyFill="1" applyBorder="1" applyAlignment="1">
      <alignment horizontal="right" vertical="center"/>
    </xf>
    <xf numFmtId="0" fontId="22" fillId="0" borderId="0" xfId="3" applyFont="1" applyAlignment="1">
      <alignment vertical="center"/>
    </xf>
    <xf numFmtId="14" fontId="0" fillId="0" borderId="0" xfId="0" applyNumberFormat="1"/>
    <xf numFmtId="44" fontId="2" fillId="0" borderId="1" xfId="6" applyFont="1" applyBorder="1"/>
    <xf numFmtId="2" fontId="2" fillId="0" borderId="1" xfId="6" applyNumberFormat="1" applyFont="1" applyBorder="1" applyAlignment="1">
      <alignment horizontal="center"/>
    </xf>
    <xf numFmtId="4" fontId="6" fillId="0" borderId="1" xfId="3" applyNumberFormat="1" applyFont="1" applyBorder="1" applyAlignment="1">
      <alignment horizontal="center" vertical="center" wrapText="1"/>
    </xf>
    <xf numFmtId="44" fontId="6" fillId="0" borderId="0" xfId="6" applyFont="1" applyAlignment="1">
      <alignment horizontal="center" vertical="center"/>
    </xf>
    <xf numFmtId="44" fontId="6" fillId="0" borderId="0" xfId="6" applyFont="1" applyAlignment="1">
      <alignment vertical="center"/>
    </xf>
    <xf numFmtId="44" fontId="7" fillId="11" borderId="1" xfId="6" applyFont="1" applyFill="1" applyBorder="1" applyAlignment="1">
      <alignment horizontal="center" vertical="center" wrapText="1"/>
    </xf>
    <xf numFmtId="4" fontId="31" fillId="0" borderId="2" xfId="3" applyNumberFormat="1" applyFont="1" applyBorder="1" applyAlignment="1">
      <alignment horizontal="center" vertical="center" wrapText="1"/>
    </xf>
    <xf numFmtId="4" fontId="31" fillId="6" borderId="1" xfId="3" applyNumberFormat="1" applyFont="1" applyFill="1" applyBorder="1" applyAlignment="1">
      <alignment horizontal="left" vertical="center"/>
    </xf>
    <xf numFmtId="4" fontId="31" fillId="6" borderId="1" xfId="3" applyNumberFormat="1" applyFont="1" applyFill="1" applyBorder="1" applyAlignment="1">
      <alignment horizontal="center" vertical="center"/>
    </xf>
    <xf numFmtId="167" fontId="31" fillId="0" borderId="1" xfId="3" applyNumberFormat="1" applyFont="1" applyBorder="1" applyAlignment="1">
      <alignment horizontal="center" vertical="center"/>
    </xf>
    <xf numFmtId="0" fontId="6" fillId="0" borderId="1" xfId="3" applyFont="1" applyBorder="1" applyAlignment="1">
      <alignment vertical="center" wrapText="1"/>
    </xf>
    <xf numFmtId="0" fontId="6" fillId="0" borderId="1" xfId="3" applyFont="1" applyBorder="1" applyAlignment="1">
      <alignment vertical="center"/>
    </xf>
    <xf numFmtId="44" fontId="22" fillId="0" borderId="1" xfId="6" applyFont="1" applyBorder="1" applyAlignment="1">
      <alignment vertical="center" wrapText="1"/>
    </xf>
    <xf numFmtId="167" fontId="18" fillId="7" borderId="1" xfId="3" applyNumberFormat="1" applyFont="1" applyFill="1" applyBorder="1" applyAlignment="1">
      <alignment horizontal="right" vertical="center"/>
    </xf>
    <xf numFmtId="0" fontId="18" fillId="8" borderId="1" xfId="3" applyFont="1" applyFill="1" applyBorder="1" applyAlignment="1">
      <alignment vertical="center"/>
    </xf>
    <xf numFmtId="167" fontId="18" fillId="8" borderId="1" xfId="3" applyNumberFormat="1" applyFont="1" applyFill="1" applyBorder="1" applyAlignment="1">
      <alignment horizontal="right" vertical="center"/>
    </xf>
    <xf numFmtId="0" fontId="30" fillId="0" borderId="0" xfId="0" applyFont="1"/>
    <xf numFmtId="44" fontId="18" fillId="7" borderId="1" xfId="6" applyFont="1" applyFill="1" applyBorder="1" applyAlignment="1">
      <alignment horizontal="center" vertical="center"/>
    </xf>
    <xf numFmtId="44" fontId="18" fillId="8" borderId="1" xfId="6" applyFont="1" applyFill="1" applyBorder="1" applyAlignment="1">
      <alignment vertical="center"/>
    </xf>
    <xf numFmtId="0" fontId="30" fillId="0" borderId="1" xfId="0" applyFont="1" applyBorder="1"/>
    <xf numFmtId="0" fontId="30" fillId="6" borderId="1" xfId="0" applyFont="1" applyFill="1" applyBorder="1"/>
    <xf numFmtId="44" fontId="30" fillId="0" borderId="0" xfId="6" applyFont="1"/>
    <xf numFmtId="44" fontId="28" fillId="0" borderId="1" xfId="6" applyFont="1" applyBorder="1" applyAlignment="1">
      <alignment horizontal="center" vertical="center"/>
    </xf>
    <xf numFmtId="44" fontId="30" fillId="6" borderId="1" xfId="6" applyFont="1" applyFill="1" applyBorder="1"/>
    <xf numFmtId="2" fontId="30" fillId="0" borderId="1" xfId="0" applyNumberFormat="1" applyFont="1" applyBorder="1" applyAlignment="1">
      <alignment horizontal="center"/>
    </xf>
    <xf numFmtId="9" fontId="30" fillId="6" borderId="1" xfId="2" applyFont="1" applyFill="1" applyBorder="1" applyAlignment="1">
      <alignment horizontal="center"/>
    </xf>
    <xf numFmtId="0" fontId="30" fillId="6" borderId="1" xfId="0" applyFont="1" applyFill="1" applyBorder="1" applyAlignment="1">
      <alignment horizontal="center"/>
    </xf>
    <xf numFmtId="0" fontId="30" fillId="12" borderId="1" xfId="0" applyFont="1" applyFill="1" applyBorder="1" applyAlignment="1">
      <alignment horizontal="center"/>
    </xf>
    <xf numFmtId="0" fontId="30" fillId="0" borderId="1" xfId="0" applyFont="1" applyBorder="1" applyAlignment="1">
      <alignment horizontal="center" vertical="center"/>
    </xf>
    <xf numFmtId="0" fontId="30" fillId="6" borderId="1" xfId="0" applyFont="1" applyFill="1" applyBorder="1" applyAlignment="1">
      <alignment horizontal="center" vertical="center"/>
    </xf>
    <xf numFmtId="44" fontId="30" fillId="0" borderId="1" xfId="6" applyFont="1" applyBorder="1" applyAlignment="1">
      <alignment vertical="center"/>
    </xf>
    <xf numFmtId="0" fontId="30" fillId="6" borderId="1" xfId="0" applyFont="1" applyFill="1" applyBorder="1" applyAlignment="1">
      <alignment wrapText="1"/>
    </xf>
    <xf numFmtId="0" fontId="30" fillId="0" borderId="1" xfId="0" applyFont="1" applyBorder="1" applyAlignment="1">
      <alignment vertical="center"/>
    </xf>
    <xf numFmtId="167" fontId="29" fillId="0" borderId="2" xfId="3" applyNumberFormat="1" applyFont="1" applyBorder="1" applyAlignment="1">
      <alignment vertical="center" wrapText="1"/>
    </xf>
    <xf numFmtId="167" fontId="29" fillId="0" borderId="3" xfId="3" applyNumberFormat="1" applyFont="1" applyBorder="1" applyAlignment="1">
      <alignment vertical="center" wrapText="1"/>
    </xf>
    <xf numFmtId="167" fontId="29" fillId="0" borderId="4" xfId="3" applyNumberFormat="1" applyFont="1" applyBorder="1" applyAlignment="1">
      <alignment vertical="center" wrapText="1"/>
    </xf>
    <xf numFmtId="9" fontId="30" fillId="0" borderId="1" xfId="2" applyFont="1" applyBorder="1" applyAlignment="1">
      <alignment horizontal="center"/>
    </xf>
    <xf numFmtId="0" fontId="34" fillId="0" borderId="0" xfId="0" applyFont="1"/>
    <xf numFmtId="44" fontId="0" fillId="0" borderId="1" xfId="6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44" fontId="0" fillId="0" borderId="1" xfId="0" applyNumberFormat="1" applyBorder="1" applyAlignment="1">
      <alignment horizontal="center" vertical="center"/>
    </xf>
    <xf numFmtId="44" fontId="0" fillId="0" borderId="0" xfId="6" applyFont="1" applyAlignment="1">
      <alignment horizontal="center" vertical="center"/>
    </xf>
    <xf numFmtId="9" fontId="2" fillId="0" borderId="1" xfId="6" applyNumberFormat="1" applyFont="1" applyBorder="1" applyAlignment="1">
      <alignment horizontal="center" vertical="center"/>
    </xf>
    <xf numFmtId="0" fontId="20" fillId="0" borderId="0" xfId="3" applyFont="1" applyAlignment="1">
      <alignment horizontal="center" vertical="center"/>
    </xf>
    <xf numFmtId="0" fontId="7" fillId="0" borderId="1" xfId="3" applyFont="1" applyBorder="1" applyAlignment="1">
      <alignment horizontal="left" vertical="center" wrapText="1"/>
    </xf>
    <xf numFmtId="167" fontId="6" fillId="0" borderId="1" xfId="3" applyNumberFormat="1" applyFont="1" applyBorder="1" applyAlignment="1">
      <alignment horizontal="center" vertical="center" wrapText="1"/>
    </xf>
    <xf numFmtId="165" fontId="9" fillId="0" borderId="1" xfId="2" applyNumberFormat="1" applyFont="1" applyFill="1" applyBorder="1" applyAlignment="1">
      <alignment horizontal="center" vertical="center"/>
    </xf>
    <xf numFmtId="10" fontId="6" fillId="6" borderId="1" xfId="2" applyNumberFormat="1" applyFont="1" applyFill="1" applyBorder="1" applyAlignment="1">
      <alignment horizontal="center" vertical="center" wrapText="1"/>
    </xf>
    <xf numFmtId="0" fontId="7" fillId="0" borderId="1" xfId="3" applyFont="1" applyBorder="1" applyAlignment="1">
      <alignment horizontal="justify" vertical="center" wrapText="1"/>
    </xf>
    <xf numFmtId="0" fontId="7" fillId="10" borderId="1" xfId="3" applyFont="1" applyFill="1" applyBorder="1" applyAlignment="1">
      <alignment horizontal="justify" vertical="center" wrapText="1"/>
    </xf>
    <xf numFmtId="0" fontId="7" fillId="0" borderId="1" xfId="3" applyFont="1" applyBorder="1" applyAlignment="1">
      <alignment horizontal="center" vertical="center" wrapText="1"/>
    </xf>
    <xf numFmtId="9" fontId="6" fillId="6" borderId="1" xfId="3" applyNumberFormat="1" applyFont="1" applyFill="1" applyBorder="1" applyAlignment="1">
      <alignment horizontal="center" vertical="center" wrapText="1"/>
    </xf>
    <xf numFmtId="10" fontId="6" fillId="0" borderId="1" xfId="2" applyNumberFormat="1" applyFont="1" applyBorder="1" applyAlignment="1">
      <alignment horizontal="center" vertical="center"/>
    </xf>
    <xf numFmtId="0" fontId="7" fillId="10" borderId="1" xfId="3" applyFont="1" applyFill="1" applyBorder="1" applyAlignment="1">
      <alignment horizontal="center" vertical="center" wrapText="1"/>
    </xf>
    <xf numFmtId="0" fontId="7" fillId="10" borderId="1" xfId="3" applyFont="1" applyFill="1" applyBorder="1" applyAlignment="1">
      <alignment horizontal="center" vertical="center"/>
    </xf>
    <xf numFmtId="167" fontId="7" fillId="10" borderId="1" xfId="3" applyNumberFormat="1" applyFont="1" applyFill="1" applyBorder="1" applyAlignment="1">
      <alignment horizontal="center" vertical="center"/>
    </xf>
    <xf numFmtId="167" fontId="0" fillId="0" borderId="1" xfId="0" applyNumberFormat="1" applyBorder="1"/>
    <xf numFmtId="5" fontId="0" fillId="0" borderId="1" xfId="0" applyNumberFormat="1" applyBorder="1"/>
    <xf numFmtId="165" fontId="0" fillId="0" borderId="1" xfId="0" applyNumberFormat="1" applyBorder="1"/>
    <xf numFmtId="10" fontId="6" fillId="0" borderId="1" xfId="2" applyNumberFormat="1" applyFont="1" applyFill="1" applyBorder="1" applyAlignment="1">
      <alignment horizontal="center" vertical="center"/>
    </xf>
    <xf numFmtId="174" fontId="30" fillId="0" borderId="1" xfId="6" applyNumberFormat="1" applyFont="1" applyBorder="1"/>
    <xf numFmtId="174" fontId="30" fillId="0" borderId="1" xfId="0" applyNumberFormat="1" applyFont="1" applyBorder="1"/>
    <xf numFmtId="174" fontId="30" fillId="0" borderId="1" xfId="6" applyNumberFormat="1" applyFont="1" applyBorder="1" applyAlignment="1">
      <alignment horizontal="center"/>
    </xf>
    <xf numFmtId="174" fontId="2" fillId="0" borderId="1" xfId="0" applyNumberFormat="1" applyFont="1" applyBorder="1" applyAlignment="1">
      <alignment horizontal="center" vertical="center"/>
    </xf>
    <xf numFmtId="174" fontId="2" fillId="0" borderId="1" xfId="6" applyNumberFormat="1" applyFont="1" applyBorder="1" applyAlignment="1">
      <alignment horizontal="center" vertical="center"/>
    </xf>
    <xf numFmtId="0" fontId="22" fillId="0" borderId="1" xfId="3" applyFont="1" applyBorder="1" applyAlignment="1">
      <alignment horizontal="center" vertical="center"/>
    </xf>
    <xf numFmtId="167" fontId="0" fillId="0" borderId="0" xfId="0" applyNumberFormat="1"/>
    <xf numFmtId="44" fontId="0" fillId="0" borderId="0" xfId="0" applyNumberFormat="1"/>
    <xf numFmtId="0" fontId="2" fillId="12" borderId="1" xfId="0" applyFont="1" applyFill="1" applyBorder="1" applyAlignment="1">
      <alignment horizontal="center"/>
    </xf>
    <xf numFmtId="170" fontId="23" fillId="0" borderId="6" xfId="0" applyNumberFormat="1" applyFont="1" applyBorder="1" applyAlignment="1">
      <alignment horizontal="right" vertical="center" readingOrder="1"/>
    </xf>
    <xf numFmtId="0" fontId="36" fillId="0" borderId="0" xfId="0" applyFont="1"/>
    <xf numFmtId="10" fontId="2" fillId="0" borderId="1" xfId="6" applyNumberFormat="1" applyFont="1" applyBorder="1" applyAlignment="1">
      <alignment horizontal="center" vertical="center"/>
    </xf>
    <xf numFmtId="0" fontId="34" fillId="8" borderId="1" xfId="0" applyFont="1" applyFill="1" applyBorder="1" applyAlignment="1">
      <alignment horizontal="center"/>
    </xf>
    <xf numFmtId="4" fontId="22" fillId="0" borderId="1" xfId="3" applyNumberFormat="1" applyFont="1" applyBorder="1" applyAlignment="1">
      <alignment horizontal="center" vertical="center"/>
    </xf>
    <xf numFmtId="4" fontId="18" fillId="0" borderId="1" xfId="3" applyNumberFormat="1" applyFont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 applyAlignment="1">
      <alignment wrapText="1"/>
    </xf>
    <xf numFmtId="0" fontId="0" fillId="6" borderId="1" xfId="0" applyFill="1" applyBorder="1" applyAlignment="1">
      <alignment horizontal="center" vertical="center"/>
    </xf>
    <xf numFmtId="42" fontId="0" fillId="0" borderId="0" xfId="1" applyFont="1"/>
    <xf numFmtId="0" fontId="38" fillId="0" borderId="0" xfId="0" applyFont="1"/>
    <xf numFmtId="42" fontId="0" fillId="0" borderId="0" xfId="1" applyFont="1" applyAlignment="1">
      <alignment vertical="center"/>
    </xf>
    <xf numFmtId="174" fontId="0" fillId="0" borderId="0" xfId="0" applyNumberFormat="1"/>
    <xf numFmtId="174" fontId="0" fillId="0" borderId="0" xfId="0" applyNumberFormat="1" applyAlignment="1">
      <alignment vertical="center"/>
    </xf>
    <xf numFmtId="174" fontId="0" fillId="0" borderId="0" xfId="1" applyNumberFormat="1" applyFont="1"/>
    <xf numFmtId="0" fontId="9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vertical="center" wrapText="1"/>
    </xf>
    <xf numFmtId="0" fontId="2" fillId="0" borderId="0" xfId="0" applyFont="1"/>
    <xf numFmtId="174" fontId="0" fillId="0" borderId="1" xfId="6" applyNumberFormat="1" applyFont="1" applyFill="1" applyBorder="1"/>
    <xf numFmtId="174" fontId="0" fillId="0" borderId="1" xfId="6" applyNumberFormat="1" applyFont="1" applyBorder="1"/>
    <xf numFmtId="10" fontId="30" fillId="0" borderId="1" xfId="2" applyNumberFormat="1" applyFont="1" applyBorder="1" applyAlignment="1">
      <alignment horizontal="center"/>
    </xf>
    <xf numFmtId="10" fontId="30" fillId="6" borderId="1" xfId="2" applyNumberFormat="1" applyFont="1" applyFill="1" applyBorder="1" applyAlignment="1">
      <alignment horizontal="center"/>
    </xf>
    <xf numFmtId="4" fontId="39" fillId="0" borderId="1" xfId="3" applyNumberFormat="1" applyFont="1" applyBorder="1" applyAlignment="1">
      <alignment horizontal="center" vertical="center" wrapText="1"/>
    </xf>
    <xf numFmtId="4" fontId="39" fillId="0" borderId="1" xfId="3" applyNumberFormat="1" applyFont="1" applyBorder="1" applyAlignment="1">
      <alignment horizontal="left" vertical="center"/>
    </xf>
    <xf numFmtId="4" fontId="39" fillId="0" borderId="1" xfId="3" applyNumberFormat="1" applyFont="1" applyBorder="1" applyAlignment="1">
      <alignment horizontal="center" vertical="center"/>
    </xf>
    <xf numFmtId="167" fontId="39" fillId="6" borderId="1" xfId="3" applyNumberFormat="1" applyFont="1" applyFill="1" applyBorder="1" applyAlignment="1">
      <alignment horizontal="center" vertical="center"/>
    </xf>
    <xf numFmtId="4" fontId="39" fillId="0" borderId="1" xfId="3" applyNumberFormat="1" applyFont="1" applyBorder="1" applyAlignment="1">
      <alignment horizontal="left" vertical="center" wrapText="1"/>
    </xf>
    <xf numFmtId="167" fontId="39" fillId="0" borderId="1" xfId="3" applyNumberFormat="1" applyFont="1" applyBorder="1" applyAlignment="1">
      <alignment horizontal="center" vertical="center"/>
    </xf>
    <xf numFmtId="0" fontId="39" fillId="12" borderId="1" xfId="3" applyFont="1" applyFill="1" applyBorder="1" applyAlignment="1">
      <alignment horizontal="left" vertical="center" wrapText="1"/>
    </xf>
    <xf numFmtId="0" fontId="40" fillId="0" borderId="1" xfId="0" applyFont="1" applyBorder="1" applyAlignment="1">
      <alignment vertical="center" wrapText="1"/>
    </xf>
    <xf numFmtId="0" fontId="0" fillId="6" borderId="1" xfId="0" applyFill="1" applyBorder="1" applyAlignment="1">
      <alignment horizontal="left" vertical="center"/>
    </xf>
    <xf numFmtId="1" fontId="0" fillId="0" borderId="0" xfId="1" applyNumberFormat="1" applyFont="1" applyAlignment="1">
      <alignment vertical="center"/>
    </xf>
    <xf numFmtId="10" fontId="0" fillId="0" borderId="0" xfId="1" applyNumberFormat="1" applyFont="1"/>
    <xf numFmtId="0" fontId="0" fillId="0" borderId="0" xfId="0" applyAlignment="1">
      <alignment horizontal="left" vertical="center"/>
    </xf>
    <xf numFmtId="0" fontId="20" fillId="0" borderId="0" xfId="3" applyFont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40" fillId="0" borderId="1" xfId="0" applyFont="1" applyBorder="1" applyAlignment="1">
      <alignment horizontal="left" vertical="center" wrapText="1"/>
    </xf>
    <xf numFmtId="174" fontId="28" fillId="6" borderId="1" xfId="3" applyNumberFormat="1" applyFont="1" applyFill="1" applyBorder="1" applyAlignment="1">
      <alignment horizontal="center" vertical="center"/>
    </xf>
    <xf numFmtId="0" fontId="41" fillId="0" borderId="0" xfId="0" applyFont="1" applyAlignment="1">
      <alignment horizontal="left" vertical="center" wrapText="1"/>
    </xf>
    <xf numFmtId="0" fontId="4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2" fillId="8" borderId="1" xfId="3" applyFont="1" applyFill="1" applyBorder="1" applyAlignment="1">
      <alignment horizontal="center" vertical="center" wrapText="1"/>
    </xf>
    <xf numFmtId="0" fontId="42" fillId="8" borderId="1" xfId="3" applyFont="1" applyFill="1" applyBorder="1" applyAlignment="1">
      <alignment horizontal="center" vertical="center"/>
    </xf>
    <xf numFmtId="167" fontId="42" fillId="8" borderId="1" xfId="3" applyNumberFormat="1" applyFont="1" applyFill="1" applyBorder="1" applyAlignment="1">
      <alignment horizontal="center" vertical="center"/>
    </xf>
    <xf numFmtId="0" fontId="43" fillId="6" borderId="1" xfId="3" applyFont="1" applyFill="1" applyBorder="1" applyAlignment="1">
      <alignment horizontal="center" vertical="center" wrapText="1"/>
    </xf>
    <xf numFmtId="0" fontId="43" fillId="0" borderId="1" xfId="3" applyFont="1" applyBorder="1" applyAlignment="1">
      <alignment horizontal="center" vertical="center" wrapText="1"/>
    </xf>
    <xf numFmtId="44" fontId="43" fillId="0" borderId="1" xfId="6" applyFont="1" applyBorder="1" applyAlignment="1">
      <alignment vertical="center" wrapText="1"/>
    </xf>
    <xf numFmtId="0" fontId="43" fillId="0" borderId="0" xfId="3" applyFont="1" applyAlignment="1">
      <alignment horizontal="center" vertical="center" wrapText="1"/>
    </xf>
    <xf numFmtId="0" fontId="43" fillId="0" borderId="0" xfId="3" applyFont="1" applyAlignment="1">
      <alignment vertical="center"/>
    </xf>
    <xf numFmtId="167" fontId="43" fillId="0" borderId="0" xfId="3" applyNumberFormat="1" applyFont="1" applyAlignment="1">
      <alignment vertical="center"/>
    </xf>
    <xf numFmtId="0" fontId="44" fillId="0" borderId="0" xfId="0" applyFont="1" applyAlignment="1">
      <alignment horizontal="left" vertical="center" readingOrder="1"/>
    </xf>
    <xf numFmtId="0" fontId="44" fillId="9" borderId="1" xfId="0" applyFont="1" applyFill="1" applyBorder="1" applyAlignment="1">
      <alignment horizontal="center" vertical="center" readingOrder="1"/>
    </xf>
    <xf numFmtId="4" fontId="45" fillId="0" borderId="1" xfId="3" applyNumberFormat="1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 readingOrder="1"/>
    </xf>
    <xf numFmtId="44" fontId="46" fillId="0" borderId="1" xfId="6" applyFont="1" applyBorder="1" applyAlignment="1">
      <alignment horizontal="center" vertical="center" readingOrder="1"/>
    </xf>
    <xf numFmtId="44" fontId="46" fillId="0" borderId="1" xfId="0" applyNumberFormat="1" applyFont="1" applyBorder="1" applyAlignment="1">
      <alignment horizontal="right" vertical="center" readingOrder="1"/>
    </xf>
    <xf numFmtId="0" fontId="1" fillId="0" borderId="1" xfId="0" applyFont="1" applyBorder="1" applyAlignment="1">
      <alignment horizontal="center" vertical="center"/>
    </xf>
    <xf numFmtId="44" fontId="46" fillId="0" borderId="1" xfId="6" applyFont="1" applyFill="1" applyBorder="1" applyAlignment="1">
      <alignment horizontal="center" vertical="center" readingOrder="1"/>
    </xf>
    <xf numFmtId="0" fontId="2" fillId="0" borderId="0" xfId="0" applyFont="1" applyAlignment="1">
      <alignment vertical="center"/>
    </xf>
    <xf numFmtId="0" fontId="44" fillId="0" borderId="0" xfId="0" applyFont="1" applyAlignment="1">
      <alignment vertical="center" readingOrder="1"/>
    </xf>
    <xf numFmtId="169" fontId="44" fillId="0" borderId="0" xfId="0" applyNumberFormat="1" applyFont="1" applyAlignment="1">
      <alignment horizontal="left" vertical="center" readingOrder="1"/>
    </xf>
    <xf numFmtId="0" fontId="44" fillId="0" borderId="1" xfId="0" applyFont="1" applyBorder="1" applyAlignment="1">
      <alignment horizontal="center" vertical="center" readingOrder="1"/>
    </xf>
    <xf numFmtId="44" fontId="44" fillId="0" borderId="1" xfId="0" applyNumberFormat="1" applyFont="1" applyBorder="1" applyAlignment="1">
      <alignment horizontal="right" vertical="center" readingOrder="1"/>
    </xf>
    <xf numFmtId="0" fontId="44" fillId="0" borderId="0" xfId="0" applyFont="1" applyAlignment="1">
      <alignment horizontal="center" vertical="center" readingOrder="1"/>
    </xf>
    <xf numFmtId="170" fontId="44" fillId="0" borderId="0" xfId="0" applyNumberFormat="1" applyFont="1" applyAlignment="1">
      <alignment horizontal="right" vertical="center" readingOrder="1"/>
    </xf>
    <xf numFmtId="0" fontId="44" fillId="9" borderId="15" xfId="0" applyFont="1" applyFill="1" applyBorder="1" applyAlignment="1">
      <alignment horizontal="center" vertical="center" readingOrder="1"/>
    </xf>
    <xf numFmtId="0" fontId="44" fillId="9" borderId="16" xfId="0" applyFont="1" applyFill="1" applyBorder="1" applyAlignment="1">
      <alignment horizontal="center" vertical="center" readingOrder="1"/>
    </xf>
    <xf numFmtId="4" fontId="45" fillId="6" borderId="1" xfId="3" applyNumberFormat="1" applyFont="1" applyFill="1" applyBorder="1" applyAlignment="1">
      <alignment horizontal="left" vertical="center" wrapText="1"/>
    </xf>
    <xf numFmtId="0" fontId="46" fillId="0" borderId="15" xfId="0" applyFont="1" applyBorder="1" applyAlignment="1">
      <alignment horizontal="center" vertical="center" readingOrder="1"/>
    </xf>
    <xf numFmtId="9" fontId="46" fillId="6" borderId="16" xfId="2" applyFont="1" applyFill="1" applyBorder="1" applyAlignment="1">
      <alignment horizontal="center" vertical="center" readingOrder="1"/>
    </xf>
    <xf numFmtId="44" fontId="46" fillId="0" borderId="15" xfId="0" applyNumberFormat="1" applyFont="1" applyBorder="1" applyAlignment="1">
      <alignment horizontal="center" vertical="center" readingOrder="1"/>
    </xf>
    <xf numFmtId="0" fontId="44" fillId="0" borderId="17" xfId="0" applyFont="1" applyBorder="1" applyAlignment="1">
      <alignment vertical="center" readingOrder="1"/>
    </xf>
    <xf numFmtId="44" fontId="44" fillId="0" borderId="1" xfId="0" applyNumberFormat="1" applyFont="1" applyBorder="1" applyAlignment="1">
      <alignment horizontal="center" vertical="center" readingOrder="1"/>
    </xf>
    <xf numFmtId="0" fontId="44" fillId="0" borderId="0" xfId="0" applyFont="1" applyAlignment="1">
      <alignment horizontal="right" vertical="center" readingOrder="1"/>
    </xf>
    <xf numFmtId="0" fontId="46" fillId="6" borderId="1" xfId="0" applyFont="1" applyFill="1" applyBorder="1" applyAlignment="1">
      <alignment horizontal="center" vertical="center" readingOrder="1"/>
    </xf>
    <xf numFmtId="4" fontId="46" fillId="6" borderId="16" xfId="0" applyNumberFormat="1" applyFont="1" applyFill="1" applyBorder="1" applyAlignment="1">
      <alignment horizontal="center" vertical="center" readingOrder="1"/>
    </xf>
    <xf numFmtId="4" fontId="46" fillId="0" borderId="16" xfId="0" applyNumberFormat="1" applyFont="1" applyBorder="1" applyAlignment="1">
      <alignment horizontal="center" vertical="center" readingOrder="1"/>
    </xf>
    <xf numFmtId="174" fontId="46" fillId="0" borderId="1" xfId="0" applyNumberFormat="1" applyFont="1" applyBorder="1" applyAlignment="1">
      <alignment horizontal="center" vertical="center" readingOrder="1"/>
    </xf>
    <xf numFmtId="174" fontId="46" fillId="0" borderId="1" xfId="0" applyNumberFormat="1" applyFont="1" applyBorder="1" applyAlignment="1">
      <alignment horizontal="right" vertical="center" readingOrder="1"/>
    </xf>
    <xf numFmtId="0" fontId="44" fillId="0" borderId="8" xfId="0" applyFont="1" applyBorder="1" applyAlignment="1">
      <alignment horizontal="left" vertical="center" readingOrder="1"/>
    </xf>
    <xf numFmtId="174" fontId="44" fillId="0" borderId="1" xfId="0" applyNumberFormat="1" applyFont="1" applyBorder="1" applyAlignment="1">
      <alignment horizontal="right" vertical="center" readingOrder="1"/>
    </xf>
    <xf numFmtId="179" fontId="46" fillId="6" borderId="16" xfId="0" applyNumberFormat="1" applyFont="1" applyFill="1" applyBorder="1" applyAlignment="1">
      <alignment horizontal="center" vertical="center" readingOrder="1"/>
    </xf>
    <xf numFmtId="174" fontId="46" fillId="0" borderId="15" xfId="0" applyNumberFormat="1" applyFont="1" applyBorder="1" applyAlignment="1">
      <alignment horizontal="center" vertical="center" readingOrder="1"/>
    </xf>
    <xf numFmtId="167" fontId="46" fillId="0" borderId="15" xfId="0" applyNumberFormat="1" applyFont="1" applyBorder="1" applyAlignment="1">
      <alignment horizontal="center" vertical="center" readingOrder="1"/>
    </xf>
    <xf numFmtId="170" fontId="44" fillId="0" borderId="1" xfId="0" applyNumberFormat="1" applyFont="1" applyBorder="1" applyAlignment="1">
      <alignment horizontal="right" vertical="center" readingOrder="1"/>
    </xf>
    <xf numFmtId="0" fontId="46" fillId="0" borderId="0" xfId="0" applyFont="1" applyAlignment="1">
      <alignment horizontal="left" vertical="center" readingOrder="1"/>
    </xf>
    <xf numFmtId="0" fontId="46" fillId="0" borderId="0" xfId="0" applyFont="1" applyAlignment="1">
      <alignment horizontal="center" vertical="center" readingOrder="1"/>
    </xf>
    <xf numFmtId="0" fontId="1" fillId="0" borderId="0" xfId="0" applyFont="1" applyAlignment="1">
      <alignment vertical="center"/>
    </xf>
    <xf numFmtId="171" fontId="46" fillId="6" borderId="1" xfId="0" applyNumberFormat="1" applyFont="1" applyFill="1" applyBorder="1" applyAlignment="1">
      <alignment horizontal="center" vertical="center" readingOrder="1"/>
    </xf>
    <xf numFmtId="167" fontId="46" fillId="0" borderId="1" xfId="0" applyNumberFormat="1" applyFont="1" applyBorder="1" applyAlignment="1">
      <alignment horizontal="right" vertical="center" readingOrder="1"/>
    </xf>
    <xf numFmtId="0" fontId="44" fillId="0" borderId="6" xfId="0" applyFont="1" applyBorder="1" applyAlignment="1">
      <alignment horizontal="center" vertical="center" readingOrder="1"/>
    </xf>
    <xf numFmtId="167" fontId="44" fillId="10" borderId="1" xfId="0" applyNumberFormat="1" applyFont="1" applyFill="1" applyBorder="1" applyAlignment="1">
      <alignment horizontal="right" vertical="center" readingOrder="1"/>
    </xf>
    <xf numFmtId="170" fontId="44" fillId="9" borderId="1" xfId="0" applyNumberFormat="1" applyFont="1" applyFill="1" applyBorder="1" applyAlignment="1">
      <alignment horizontal="center" vertical="center" readingOrder="1"/>
    </xf>
    <xf numFmtId="10" fontId="46" fillId="0" borderId="1" xfId="0" applyNumberFormat="1" applyFont="1" applyBorder="1" applyAlignment="1">
      <alignment horizontal="right" vertical="center" readingOrder="1"/>
    </xf>
    <xf numFmtId="170" fontId="46" fillId="0" borderId="1" xfId="0" applyNumberFormat="1" applyFont="1" applyBorder="1" applyAlignment="1">
      <alignment horizontal="right" vertical="center" readingOrder="1"/>
    </xf>
    <xf numFmtId="10" fontId="44" fillId="10" borderId="1" xfId="0" applyNumberFormat="1" applyFont="1" applyFill="1" applyBorder="1" applyAlignment="1">
      <alignment horizontal="right" vertical="center" readingOrder="1"/>
    </xf>
    <xf numFmtId="170" fontId="44" fillId="10" borderId="1" xfId="0" applyNumberFormat="1" applyFont="1" applyFill="1" applyBorder="1" applyAlignment="1">
      <alignment horizontal="right" vertical="center" readingOrder="1"/>
    </xf>
    <xf numFmtId="170" fontId="46" fillId="0" borderId="0" xfId="0" applyNumberFormat="1" applyFont="1" applyAlignment="1">
      <alignment horizontal="right" vertical="center" readingOrder="1"/>
    </xf>
    <xf numFmtId="170" fontId="44" fillId="7" borderId="1" xfId="0" applyNumberFormat="1" applyFont="1" applyFill="1" applyBorder="1" applyAlignment="1">
      <alignment horizontal="right" vertical="center" readingOrder="1"/>
    </xf>
    <xf numFmtId="0" fontId="42" fillId="0" borderId="0" xfId="3" applyFont="1" applyAlignment="1">
      <alignment horizontal="center" vertical="center"/>
    </xf>
    <xf numFmtId="0" fontId="43" fillId="0" borderId="13" xfId="3" applyFont="1" applyBorder="1" applyAlignment="1">
      <alignment vertical="center"/>
    </xf>
    <xf numFmtId="4" fontId="45" fillId="6" borderId="1" xfId="3" applyNumberFormat="1" applyFont="1" applyFill="1" applyBorder="1" applyAlignment="1">
      <alignment horizontal="left" vertical="center"/>
    </xf>
    <xf numFmtId="180" fontId="46" fillId="6" borderId="16" xfId="0" applyNumberFormat="1" applyFont="1" applyFill="1" applyBorder="1" applyAlignment="1">
      <alignment horizontal="center" vertical="center" readingOrder="1"/>
    </xf>
    <xf numFmtId="174" fontId="1" fillId="0" borderId="0" xfId="0" applyNumberFormat="1" applyFont="1" applyAlignment="1">
      <alignment vertical="center"/>
    </xf>
    <xf numFmtId="174" fontId="44" fillId="0" borderId="1" xfId="0" applyNumberFormat="1" applyFont="1" applyBorder="1" applyAlignment="1">
      <alignment horizontal="center" vertical="center" readingOrder="1"/>
    </xf>
    <xf numFmtId="44" fontId="46" fillId="0" borderId="16" xfId="0" applyNumberFormat="1" applyFont="1" applyBorder="1" applyAlignment="1">
      <alignment horizontal="right" vertical="center" readingOrder="1"/>
    </xf>
    <xf numFmtId="0" fontId="30" fillId="0" borderId="3" xfId="0" applyFont="1" applyBorder="1"/>
    <xf numFmtId="44" fontId="30" fillId="0" borderId="3" xfId="6" applyFont="1" applyBorder="1"/>
    <xf numFmtId="0" fontId="30" fillId="0" borderId="4" xfId="0" applyFont="1" applyBorder="1"/>
    <xf numFmtId="170" fontId="46" fillId="0" borderId="1" xfId="6" applyNumberFormat="1" applyFont="1" applyFill="1" applyBorder="1" applyAlignment="1">
      <alignment horizontal="center" vertical="center" readingOrder="1"/>
    </xf>
    <xf numFmtId="2" fontId="46" fillId="6" borderId="1" xfId="16" applyNumberFormat="1" applyFont="1" applyFill="1" applyBorder="1" applyAlignment="1">
      <alignment horizontal="center" vertical="center" readingOrder="1"/>
    </xf>
    <xf numFmtId="2" fontId="46" fillId="0" borderId="1" xfId="16" applyNumberFormat="1" applyFont="1" applyBorder="1" applyAlignment="1">
      <alignment horizontal="center" vertical="center" readingOrder="1"/>
    </xf>
    <xf numFmtId="44" fontId="44" fillId="10" borderId="1" xfId="0" applyNumberFormat="1" applyFont="1" applyFill="1" applyBorder="1" applyAlignment="1">
      <alignment horizontal="right" vertical="center" readingOrder="1"/>
    </xf>
    <xf numFmtId="44" fontId="44" fillId="7" borderId="1" xfId="0" applyNumberFormat="1" applyFont="1" applyFill="1" applyBorder="1" applyAlignment="1">
      <alignment horizontal="right" vertical="center" readingOrder="1"/>
    </xf>
    <xf numFmtId="44" fontId="46" fillId="0" borderId="1" xfId="0" applyNumberFormat="1" applyFont="1" applyBorder="1" applyAlignment="1">
      <alignment horizontal="center" vertical="center" readingOrder="1"/>
    </xf>
    <xf numFmtId="44" fontId="2" fillId="0" borderId="1" xfId="0" applyNumberFormat="1" applyFont="1" applyBorder="1" applyAlignment="1">
      <alignment horizontal="center" vertical="center"/>
    </xf>
    <xf numFmtId="10" fontId="0" fillId="0" borderId="0" xfId="0" applyNumberFormat="1"/>
    <xf numFmtId="44" fontId="30" fillId="0" borderId="1" xfId="6" applyNumberFormat="1" applyFont="1" applyBorder="1" applyAlignment="1">
      <alignment horizontal="center"/>
    </xf>
    <xf numFmtId="0" fontId="12" fillId="0" borderId="0" xfId="4" applyFont="1" applyFill="1" applyAlignment="1">
      <alignment horizontal="justify" wrapText="1"/>
    </xf>
    <xf numFmtId="0" fontId="0" fillId="0" borderId="0" xfId="0" applyAlignment="1">
      <alignment horizontal="center"/>
    </xf>
    <xf numFmtId="0" fontId="3" fillId="2" borderId="2" xfId="3" applyFont="1" applyFill="1" applyBorder="1" applyAlignment="1">
      <alignment horizontal="center" vertical="center"/>
    </xf>
    <xf numFmtId="0" fontId="3" fillId="2" borderId="3" xfId="3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3" borderId="2" xfId="3" applyFont="1" applyFill="1" applyBorder="1" applyAlignment="1">
      <alignment horizontal="center" vertical="center" wrapText="1"/>
    </xf>
    <xf numFmtId="0" fontId="4" fillId="3" borderId="3" xfId="3" applyFont="1" applyFill="1" applyBorder="1" applyAlignment="1">
      <alignment horizontal="center" vertical="center" wrapText="1"/>
    </xf>
    <xf numFmtId="0" fontId="5" fillId="4" borderId="2" xfId="3" applyFont="1" applyFill="1" applyBorder="1" applyAlignment="1">
      <alignment horizontal="center" vertical="center" wrapText="1"/>
    </xf>
    <xf numFmtId="0" fontId="5" fillId="4" borderId="3" xfId="3" applyFont="1" applyFill="1" applyBorder="1" applyAlignment="1">
      <alignment horizontal="center" vertical="center" wrapText="1"/>
    </xf>
    <xf numFmtId="0" fontId="17" fillId="5" borderId="2" xfId="3" applyFont="1" applyFill="1" applyBorder="1" applyAlignment="1">
      <alignment horizontal="center" vertical="center"/>
    </xf>
    <xf numFmtId="0" fontId="17" fillId="5" borderId="3" xfId="3" applyFont="1" applyFill="1" applyBorder="1" applyAlignment="1">
      <alignment horizontal="center" vertical="center"/>
    </xf>
    <xf numFmtId="167" fontId="18" fillId="7" borderId="5" xfId="3" applyNumberFormat="1" applyFont="1" applyFill="1" applyBorder="1" applyAlignment="1">
      <alignment horizontal="center" vertical="center"/>
    </xf>
    <xf numFmtId="167" fontId="18" fillId="7" borderId="6" xfId="3" applyNumberFormat="1" applyFont="1" applyFill="1" applyBorder="1" applyAlignment="1">
      <alignment horizontal="center" vertical="center"/>
    </xf>
    <xf numFmtId="174" fontId="0" fillId="0" borderId="10" xfId="0" applyNumberFormat="1" applyBorder="1" applyAlignment="1">
      <alignment horizontal="center" vertical="center"/>
    </xf>
    <xf numFmtId="42" fontId="0" fillId="0" borderId="0" xfId="1" applyFont="1" applyAlignment="1">
      <alignment horizontal="center" vertical="center"/>
    </xf>
    <xf numFmtId="0" fontId="18" fillId="7" borderId="5" xfId="3" applyFont="1" applyFill="1" applyBorder="1" applyAlignment="1">
      <alignment horizontal="center" vertical="center"/>
    </xf>
    <xf numFmtId="0" fontId="18" fillId="7" borderId="6" xfId="3" applyFont="1" applyFill="1" applyBorder="1" applyAlignment="1">
      <alignment horizontal="center" vertical="center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/>
    </xf>
    <xf numFmtId="0" fontId="18" fillId="7" borderId="1" xfId="3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4" fontId="18" fillId="7" borderId="5" xfId="6" applyFont="1" applyFill="1" applyBorder="1" applyAlignment="1">
      <alignment horizontal="center" vertical="center"/>
    </xf>
    <xf numFmtId="44" fontId="18" fillId="7" borderId="6" xfId="6" applyFont="1" applyFill="1" applyBorder="1" applyAlignment="1">
      <alignment horizontal="center" vertical="center"/>
    </xf>
    <xf numFmtId="0" fontId="20" fillId="0" borderId="0" xfId="3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34" fillId="8" borderId="1" xfId="0" applyFont="1" applyFill="1" applyBorder="1" applyAlignment="1">
      <alignment horizontal="center"/>
    </xf>
    <xf numFmtId="0" fontId="18" fillId="0" borderId="2" xfId="3" applyFont="1" applyBorder="1" applyAlignment="1">
      <alignment horizontal="right" vertical="center" wrapText="1"/>
    </xf>
    <xf numFmtId="0" fontId="18" fillId="0" borderId="3" xfId="3" applyFont="1" applyBorder="1" applyAlignment="1">
      <alignment horizontal="right" vertical="center" wrapText="1"/>
    </xf>
    <xf numFmtId="0" fontId="18" fillId="0" borderId="4" xfId="3" applyFont="1" applyBorder="1" applyAlignment="1">
      <alignment horizontal="right" vertical="center" wrapText="1"/>
    </xf>
    <xf numFmtId="0" fontId="18" fillId="8" borderId="2" xfId="3" applyFont="1" applyFill="1" applyBorder="1" applyAlignment="1">
      <alignment horizontal="center" vertical="center" wrapText="1"/>
    </xf>
    <xf numFmtId="0" fontId="18" fillId="8" borderId="3" xfId="3" applyFont="1" applyFill="1" applyBorder="1" applyAlignment="1">
      <alignment horizontal="center" vertical="center" wrapText="1"/>
    </xf>
    <xf numFmtId="0" fontId="18" fillId="8" borderId="4" xfId="3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/>
    </xf>
    <xf numFmtId="0" fontId="19" fillId="2" borderId="2" xfId="3" applyFont="1" applyFill="1" applyBorder="1" applyAlignment="1">
      <alignment horizontal="center" vertical="center"/>
    </xf>
    <xf numFmtId="0" fontId="20" fillId="0" borderId="1" xfId="3" applyFont="1" applyBorder="1" applyAlignment="1">
      <alignment horizontal="center" vertical="center"/>
    </xf>
    <xf numFmtId="0" fontId="5" fillId="3" borderId="1" xfId="3" applyFont="1" applyFill="1" applyBorder="1" applyAlignment="1">
      <alignment horizontal="center" vertical="center" wrapText="1"/>
    </xf>
    <xf numFmtId="0" fontId="5" fillId="3" borderId="2" xfId="3" applyFont="1" applyFill="1" applyBorder="1" applyAlignment="1">
      <alignment horizontal="center" vertical="center" wrapText="1"/>
    </xf>
    <xf numFmtId="0" fontId="17" fillId="4" borderId="1" xfId="3" applyFont="1" applyFill="1" applyBorder="1" applyAlignment="1">
      <alignment horizontal="center" vertical="center" wrapText="1"/>
    </xf>
    <xf numFmtId="0" fontId="17" fillId="4" borderId="2" xfId="3" applyFont="1" applyFill="1" applyBorder="1" applyAlignment="1">
      <alignment horizontal="center" vertical="center" wrapText="1"/>
    </xf>
    <xf numFmtId="0" fontId="21" fillId="0" borderId="3" xfId="3" applyFont="1" applyBorder="1" applyAlignment="1">
      <alignment horizontal="center" vertical="center" wrapText="1"/>
    </xf>
    <xf numFmtId="0" fontId="7" fillId="5" borderId="1" xfId="3" applyFont="1" applyFill="1" applyBorder="1" applyAlignment="1">
      <alignment horizontal="center" vertical="center"/>
    </xf>
    <xf numFmtId="0" fontId="7" fillId="5" borderId="2" xfId="3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21" fillId="0" borderId="4" xfId="3" applyFont="1" applyBorder="1" applyAlignment="1">
      <alignment horizontal="center" vertical="center" wrapText="1"/>
    </xf>
    <xf numFmtId="0" fontId="46" fillId="6" borderId="2" xfId="0" applyFont="1" applyFill="1" applyBorder="1" applyAlignment="1">
      <alignment horizontal="left" vertical="center" wrapText="1" readingOrder="1"/>
    </xf>
    <xf numFmtId="0" fontId="46" fillId="6" borderId="4" xfId="0" applyFont="1" applyFill="1" applyBorder="1" applyAlignment="1">
      <alignment horizontal="left" vertical="center" wrapText="1" readingOrder="1"/>
    </xf>
    <xf numFmtId="0" fontId="46" fillId="6" borderId="2" xfId="0" applyFont="1" applyFill="1" applyBorder="1" applyAlignment="1">
      <alignment horizontal="left" vertical="center" readingOrder="1"/>
    </xf>
    <xf numFmtId="0" fontId="46" fillId="6" borderId="4" xfId="0" applyFont="1" applyFill="1" applyBorder="1" applyAlignment="1">
      <alignment horizontal="left" vertical="center" readingOrder="1"/>
    </xf>
    <xf numFmtId="0" fontId="2" fillId="10" borderId="1" xfId="0" applyFont="1" applyFill="1" applyBorder="1" applyAlignment="1">
      <alignment horizontal="left" vertical="center" readingOrder="1"/>
    </xf>
    <xf numFmtId="0" fontId="1" fillId="10" borderId="1" xfId="0" applyFont="1" applyFill="1" applyBorder="1" applyAlignment="1">
      <alignment horizontal="left" vertical="center" readingOrder="1"/>
    </xf>
    <xf numFmtId="0" fontId="46" fillId="0" borderId="0" xfId="0" applyFont="1" applyAlignment="1">
      <alignment horizontal="left" vertical="center" readingOrder="1"/>
    </xf>
    <xf numFmtId="0" fontId="2" fillId="7" borderId="1" xfId="0" applyFont="1" applyFill="1" applyBorder="1" applyAlignment="1">
      <alignment horizontal="left" vertical="center" readingOrder="1"/>
    </xf>
    <xf numFmtId="0" fontId="1" fillId="7" borderId="1" xfId="0" applyFont="1" applyFill="1" applyBorder="1" applyAlignment="1">
      <alignment horizontal="left" vertical="center" readingOrder="1"/>
    </xf>
    <xf numFmtId="0" fontId="42" fillId="0" borderId="0" xfId="3" applyFont="1" applyAlignment="1">
      <alignment horizontal="center" vertical="center"/>
    </xf>
    <xf numFmtId="0" fontId="43" fillId="0" borderId="2" xfId="3" applyFont="1" applyBorder="1" applyAlignment="1">
      <alignment horizontal="justify" vertical="center" wrapText="1"/>
    </xf>
    <xf numFmtId="0" fontId="43" fillId="0" borderId="3" xfId="3" applyFont="1" applyBorder="1" applyAlignment="1">
      <alignment horizontal="justify" vertical="center" wrapText="1"/>
    </xf>
    <xf numFmtId="0" fontId="43" fillId="0" borderId="4" xfId="3" applyFont="1" applyBorder="1" applyAlignment="1">
      <alignment horizontal="justify" vertical="center" wrapText="1"/>
    </xf>
    <xf numFmtId="0" fontId="44" fillId="0" borderId="0" xfId="0" applyFont="1" applyAlignment="1">
      <alignment horizontal="left" vertical="center" readingOrder="1"/>
    </xf>
    <xf numFmtId="0" fontId="44" fillId="0" borderId="13" xfId="0" applyFont="1" applyBorder="1" applyAlignment="1">
      <alignment horizontal="left" vertical="center" readingOrder="1"/>
    </xf>
    <xf numFmtId="0" fontId="1" fillId="0" borderId="13" xfId="0" applyFont="1" applyBorder="1" applyAlignment="1">
      <alignment horizontal="left" vertical="center" readingOrder="1"/>
    </xf>
    <xf numFmtId="0" fontId="44" fillId="9" borderId="2" xfId="0" applyFont="1" applyFill="1" applyBorder="1" applyAlignment="1">
      <alignment horizontal="center" vertical="center" readingOrder="1"/>
    </xf>
    <xf numFmtId="0" fontId="44" fillId="9" borderId="4" xfId="0" applyFont="1" applyFill="1" applyBorder="1" applyAlignment="1">
      <alignment horizontal="center" vertical="center" readingOrder="1"/>
    </xf>
    <xf numFmtId="0" fontId="46" fillId="0" borderId="2" xfId="0" applyFont="1" applyBorder="1" applyAlignment="1">
      <alignment horizontal="left" vertical="center" readingOrder="1"/>
    </xf>
    <xf numFmtId="0" fontId="46" fillId="0" borderId="4" xfId="0" applyFont="1" applyBorder="1" applyAlignment="1">
      <alignment horizontal="left" vertical="center" readingOrder="1"/>
    </xf>
    <xf numFmtId="0" fontId="1" fillId="0" borderId="0" xfId="0" applyFont="1" applyAlignment="1">
      <alignment horizontal="left" vertical="center" readingOrder="1"/>
    </xf>
    <xf numFmtId="0" fontId="1" fillId="0" borderId="1" xfId="0" applyFont="1" applyBorder="1" applyAlignment="1">
      <alignment horizontal="left" vertical="center" readingOrder="1"/>
    </xf>
    <xf numFmtId="0" fontId="44" fillId="10" borderId="1" xfId="0" applyFont="1" applyFill="1" applyBorder="1" applyAlignment="1">
      <alignment horizontal="left" vertical="center" readingOrder="1"/>
    </xf>
    <xf numFmtId="0" fontId="2" fillId="8" borderId="1" xfId="0" applyFont="1" applyFill="1" applyBorder="1" applyAlignment="1">
      <alignment horizontal="left" vertical="center" readingOrder="1"/>
    </xf>
    <xf numFmtId="0" fontId="44" fillId="9" borderId="1" xfId="0" applyFont="1" applyFill="1" applyBorder="1" applyAlignment="1">
      <alignment horizontal="center" vertical="center" readingOrder="1"/>
    </xf>
    <xf numFmtId="0" fontId="42" fillId="8" borderId="2" xfId="3" applyFont="1" applyFill="1" applyBorder="1" applyAlignment="1">
      <alignment horizontal="center" vertical="center" wrapText="1"/>
    </xf>
    <xf numFmtId="0" fontId="42" fillId="8" borderId="3" xfId="3" applyFont="1" applyFill="1" applyBorder="1" applyAlignment="1">
      <alignment horizontal="center" vertical="center" wrapText="1"/>
    </xf>
    <xf numFmtId="0" fontId="42" fillId="8" borderId="4" xfId="3" applyFont="1" applyFill="1" applyBorder="1" applyAlignment="1">
      <alignment horizontal="center" vertical="center" wrapText="1"/>
    </xf>
    <xf numFmtId="0" fontId="43" fillId="0" borderId="3" xfId="3" applyFont="1" applyBorder="1" applyAlignment="1">
      <alignment horizontal="center" vertical="center" wrapText="1"/>
    </xf>
    <xf numFmtId="0" fontId="43" fillId="0" borderId="3" xfId="3" applyFont="1" applyBorder="1" applyAlignment="1">
      <alignment horizontal="center" vertical="center"/>
    </xf>
    <xf numFmtId="0" fontId="42" fillId="2" borderId="1" xfId="3" applyFont="1" applyFill="1" applyBorder="1" applyAlignment="1">
      <alignment horizontal="center" vertical="center"/>
    </xf>
    <xf numFmtId="0" fontId="42" fillId="2" borderId="2" xfId="3" applyFont="1" applyFill="1" applyBorder="1" applyAlignment="1">
      <alignment horizontal="center" vertical="center"/>
    </xf>
    <xf numFmtId="0" fontId="42" fillId="0" borderId="1" xfId="3" applyFont="1" applyBorder="1" applyAlignment="1">
      <alignment horizontal="center" vertical="center"/>
    </xf>
    <xf numFmtId="0" fontId="42" fillId="3" borderId="1" xfId="3" applyFont="1" applyFill="1" applyBorder="1" applyAlignment="1">
      <alignment horizontal="center" vertical="center" wrapText="1"/>
    </xf>
    <xf numFmtId="0" fontId="42" fillId="3" borderId="2" xfId="3" applyFont="1" applyFill="1" applyBorder="1" applyAlignment="1">
      <alignment horizontal="center" vertical="center" wrapText="1"/>
    </xf>
    <xf numFmtId="0" fontId="42" fillId="4" borderId="1" xfId="3" applyFont="1" applyFill="1" applyBorder="1" applyAlignment="1">
      <alignment horizontal="center" vertical="center" wrapText="1"/>
    </xf>
    <xf numFmtId="0" fontId="42" fillId="4" borderId="2" xfId="3" applyFont="1" applyFill="1" applyBorder="1" applyAlignment="1">
      <alignment horizontal="center" vertical="center" wrapText="1"/>
    </xf>
    <xf numFmtId="0" fontId="43" fillId="0" borderId="4" xfId="3" applyFont="1" applyBorder="1" applyAlignment="1">
      <alignment horizontal="center" vertical="center" wrapText="1"/>
    </xf>
    <xf numFmtId="0" fontId="42" fillId="5" borderId="1" xfId="3" applyFont="1" applyFill="1" applyBorder="1" applyAlignment="1">
      <alignment horizontal="center" vertical="center"/>
    </xf>
    <xf numFmtId="0" fontId="42" fillId="5" borderId="2" xfId="3" applyFont="1" applyFill="1" applyBorder="1" applyAlignment="1">
      <alignment horizontal="center" vertical="center"/>
    </xf>
    <xf numFmtId="0" fontId="43" fillId="0" borderId="2" xfId="3" applyFont="1" applyBorder="1" applyAlignment="1">
      <alignment horizontal="left" vertical="center"/>
    </xf>
    <xf numFmtId="0" fontId="43" fillId="0" borderId="3" xfId="3" applyFont="1" applyBorder="1" applyAlignment="1">
      <alignment horizontal="left" vertical="center"/>
    </xf>
    <xf numFmtId="0" fontId="43" fillId="0" borderId="4" xfId="3" applyFont="1" applyBorder="1" applyAlignment="1">
      <alignment horizontal="left" vertical="center"/>
    </xf>
    <xf numFmtId="0" fontId="30" fillId="0" borderId="2" xfId="0" applyFont="1" applyBorder="1" applyAlignment="1">
      <alignment horizontal="right"/>
    </xf>
    <xf numFmtId="0" fontId="30" fillId="0" borderId="3" xfId="0" applyFont="1" applyBorder="1" applyAlignment="1">
      <alignment horizontal="right"/>
    </xf>
    <xf numFmtId="0" fontId="30" fillId="0" borderId="4" xfId="0" applyFont="1" applyBorder="1" applyAlignment="1">
      <alignment horizontal="right"/>
    </xf>
    <xf numFmtId="0" fontId="18" fillId="8" borderId="1" xfId="3" applyFont="1" applyFill="1" applyBorder="1" applyAlignment="1">
      <alignment horizontal="left" vertical="center"/>
    </xf>
    <xf numFmtId="0" fontId="18" fillId="0" borderId="1" xfId="3" applyFont="1" applyBorder="1" applyAlignment="1">
      <alignment horizontal="left" vertical="center"/>
    </xf>
    <xf numFmtId="0" fontId="3" fillId="2" borderId="1" xfId="3" applyFont="1" applyFill="1" applyBorder="1" applyAlignment="1">
      <alignment horizontal="center" vertical="center"/>
    </xf>
    <xf numFmtId="0" fontId="4" fillId="0" borderId="8" xfId="3" applyFont="1" applyBorder="1" applyAlignment="1">
      <alignment horizontal="center" vertical="center"/>
    </xf>
    <xf numFmtId="0" fontId="4" fillId="0" borderId="9" xfId="3" applyFont="1" applyBorder="1" applyAlignment="1">
      <alignment horizontal="center" vertical="center"/>
    </xf>
    <xf numFmtId="0" fontId="4" fillId="0" borderId="0" xfId="3" applyFont="1" applyAlignment="1">
      <alignment horizontal="center" vertical="center"/>
    </xf>
    <xf numFmtId="0" fontId="4" fillId="0" borderId="11" xfId="3" applyFont="1" applyBorder="1" applyAlignment="1">
      <alignment horizontal="center" vertical="center"/>
    </xf>
    <xf numFmtId="0" fontId="4" fillId="0" borderId="13" xfId="3" applyFont="1" applyBorder="1" applyAlignment="1">
      <alignment horizontal="center" vertical="center"/>
    </xf>
    <xf numFmtId="0" fontId="4" fillId="0" borderId="14" xfId="3" applyFont="1" applyBorder="1" applyAlignment="1">
      <alignment horizontal="center" vertical="center"/>
    </xf>
    <xf numFmtId="0" fontId="4" fillId="3" borderId="1" xfId="3" applyFont="1" applyFill="1" applyBorder="1" applyAlignment="1">
      <alignment horizontal="center" vertical="center" wrapText="1"/>
    </xf>
    <xf numFmtId="0" fontId="5" fillId="4" borderId="1" xfId="3" applyFont="1" applyFill="1" applyBorder="1" applyAlignment="1">
      <alignment horizontal="center" vertical="center" wrapText="1"/>
    </xf>
    <xf numFmtId="0" fontId="18" fillId="8" borderId="2" xfId="3" applyFont="1" applyFill="1" applyBorder="1" applyAlignment="1">
      <alignment horizontal="left" vertical="center"/>
    </xf>
    <xf numFmtId="0" fontId="18" fillId="8" borderId="3" xfId="3" applyFont="1" applyFill="1" applyBorder="1" applyAlignment="1">
      <alignment horizontal="left" vertical="center"/>
    </xf>
    <xf numFmtId="0" fontId="18" fillId="8" borderId="4" xfId="3" applyFont="1" applyFill="1" applyBorder="1" applyAlignment="1">
      <alignment horizontal="left" vertical="center"/>
    </xf>
    <xf numFmtId="0" fontId="17" fillId="5" borderId="1" xfId="3" applyFont="1" applyFill="1" applyBorder="1" applyAlignment="1">
      <alignment horizontal="center" vertical="center"/>
    </xf>
    <xf numFmtId="0" fontId="20" fillId="0" borderId="0" xfId="3" applyFont="1" applyAlignment="1">
      <alignment horizontal="left" vertical="center"/>
    </xf>
    <xf numFmtId="0" fontId="4" fillId="0" borderId="1" xfId="3" applyFont="1" applyBorder="1" applyAlignment="1">
      <alignment horizontal="center" vertical="center"/>
    </xf>
    <xf numFmtId="0" fontId="19" fillId="4" borderId="1" xfId="3" applyFont="1" applyFill="1" applyBorder="1" applyAlignment="1">
      <alignment horizontal="center" vertical="center" wrapText="1"/>
    </xf>
    <xf numFmtId="0" fontId="19" fillId="4" borderId="2" xfId="3" applyFont="1" applyFill="1" applyBorder="1" applyAlignment="1">
      <alignment horizontal="center" vertical="center" wrapText="1"/>
    </xf>
    <xf numFmtId="0" fontId="5" fillId="5" borderId="1" xfId="3" applyFont="1" applyFill="1" applyBorder="1" applyAlignment="1">
      <alignment horizontal="center" vertical="center"/>
    </xf>
    <xf numFmtId="0" fontId="5" fillId="5" borderId="2" xfId="3" applyFont="1" applyFill="1" applyBorder="1" applyAlignment="1">
      <alignment horizontal="center" vertical="center"/>
    </xf>
    <xf numFmtId="0" fontId="27" fillId="7" borderId="1" xfId="0" applyFont="1" applyFill="1" applyBorder="1" applyAlignment="1">
      <alignment horizontal="left" vertical="center" readingOrder="1"/>
    </xf>
    <xf numFmtId="0" fontId="24" fillId="7" borderId="1" xfId="0" applyFont="1" applyFill="1" applyBorder="1" applyAlignment="1">
      <alignment horizontal="left" vertical="center" readingOrder="1"/>
    </xf>
    <xf numFmtId="0" fontId="24" fillId="0" borderId="1" xfId="0" applyFont="1" applyBorder="1" applyAlignment="1">
      <alignment horizontal="left" vertical="center" readingOrder="1"/>
    </xf>
    <xf numFmtId="0" fontId="27" fillId="10" borderId="1" xfId="0" applyFont="1" applyFill="1" applyBorder="1" applyAlignment="1">
      <alignment horizontal="left" vertical="center" readingOrder="1"/>
    </xf>
    <xf numFmtId="0" fontId="24" fillId="10" borderId="1" xfId="0" applyFont="1" applyFill="1" applyBorder="1" applyAlignment="1">
      <alignment horizontal="left" vertical="center" readingOrder="1"/>
    </xf>
    <xf numFmtId="0" fontId="26" fillId="0" borderId="0" xfId="0" applyFont="1" applyAlignment="1">
      <alignment horizontal="left" vertical="center" readingOrder="1"/>
    </xf>
    <xf numFmtId="0" fontId="26" fillId="6" borderId="2" xfId="0" applyFont="1" applyFill="1" applyBorder="1" applyAlignment="1">
      <alignment horizontal="left" vertical="center" readingOrder="1"/>
    </xf>
    <xf numFmtId="0" fontId="26" fillId="6" borderId="4" xfId="0" applyFont="1" applyFill="1" applyBorder="1" applyAlignment="1">
      <alignment horizontal="left" vertical="center" readingOrder="1"/>
    </xf>
    <xf numFmtId="0" fontId="23" fillId="10" borderId="1" xfId="0" applyFont="1" applyFill="1" applyBorder="1" applyAlignment="1">
      <alignment horizontal="left" vertical="center" readingOrder="1"/>
    </xf>
    <xf numFmtId="0" fontId="23" fillId="0" borderId="0" xfId="0" applyFont="1" applyAlignment="1">
      <alignment horizontal="left" vertical="center" readingOrder="1"/>
    </xf>
    <xf numFmtId="0" fontId="27" fillId="8" borderId="1" xfId="0" applyFont="1" applyFill="1" applyBorder="1" applyAlignment="1">
      <alignment horizontal="left" vertical="center" readingOrder="1"/>
    </xf>
    <xf numFmtId="0" fontId="24" fillId="0" borderId="0" xfId="0" applyFont="1" applyAlignment="1">
      <alignment horizontal="left" vertical="center" readingOrder="1"/>
    </xf>
    <xf numFmtId="0" fontId="23" fillId="9" borderId="1" xfId="0" applyFont="1" applyFill="1" applyBorder="1" applyAlignment="1">
      <alignment horizontal="center" vertical="center" readingOrder="1"/>
    </xf>
    <xf numFmtId="0" fontId="23" fillId="0" borderId="13" xfId="0" applyFont="1" applyBorder="1" applyAlignment="1">
      <alignment horizontal="left" vertical="center" readingOrder="1"/>
    </xf>
    <xf numFmtId="0" fontId="24" fillId="0" borderId="13" xfId="0" applyFont="1" applyBorder="1" applyAlignment="1">
      <alignment horizontal="left" vertical="center" readingOrder="1"/>
    </xf>
    <xf numFmtId="0" fontId="23" fillId="9" borderId="2" xfId="0" applyFont="1" applyFill="1" applyBorder="1" applyAlignment="1">
      <alignment horizontal="center" vertical="center" readingOrder="1"/>
    </xf>
    <xf numFmtId="0" fontId="23" fillId="9" borderId="4" xfId="0" applyFont="1" applyFill="1" applyBorder="1" applyAlignment="1">
      <alignment horizontal="center" vertical="center" readingOrder="1"/>
    </xf>
    <xf numFmtId="0" fontId="26" fillId="6" borderId="2" xfId="0" applyFont="1" applyFill="1" applyBorder="1" applyAlignment="1">
      <alignment horizontal="left" vertical="center" wrapText="1" readingOrder="1"/>
    </xf>
    <xf numFmtId="0" fontId="26" fillId="6" borderId="4" xfId="0" applyFont="1" applyFill="1" applyBorder="1" applyAlignment="1">
      <alignment horizontal="left" vertical="center" wrapText="1" readingOrder="1"/>
    </xf>
    <xf numFmtId="0" fontId="26" fillId="0" borderId="2" xfId="0" applyFont="1" applyBorder="1" applyAlignment="1">
      <alignment horizontal="left" vertical="center" readingOrder="1"/>
    </xf>
    <xf numFmtId="0" fontId="26" fillId="0" borderId="4" xfId="0" applyFont="1" applyBorder="1" applyAlignment="1">
      <alignment horizontal="left" vertical="center" readingOrder="1"/>
    </xf>
    <xf numFmtId="0" fontId="21" fillId="0" borderId="3" xfId="3" applyFont="1" applyBorder="1" applyAlignment="1">
      <alignment horizontal="center" vertical="center"/>
    </xf>
    <xf numFmtId="0" fontId="22" fillId="0" borderId="2" xfId="3" applyFont="1" applyBorder="1" applyAlignment="1">
      <alignment horizontal="justify" vertical="center" wrapText="1"/>
    </xf>
    <xf numFmtId="0" fontId="22" fillId="0" borderId="3" xfId="3" applyFont="1" applyBorder="1" applyAlignment="1">
      <alignment horizontal="justify" vertical="center" wrapText="1"/>
    </xf>
    <xf numFmtId="0" fontId="22" fillId="0" borderId="4" xfId="3" applyFont="1" applyBorder="1" applyAlignment="1">
      <alignment horizontal="justify" vertical="center" wrapText="1"/>
    </xf>
    <xf numFmtId="0" fontId="17" fillId="4" borderId="1" xfId="3" applyFont="1" applyFill="1" applyBorder="1" applyAlignment="1">
      <alignment horizontal="center" wrapText="1"/>
    </xf>
    <xf numFmtId="0" fontId="17" fillId="4" borderId="2" xfId="3" applyFont="1" applyFill="1" applyBorder="1" applyAlignment="1">
      <alignment horizontal="center" wrapText="1"/>
    </xf>
    <xf numFmtId="0" fontId="7" fillId="4" borderId="1" xfId="3" applyFont="1" applyFill="1" applyBorder="1" applyAlignment="1">
      <alignment horizontal="center" vertical="center" wrapText="1"/>
    </xf>
    <xf numFmtId="0" fontId="7" fillId="4" borderId="2" xfId="3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/>
    </xf>
    <xf numFmtId="0" fontId="7" fillId="11" borderId="1" xfId="3" applyFont="1" applyFill="1" applyBorder="1" applyAlignment="1">
      <alignment horizontal="center" vertical="center" wrapText="1"/>
    </xf>
    <xf numFmtId="0" fontId="7" fillId="11" borderId="1" xfId="3" applyFont="1" applyFill="1" applyBorder="1" applyAlignment="1">
      <alignment horizontal="center" vertical="center"/>
    </xf>
    <xf numFmtId="172" fontId="6" fillId="0" borderId="2" xfId="3" applyNumberFormat="1" applyFont="1" applyBorder="1" applyAlignment="1">
      <alignment horizontal="center" vertical="center" wrapText="1"/>
    </xf>
    <xf numFmtId="172" fontId="6" fillId="0" borderId="4" xfId="3" applyNumberFormat="1" applyFont="1" applyBorder="1" applyAlignment="1">
      <alignment horizontal="center" vertical="center" wrapText="1"/>
    </xf>
    <xf numFmtId="0" fontId="32" fillId="2" borderId="1" xfId="3" applyFont="1" applyFill="1" applyBorder="1" applyAlignment="1">
      <alignment horizontal="center" vertical="center"/>
    </xf>
    <xf numFmtId="0" fontId="32" fillId="2" borderId="2" xfId="3" applyFont="1" applyFill="1" applyBorder="1" applyAlignment="1">
      <alignment horizontal="center" vertical="center"/>
    </xf>
    <xf numFmtId="167" fontId="7" fillId="11" borderId="1" xfId="3" applyNumberFormat="1" applyFont="1" applyFill="1" applyBorder="1" applyAlignment="1">
      <alignment horizontal="center" vertical="center"/>
    </xf>
    <xf numFmtId="0" fontId="7" fillId="10" borderId="1" xfId="3" applyFont="1" applyFill="1" applyBorder="1" applyAlignment="1">
      <alignment horizontal="center" vertical="center" wrapText="1"/>
    </xf>
    <xf numFmtId="44" fontId="0" fillId="0" borderId="1" xfId="6" applyFont="1" applyBorder="1" applyAlignment="1">
      <alignment wrapText="1"/>
    </xf>
    <xf numFmtId="173" fontId="9" fillId="0" borderId="1" xfId="2" applyNumberFormat="1" applyFont="1" applyFill="1" applyBorder="1" applyAlignment="1">
      <alignment horizontal="center" vertical="center"/>
    </xf>
    <xf numFmtId="167" fontId="6" fillId="0" borderId="1" xfId="3" applyNumberFormat="1" applyFont="1" applyBorder="1" applyAlignment="1">
      <alignment horizontal="center" vertical="center" wrapText="1"/>
    </xf>
    <xf numFmtId="44" fontId="32" fillId="0" borderId="1" xfId="6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22" fillId="0" borderId="3" xfId="3" applyFont="1" applyBorder="1" applyAlignment="1">
      <alignment horizontal="left" vertical="center" wrapText="1"/>
    </xf>
    <xf numFmtId="0" fontId="22" fillId="0" borderId="4" xfId="3" applyFont="1" applyBorder="1" applyAlignment="1">
      <alignment horizontal="left" vertical="center" wrapText="1"/>
    </xf>
    <xf numFmtId="4" fontId="29" fillId="11" borderId="1" xfId="3" applyNumberFormat="1" applyFont="1" applyFill="1" applyBorder="1" applyAlignment="1">
      <alignment horizontal="center" vertical="center"/>
    </xf>
    <xf numFmtId="4" fontId="29" fillId="10" borderId="1" xfId="3" applyNumberFormat="1" applyFont="1" applyFill="1" applyBorder="1" applyAlignment="1">
      <alignment horizontal="center" vertical="center"/>
    </xf>
    <xf numFmtId="0" fontId="18" fillId="10" borderId="1" xfId="3" applyFont="1" applyFill="1" applyBorder="1" applyAlignment="1">
      <alignment horizontal="center" vertical="center"/>
    </xf>
    <xf numFmtId="4" fontId="29" fillId="0" borderId="2" xfId="3" applyNumberFormat="1" applyFont="1" applyBorder="1" applyAlignment="1">
      <alignment horizontal="center" vertical="center" wrapText="1"/>
    </xf>
    <xf numFmtId="4" fontId="29" fillId="0" borderId="4" xfId="3" applyNumberFormat="1" applyFont="1" applyBorder="1" applyAlignment="1">
      <alignment horizontal="center" vertical="center" wrapText="1"/>
    </xf>
    <xf numFmtId="0" fontId="22" fillId="0" borderId="2" xfId="3" applyFont="1" applyBorder="1" applyAlignment="1">
      <alignment horizontal="left" vertical="center" wrapText="1"/>
    </xf>
    <xf numFmtId="0" fontId="18" fillId="0" borderId="2" xfId="3" applyFont="1" applyBorder="1" applyAlignment="1">
      <alignment horizontal="center" vertical="center" wrapText="1"/>
    </xf>
    <xf numFmtId="0" fontId="18" fillId="0" borderId="4" xfId="3" applyFont="1" applyBorder="1" applyAlignment="1">
      <alignment horizontal="center" vertical="center" wrapText="1"/>
    </xf>
    <xf numFmtId="0" fontId="18" fillId="11" borderId="1" xfId="3" applyFont="1" applyFill="1" applyBorder="1" applyAlignment="1">
      <alignment horizontal="center" vertical="center" wrapText="1"/>
    </xf>
    <xf numFmtId="0" fontId="5" fillId="0" borderId="0" xfId="3" applyFont="1" applyAlignment="1">
      <alignment horizontal="center" vertical="center"/>
    </xf>
    <xf numFmtId="0" fontId="47" fillId="2" borderId="2" xfId="3" applyFont="1" applyFill="1" applyBorder="1" applyAlignment="1">
      <alignment horizontal="center" vertical="center"/>
    </xf>
    <xf numFmtId="0" fontId="47" fillId="2" borderId="3" xfId="3" applyFont="1" applyFill="1" applyBorder="1" applyAlignment="1">
      <alignment horizontal="center" vertical="center"/>
    </xf>
    <xf numFmtId="0" fontId="48" fillId="0" borderId="7" xfId="0" applyFont="1" applyBorder="1" applyAlignment="1">
      <alignment horizontal="center" vertical="center"/>
    </xf>
    <xf numFmtId="0" fontId="48" fillId="0" borderId="8" xfId="0" applyFont="1" applyBorder="1" applyAlignment="1">
      <alignment horizontal="center" vertical="center"/>
    </xf>
    <xf numFmtId="0" fontId="48" fillId="0" borderId="9" xfId="0" applyFont="1" applyBorder="1" applyAlignment="1">
      <alignment horizontal="center" vertical="center"/>
    </xf>
    <xf numFmtId="0" fontId="49" fillId="3" borderId="2" xfId="3" applyFont="1" applyFill="1" applyBorder="1" applyAlignment="1">
      <alignment horizontal="center" vertical="center" wrapText="1"/>
    </xf>
    <xf numFmtId="0" fontId="49" fillId="3" borderId="3" xfId="3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8" fillId="0" borderId="11" xfId="0" applyFont="1" applyBorder="1" applyAlignment="1">
      <alignment horizontal="center" vertical="center"/>
    </xf>
    <xf numFmtId="0" fontId="50" fillId="0" borderId="0" xfId="3" applyFont="1" applyAlignment="1">
      <alignment horizontal="center" vertical="center"/>
    </xf>
    <xf numFmtId="0" fontId="50" fillId="0" borderId="0" xfId="3" applyFont="1" applyAlignment="1">
      <alignment vertical="center"/>
    </xf>
    <xf numFmtId="0" fontId="51" fillId="5" borderId="2" xfId="3" applyFont="1" applyFill="1" applyBorder="1" applyAlignment="1">
      <alignment horizontal="center" vertical="center"/>
    </xf>
    <xf numFmtId="0" fontId="51" fillId="5" borderId="3" xfId="3" applyFont="1" applyFill="1" applyBorder="1" applyAlignment="1">
      <alignment horizontal="center" vertical="center"/>
    </xf>
    <xf numFmtId="0" fontId="48" fillId="0" borderId="12" xfId="0" applyFont="1" applyBorder="1" applyAlignment="1">
      <alignment horizontal="center" vertical="center"/>
    </xf>
    <xf numFmtId="0" fontId="48" fillId="0" borderId="13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8" fillId="0" borderId="0" xfId="0" applyFont="1" applyAlignment="1">
      <alignment horizontal="center"/>
    </xf>
    <xf numFmtId="0" fontId="48" fillId="0" borderId="0" xfId="0" applyFont="1"/>
    <xf numFmtId="44" fontId="48" fillId="0" borderId="0" xfId="6" applyFont="1" applyAlignment="1">
      <alignment horizontal="center" vertical="center"/>
    </xf>
    <xf numFmtId="0" fontId="49" fillId="7" borderId="5" xfId="3" applyFont="1" applyFill="1" applyBorder="1" applyAlignment="1">
      <alignment horizontal="center" vertical="center"/>
    </xf>
    <xf numFmtId="0" fontId="49" fillId="7" borderId="1" xfId="3" applyFont="1" applyFill="1" applyBorder="1" applyAlignment="1">
      <alignment horizontal="center" vertical="center"/>
    </xf>
    <xf numFmtId="44" fontId="49" fillId="7" borderId="5" xfId="6" applyFont="1" applyFill="1" applyBorder="1" applyAlignment="1">
      <alignment horizontal="center" vertical="center"/>
    </xf>
    <xf numFmtId="167" fontId="49" fillId="7" borderId="5" xfId="3" applyNumberFormat="1" applyFont="1" applyFill="1" applyBorder="1" applyAlignment="1">
      <alignment horizontal="center" vertical="center"/>
    </xf>
    <xf numFmtId="0" fontId="49" fillId="7" borderId="6" xfId="3" applyFont="1" applyFill="1" applyBorder="1" applyAlignment="1">
      <alignment horizontal="center" vertical="center"/>
    </xf>
    <xf numFmtId="0" fontId="49" fillId="7" borderId="1" xfId="3" applyFont="1" applyFill="1" applyBorder="1" applyAlignment="1">
      <alignment horizontal="center" vertical="center"/>
    </xf>
    <xf numFmtId="44" fontId="49" fillId="7" borderId="6" xfId="6" applyFont="1" applyFill="1" applyBorder="1" applyAlignment="1">
      <alignment horizontal="center" vertical="center"/>
    </xf>
    <xf numFmtId="167" fontId="49" fillId="7" borderId="6" xfId="3" applyNumberFormat="1" applyFont="1" applyFill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0" fontId="52" fillId="0" borderId="1" xfId="0" applyFont="1" applyBorder="1"/>
    <xf numFmtId="0" fontId="52" fillId="0" borderId="1" xfId="0" applyFont="1" applyBorder="1" applyAlignment="1">
      <alignment horizontal="left" vertical="center" wrapText="1"/>
    </xf>
    <xf numFmtId="44" fontId="52" fillId="0" borderId="1" xfId="6" applyFont="1" applyBorder="1" applyAlignment="1">
      <alignment horizontal="center" vertical="center"/>
    </xf>
    <xf numFmtId="44" fontId="53" fillId="0" borderId="1" xfId="0" applyNumberFormat="1" applyFont="1" applyBorder="1" applyAlignment="1">
      <alignment horizontal="center" vertical="center"/>
    </xf>
    <xf numFmtId="0" fontId="52" fillId="0" borderId="1" xfId="0" applyFont="1" applyBorder="1" applyAlignment="1">
      <alignment vertical="center"/>
    </xf>
    <xf numFmtId="0" fontId="54" fillId="0" borderId="1" xfId="0" applyFont="1" applyBorder="1" applyAlignment="1">
      <alignment horizontal="left" vertical="center" wrapText="1"/>
    </xf>
    <xf numFmtId="0" fontId="53" fillId="12" borderId="1" xfId="0" applyFont="1" applyFill="1" applyBorder="1" applyAlignment="1">
      <alignment horizontal="center"/>
    </xf>
    <xf numFmtId="0" fontId="52" fillId="0" borderId="1" xfId="0" applyFont="1" applyBorder="1" applyAlignment="1">
      <alignment horizontal="center"/>
    </xf>
    <xf numFmtId="0" fontId="54" fillId="0" borderId="1" xfId="0" applyFont="1" applyBorder="1" applyAlignment="1">
      <alignment vertical="center" wrapText="1"/>
    </xf>
    <xf numFmtId="0" fontId="53" fillId="0" borderId="2" xfId="0" applyFont="1" applyBorder="1" applyAlignment="1">
      <alignment horizontal="center" vertical="center"/>
    </xf>
    <xf numFmtId="0" fontId="52" fillId="0" borderId="3" xfId="0" applyFont="1" applyBorder="1" applyAlignment="1">
      <alignment horizontal="center" vertical="center"/>
    </xf>
    <xf numFmtId="0" fontId="52" fillId="0" borderId="4" xfId="0" applyFont="1" applyBorder="1" applyAlignment="1">
      <alignment horizontal="center" vertical="center"/>
    </xf>
    <xf numFmtId="44" fontId="52" fillId="0" borderId="1" xfId="0" applyNumberFormat="1" applyFont="1" applyBorder="1" applyAlignment="1">
      <alignment horizontal="center" vertical="center"/>
    </xf>
    <xf numFmtId="0" fontId="53" fillId="0" borderId="1" xfId="0" applyFont="1" applyBorder="1" applyAlignment="1">
      <alignment horizontal="right" vertical="center" wrapText="1"/>
    </xf>
    <xf numFmtId="174" fontId="53" fillId="0" borderId="1" xfId="0" applyNumberFormat="1" applyFont="1" applyBorder="1" applyAlignment="1">
      <alignment horizontal="center" vertical="center"/>
    </xf>
    <xf numFmtId="0" fontId="53" fillId="0" borderId="1" xfId="0" applyFont="1" applyBorder="1" applyAlignment="1">
      <alignment horizontal="right" vertical="center"/>
    </xf>
    <xf numFmtId="10" fontId="53" fillId="0" borderId="1" xfId="6" applyNumberFormat="1" applyFont="1" applyBorder="1" applyAlignment="1">
      <alignment horizontal="center" vertical="center"/>
    </xf>
    <xf numFmtId="174" fontId="53" fillId="0" borderId="1" xfId="6" applyNumberFormat="1" applyFont="1" applyBorder="1" applyAlignment="1">
      <alignment horizontal="center" vertical="center"/>
    </xf>
    <xf numFmtId="9" fontId="53" fillId="0" borderId="1" xfId="6" applyNumberFormat="1" applyFont="1" applyBorder="1" applyAlignment="1">
      <alignment horizontal="center" vertical="center"/>
    </xf>
    <xf numFmtId="0" fontId="55" fillId="4" borderId="2" xfId="3" applyFont="1" applyFill="1" applyBorder="1" applyAlignment="1">
      <alignment horizontal="center" vertical="center" wrapText="1"/>
    </xf>
    <xf numFmtId="0" fontId="55" fillId="4" borderId="3" xfId="3" applyFont="1" applyFill="1" applyBorder="1" applyAlignment="1">
      <alignment horizontal="center" vertical="center" wrapText="1"/>
    </xf>
  </cellXfs>
  <cellStyles count="17">
    <cellStyle name="Hipervínculo" xfId="4" builtinId="8"/>
    <cellStyle name="Millares" xfId="16" builtinId="3"/>
    <cellStyle name="Millares [0]" xfId="7" builtinId="6"/>
    <cellStyle name="Moneda" xfId="6" builtinId="4"/>
    <cellStyle name="Moneda [0]" xfId="1" builtinId="7"/>
    <cellStyle name="Moneda 11" xfId="9" xr:uid="{00000000-0005-0000-0000-000004000000}"/>
    <cellStyle name="Moneda 2" xfId="14" xr:uid="{00000000-0005-0000-0000-000005000000}"/>
    <cellStyle name="Moneda 3 2 2" xfId="12" xr:uid="{00000000-0005-0000-0000-000006000000}"/>
    <cellStyle name="Moneda 6 2" xfId="10" xr:uid="{00000000-0005-0000-0000-000007000000}"/>
    <cellStyle name="Normal" xfId="0" builtinId="0"/>
    <cellStyle name="Normal 12" xfId="11" xr:uid="{00000000-0005-0000-0000-000009000000}"/>
    <cellStyle name="Normal 2 2 2 2 2" xfId="8" xr:uid="{00000000-0005-0000-0000-00000A000000}"/>
    <cellStyle name="Normal 2 3 2 3" xfId="13" xr:uid="{00000000-0005-0000-0000-00000B000000}"/>
    <cellStyle name="Normal 3" xfId="5" xr:uid="{00000000-0005-0000-0000-00000C000000}"/>
    <cellStyle name="Normal 6 2" xfId="3" xr:uid="{00000000-0005-0000-0000-00000D000000}"/>
    <cellStyle name="Normal 92" xfId="15" xr:uid="{00000000-0005-0000-0000-00000E000000}"/>
    <cellStyle name="Porcentaje" xfId="2" builtinId="5"/>
  </cellStyles>
  <dxfs count="1"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7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externalLink" Target="externalLinks/externalLink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0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0.png"/><Relationship Id="rId1" Type="http://schemas.openxmlformats.org/officeDocument/2006/relationships/image" Target="../media/image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414618</xdr:colOff>
      <xdr:row>0</xdr:row>
      <xdr:rowOff>190500</xdr:rowOff>
    </xdr:from>
    <xdr:to>
      <xdr:col>0</xdr:col>
      <xdr:colOff>1312368</xdr:colOff>
      <xdr:row>3</xdr:row>
      <xdr:rowOff>60265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852390C-B254-46B0-B4F0-7D9ECA5825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618" y="190500"/>
          <a:ext cx="897750" cy="108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2244380</xdr:colOff>
      <xdr:row>1</xdr:row>
      <xdr:rowOff>68839</xdr:rowOff>
    </xdr:from>
    <xdr:to>
      <xdr:col>0</xdr:col>
      <xdr:colOff>3244505</xdr:colOff>
      <xdr:row>2</xdr:row>
      <xdr:rowOff>459444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82E6CCE-AA4B-4B8F-962E-977A605AD7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4380" y="405015"/>
          <a:ext cx="1000125" cy="6595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635000</xdr:colOff>
      <xdr:row>1</xdr:row>
      <xdr:rowOff>79375</xdr:rowOff>
    </xdr:from>
    <xdr:to>
      <xdr:col>6</xdr:col>
      <xdr:colOff>952500</xdr:colOff>
      <xdr:row>2</xdr:row>
      <xdr:rowOff>1047750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13F84B2-B1C2-45B6-A982-6468D615BC2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69000" y="412750"/>
          <a:ext cx="3048000" cy="1222375"/>
        </a:xfrm>
        <a:prstGeom prst="rect">
          <a:avLst/>
        </a:prstGeom>
        <a:ln>
          <a:noFill/>
        </a:ln>
        <a:effectLst>
          <a:glow rad="139700">
            <a:schemeClr val="accent6">
              <a:satMod val="175000"/>
              <a:alpha val="40000"/>
            </a:schemeClr>
          </a:glow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174172</xdr:colOff>
      <xdr:row>1</xdr:row>
      <xdr:rowOff>10886</xdr:rowOff>
    </xdr:from>
    <xdr:to>
      <xdr:col>5</xdr:col>
      <xdr:colOff>309922</xdr:colOff>
      <xdr:row>4</xdr:row>
      <xdr:rowOff>49940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EBE5CAA-63C0-4E3B-8732-1221508DE5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08172" y="344261"/>
          <a:ext cx="897750" cy="1067754"/>
        </a:xfrm>
        <a:prstGeom prst="rect">
          <a:avLst/>
        </a:prstGeom>
      </xdr:spPr>
    </xdr:pic>
    <xdr:clientData/>
  </xdr:twoCellAnchor>
  <xdr:twoCellAnchor editAs="oneCell">
    <xdr:from>
      <xdr:col>7</xdr:col>
      <xdr:colOff>556134</xdr:colOff>
      <xdr:row>1</xdr:row>
      <xdr:rowOff>151922</xdr:rowOff>
    </xdr:from>
    <xdr:to>
      <xdr:col>7</xdr:col>
      <xdr:colOff>1560342</xdr:colOff>
      <xdr:row>2</xdr:row>
      <xdr:rowOff>539327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2C13E0A-30CF-444B-9219-3AA29E5556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42859" y="485297"/>
          <a:ext cx="1004208" cy="654105"/>
        </a:xfrm>
        <a:prstGeom prst="rect">
          <a:avLst/>
        </a:prstGeom>
      </xdr:spPr>
    </xdr:pic>
    <xdr:clientData/>
  </xdr:twoCellAnchor>
  <xdr:twoCellAnchor editAs="oneCell">
    <xdr:from>
      <xdr:col>5</xdr:col>
      <xdr:colOff>590550</xdr:colOff>
      <xdr:row>1</xdr:row>
      <xdr:rowOff>76200</xdr:rowOff>
    </xdr:from>
    <xdr:to>
      <xdr:col>7</xdr:col>
      <xdr:colOff>293065</xdr:colOff>
      <xdr:row>3</xdr:row>
      <xdr:rowOff>33618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640B4F1-C296-437D-A78E-5B875F265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86550" y="409575"/>
          <a:ext cx="1693240" cy="79561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114</xdr:row>
      <xdr:rowOff>0</xdr:rowOff>
    </xdr:from>
    <xdr:to>
      <xdr:col>8</xdr:col>
      <xdr:colOff>304800</xdr:colOff>
      <xdr:row>115</xdr:row>
      <xdr:rowOff>114300</xdr:rowOff>
    </xdr:to>
    <xdr:sp macro="" textlink="">
      <xdr:nvSpPr>
        <xdr:cNvPr id="3078" name="AutoShape 6">
          <a:extLst>
            <a:ext uri="{FF2B5EF4-FFF2-40B4-BE49-F238E27FC236}">
              <a16:creationId xmlns:a16="http://schemas.microsoft.com/office/drawing/2014/main" id="{07CA9AD4-0302-02E4-CF29-D1A988631D4F}"/>
            </a:ext>
          </a:extLst>
        </xdr:cNvPr>
        <xdr:cNvSpPr>
          <a:spLocks noChangeAspect="1" noChangeArrowheads="1"/>
        </xdr:cNvSpPr>
      </xdr:nvSpPr>
      <xdr:spPr bwMode="auto">
        <a:xfrm>
          <a:off x="8543925" y="392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123265</xdr:colOff>
      <xdr:row>1</xdr:row>
      <xdr:rowOff>112059</xdr:rowOff>
    </xdr:from>
    <xdr:to>
      <xdr:col>5</xdr:col>
      <xdr:colOff>27167</xdr:colOff>
      <xdr:row>3</xdr:row>
      <xdr:rowOff>86030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980F5219-113B-485D-B1A2-AEDD458D16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2441" y="302559"/>
          <a:ext cx="665902" cy="792000"/>
        </a:xfrm>
        <a:prstGeom prst="rect">
          <a:avLst/>
        </a:prstGeom>
      </xdr:spPr>
    </xdr:pic>
    <xdr:clientData/>
  </xdr:twoCellAnchor>
  <xdr:twoCellAnchor editAs="oneCell">
    <xdr:from>
      <xdr:col>6</xdr:col>
      <xdr:colOff>714218</xdr:colOff>
      <xdr:row>1</xdr:row>
      <xdr:rowOff>174653</xdr:rowOff>
    </xdr:from>
    <xdr:to>
      <xdr:col>7</xdr:col>
      <xdr:colOff>781246</xdr:colOff>
      <xdr:row>2</xdr:row>
      <xdr:rowOff>524153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6A18CC2D-5A4A-484B-93A8-37D43C2CC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0659" y="365153"/>
          <a:ext cx="829028" cy="540000"/>
        </a:xfrm>
        <a:prstGeom prst="rect">
          <a:avLst/>
        </a:prstGeom>
      </xdr:spPr>
    </xdr:pic>
    <xdr:clientData/>
  </xdr:twoCellAnchor>
  <xdr:twoCellAnchor editAs="oneCell">
    <xdr:from>
      <xdr:col>5</xdr:col>
      <xdr:colOff>237087</xdr:colOff>
      <xdr:row>2</xdr:row>
      <xdr:rowOff>20489</xdr:rowOff>
    </xdr:from>
    <xdr:to>
      <xdr:col>6</xdr:col>
      <xdr:colOff>501055</xdr:colOff>
      <xdr:row>2</xdr:row>
      <xdr:rowOff>560489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7B392DCA-BBDB-478C-A016-3039E60A68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88263" y="401489"/>
          <a:ext cx="1149233" cy="540000"/>
        </a:xfrm>
        <a:prstGeom prst="rect">
          <a:avLst/>
        </a:prstGeom>
      </xdr:spPr>
    </xdr:pic>
    <xdr:clientData/>
  </xdr:twoCellAnchor>
  <xdr:twoCellAnchor editAs="oneCell">
    <xdr:from>
      <xdr:col>4</xdr:col>
      <xdr:colOff>123265</xdr:colOff>
      <xdr:row>16</xdr:row>
      <xdr:rowOff>123265</xdr:rowOff>
    </xdr:from>
    <xdr:to>
      <xdr:col>5</xdr:col>
      <xdr:colOff>27167</xdr:colOff>
      <xdr:row>18</xdr:row>
      <xdr:rowOff>97236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C923ED92-A150-4C00-8484-7AEB73EB0D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2441" y="3664324"/>
          <a:ext cx="665902" cy="792000"/>
        </a:xfrm>
        <a:prstGeom prst="rect">
          <a:avLst/>
        </a:prstGeom>
      </xdr:spPr>
    </xdr:pic>
    <xdr:clientData/>
  </xdr:twoCellAnchor>
  <xdr:twoCellAnchor editAs="oneCell">
    <xdr:from>
      <xdr:col>6</xdr:col>
      <xdr:colOff>714218</xdr:colOff>
      <xdr:row>16</xdr:row>
      <xdr:rowOff>185859</xdr:rowOff>
    </xdr:from>
    <xdr:to>
      <xdr:col>7</xdr:col>
      <xdr:colOff>781246</xdr:colOff>
      <xdr:row>17</xdr:row>
      <xdr:rowOff>535359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2535A53D-4F12-4D7D-937A-A639A34A5A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0659" y="3726918"/>
          <a:ext cx="829028" cy="540000"/>
        </a:xfrm>
        <a:prstGeom prst="rect">
          <a:avLst/>
        </a:prstGeom>
      </xdr:spPr>
    </xdr:pic>
    <xdr:clientData/>
  </xdr:twoCellAnchor>
  <xdr:twoCellAnchor editAs="oneCell">
    <xdr:from>
      <xdr:col>5</xdr:col>
      <xdr:colOff>237087</xdr:colOff>
      <xdr:row>17</xdr:row>
      <xdr:rowOff>31695</xdr:rowOff>
    </xdr:from>
    <xdr:to>
      <xdr:col>6</xdr:col>
      <xdr:colOff>501055</xdr:colOff>
      <xdr:row>17</xdr:row>
      <xdr:rowOff>571695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4D721F7C-8546-4DBA-840C-55FFECEEA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88263" y="3763254"/>
          <a:ext cx="1149233" cy="540000"/>
        </a:xfrm>
        <a:prstGeom prst="rect">
          <a:avLst/>
        </a:prstGeom>
      </xdr:spPr>
    </xdr:pic>
    <xdr:clientData/>
  </xdr:twoCellAnchor>
  <xdr:twoCellAnchor editAs="oneCell">
    <xdr:from>
      <xdr:col>4</xdr:col>
      <xdr:colOff>134471</xdr:colOff>
      <xdr:row>46</xdr:row>
      <xdr:rowOff>145676</xdr:rowOff>
    </xdr:from>
    <xdr:to>
      <xdr:col>5</xdr:col>
      <xdr:colOff>38373</xdr:colOff>
      <xdr:row>48</xdr:row>
      <xdr:rowOff>119647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5BC442DC-B53E-4BBC-BA63-E7D6FFA032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3647" y="10656794"/>
          <a:ext cx="665902" cy="792000"/>
        </a:xfrm>
        <a:prstGeom prst="rect">
          <a:avLst/>
        </a:prstGeom>
      </xdr:spPr>
    </xdr:pic>
    <xdr:clientData/>
  </xdr:twoCellAnchor>
  <xdr:twoCellAnchor editAs="oneCell">
    <xdr:from>
      <xdr:col>6</xdr:col>
      <xdr:colOff>725424</xdr:colOff>
      <xdr:row>47</xdr:row>
      <xdr:rowOff>17770</xdr:rowOff>
    </xdr:from>
    <xdr:to>
      <xdr:col>7</xdr:col>
      <xdr:colOff>792452</xdr:colOff>
      <xdr:row>47</xdr:row>
      <xdr:rowOff>557770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CB5F9409-C16A-4EF7-8209-704A65C53A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1865" y="10719388"/>
          <a:ext cx="829028" cy="540000"/>
        </a:xfrm>
        <a:prstGeom prst="rect">
          <a:avLst/>
        </a:prstGeom>
      </xdr:spPr>
    </xdr:pic>
    <xdr:clientData/>
  </xdr:twoCellAnchor>
  <xdr:twoCellAnchor editAs="oneCell">
    <xdr:from>
      <xdr:col>5</xdr:col>
      <xdr:colOff>248293</xdr:colOff>
      <xdr:row>47</xdr:row>
      <xdr:rowOff>54106</xdr:rowOff>
    </xdr:from>
    <xdr:to>
      <xdr:col>6</xdr:col>
      <xdr:colOff>512261</xdr:colOff>
      <xdr:row>47</xdr:row>
      <xdr:rowOff>594106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A30A33D5-DB56-42C0-BBD1-355FBECE2B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99469" y="10755724"/>
          <a:ext cx="1149233" cy="540000"/>
        </a:xfrm>
        <a:prstGeom prst="rect">
          <a:avLst/>
        </a:prstGeom>
      </xdr:spPr>
    </xdr:pic>
    <xdr:clientData/>
  </xdr:twoCellAnchor>
  <xdr:twoCellAnchor editAs="oneCell">
    <xdr:from>
      <xdr:col>4</xdr:col>
      <xdr:colOff>112059</xdr:colOff>
      <xdr:row>61</xdr:row>
      <xdr:rowOff>11206</xdr:rowOff>
    </xdr:from>
    <xdr:to>
      <xdr:col>5</xdr:col>
      <xdr:colOff>15961</xdr:colOff>
      <xdr:row>62</xdr:row>
      <xdr:rowOff>175677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70691BDF-A0C8-4797-973D-F25CBE000D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1235" y="14007353"/>
          <a:ext cx="665902" cy="792000"/>
        </a:xfrm>
        <a:prstGeom prst="rect">
          <a:avLst/>
        </a:prstGeom>
      </xdr:spPr>
    </xdr:pic>
    <xdr:clientData/>
  </xdr:twoCellAnchor>
  <xdr:twoCellAnchor editAs="oneCell">
    <xdr:from>
      <xdr:col>6</xdr:col>
      <xdr:colOff>703012</xdr:colOff>
      <xdr:row>61</xdr:row>
      <xdr:rowOff>73800</xdr:rowOff>
    </xdr:from>
    <xdr:to>
      <xdr:col>7</xdr:col>
      <xdr:colOff>770040</xdr:colOff>
      <xdr:row>61</xdr:row>
      <xdr:rowOff>613800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D141E211-D174-4CC0-8E9F-6FC1DA99FD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9453" y="14069947"/>
          <a:ext cx="829028" cy="540000"/>
        </a:xfrm>
        <a:prstGeom prst="rect">
          <a:avLst/>
        </a:prstGeom>
      </xdr:spPr>
    </xdr:pic>
    <xdr:clientData/>
  </xdr:twoCellAnchor>
  <xdr:twoCellAnchor editAs="oneCell">
    <xdr:from>
      <xdr:col>5</xdr:col>
      <xdr:colOff>225881</xdr:colOff>
      <xdr:row>61</xdr:row>
      <xdr:rowOff>110136</xdr:rowOff>
    </xdr:from>
    <xdr:to>
      <xdr:col>6</xdr:col>
      <xdr:colOff>489849</xdr:colOff>
      <xdr:row>62</xdr:row>
      <xdr:rowOff>22607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2FDD5E2C-B1F7-40EB-A8E9-B18E06895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77057" y="14106283"/>
          <a:ext cx="1149233" cy="540000"/>
        </a:xfrm>
        <a:prstGeom prst="rect">
          <a:avLst/>
        </a:prstGeom>
      </xdr:spPr>
    </xdr:pic>
    <xdr:clientData/>
  </xdr:twoCellAnchor>
  <xdr:twoCellAnchor editAs="oneCell">
    <xdr:from>
      <xdr:col>4</xdr:col>
      <xdr:colOff>112059</xdr:colOff>
      <xdr:row>74</xdr:row>
      <xdr:rowOff>156883</xdr:rowOff>
    </xdr:from>
    <xdr:to>
      <xdr:col>5</xdr:col>
      <xdr:colOff>15961</xdr:colOff>
      <xdr:row>76</xdr:row>
      <xdr:rowOff>130853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9D046EF4-EBE7-4DEE-9604-9A74E538E9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1235" y="17257059"/>
          <a:ext cx="665902" cy="792000"/>
        </a:xfrm>
        <a:prstGeom prst="rect">
          <a:avLst/>
        </a:prstGeom>
      </xdr:spPr>
    </xdr:pic>
    <xdr:clientData/>
  </xdr:twoCellAnchor>
  <xdr:twoCellAnchor editAs="oneCell">
    <xdr:from>
      <xdr:col>6</xdr:col>
      <xdr:colOff>703012</xdr:colOff>
      <xdr:row>75</xdr:row>
      <xdr:rowOff>28977</xdr:rowOff>
    </xdr:from>
    <xdr:to>
      <xdr:col>7</xdr:col>
      <xdr:colOff>770040</xdr:colOff>
      <xdr:row>75</xdr:row>
      <xdr:rowOff>568977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3C178336-4B58-4F70-9B82-2C70B3253A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9453" y="17319653"/>
          <a:ext cx="829028" cy="540000"/>
        </a:xfrm>
        <a:prstGeom prst="rect">
          <a:avLst/>
        </a:prstGeom>
      </xdr:spPr>
    </xdr:pic>
    <xdr:clientData/>
  </xdr:twoCellAnchor>
  <xdr:twoCellAnchor editAs="oneCell">
    <xdr:from>
      <xdr:col>5</xdr:col>
      <xdr:colOff>225881</xdr:colOff>
      <xdr:row>75</xdr:row>
      <xdr:rowOff>65313</xdr:rowOff>
    </xdr:from>
    <xdr:to>
      <xdr:col>6</xdr:col>
      <xdr:colOff>489849</xdr:colOff>
      <xdr:row>75</xdr:row>
      <xdr:rowOff>605313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95A2DEB9-BCDA-45CA-94E8-B304BAECFB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77057" y="17355989"/>
          <a:ext cx="1149233" cy="540000"/>
        </a:xfrm>
        <a:prstGeom prst="rect">
          <a:avLst/>
        </a:prstGeom>
      </xdr:spPr>
    </xdr:pic>
    <xdr:clientData/>
  </xdr:twoCellAnchor>
  <xdr:twoCellAnchor editAs="oneCell">
    <xdr:from>
      <xdr:col>4</xdr:col>
      <xdr:colOff>100853</xdr:colOff>
      <xdr:row>88</xdr:row>
      <xdr:rowOff>112059</xdr:rowOff>
    </xdr:from>
    <xdr:to>
      <xdr:col>5</xdr:col>
      <xdr:colOff>4755</xdr:colOff>
      <xdr:row>90</xdr:row>
      <xdr:rowOff>86030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27A6CEAF-890D-441D-B887-234C3D156B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0029" y="20506765"/>
          <a:ext cx="665902" cy="792000"/>
        </a:xfrm>
        <a:prstGeom prst="rect">
          <a:avLst/>
        </a:prstGeom>
      </xdr:spPr>
    </xdr:pic>
    <xdr:clientData/>
  </xdr:twoCellAnchor>
  <xdr:twoCellAnchor editAs="oneCell">
    <xdr:from>
      <xdr:col>6</xdr:col>
      <xdr:colOff>691806</xdr:colOff>
      <xdr:row>88</xdr:row>
      <xdr:rowOff>174653</xdr:rowOff>
    </xdr:from>
    <xdr:to>
      <xdr:col>7</xdr:col>
      <xdr:colOff>758834</xdr:colOff>
      <xdr:row>89</xdr:row>
      <xdr:rowOff>524153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7668B024-776E-47CC-B01E-ED8247753F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8247" y="20569359"/>
          <a:ext cx="829028" cy="540000"/>
        </a:xfrm>
        <a:prstGeom prst="rect">
          <a:avLst/>
        </a:prstGeom>
      </xdr:spPr>
    </xdr:pic>
    <xdr:clientData/>
  </xdr:twoCellAnchor>
  <xdr:twoCellAnchor editAs="oneCell">
    <xdr:from>
      <xdr:col>5</xdr:col>
      <xdr:colOff>214675</xdr:colOff>
      <xdr:row>89</xdr:row>
      <xdr:rowOff>20489</xdr:rowOff>
    </xdr:from>
    <xdr:to>
      <xdr:col>6</xdr:col>
      <xdr:colOff>478643</xdr:colOff>
      <xdr:row>89</xdr:row>
      <xdr:rowOff>560489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C6B84082-A232-4C75-A2A6-E24ECC56AE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65851" y="20605695"/>
          <a:ext cx="1149233" cy="540000"/>
        </a:xfrm>
        <a:prstGeom prst="rect">
          <a:avLst/>
        </a:prstGeom>
      </xdr:spPr>
    </xdr:pic>
    <xdr:clientData/>
  </xdr:twoCellAnchor>
  <xdr:twoCellAnchor editAs="oneCell">
    <xdr:from>
      <xdr:col>4</xdr:col>
      <xdr:colOff>89647</xdr:colOff>
      <xdr:row>31</xdr:row>
      <xdr:rowOff>78441</xdr:rowOff>
    </xdr:from>
    <xdr:to>
      <xdr:col>4</xdr:col>
      <xdr:colOff>755549</xdr:colOff>
      <xdr:row>33</xdr:row>
      <xdr:rowOff>52411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B27A5F98-FF67-40B9-BC50-33B2AC03BE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8823" y="7104529"/>
          <a:ext cx="665902" cy="792000"/>
        </a:xfrm>
        <a:prstGeom prst="rect">
          <a:avLst/>
        </a:prstGeom>
      </xdr:spPr>
    </xdr:pic>
    <xdr:clientData/>
  </xdr:twoCellAnchor>
  <xdr:twoCellAnchor editAs="oneCell">
    <xdr:from>
      <xdr:col>6</xdr:col>
      <xdr:colOff>680600</xdr:colOff>
      <xdr:row>31</xdr:row>
      <xdr:rowOff>141035</xdr:rowOff>
    </xdr:from>
    <xdr:to>
      <xdr:col>7</xdr:col>
      <xdr:colOff>747628</xdr:colOff>
      <xdr:row>32</xdr:row>
      <xdr:rowOff>490535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A803F3C7-FDCA-47B6-ABFB-F4B52625E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7041" y="7167123"/>
          <a:ext cx="829028" cy="540000"/>
        </a:xfrm>
        <a:prstGeom prst="rect">
          <a:avLst/>
        </a:prstGeom>
      </xdr:spPr>
    </xdr:pic>
    <xdr:clientData/>
  </xdr:twoCellAnchor>
  <xdr:twoCellAnchor editAs="oneCell">
    <xdr:from>
      <xdr:col>5</xdr:col>
      <xdr:colOff>203469</xdr:colOff>
      <xdr:row>31</xdr:row>
      <xdr:rowOff>177371</xdr:rowOff>
    </xdr:from>
    <xdr:to>
      <xdr:col>6</xdr:col>
      <xdr:colOff>467437</xdr:colOff>
      <xdr:row>32</xdr:row>
      <xdr:rowOff>526871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B36483DB-F3A5-4DC8-93AB-44F1766704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54645" y="7203459"/>
          <a:ext cx="1149233" cy="54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411</xdr:row>
      <xdr:rowOff>0</xdr:rowOff>
    </xdr:from>
    <xdr:to>
      <xdr:col>7</xdr:col>
      <xdr:colOff>304800</xdr:colOff>
      <xdr:row>412</xdr:row>
      <xdr:rowOff>114300</xdr:rowOff>
    </xdr:to>
    <xdr:sp macro="" textlink="">
      <xdr:nvSpPr>
        <xdr:cNvPr id="4109" name="AutoShape 13">
          <a:extLst>
            <a:ext uri="{FF2B5EF4-FFF2-40B4-BE49-F238E27FC236}">
              <a16:creationId xmlns:a16="http://schemas.microsoft.com/office/drawing/2014/main" id="{BC38D5C7-C9B7-41BF-94DB-C5FC5BAD6192}"/>
            </a:ext>
          </a:extLst>
        </xdr:cNvPr>
        <xdr:cNvSpPr>
          <a:spLocks noChangeAspect="1" noChangeArrowheads="1"/>
        </xdr:cNvSpPr>
      </xdr:nvSpPr>
      <xdr:spPr bwMode="auto">
        <a:xfrm>
          <a:off x="7096125" y="10831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411</xdr:row>
      <xdr:rowOff>0</xdr:rowOff>
    </xdr:from>
    <xdr:to>
      <xdr:col>7</xdr:col>
      <xdr:colOff>304800</xdr:colOff>
      <xdr:row>412</xdr:row>
      <xdr:rowOff>114300</xdr:rowOff>
    </xdr:to>
    <xdr:sp macro="" textlink="">
      <xdr:nvSpPr>
        <xdr:cNvPr id="4110" name="AutoShape 14">
          <a:extLst>
            <a:ext uri="{FF2B5EF4-FFF2-40B4-BE49-F238E27FC236}">
              <a16:creationId xmlns:a16="http://schemas.microsoft.com/office/drawing/2014/main" id="{7B787CC6-7C25-F549-5721-C2087F38DBCB}"/>
            </a:ext>
          </a:extLst>
        </xdr:cNvPr>
        <xdr:cNvSpPr>
          <a:spLocks noChangeAspect="1" noChangeArrowheads="1"/>
        </xdr:cNvSpPr>
      </xdr:nvSpPr>
      <xdr:spPr bwMode="auto">
        <a:xfrm>
          <a:off x="7096125" y="10831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101600</xdr:colOff>
      <xdr:row>146</xdr:row>
      <xdr:rowOff>12700</xdr:rowOff>
    </xdr:from>
    <xdr:to>
      <xdr:col>1</xdr:col>
      <xdr:colOff>1752600</xdr:colOff>
      <xdr:row>151</xdr:row>
      <xdr:rowOff>165100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00" y="17678400"/>
          <a:ext cx="1651000" cy="1041400"/>
        </a:xfrm>
        <a:prstGeom prst="rect">
          <a:avLst/>
        </a:prstGeom>
      </xdr:spPr>
    </xdr:pic>
    <xdr:clientData/>
  </xdr:twoCellAnchor>
  <xdr:twoCellAnchor editAs="oneCell">
    <xdr:from>
      <xdr:col>2</xdr:col>
      <xdr:colOff>504270</xdr:colOff>
      <xdr:row>0</xdr:row>
      <xdr:rowOff>156882</xdr:rowOff>
    </xdr:from>
    <xdr:to>
      <xdr:col>3</xdr:col>
      <xdr:colOff>340770</xdr:colOff>
      <xdr:row>2</xdr:row>
      <xdr:rowOff>271764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3D07BC7-068B-4D39-8FD1-6780097CE3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4152" y="156882"/>
          <a:ext cx="5985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451439</xdr:colOff>
      <xdr:row>2</xdr:row>
      <xdr:rowOff>382603</xdr:rowOff>
    </xdr:from>
    <xdr:to>
      <xdr:col>3</xdr:col>
      <xdr:colOff>508284</xdr:colOff>
      <xdr:row>4</xdr:row>
      <xdr:rowOff>82162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FB71844-CBD4-4E58-98B4-EA5A0B29A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1321" y="987721"/>
          <a:ext cx="818845" cy="5400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304800</xdr:colOff>
      <xdr:row>36</xdr:row>
      <xdr:rowOff>114300</xdr:rowOff>
    </xdr:to>
    <xdr:sp macro="" textlink="">
      <xdr:nvSpPr>
        <xdr:cNvPr id="5121" name="AutoShape 1" descr="Manija Para Cisterna Tradicional En Pvc Cromado">
          <a:extLst>
            <a:ext uri="{FF2B5EF4-FFF2-40B4-BE49-F238E27FC236}">
              <a16:creationId xmlns:a16="http://schemas.microsoft.com/office/drawing/2014/main" id="{A8101EE2-D02B-5E74-03A8-37C40DE67FAA}"/>
            </a:ext>
          </a:extLst>
        </xdr:cNvPr>
        <xdr:cNvSpPr>
          <a:spLocks noChangeAspect="1" noChangeArrowheads="1"/>
        </xdr:cNvSpPr>
      </xdr:nvSpPr>
      <xdr:spPr bwMode="auto">
        <a:xfrm>
          <a:off x="7705725" y="7467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85514</xdr:colOff>
      <xdr:row>128</xdr:row>
      <xdr:rowOff>182880</xdr:rowOff>
    </xdr:from>
    <xdr:ext cx="571500" cy="624840"/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2314" y="11308080"/>
          <a:ext cx="571500" cy="62484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727289</xdr:colOff>
      <xdr:row>129</xdr:row>
      <xdr:rowOff>10796</xdr:rowOff>
    </xdr:from>
    <xdr:ext cx="859365" cy="454024"/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4089" y="11364596"/>
          <a:ext cx="859365" cy="454024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85514</xdr:colOff>
      <xdr:row>192</xdr:row>
      <xdr:rowOff>182880</xdr:rowOff>
    </xdr:from>
    <xdr:ext cx="571500" cy="624840"/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2314" y="23313813"/>
          <a:ext cx="571500" cy="62484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727289</xdr:colOff>
      <xdr:row>193</xdr:row>
      <xdr:rowOff>10796</xdr:rowOff>
    </xdr:from>
    <xdr:ext cx="859365" cy="454024"/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4089" y="23370329"/>
          <a:ext cx="859365" cy="454024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85514</xdr:colOff>
      <xdr:row>256</xdr:row>
      <xdr:rowOff>182880</xdr:rowOff>
    </xdr:from>
    <xdr:ext cx="571500" cy="624840"/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2314" y="35311080"/>
          <a:ext cx="571500" cy="62484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727289</xdr:colOff>
      <xdr:row>257</xdr:row>
      <xdr:rowOff>10796</xdr:rowOff>
    </xdr:from>
    <xdr:ext cx="859365" cy="454024"/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4089" y="35367596"/>
          <a:ext cx="859365" cy="454024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85514</xdr:colOff>
      <xdr:row>320</xdr:row>
      <xdr:rowOff>182880</xdr:rowOff>
    </xdr:from>
    <xdr:ext cx="571500" cy="624840"/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2314" y="47316813"/>
          <a:ext cx="571500" cy="62484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727289</xdr:colOff>
      <xdr:row>321</xdr:row>
      <xdr:rowOff>10796</xdr:rowOff>
    </xdr:from>
    <xdr:ext cx="859365" cy="454024"/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D00-000011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4089" y="47373329"/>
          <a:ext cx="859365" cy="454024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85514</xdr:colOff>
      <xdr:row>382</xdr:row>
      <xdr:rowOff>182880</xdr:rowOff>
    </xdr:from>
    <xdr:ext cx="571500" cy="624840"/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0D00-00001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2314" y="59314080"/>
          <a:ext cx="571500" cy="62484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727289</xdr:colOff>
      <xdr:row>383</xdr:row>
      <xdr:rowOff>10796</xdr:rowOff>
    </xdr:from>
    <xdr:ext cx="859365" cy="454024"/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4089" y="59370596"/>
          <a:ext cx="859365" cy="454024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85514</xdr:colOff>
      <xdr:row>444</xdr:row>
      <xdr:rowOff>182880</xdr:rowOff>
    </xdr:from>
    <xdr:ext cx="571500" cy="624840"/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0D00-00001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2314" y="71158947"/>
          <a:ext cx="571500" cy="62484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727289</xdr:colOff>
      <xdr:row>445</xdr:row>
      <xdr:rowOff>10796</xdr:rowOff>
    </xdr:from>
    <xdr:ext cx="859365" cy="454024"/>
    <xdr:pic>
      <xdr:nvPicPr>
        <xdr:cNvPr id="21" name="Imagen 20">
          <a:extLst>
            <a:ext uri="{FF2B5EF4-FFF2-40B4-BE49-F238E27FC236}">
              <a16:creationId xmlns:a16="http://schemas.microsoft.com/office/drawing/2014/main" id="{00000000-0008-0000-0D00-000015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4089" y="71215463"/>
          <a:ext cx="859365" cy="454024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85514</xdr:colOff>
      <xdr:row>506</xdr:row>
      <xdr:rowOff>182880</xdr:rowOff>
    </xdr:from>
    <xdr:ext cx="571500" cy="624840"/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0D00-00001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2314" y="82910680"/>
          <a:ext cx="571500" cy="62484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727289</xdr:colOff>
      <xdr:row>507</xdr:row>
      <xdr:rowOff>10796</xdr:rowOff>
    </xdr:from>
    <xdr:ext cx="859365" cy="454024"/>
    <xdr:pic>
      <xdr:nvPicPr>
        <xdr:cNvPr id="23" name="Imagen 22">
          <a:extLst>
            <a:ext uri="{FF2B5EF4-FFF2-40B4-BE49-F238E27FC236}">
              <a16:creationId xmlns:a16="http://schemas.microsoft.com/office/drawing/2014/main" id="{00000000-0008-0000-0D00-000017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4089" y="82967196"/>
          <a:ext cx="859365" cy="454024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85514</xdr:colOff>
      <xdr:row>568</xdr:row>
      <xdr:rowOff>182880</xdr:rowOff>
    </xdr:from>
    <xdr:ext cx="571500" cy="624840"/>
    <xdr:pic>
      <xdr:nvPicPr>
        <xdr:cNvPr id="24" name="Imagen 23">
          <a:extLst>
            <a:ext uri="{FF2B5EF4-FFF2-40B4-BE49-F238E27FC236}">
              <a16:creationId xmlns:a16="http://schemas.microsoft.com/office/drawing/2014/main" id="{00000000-0008-0000-0D00-00001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2314" y="94662413"/>
          <a:ext cx="571500" cy="62484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727289</xdr:colOff>
      <xdr:row>569</xdr:row>
      <xdr:rowOff>10796</xdr:rowOff>
    </xdr:from>
    <xdr:ext cx="859365" cy="454024"/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0D00-000019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4089" y="94718929"/>
          <a:ext cx="859365" cy="454024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85514</xdr:colOff>
      <xdr:row>630</xdr:row>
      <xdr:rowOff>182880</xdr:rowOff>
    </xdr:from>
    <xdr:ext cx="571500" cy="624840"/>
    <xdr:pic>
      <xdr:nvPicPr>
        <xdr:cNvPr id="26" name="Imagen 25">
          <a:extLst>
            <a:ext uri="{FF2B5EF4-FFF2-40B4-BE49-F238E27FC236}">
              <a16:creationId xmlns:a16="http://schemas.microsoft.com/office/drawing/2014/main" id="{00000000-0008-0000-0D00-00001A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2314" y="106481880"/>
          <a:ext cx="571500" cy="62484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727289</xdr:colOff>
      <xdr:row>631</xdr:row>
      <xdr:rowOff>10796</xdr:rowOff>
    </xdr:from>
    <xdr:ext cx="859365" cy="454024"/>
    <xdr:pic>
      <xdr:nvPicPr>
        <xdr:cNvPr id="27" name="Imagen 26">
          <a:extLst>
            <a:ext uri="{FF2B5EF4-FFF2-40B4-BE49-F238E27FC236}">
              <a16:creationId xmlns:a16="http://schemas.microsoft.com/office/drawing/2014/main" id="{00000000-0008-0000-0D00-00001B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4089" y="106538396"/>
          <a:ext cx="859365" cy="454024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85514</xdr:colOff>
      <xdr:row>692</xdr:row>
      <xdr:rowOff>182880</xdr:rowOff>
    </xdr:from>
    <xdr:ext cx="571500" cy="624840"/>
    <xdr:pic>
      <xdr:nvPicPr>
        <xdr:cNvPr id="28" name="Imagen 27">
          <a:extLst>
            <a:ext uri="{FF2B5EF4-FFF2-40B4-BE49-F238E27FC236}">
              <a16:creationId xmlns:a16="http://schemas.microsoft.com/office/drawing/2014/main" id="{00000000-0008-0000-0D00-00001C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2314" y="118233613"/>
          <a:ext cx="571500" cy="62484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727289</xdr:colOff>
      <xdr:row>693</xdr:row>
      <xdr:rowOff>10796</xdr:rowOff>
    </xdr:from>
    <xdr:ext cx="859365" cy="454024"/>
    <xdr:pic>
      <xdr:nvPicPr>
        <xdr:cNvPr id="29" name="Imagen 28">
          <a:extLst>
            <a:ext uri="{FF2B5EF4-FFF2-40B4-BE49-F238E27FC236}">
              <a16:creationId xmlns:a16="http://schemas.microsoft.com/office/drawing/2014/main" id="{00000000-0008-0000-0D00-00001D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4089" y="118290129"/>
          <a:ext cx="859365" cy="454024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85514</xdr:colOff>
      <xdr:row>754</xdr:row>
      <xdr:rowOff>182880</xdr:rowOff>
    </xdr:from>
    <xdr:ext cx="571500" cy="624840"/>
    <xdr:pic>
      <xdr:nvPicPr>
        <xdr:cNvPr id="30" name="Imagen 29">
          <a:extLst>
            <a:ext uri="{FF2B5EF4-FFF2-40B4-BE49-F238E27FC236}">
              <a16:creationId xmlns:a16="http://schemas.microsoft.com/office/drawing/2014/main" id="{00000000-0008-0000-0D00-00001E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2314" y="133803813"/>
          <a:ext cx="571500" cy="62484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727289</xdr:colOff>
      <xdr:row>755</xdr:row>
      <xdr:rowOff>10796</xdr:rowOff>
    </xdr:from>
    <xdr:ext cx="859365" cy="454024"/>
    <xdr:pic>
      <xdr:nvPicPr>
        <xdr:cNvPr id="31" name="Imagen 30">
          <a:extLst>
            <a:ext uri="{FF2B5EF4-FFF2-40B4-BE49-F238E27FC236}">
              <a16:creationId xmlns:a16="http://schemas.microsoft.com/office/drawing/2014/main" id="{00000000-0008-0000-0D00-00001F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4089" y="133860329"/>
          <a:ext cx="859365" cy="454024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3</xdr:col>
      <xdr:colOff>719666</xdr:colOff>
      <xdr:row>122</xdr:row>
      <xdr:rowOff>42334</xdr:rowOff>
    </xdr:from>
    <xdr:to>
      <xdr:col>5</xdr:col>
      <xdr:colOff>194733</xdr:colOff>
      <xdr:row>125</xdr:row>
      <xdr:rowOff>143934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0000000-0008-0000-0D00-000021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4733" y="23071667"/>
          <a:ext cx="1066800" cy="660400"/>
        </a:xfrm>
        <a:prstGeom prst="rect">
          <a:avLst/>
        </a:prstGeom>
      </xdr:spPr>
    </xdr:pic>
    <xdr:clientData/>
  </xdr:twoCellAnchor>
  <xdr:twoCellAnchor editAs="oneCell">
    <xdr:from>
      <xdr:col>3</xdr:col>
      <xdr:colOff>787399</xdr:colOff>
      <xdr:row>186</xdr:row>
      <xdr:rowOff>25400</xdr:rowOff>
    </xdr:from>
    <xdr:to>
      <xdr:col>5</xdr:col>
      <xdr:colOff>262466</xdr:colOff>
      <xdr:row>189</xdr:row>
      <xdr:rowOff>127000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00000000-0008-0000-0D00-000022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2466" y="35534600"/>
          <a:ext cx="1066800" cy="660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250</xdr:row>
      <xdr:rowOff>33867</xdr:rowOff>
    </xdr:from>
    <xdr:to>
      <xdr:col>5</xdr:col>
      <xdr:colOff>270933</xdr:colOff>
      <xdr:row>253</xdr:row>
      <xdr:rowOff>135467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00000000-0008-0000-0D00-000024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0933" y="47938267"/>
          <a:ext cx="1066800" cy="660400"/>
        </a:xfrm>
        <a:prstGeom prst="rect">
          <a:avLst/>
        </a:prstGeom>
      </xdr:spPr>
    </xdr:pic>
    <xdr:clientData/>
  </xdr:twoCellAnchor>
  <xdr:twoCellAnchor editAs="oneCell">
    <xdr:from>
      <xdr:col>3</xdr:col>
      <xdr:colOff>728133</xdr:colOff>
      <xdr:row>314</xdr:row>
      <xdr:rowOff>67733</xdr:rowOff>
    </xdr:from>
    <xdr:to>
      <xdr:col>5</xdr:col>
      <xdr:colOff>203200</xdr:colOff>
      <xdr:row>317</xdr:row>
      <xdr:rowOff>169333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00000000-0008-0000-0D00-000025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3200" y="60358866"/>
          <a:ext cx="1066800" cy="660400"/>
        </a:xfrm>
        <a:prstGeom prst="rect">
          <a:avLst/>
        </a:prstGeom>
      </xdr:spPr>
    </xdr:pic>
    <xdr:clientData/>
  </xdr:twoCellAnchor>
  <xdr:twoCellAnchor editAs="oneCell">
    <xdr:from>
      <xdr:col>3</xdr:col>
      <xdr:colOff>787399</xdr:colOff>
      <xdr:row>376</xdr:row>
      <xdr:rowOff>76200</xdr:rowOff>
    </xdr:from>
    <xdr:to>
      <xdr:col>5</xdr:col>
      <xdr:colOff>262466</xdr:colOff>
      <xdr:row>379</xdr:row>
      <xdr:rowOff>177800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00000000-0008-0000-0D00-000026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2466" y="72322267"/>
          <a:ext cx="1066800" cy="660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438</xdr:row>
      <xdr:rowOff>25399</xdr:rowOff>
    </xdr:from>
    <xdr:to>
      <xdr:col>5</xdr:col>
      <xdr:colOff>270933</xdr:colOff>
      <xdr:row>441</xdr:row>
      <xdr:rowOff>126999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00000000-0008-0000-0D00-000027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0933" y="84260266"/>
          <a:ext cx="1066800" cy="660400"/>
        </a:xfrm>
        <a:prstGeom prst="rect">
          <a:avLst/>
        </a:prstGeom>
      </xdr:spPr>
    </xdr:pic>
    <xdr:clientData/>
  </xdr:twoCellAnchor>
  <xdr:twoCellAnchor editAs="oneCell">
    <xdr:from>
      <xdr:col>3</xdr:col>
      <xdr:colOff>787400</xdr:colOff>
      <xdr:row>500</xdr:row>
      <xdr:rowOff>50800</xdr:rowOff>
    </xdr:from>
    <xdr:to>
      <xdr:col>5</xdr:col>
      <xdr:colOff>262467</xdr:colOff>
      <xdr:row>503</xdr:row>
      <xdr:rowOff>152400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00000000-0008-0000-0D00-000028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2467" y="96274467"/>
          <a:ext cx="1066800" cy="660400"/>
        </a:xfrm>
        <a:prstGeom prst="rect">
          <a:avLst/>
        </a:prstGeom>
      </xdr:spPr>
    </xdr:pic>
    <xdr:clientData/>
  </xdr:twoCellAnchor>
  <xdr:twoCellAnchor editAs="oneCell">
    <xdr:from>
      <xdr:col>3</xdr:col>
      <xdr:colOff>787399</xdr:colOff>
      <xdr:row>562</xdr:row>
      <xdr:rowOff>84667</xdr:rowOff>
    </xdr:from>
    <xdr:to>
      <xdr:col>5</xdr:col>
      <xdr:colOff>262466</xdr:colOff>
      <xdr:row>566</xdr:row>
      <xdr:rowOff>1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00000000-0008-0000-0D00-000029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2466" y="108373334"/>
          <a:ext cx="1066800" cy="660400"/>
        </a:xfrm>
        <a:prstGeom prst="rect">
          <a:avLst/>
        </a:prstGeom>
      </xdr:spPr>
    </xdr:pic>
    <xdr:clientData/>
  </xdr:twoCellAnchor>
  <xdr:twoCellAnchor editAs="oneCell">
    <xdr:from>
      <xdr:col>3</xdr:col>
      <xdr:colOff>761999</xdr:colOff>
      <xdr:row>624</xdr:row>
      <xdr:rowOff>8467</xdr:rowOff>
    </xdr:from>
    <xdr:to>
      <xdr:col>5</xdr:col>
      <xdr:colOff>237066</xdr:colOff>
      <xdr:row>627</xdr:row>
      <xdr:rowOff>110067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00000000-0008-0000-0D00-00002A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7066" y="120294400"/>
          <a:ext cx="1066800" cy="660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686</xdr:row>
      <xdr:rowOff>8468</xdr:rowOff>
    </xdr:from>
    <xdr:to>
      <xdr:col>5</xdr:col>
      <xdr:colOff>270933</xdr:colOff>
      <xdr:row>689</xdr:row>
      <xdr:rowOff>110068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00000000-0008-0000-0D00-00002B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0933" y="132511801"/>
          <a:ext cx="1066800" cy="660400"/>
        </a:xfrm>
        <a:prstGeom prst="rect">
          <a:avLst/>
        </a:prstGeom>
      </xdr:spPr>
    </xdr:pic>
    <xdr:clientData/>
  </xdr:twoCellAnchor>
  <xdr:twoCellAnchor editAs="oneCell">
    <xdr:from>
      <xdr:col>3</xdr:col>
      <xdr:colOff>787400</xdr:colOff>
      <xdr:row>748</xdr:row>
      <xdr:rowOff>16933</xdr:rowOff>
    </xdr:from>
    <xdr:to>
      <xdr:col>5</xdr:col>
      <xdr:colOff>262467</xdr:colOff>
      <xdr:row>751</xdr:row>
      <xdr:rowOff>118533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00000000-0008-0000-0D00-00002C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2467" y="144619133"/>
          <a:ext cx="1066800" cy="6604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79378</xdr:colOff>
      <xdr:row>0</xdr:row>
      <xdr:rowOff>190500</xdr:rowOff>
    </xdr:from>
    <xdr:to>
      <xdr:col>6</xdr:col>
      <xdr:colOff>827503</xdr:colOff>
      <xdr:row>2</xdr:row>
      <xdr:rowOff>519000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38166BD-B070-4B41-ABF7-6E29AB4A71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6128" y="190500"/>
          <a:ext cx="748125" cy="900000"/>
        </a:xfrm>
        <a:prstGeom prst="rect">
          <a:avLst/>
        </a:prstGeom>
      </xdr:spPr>
    </xdr:pic>
    <xdr:clientData/>
  </xdr:twoCellAnchor>
  <xdr:twoCellAnchor editAs="oneCell">
    <xdr:from>
      <xdr:col>7</xdr:col>
      <xdr:colOff>99387</xdr:colOff>
      <xdr:row>1</xdr:row>
      <xdr:rowOff>87515</xdr:rowOff>
    </xdr:from>
    <xdr:to>
      <xdr:col>7</xdr:col>
      <xdr:colOff>918232</xdr:colOff>
      <xdr:row>2</xdr:row>
      <xdr:rowOff>357640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5C6B210-81E5-4A96-80DC-B8FDE62DEB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36887" y="389140"/>
          <a:ext cx="818845" cy="5400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708660</xdr:colOff>
      <xdr:row>27</xdr:row>
      <xdr:rowOff>22860</xdr:rowOff>
    </xdr:from>
    <xdr:to>
      <xdr:col>1</xdr:col>
      <xdr:colOff>1681480</xdr:colOff>
      <xdr:row>33</xdr:row>
      <xdr:rowOff>27941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660" y="6065520"/>
          <a:ext cx="1765300" cy="1102361"/>
        </a:xfrm>
        <a:prstGeom prst="rect">
          <a:avLst/>
        </a:prstGeom>
      </xdr:spPr>
    </xdr:pic>
    <xdr:clientData/>
  </xdr:twoCellAnchor>
  <xdr:twoCellAnchor editAs="oneCell">
    <xdr:from>
      <xdr:col>2</xdr:col>
      <xdr:colOff>369794</xdr:colOff>
      <xdr:row>0</xdr:row>
      <xdr:rowOff>112059</xdr:rowOff>
    </xdr:from>
    <xdr:to>
      <xdr:col>3</xdr:col>
      <xdr:colOff>266272</xdr:colOff>
      <xdr:row>2</xdr:row>
      <xdr:rowOff>406941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278DF99-3348-4A5D-B1B8-F0288F52E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7118" y="112059"/>
          <a:ext cx="748125" cy="9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358053</xdr:colOff>
      <xdr:row>2</xdr:row>
      <xdr:rowOff>433963</xdr:rowOff>
    </xdr:from>
    <xdr:to>
      <xdr:col>3</xdr:col>
      <xdr:colOff>325251</xdr:colOff>
      <xdr:row>4</xdr:row>
      <xdr:rowOff>77493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F300601-BB6B-46FD-9FB3-7EF17B705B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5377" y="1039081"/>
          <a:ext cx="818845" cy="5400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67770</xdr:colOff>
      <xdr:row>0</xdr:row>
      <xdr:rowOff>168089</xdr:rowOff>
    </xdr:from>
    <xdr:to>
      <xdr:col>0</xdr:col>
      <xdr:colOff>815895</xdr:colOff>
      <xdr:row>4</xdr:row>
      <xdr:rowOff>48354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D0F4179-DC9A-40A5-BA4C-979A451A9D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770" y="168089"/>
          <a:ext cx="748125" cy="9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930088</xdr:colOff>
      <xdr:row>0</xdr:row>
      <xdr:rowOff>310698</xdr:rowOff>
    </xdr:from>
    <xdr:to>
      <xdr:col>1</xdr:col>
      <xdr:colOff>191315</xdr:colOff>
      <xdr:row>3</xdr:row>
      <xdr:rowOff>21463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A30A042-4938-4B2A-825B-AC33A14ABD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0088" y="310698"/>
          <a:ext cx="818845" cy="540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:\Y:\H:\D:\vqicpysvr\VQ2008\Users\Laura\AppData\Local\Temp\SHARE\ESTIMA\P7020\PROYECTO\730\CAMBIOS\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:\Y:\H:\D:\10.6.75.177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Documents%20and%20Settings\Juan%20Arrubla\APU%20Secundaria%20Corvid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:\Y:\H:\D:\Vqicpysvr\VQ2008\SHARE\ESTIMA\P7020\PROYECTO\730\CAMBIOS\Z2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:\Y:\H:\D:\L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iblioteca%20no%20tocar\Documentos\SECRETARIA%20DE%20PLANEACION%20PUERTO%20NARE\01%20B%20PROYECTOS\07%20PAVIMENTACI&#211;N%20LA%20PESCA%20A%20LA%20SIERRA%20ETAPA1\09%20Presupuesto\Presupuesto%20de%20ob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PC3I2"/>
      <sheetName val="MPC3I3"/>
      <sheetName val="MPC3I4"/>
      <sheetName val="MPC3I5"/>
      <sheetName val="MPC3I1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INICIALES"/>
      <sheetName val="ENTIDADES"/>
      <sheetName val="PRESUPUESTO"/>
      <sheetName val="APU"/>
      <sheetName val="MEMORIAS"/>
      <sheetName val="AIU"/>
      <sheetName val="INSUMOS MATERIALES"/>
      <sheetName val="APU AUXILIARES"/>
      <sheetName val="INSUMOS EQUIPOS"/>
      <sheetName val="INSUMOS MANO DE OBRA"/>
      <sheetName val="PÓLIZAS OBRA"/>
      <sheetName val="PMT"/>
      <sheetName val="PMA"/>
      <sheetName val="PAPSO OBRA"/>
      <sheetName val="APU CARACTERIZACIÓN"/>
      <sheetName val="APU GEORREFERENCIACIÓN"/>
      <sheetName val="AJUSTE ESTUDIOS"/>
      <sheetName val="MATERIALES"/>
      <sheetName val="INSUMOS TRANSPORTES"/>
      <sheetName val="INSUMOS SERVICIOS"/>
      <sheetName val="EQUIPOS"/>
      <sheetName val="TRANSPORTES"/>
      <sheetName val="MANO DE OBRA"/>
      <sheetName val="SERVICIOS"/>
      <sheetName val="ANÁLISIS TRANSPORTES"/>
      <sheetName val="FP"/>
      <sheetName val="FACTOR PRESTACIONAL"/>
      <sheetName val="INTERVENTORÍA"/>
      <sheetName val="FM INTERVENTORÍA"/>
      <sheetName val="PÓLIZAS INTERVENTORÍA"/>
      <sheetName val="PAPSO INTERVENTORÍA"/>
    </sheetNames>
    <sheetDataSet>
      <sheetData sheetId="0">
        <row r="20">
          <cell r="B20">
            <v>10</v>
          </cell>
        </row>
      </sheetData>
      <sheetData sheetId="1"/>
      <sheetData sheetId="2"/>
      <sheetData sheetId="3"/>
      <sheetData sheetId="4"/>
      <sheetData sheetId="5"/>
      <sheetData sheetId="6">
        <row r="8">
          <cell r="A8">
            <v>0</v>
          </cell>
        </row>
      </sheetData>
      <sheetData sheetId="7"/>
      <sheetData sheetId="8">
        <row r="8">
          <cell r="B8" t="str">
            <v>HERRAMIENTA MENOR (5% DE LA MANO DE OBRA)</v>
          </cell>
        </row>
      </sheetData>
      <sheetData sheetId="9">
        <row r="8">
          <cell r="B8" t="str">
            <v>DIRECTOR DE OBRA</v>
          </cell>
        </row>
        <row r="9">
          <cell r="B9" t="str">
            <v>DIRECTOR DE INTERVENTORÍA</v>
          </cell>
        </row>
        <row r="10">
          <cell r="B10" t="str">
            <v>RESIDENTE DE OBRA</v>
          </cell>
        </row>
        <row r="11">
          <cell r="B11" t="str">
            <v>RESIDENTE DE INTERVENTORÍA</v>
          </cell>
        </row>
        <row r="12">
          <cell r="B12" t="str">
            <v>RESIDENTE AMBIENTAL</v>
          </cell>
        </row>
        <row r="13">
          <cell r="B13" t="str">
            <v>RESIDENTE SOCIAL</v>
          </cell>
        </row>
        <row r="14">
          <cell r="B14" t="str">
            <v>AUXILIAR DE RESIDENCIA</v>
          </cell>
        </row>
        <row r="15">
          <cell r="B15" t="str">
            <v>TECNÓLOGO SST</v>
          </cell>
        </row>
        <row r="16">
          <cell r="B16" t="str">
            <v>ASESOR LEGAL</v>
          </cell>
        </row>
        <row r="17">
          <cell r="B17" t="str">
            <v>CONTADOR</v>
          </cell>
        </row>
        <row r="18">
          <cell r="B18" t="str">
            <v>ALMACENISTA</v>
          </cell>
        </row>
        <row r="19">
          <cell r="B19" t="str">
            <v>AUXILIAR DE ALMACÉN</v>
          </cell>
        </row>
        <row r="20">
          <cell r="B20" t="str">
            <v>SECRETARIA</v>
          </cell>
        </row>
        <row r="21">
          <cell r="B21" t="str">
            <v>MENSAJERO</v>
          </cell>
        </row>
        <row r="22">
          <cell r="B22" t="str">
            <v>VIGILANTE</v>
          </cell>
        </row>
        <row r="23">
          <cell r="B23" t="str">
            <v>TOPÓGRAFO</v>
          </cell>
        </row>
        <row r="24">
          <cell r="B24" t="str">
            <v>CADENERO 1</v>
          </cell>
        </row>
        <row r="25">
          <cell r="B25" t="str">
            <v>CADENERO 2</v>
          </cell>
        </row>
        <row r="26">
          <cell r="B26" t="str">
            <v>MAESTRO PRIMERO</v>
          </cell>
        </row>
        <row r="27">
          <cell r="B27" t="str">
            <v>MAESTRO SEGUNDO</v>
          </cell>
        </row>
        <row r="28">
          <cell r="B28" t="str">
            <v>OFICIAL ELÉCTRICO</v>
          </cell>
        </row>
        <row r="29">
          <cell r="B29" t="str">
            <v>AYUDANTE ELÉCTRICO</v>
          </cell>
        </row>
        <row r="30">
          <cell r="B30" t="str">
            <v>OFICIAL PLOMERO</v>
          </cell>
        </row>
        <row r="31">
          <cell r="B31" t="str">
            <v>AYUDANTE PLOMERO</v>
          </cell>
        </row>
        <row r="32">
          <cell r="B32" t="str">
            <v>OFICIAL CARPINTERO</v>
          </cell>
        </row>
        <row r="33">
          <cell r="B33" t="str">
            <v>AYUDANTE CARPINTERO</v>
          </cell>
        </row>
        <row r="34">
          <cell r="B34" t="str">
            <v>OFICIAL PINTOR</v>
          </cell>
        </row>
        <row r="35">
          <cell r="B35" t="str">
            <v>OFICIAL DE OBRA BLANCA</v>
          </cell>
        </row>
        <row r="36">
          <cell r="B36" t="str">
            <v>OFICIAL DE OBRA NEGRA</v>
          </cell>
        </row>
        <row r="37">
          <cell r="B37" t="str">
            <v>OFICIAL HIERRO</v>
          </cell>
        </row>
        <row r="38">
          <cell r="B38" t="str">
            <v>AYUDANTE ENTENDIDO</v>
          </cell>
        </row>
        <row r="39">
          <cell r="B39" t="str">
            <v>AYUDANTE RASO</v>
          </cell>
        </row>
        <row r="40">
          <cell r="B40" t="str">
            <v>OPERADOR EQUIPO LIVIANO</v>
          </cell>
        </row>
        <row r="41">
          <cell r="B41" t="str">
            <v>OPERADOR EQUIPO MEDIANO</v>
          </cell>
        </row>
        <row r="42">
          <cell r="B42" t="str">
            <v>OPERADOR EQUIPO PESADO</v>
          </cell>
        </row>
        <row r="43">
          <cell r="B43" t="str">
            <v>AUXILIAR HERRAMIENTA</v>
          </cell>
        </row>
        <row r="44">
          <cell r="B44" t="str">
            <v>PATIERO</v>
          </cell>
        </row>
        <row r="45">
          <cell r="B45" t="str">
            <v>AUXILIAR PARE-SIGA</v>
          </cell>
        </row>
        <row r="46">
          <cell r="B46" t="str">
            <v>INGENIERO SIG</v>
          </cell>
        </row>
        <row r="47">
          <cell r="B47" t="str">
            <v>TECNÓLOGO SIG</v>
          </cell>
        </row>
        <row r="48">
          <cell r="B48" t="str">
            <v>DIRECTOR DE CONSULTORÍA</v>
          </cell>
        </row>
        <row r="49">
          <cell r="B49" t="str">
            <v>DIBUJANTE</v>
          </cell>
        </row>
        <row r="50">
          <cell r="B50" t="str">
            <v>INGENIERO ESPECIALISTA GEOTECNIA</v>
          </cell>
        </row>
        <row r="51">
          <cell r="B51" t="str">
            <v>GEÓLOGO</v>
          </cell>
        </row>
        <row r="52">
          <cell r="B52" t="str">
            <v xml:space="preserve">ARQUITECTO ESPECIALISTA URBANISMO </v>
          </cell>
        </row>
        <row r="53">
          <cell r="B53" t="str">
            <v>ARQUITECTO ESPECIALISTA PAISAJISMO</v>
          </cell>
        </row>
        <row r="54">
          <cell r="B54" t="str">
            <v>ARQUITECTO DISEÑADOR</v>
          </cell>
        </row>
        <row r="55">
          <cell r="B55" t="str">
            <v>INGENIERO ESPECIALISTA ESTRUCTURAL</v>
          </cell>
        </row>
        <row r="56">
          <cell r="B56" t="str">
            <v>INGENIERO REVISOR ESTRUCTURAL</v>
          </cell>
        </row>
        <row r="57">
          <cell r="B57" t="str">
            <v>INGENIERO ESPECIALISTA HIDRÁULICO</v>
          </cell>
        </row>
        <row r="58">
          <cell r="B58" t="str">
            <v>INGENIERO ELECTRICISTA</v>
          </cell>
        </row>
        <row r="59">
          <cell r="B59" t="str">
            <v>INGENIERO AMBIENTAL</v>
          </cell>
        </row>
        <row r="60">
          <cell r="B60" t="str">
            <v>INGENIERO FORESTAL</v>
          </cell>
        </row>
        <row r="61">
          <cell r="B61" t="str">
            <v>TÉCNICO AMBIENTAL</v>
          </cell>
        </row>
        <row r="62">
          <cell r="B62" t="str">
            <v/>
          </cell>
        </row>
        <row r="63">
          <cell r="B63" t="str">
            <v/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8">
          <cell r="B8" t="str">
            <v>TRANSPORTE DE INSUMOS GENERALES</v>
          </cell>
        </row>
      </sheetData>
      <sheetData sheetId="19">
        <row r="8">
          <cell r="B8" t="str">
            <v>ADQUISICIÓN DE CARTOGRAFIA (IMÁGENES DE SATELITE Y FOTOS AÉREAS EXISTENTES) S/COMPROBANTE PAGO</v>
          </cell>
        </row>
        <row r="9">
          <cell r="B9" t="str">
            <v>ARRIENDO OFICINA DE CAMPO + DOTACIÓN</v>
          </cell>
        </row>
        <row r="10">
          <cell r="B10" t="str">
            <v>COMISIÓN TOPOGRÁFICA (1 TOP. + 1 CAD. 1 + 1 CAD. 2)</v>
          </cell>
        </row>
        <row r="11">
          <cell r="B11" t="str">
            <v>COMISIÓN TOPOGRÁFICA (1 TOP. + 1 CAD. 1)</v>
          </cell>
        </row>
        <row r="12">
          <cell r="B12" t="str">
            <v>Compactación, densidad, estabilidad y flujo por briqueta para asfaltos</v>
          </cell>
        </row>
        <row r="13">
          <cell r="B13" t="str">
            <v>DERECHO A BOTADERO</v>
          </cell>
        </row>
        <row r="14">
          <cell r="B14" t="str">
            <v>Determinación de terrones de arcilla y partículas deleznables en los agregados</v>
          </cell>
        </row>
        <row r="15">
          <cell r="B15" t="str">
            <v>Diseños de mezcla para una resistencia determinada (Incluye ensayos a agregados y verificación de resistencia)</v>
          </cell>
        </row>
        <row r="16">
          <cell r="B16" t="str">
            <v>Densidad de compactación del suelo en campo, método del cono de arena</v>
          </cell>
        </row>
        <row r="17">
          <cell r="B17" t="str">
            <v>Granulometría por tamizado con lavado sobre tamiz No 200</v>
          </cell>
        </row>
        <row r="18">
          <cell r="B18" t="str">
            <v>Relación de Soporte del Suelo en el laboratorio (CBR en el laboratorio) remodelado y sumergido. Suelos granulares (3 puntos)</v>
          </cell>
        </row>
        <row r="19">
          <cell r="B19" t="str">
            <v>Relaciones de humedad - masa unitaria seca en los suelos (ensayo modificado de compactación - Proctor Modificado) con corrección del peso unitario y contenido de agua</v>
          </cell>
        </row>
        <row r="20">
          <cell r="B20" t="str">
            <v>Resistencia a la compresión de cilindros de concreto (método normal)</v>
          </cell>
        </row>
        <row r="21">
          <cell r="B21" t="str">
            <v>Resistencia al desgaste de los agregados de tamaños menores a 37,5 mm (1 1/2") por medio de la máquina de los ángeles.</v>
          </cell>
        </row>
        <row r="22">
          <cell r="B22">
            <v>0</v>
          </cell>
        </row>
        <row r="23">
          <cell r="B23">
            <v>0</v>
          </cell>
        </row>
        <row r="24">
          <cell r="B24">
            <v>0</v>
          </cell>
        </row>
        <row r="25">
          <cell r="B25">
            <v>0</v>
          </cell>
        </row>
        <row r="26">
          <cell r="B26">
            <v>0</v>
          </cell>
        </row>
        <row r="27">
          <cell r="B27">
            <v>0</v>
          </cell>
        </row>
        <row r="28">
          <cell r="B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</row>
        <row r="32">
          <cell r="B32">
            <v>0</v>
          </cell>
        </row>
        <row r="33">
          <cell r="B33">
            <v>0</v>
          </cell>
        </row>
        <row r="34">
          <cell r="B34">
            <v>0</v>
          </cell>
        </row>
        <row r="35">
          <cell r="B35">
            <v>0</v>
          </cell>
        </row>
        <row r="36">
          <cell r="B36">
            <v>0</v>
          </cell>
        </row>
        <row r="37">
          <cell r="B37">
            <v>0</v>
          </cell>
        </row>
        <row r="38">
          <cell r="B38">
            <v>0</v>
          </cell>
        </row>
        <row r="39">
          <cell r="B39">
            <v>0</v>
          </cell>
        </row>
        <row r="40">
          <cell r="B40">
            <v>0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44">
          <cell r="B44">
            <v>0</v>
          </cell>
        </row>
        <row r="45">
          <cell r="B45">
            <v>0</v>
          </cell>
        </row>
        <row r="46">
          <cell r="B46">
            <v>0</v>
          </cell>
        </row>
        <row r="47">
          <cell r="B47">
            <v>0</v>
          </cell>
        </row>
        <row r="48">
          <cell r="B48">
            <v>0</v>
          </cell>
        </row>
        <row r="49">
          <cell r="B49">
            <v>0</v>
          </cell>
        </row>
        <row r="50">
          <cell r="B50">
            <v>0</v>
          </cell>
        </row>
        <row r="51">
          <cell r="B51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estatuto.co/?e=1460" TargetMode="External"/><Relationship Id="rId1" Type="http://schemas.openxmlformats.org/officeDocument/2006/relationships/hyperlink" Target="https://www.funcionpublica.gov.co/eva/gestornormativo/norma.php?i=5536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6"/>
  <sheetViews>
    <sheetView view="pageBreakPreview" zoomScale="115" zoomScaleNormal="60" zoomScaleSheetLayoutView="115" workbookViewId="0">
      <selection activeCell="C3" sqref="C3"/>
    </sheetView>
  </sheetViews>
  <sheetFormatPr baseColWidth="10" defaultRowHeight="15" x14ac:dyDescent="0.25"/>
  <cols>
    <col min="1" max="1" width="57.42578125" customWidth="1"/>
    <col min="2" max="2" width="56.5703125" customWidth="1"/>
    <col min="3" max="3" width="55.5703125" customWidth="1"/>
  </cols>
  <sheetData>
    <row r="1" spans="1:3" ht="26.25" x14ac:dyDescent="0.25">
      <c r="B1" s="1" t="s">
        <v>0</v>
      </c>
    </row>
    <row r="2" spans="1:3" ht="21" x14ac:dyDescent="0.25">
      <c r="B2" s="2" t="s">
        <v>783</v>
      </c>
    </row>
    <row r="3" spans="1:3" ht="48.6" customHeight="1" x14ac:dyDescent="0.25">
      <c r="B3" s="3" t="str">
        <f>B7</f>
        <v>REPOSICIÓN, AMPLIACIÓN Y REPARACIÓN DE LUMINARIAS QUE HACEN PARTE DE LA RED DE ALUMBRADOPÚBLICO DEL PARQUE PRINCIPAL Y CORREGIMIENTO SAN JOSÉ DE URAMA DEL MUNICIPIO DE DABEIBA.</v>
      </c>
    </row>
    <row r="4" spans="1:3" ht="7.15" customHeight="1" x14ac:dyDescent="0.25">
      <c r="B4" s="4"/>
    </row>
    <row r="5" spans="1:3" x14ac:dyDescent="0.25">
      <c r="B5" s="5" t="s">
        <v>1</v>
      </c>
    </row>
    <row r="6" spans="1:3" x14ac:dyDescent="0.25">
      <c r="A6" s="6" t="s">
        <v>2</v>
      </c>
      <c r="B6" s="226" t="s">
        <v>783</v>
      </c>
      <c r="C6" s="12" t="s">
        <v>23</v>
      </c>
    </row>
    <row r="7" spans="1:3" ht="57.6" customHeight="1" x14ac:dyDescent="0.25">
      <c r="A7" s="6" t="s">
        <v>3</v>
      </c>
      <c r="B7" s="247" t="s">
        <v>813</v>
      </c>
      <c r="C7" s="12" t="s">
        <v>24</v>
      </c>
    </row>
    <row r="8" spans="1:3" ht="30" x14ac:dyDescent="0.25">
      <c r="A8" s="6" t="s">
        <v>4</v>
      </c>
      <c r="B8" s="7" t="s">
        <v>784</v>
      </c>
      <c r="C8" s="12" t="s">
        <v>25</v>
      </c>
    </row>
    <row r="9" spans="1:3" x14ac:dyDescent="0.25">
      <c r="A9" s="6" t="s">
        <v>5</v>
      </c>
      <c r="B9" s="7" t="s">
        <v>785</v>
      </c>
      <c r="C9" s="12" t="s">
        <v>26</v>
      </c>
    </row>
    <row r="10" spans="1:3" ht="48.6" customHeight="1" x14ac:dyDescent="0.25">
      <c r="A10" s="6" t="s">
        <v>6</v>
      </c>
      <c r="B10" s="227" t="s">
        <v>814</v>
      </c>
      <c r="C10" s="12" t="s">
        <v>27</v>
      </c>
    </row>
    <row r="11" spans="1:3" ht="30" x14ac:dyDescent="0.25">
      <c r="A11" s="6" t="s">
        <v>7</v>
      </c>
      <c r="B11" s="7" t="s">
        <v>786</v>
      </c>
      <c r="C11" s="12" t="s">
        <v>28</v>
      </c>
    </row>
    <row r="12" spans="1:3" x14ac:dyDescent="0.25">
      <c r="A12" s="6" t="s">
        <v>8</v>
      </c>
      <c r="B12" s="8">
        <v>1300000</v>
      </c>
      <c r="C12" s="12"/>
    </row>
    <row r="13" spans="1:3" x14ac:dyDescent="0.25">
      <c r="A13" s="6" t="s">
        <v>9</v>
      </c>
      <c r="B13" s="8">
        <v>162000</v>
      </c>
      <c r="C13" s="12"/>
    </row>
    <row r="14" spans="1:3" ht="14.45" customHeight="1" x14ac:dyDescent="0.25">
      <c r="A14" s="6" t="s">
        <v>10</v>
      </c>
      <c r="B14" s="7" t="s">
        <v>21</v>
      </c>
      <c r="C14" s="332" t="s">
        <v>29</v>
      </c>
    </row>
    <row r="15" spans="1:3" x14ac:dyDescent="0.25">
      <c r="A15" s="6" t="s">
        <v>11</v>
      </c>
      <c r="B15" s="7" t="s">
        <v>21</v>
      </c>
      <c r="C15" s="332"/>
    </row>
    <row r="16" spans="1:3" ht="30" x14ac:dyDescent="0.25">
      <c r="A16" s="6" t="s">
        <v>12</v>
      </c>
      <c r="B16" s="7" t="s">
        <v>22</v>
      </c>
      <c r="C16" s="13" t="s">
        <v>30</v>
      </c>
    </row>
    <row r="17" spans="1:3" x14ac:dyDescent="0.25">
      <c r="A17" s="6" t="s">
        <v>13</v>
      </c>
      <c r="B17" s="9">
        <f>+IF(B16="I",0.522%,IF(B16="II",1.044%,IF(B16="III",2.436%,IF(B16="IV",4.35%,6.96%))))</f>
        <v>6.9599999999999995E-2</v>
      </c>
      <c r="C17" s="12"/>
    </row>
    <row r="18" spans="1:3" x14ac:dyDescent="0.25">
      <c r="A18" s="6" t="s">
        <v>14</v>
      </c>
      <c r="B18" s="10">
        <v>3</v>
      </c>
      <c r="C18" s="12" t="s">
        <v>31</v>
      </c>
    </row>
    <row r="19" spans="1:3" ht="30" x14ac:dyDescent="0.25">
      <c r="A19" s="6" t="s">
        <v>15</v>
      </c>
      <c r="B19" s="11">
        <v>4</v>
      </c>
      <c r="C19" s="12" t="s">
        <v>32</v>
      </c>
    </row>
    <row r="20" spans="1:3" ht="30" x14ac:dyDescent="0.25">
      <c r="A20" s="6" t="s">
        <v>16</v>
      </c>
      <c r="B20" s="11">
        <v>4</v>
      </c>
      <c r="C20" s="12" t="s">
        <v>33</v>
      </c>
    </row>
    <row r="21" spans="1:3" ht="67.150000000000006" customHeight="1" x14ac:dyDescent="0.25">
      <c r="A21" s="6" t="s">
        <v>547</v>
      </c>
      <c r="B21" s="11">
        <v>120</v>
      </c>
      <c r="C21" s="12" t="s">
        <v>34</v>
      </c>
    </row>
    <row r="22" spans="1:3" ht="52.9" customHeight="1" x14ac:dyDescent="0.25">
      <c r="A22" s="6" t="s">
        <v>552</v>
      </c>
      <c r="B22" s="11">
        <v>120</v>
      </c>
      <c r="C22" s="12" t="s">
        <v>34</v>
      </c>
    </row>
    <row r="23" spans="1:3" ht="30" x14ac:dyDescent="0.25">
      <c r="A23" s="6" t="s">
        <v>17</v>
      </c>
      <c r="B23" s="11">
        <v>120</v>
      </c>
      <c r="C23" s="12" t="s">
        <v>35</v>
      </c>
    </row>
    <row r="24" spans="1:3" ht="30" x14ac:dyDescent="0.25">
      <c r="A24" s="6" t="s">
        <v>18</v>
      </c>
      <c r="B24" s="11">
        <v>180</v>
      </c>
      <c r="C24" s="12" t="s">
        <v>36</v>
      </c>
    </row>
    <row r="25" spans="1:3" ht="30" x14ac:dyDescent="0.25">
      <c r="A25" s="6" t="s">
        <v>19</v>
      </c>
      <c r="B25" s="11">
        <v>175</v>
      </c>
      <c r="C25" s="12" t="s">
        <v>37</v>
      </c>
    </row>
    <row r="26" spans="1:3" ht="45" x14ac:dyDescent="0.25">
      <c r="A26" s="6" t="s">
        <v>20</v>
      </c>
      <c r="B26" s="7" t="s">
        <v>21</v>
      </c>
      <c r="C26" s="12" t="s">
        <v>38</v>
      </c>
    </row>
    <row r="29" spans="1:3" x14ac:dyDescent="0.25">
      <c r="A29" s="333"/>
      <c r="B29" s="333"/>
    </row>
    <row r="30" spans="1:3" ht="109.15" customHeight="1" x14ac:dyDescent="0.25">
      <c r="A30" s="333"/>
      <c r="B30" s="333"/>
    </row>
    <row r="31" spans="1:3" x14ac:dyDescent="0.25">
      <c r="A31" s="228" t="s">
        <v>787</v>
      </c>
    </row>
    <row r="32" spans="1:3" x14ac:dyDescent="0.25">
      <c r="A32" t="s">
        <v>598</v>
      </c>
    </row>
    <row r="46" spans="1:2" ht="16.5" x14ac:dyDescent="0.3">
      <c r="A46" s="14" t="s">
        <v>40</v>
      </c>
      <c r="B46" s="15" t="s">
        <v>39</v>
      </c>
    </row>
  </sheetData>
  <protectedRanges>
    <protectedRange sqref="B6:B11 B14:B16 B18:B26" name="Rango1"/>
  </protectedRanges>
  <mergeCells count="2">
    <mergeCell ref="C14:C15"/>
    <mergeCell ref="A29:B30"/>
  </mergeCells>
  <dataValidations disablePrompts="1" count="4">
    <dataValidation type="whole" operator="greaterThanOrEqual" allowBlank="1" showInputMessage="1" showErrorMessage="1" sqref="B12:B13" xr:uid="{00000000-0002-0000-0000-000000000000}">
      <formula1>0</formula1>
    </dataValidation>
    <dataValidation type="list" allowBlank="1" showInputMessage="1" showErrorMessage="1" sqref="B6" xr:uid="{00000000-0002-0000-0000-000001000000}">
      <formula1>ENTIDADES</formula1>
    </dataValidation>
    <dataValidation type="list" allowBlank="1" showInputMessage="1" showErrorMessage="1" error="SI O NO" sqref="B14:B15 B26" xr:uid="{00000000-0002-0000-0000-000002000000}">
      <formula1>"SI,NO"</formula1>
    </dataValidation>
    <dataValidation type="list" allowBlank="1" showInputMessage="1" showErrorMessage="1" error="DEBE COLOCARSE UNO DE LOS NIVELES DE RIESGO: I, II, III, IV O V" sqref="B16" xr:uid="{00000000-0002-0000-0000-000003000000}">
      <formula1>"I,II,III,IV,V"</formula1>
    </dataValidation>
  </dataValidations>
  <hyperlinks>
    <hyperlink ref="C16" r:id="rId1" display="Ver " xr:uid="{00000000-0004-0000-0000-000000000000}"/>
    <hyperlink ref="C14:C15" r:id="rId2" display="Ver artículo 114-1 del Estatuto Tributario. Cabe aclarar que, al momento de proyectar los documentos del proceso de selección, deberá incluirse el método o procedimiento mediante el cual la Administración se asegurará de que, si el contratista elegido es de naturaleza contraria a esta decisión, el equilibrio contractual se encuentre garantizado." xr:uid="{00000000-0004-0000-0000-000001000000}"/>
  </hyperlinks>
  <pageMargins left="0.7" right="0.7" top="0.75" bottom="0.75" header="0.3" footer="0.3"/>
  <pageSetup scale="71" orientation="portrait" r:id="rId3"/>
  <colBreaks count="1" manualBreakCount="1">
    <brk id="2" max="36" man="1"/>
  </colBreaks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D38A0-C051-446B-920A-14707064A4F9}">
  <dimension ref="A1:O24"/>
  <sheetViews>
    <sheetView tabSelected="1" view="pageBreakPreview" topLeftCell="A16" zoomScale="60" zoomScaleNormal="60" workbookViewId="0">
      <selection activeCell="A5" sqref="A5:D5"/>
    </sheetView>
  </sheetViews>
  <sheetFormatPr baseColWidth="10" defaultRowHeight="15" x14ac:dyDescent="0.25"/>
  <cols>
    <col min="1" max="1" width="11.42578125" style="253"/>
    <col min="2" max="2" width="0" style="252" hidden="1" customWidth="1"/>
    <col min="3" max="3" width="15.140625" hidden="1" customWidth="1"/>
    <col min="4" max="4" width="100.28515625" customWidth="1"/>
    <col min="5" max="6" width="20.42578125" style="253" customWidth="1"/>
    <col min="7" max="7" width="18.42578125" style="183" customWidth="1"/>
    <col min="8" max="8" width="24.85546875" style="253" customWidth="1"/>
    <col min="9" max="9" width="21" style="223" customWidth="1"/>
    <col min="10" max="10" width="18.7109375" style="220" bestFit="1" customWidth="1"/>
    <col min="11" max="11" width="21.28515625" style="220" customWidth="1"/>
    <col min="12" max="12" width="17.7109375" style="220" bestFit="1" customWidth="1"/>
    <col min="13" max="13" width="18.140625" style="220" bestFit="1" customWidth="1"/>
    <col min="14" max="14" width="16" style="220" customWidth="1"/>
    <col min="15" max="15" width="18.5703125" style="220" customWidth="1"/>
  </cols>
  <sheetData>
    <row r="1" spans="1:15" ht="26.25" x14ac:dyDescent="0.25">
      <c r="A1" s="513" t="s">
        <v>0</v>
      </c>
      <c r="B1" s="514"/>
      <c r="C1" s="514"/>
      <c r="D1" s="514"/>
      <c r="E1" s="515"/>
      <c r="F1" s="516"/>
      <c r="G1" s="516"/>
      <c r="H1" s="517"/>
    </row>
    <row r="2" spans="1:15" ht="20.25" x14ac:dyDescent="0.25">
      <c r="A2" s="518" t="str">
        <f>'DATOS INICIALES'!B2</f>
        <v>MUNICIPIO DE DABEIBA</v>
      </c>
      <c r="B2" s="519"/>
      <c r="C2" s="519"/>
      <c r="D2" s="519"/>
      <c r="E2" s="520"/>
      <c r="F2" s="521"/>
      <c r="G2" s="521"/>
      <c r="H2" s="522"/>
    </row>
    <row r="3" spans="1:15" ht="120.75" customHeight="1" x14ac:dyDescent="0.25">
      <c r="A3" s="562" t="str">
        <f>'DATOS INICIALES'!B3</f>
        <v>REPOSICIÓN, AMPLIACIÓN Y REPARACIÓN DE LUMINARIAS QUE HACEN PARTE DE LA RED DE ALUMBRADOPÚBLICO DEL PARQUE PRINCIPAL Y CORREGIMIENTO SAN JOSÉ DE URAMA DEL MUNICIPIO DE DABEIBA.</v>
      </c>
      <c r="B3" s="563"/>
      <c r="C3" s="563"/>
      <c r="D3" s="563"/>
      <c r="E3" s="520"/>
      <c r="F3" s="521"/>
      <c r="G3" s="521"/>
      <c r="H3" s="522"/>
    </row>
    <row r="4" spans="1:15" x14ac:dyDescent="0.25">
      <c r="A4" s="523"/>
      <c r="B4" s="523"/>
      <c r="C4" s="524"/>
      <c r="D4" s="524"/>
      <c r="E4" s="520"/>
      <c r="F4" s="521"/>
      <c r="G4" s="521"/>
      <c r="H4" s="522"/>
    </row>
    <row r="5" spans="1:15" x14ac:dyDescent="0.25">
      <c r="A5" s="525"/>
      <c r="B5" s="526"/>
      <c r="C5" s="526"/>
      <c r="D5" s="526"/>
      <c r="E5" s="527"/>
      <c r="F5" s="528"/>
      <c r="G5" s="528"/>
      <c r="H5" s="529"/>
    </row>
    <row r="6" spans="1:15" ht="6" customHeight="1" x14ac:dyDescent="0.25">
      <c r="A6" s="530"/>
      <c r="B6" s="531"/>
      <c r="C6" s="532"/>
      <c r="D6" s="532"/>
      <c r="E6" s="530"/>
      <c r="F6" s="530"/>
      <c r="G6" s="533"/>
      <c r="H6" s="530"/>
    </row>
    <row r="7" spans="1:15" ht="20.25" x14ac:dyDescent="0.25">
      <c r="A7" s="534" t="s">
        <v>42</v>
      </c>
      <c r="B7" s="535" t="s">
        <v>43</v>
      </c>
      <c r="C7" s="535"/>
      <c r="D7" s="534" t="s">
        <v>44</v>
      </c>
      <c r="E7" s="534" t="s">
        <v>45</v>
      </c>
      <c r="F7" s="534" t="s">
        <v>46</v>
      </c>
      <c r="G7" s="536" t="s">
        <v>47</v>
      </c>
      <c r="H7" s="537" t="s">
        <v>48</v>
      </c>
      <c r="I7" s="353"/>
      <c r="J7" s="354"/>
      <c r="K7" s="354"/>
      <c r="L7" s="354"/>
      <c r="M7" s="354"/>
      <c r="N7" s="354"/>
      <c r="O7" s="354"/>
    </row>
    <row r="8" spans="1:15" ht="20.25" x14ac:dyDescent="0.25">
      <c r="A8" s="538"/>
      <c r="B8" s="539" t="s">
        <v>148</v>
      </c>
      <c r="C8" s="539" t="s">
        <v>149</v>
      </c>
      <c r="D8" s="538"/>
      <c r="E8" s="538"/>
      <c r="F8" s="538"/>
      <c r="G8" s="540"/>
      <c r="H8" s="541"/>
      <c r="I8" s="353"/>
      <c r="J8" s="354"/>
      <c r="K8" s="354"/>
      <c r="L8" s="354"/>
      <c r="M8" s="354"/>
      <c r="N8" s="354"/>
      <c r="O8" s="354"/>
    </row>
    <row r="9" spans="1:15" ht="81" x14ac:dyDescent="0.3">
      <c r="A9" s="542" t="s">
        <v>50</v>
      </c>
      <c r="B9" s="542"/>
      <c r="C9" s="543"/>
      <c r="D9" s="544" t="s">
        <v>815</v>
      </c>
      <c r="E9" s="542" t="s">
        <v>816</v>
      </c>
      <c r="F9" s="542">
        <f t="shared" ref="F9:F15" si="0">IF(A9=0,"",IFERROR(VLOOKUP($A9,MEMORIAS,8,0),""))</f>
        <v>23</v>
      </c>
      <c r="G9" s="545"/>
      <c r="H9" s="546"/>
      <c r="I9" s="224"/>
      <c r="K9" s="222"/>
      <c r="L9" s="242"/>
      <c r="O9" s="222"/>
    </row>
    <row r="10" spans="1:15" ht="84" customHeight="1" x14ac:dyDescent="0.25">
      <c r="A10" s="542" t="s">
        <v>484</v>
      </c>
      <c r="B10" s="542"/>
      <c r="C10" s="547"/>
      <c r="D10" s="544" t="s">
        <v>817</v>
      </c>
      <c r="E10" s="542" t="s">
        <v>816</v>
      </c>
      <c r="F10" s="542">
        <f t="shared" si="0"/>
        <v>21</v>
      </c>
      <c r="G10" s="545"/>
      <c r="H10" s="546"/>
      <c r="I10" s="224"/>
      <c r="O10" s="222"/>
    </row>
    <row r="11" spans="1:15" ht="84.75" customHeight="1" x14ac:dyDescent="0.25">
      <c r="A11" s="542" t="s">
        <v>781</v>
      </c>
      <c r="B11" s="542"/>
      <c r="C11" s="547"/>
      <c r="D11" s="548" t="s">
        <v>818</v>
      </c>
      <c r="E11" s="542" t="s">
        <v>819</v>
      </c>
      <c r="F11" s="542">
        <f t="shared" si="0"/>
        <v>69</v>
      </c>
      <c r="G11" s="545"/>
      <c r="H11" s="546"/>
      <c r="I11" s="224"/>
      <c r="O11" s="222"/>
    </row>
    <row r="12" spans="1:15" ht="97.5" customHeight="1" x14ac:dyDescent="0.25">
      <c r="A12" s="542" t="s">
        <v>782</v>
      </c>
      <c r="B12" s="542"/>
      <c r="C12" s="547"/>
      <c r="D12" s="548" t="s">
        <v>820</v>
      </c>
      <c r="E12" s="542" t="s">
        <v>816</v>
      </c>
      <c r="F12" s="542">
        <f t="shared" si="0"/>
        <v>69</v>
      </c>
      <c r="G12" s="545"/>
      <c r="H12" s="546"/>
      <c r="I12" s="224"/>
      <c r="O12" s="222"/>
    </row>
    <row r="13" spans="1:15" ht="84.75" customHeight="1" x14ac:dyDescent="0.25">
      <c r="A13" s="542" t="s">
        <v>790</v>
      </c>
      <c r="B13" s="542"/>
      <c r="C13" s="547"/>
      <c r="D13" s="548" t="s">
        <v>821</v>
      </c>
      <c r="E13" s="542" t="s">
        <v>816</v>
      </c>
      <c r="F13" s="542">
        <f t="shared" si="0"/>
        <v>21</v>
      </c>
      <c r="G13" s="545"/>
      <c r="H13" s="546"/>
      <c r="I13" s="224"/>
      <c r="O13" s="222"/>
    </row>
    <row r="14" spans="1:15" ht="87" customHeight="1" x14ac:dyDescent="0.3">
      <c r="A14" s="542" t="s">
        <v>791</v>
      </c>
      <c r="B14" s="549"/>
      <c r="C14" s="549"/>
      <c r="D14" s="548" t="s">
        <v>822</v>
      </c>
      <c r="E14" s="542" t="s">
        <v>816</v>
      </c>
      <c r="F14" s="542">
        <f t="shared" si="0"/>
        <v>22</v>
      </c>
      <c r="G14" s="545"/>
      <c r="H14" s="546"/>
      <c r="I14" s="224"/>
      <c r="O14" s="222"/>
    </row>
    <row r="15" spans="1:15" ht="72" customHeight="1" x14ac:dyDescent="0.3">
      <c r="A15" s="542" t="s">
        <v>792</v>
      </c>
      <c r="B15" s="550"/>
      <c r="C15" s="543"/>
      <c r="D15" s="548" t="s">
        <v>823</v>
      </c>
      <c r="E15" s="542" t="s">
        <v>819</v>
      </c>
      <c r="F15" s="542">
        <f t="shared" si="0"/>
        <v>23</v>
      </c>
      <c r="G15" s="545"/>
      <c r="H15" s="546"/>
      <c r="I15" s="224"/>
      <c r="O15" s="222"/>
    </row>
    <row r="16" spans="1:15" ht="20.25" customHeight="1" x14ac:dyDescent="0.3">
      <c r="A16" s="542"/>
      <c r="B16" s="550"/>
      <c r="C16" s="543"/>
      <c r="D16" s="551"/>
      <c r="E16" s="552" t="s">
        <v>62</v>
      </c>
      <c r="F16" s="553"/>
      <c r="G16" s="554"/>
      <c r="H16" s="555" t="str">
        <f>IF(SUM(H9:H15)=0,"",SUM(H9:H15))</f>
        <v/>
      </c>
      <c r="I16" s="224"/>
      <c r="O16" s="222"/>
    </row>
    <row r="17" spans="1:10" ht="17.45" customHeight="1" x14ac:dyDescent="0.25">
      <c r="A17" s="556" t="s">
        <v>513</v>
      </c>
      <c r="B17" s="556"/>
      <c r="C17" s="556"/>
      <c r="D17" s="556"/>
      <c r="E17" s="556"/>
      <c r="F17" s="556"/>
      <c r="G17" s="556"/>
      <c r="H17" s="557" t="str">
        <f>H16</f>
        <v/>
      </c>
      <c r="I17" s="225"/>
    </row>
    <row r="18" spans="1:10" ht="20.25" x14ac:dyDescent="0.25">
      <c r="A18" s="558" t="s">
        <v>514</v>
      </c>
      <c r="B18" s="558"/>
      <c r="C18" s="558"/>
      <c r="D18" s="558"/>
      <c r="E18" s="558"/>
      <c r="F18" s="558"/>
      <c r="G18" s="559"/>
      <c r="H18" s="560" t="str">
        <f>IFERROR($H$17*G18,"")</f>
        <v/>
      </c>
      <c r="J18" s="243"/>
    </row>
    <row r="19" spans="1:10" ht="20.25" x14ac:dyDescent="0.25">
      <c r="A19" s="558" t="s">
        <v>509</v>
      </c>
      <c r="B19" s="558"/>
      <c r="C19" s="558"/>
      <c r="D19" s="558"/>
      <c r="E19" s="558"/>
      <c r="F19" s="558"/>
      <c r="G19" s="561"/>
      <c r="H19" s="560" t="str">
        <f>IFERROR($H$17*G19,"")</f>
        <v/>
      </c>
    </row>
    <row r="20" spans="1:10" ht="20.25" x14ac:dyDescent="0.25">
      <c r="A20" s="556" t="s">
        <v>515</v>
      </c>
      <c r="B20" s="556"/>
      <c r="C20" s="556"/>
      <c r="D20" s="556"/>
      <c r="E20" s="556"/>
      <c r="F20" s="556"/>
      <c r="G20" s="556"/>
      <c r="H20" s="557"/>
    </row>
    <row r="21" spans="1:10" s="220" customFormat="1" ht="82.15" customHeight="1" x14ac:dyDescent="0.25">
      <c r="A21" s="340"/>
      <c r="B21" s="340"/>
      <c r="C21" s="340"/>
      <c r="D21"/>
      <c r="E21" s="253"/>
      <c r="F21" s="253"/>
      <c r="G21" s="183"/>
      <c r="H21" s="253"/>
      <c r="I21" s="223"/>
    </row>
    <row r="22" spans="1:10" s="220" customFormat="1" x14ac:dyDescent="0.25">
      <c r="A22" s="228"/>
      <c r="B22" s="252"/>
      <c r="C22"/>
      <c r="D22"/>
      <c r="E22" s="253"/>
      <c r="F22" s="253"/>
      <c r="G22" s="183"/>
      <c r="H22" s="253"/>
      <c r="I22" s="223"/>
    </row>
    <row r="23" spans="1:10" s="220" customFormat="1" x14ac:dyDescent="0.25">
      <c r="A23"/>
      <c r="B23" s="252"/>
      <c r="C23"/>
      <c r="D23"/>
      <c r="E23" s="253"/>
      <c r="F23" s="253"/>
      <c r="G23" s="183"/>
      <c r="H23" s="253"/>
      <c r="I23" s="223"/>
    </row>
    <row r="24" spans="1:10" s="220" customFormat="1" x14ac:dyDescent="0.25">
      <c r="A24" s="244"/>
      <c r="B24" s="252"/>
      <c r="C24"/>
      <c r="D24"/>
      <c r="E24" s="253"/>
      <c r="F24" s="253"/>
      <c r="G24" s="183"/>
      <c r="H24" s="253"/>
      <c r="I24" s="223"/>
    </row>
  </sheetData>
  <mergeCells count="25">
    <mergeCell ref="A19:F19"/>
    <mergeCell ref="A20:G20"/>
    <mergeCell ref="A21:C21"/>
    <mergeCell ref="M7:M8"/>
    <mergeCell ref="N7:N8"/>
    <mergeCell ref="O7:O8"/>
    <mergeCell ref="E16:G16"/>
    <mergeCell ref="A17:G17"/>
    <mergeCell ref="A18:F18"/>
    <mergeCell ref="G7:G8"/>
    <mergeCell ref="H7:H8"/>
    <mergeCell ref="I7:I8"/>
    <mergeCell ref="J7:J8"/>
    <mergeCell ref="K7:K8"/>
    <mergeCell ref="L7:L8"/>
    <mergeCell ref="A1:D1"/>
    <mergeCell ref="E1:H5"/>
    <mergeCell ref="A2:D2"/>
    <mergeCell ref="A3:D3"/>
    <mergeCell ref="A5:D5"/>
    <mergeCell ref="A7:A8"/>
    <mergeCell ref="B7:C7"/>
    <mergeCell ref="D7:D8"/>
    <mergeCell ref="E7:E8"/>
    <mergeCell ref="F7:F8"/>
  </mergeCells>
  <pageMargins left="0.7" right="0.7" top="0.75" bottom="0.75" header="0.3" footer="0.3"/>
  <pageSetup scale="46" orientation="portrait" horizontalDpi="4294967292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6"/>
  <sheetViews>
    <sheetView view="pageBreakPreview" zoomScale="60" zoomScaleNormal="60" workbookViewId="0">
      <selection activeCell="G18" sqref="G18"/>
    </sheetView>
  </sheetViews>
  <sheetFormatPr baseColWidth="10" defaultRowHeight="15" x14ac:dyDescent="0.25"/>
  <cols>
    <col min="1" max="1" width="11.42578125" style="180"/>
    <col min="2" max="2" width="0" style="17" hidden="1" customWidth="1"/>
    <col min="3" max="3" width="15.140625" hidden="1" customWidth="1"/>
    <col min="4" max="4" width="68.5703125" customWidth="1"/>
    <col min="5" max="6" width="11.42578125" style="180"/>
    <col min="7" max="7" width="18.42578125" style="183" customWidth="1"/>
    <col min="8" max="8" width="24.85546875" style="180" customWidth="1"/>
    <col min="9" max="9" width="21" style="223" customWidth="1"/>
    <col min="10" max="10" width="18.7109375" style="220" bestFit="1" customWidth="1"/>
    <col min="11" max="11" width="21.28515625" style="220" customWidth="1"/>
    <col min="12" max="12" width="17.7109375" style="220" bestFit="1" customWidth="1"/>
    <col min="13" max="13" width="18.140625" style="220" bestFit="1" customWidth="1"/>
    <col min="14" max="14" width="16" style="220" customWidth="1"/>
    <col min="15" max="15" width="18.5703125" style="220" customWidth="1"/>
  </cols>
  <sheetData>
    <row r="1" spans="1:15" ht="26.25" x14ac:dyDescent="0.25">
      <c r="A1" s="334" t="s">
        <v>0</v>
      </c>
      <c r="B1" s="335"/>
      <c r="C1" s="335"/>
      <c r="D1" s="335"/>
      <c r="E1" s="336"/>
      <c r="F1" s="337"/>
      <c r="G1" s="337"/>
      <c r="H1" s="338"/>
    </row>
    <row r="2" spans="1:15" ht="21" x14ac:dyDescent="0.25">
      <c r="A2" s="345" t="str">
        <f>'DATOS INICIALES'!B2</f>
        <v>MUNICIPIO DE DABEIBA</v>
      </c>
      <c r="B2" s="346"/>
      <c r="C2" s="346"/>
      <c r="D2" s="346"/>
      <c r="E2" s="339"/>
      <c r="F2" s="340"/>
      <c r="G2" s="340"/>
      <c r="H2" s="341"/>
    </row>
    <row r="3" spans="1:15" ht="45.6" customHeight="1" x14ac:dyDescent="0.25">
      <c r="A3" s="347" t="str">
        <f>'DATOS INICIALES'!B3</f>
        <v>REPOSICIÓN, AMPLIACIÓN Y REPARACIÓN DE LUMINARIAS QUE HACEN PARTE DE LA RED DE ALUMBRADOPÚBLICO DEL PARQUE PRINCIPAL Y CORREGIMIENTO SAN JOSÉ DE URAMA DEL MUNICIPIO DE DABEIBA.</v>
      </c>
      <c r="B3" s="348"/>
      <c r="C3" s="348"/>
      <c r="D3" s="348"/>
      <c r="E3" s="339"/>
      <c r="F3" s="340"/>
      <c r="G3" s="340"/>
      <c r="H3" s="341"/>
    </row>
    <row r="4" spans="1:15" x14ac:dyDescent="0.25">
      <c r="A4" s="16"/>
      <c r="B4" s="16"/>
      <c r="C4" s="4"/>
      <c r="D4" s="4"/>
      <c r="E4" s="339"/>
      <c r="F4" s="340"/>
      <c r="G4" s="340"/>
      <c r="H4" s="341"/>
    </row>
    <row r="5" spans="1:15" x14ac:dyDescent="0.25">
      <c r="A5" s="349" t="s">
        <v>41</v>
      </c>
      <c r="B5" s="350"/>
      <c r="C5" s="350"/>
      <c r="D5" s="350"/>
      <c r="E5" s="342"/>
      <c r="F5" s="343"/>
      <c r="G5" s="343"/>
      <c r="H5" s="344"/>
    </row>
    <row r="6" spans="1:15" ht="6" customHeight="1" x14ac:dyDescent="0.25"/>
    <row r="7" spans="1:15" x14ac:dyDescent="0.25">
      <c r="A7" s="355" t="s">
        <v>42</v>
      </c>
      <c r="B7" s="359" t="s">
        <v>43</v>
      </c>
      <c r="C7" s="359"/>
      <c r="D7" s="355" t="s">
        <v>44</v>
      </c>
      <c r="E7" s="355" t="s">
        <v>45</v>
      </c>
      <c r="F7" s="355" t="s">
        <v>46</v>
      </c>
      <c r="G7" s="363" t="s">
        <v>47</v>
      </c>
      <c r="H7" s="351" t="s">
        <v>48</v>
      </c>
      <c r="I7" s="353"/>
      <c r="J7" s="354"/>
      <c r="K7" s="354"/>
      <c r="L7" s="354"/>
      <c r="M7" s="354"/>
      <c r="N7" s="354"/>
      <c r="O7" s="354"/>
    </row>
    <row r="8" spans="1:15" x14ac:dyDescent="0.25">
      <c r="A8" s="356"/>
      <c r="B8" s="81" t="s">
        <v>148</v>
      </c>
      <c r="C8" s="81" t="s">
        <v>149</v>
      </c>
      <c r="D8" s="356"/>
      <c r="E8" s="356"/>
      <c r="F8" s="356"/>
      <c r="G8" s="364"/>
      <c r="H8" s="352"/>
      <c r="I8" s="353"/>
      <c r="J8" s="354"/>
      <c r="K8" s="354"/>
      <c r="L8" s="354"/>
      <c r="M8" s="354"/>
      <c r="N8" s="354"/>
      <c r="O8" s="354"/>
    </row>
    <row r="9" spans="1:15" ht="39.950000000000003" customHeight="1" x14ac:dyDescent="0.25">
      <c r="A9" s="79" t="s">
        <v>50</v>
      </c>
      <c r="B9" s="79"/>
      <c r="C9" s="80"/>
      <c r="D9" s="246" t="s">
        <v>815</v>
      </c>
      <c r="E9" s="79" t="s">
        <v>816</v>
      </c>
      <c r="F9" s="79">
        <f t="shared" ref="F9:F15" si="0">IF(A9=0,"",IFERROR(VLOOKUP($A9,MEMORIAS,8,0),""))</f>
        <v>23</v>
      </c>
      <c r="G9" s="179">
        <f ca="1">IF(A9=0,"",IFERROR(VLOOKUP($A9,APU,7,0),""))</f>
        <v>762420</v>
      </c>
      <c r="H9" s="329">
        <f ca="1">F9*G9</f>
        <v>17535660</v>
      </c>
      <c r="I9" s="224"/>
      <c r="K9" s="222"/>
      <c r="L9" s="242"/>
      <c r="O9" s="222"/>
    </row>
    <row r="10" spans="1:15" ht="39.950000000000003" customHeight="1" x14ac:dyDescent="0.25">
      <c r="A10" s="79" t="s">
        <v>484</v>
      </c>
      <c r="B10" s="79"/>
      <c r="C10" s="181"/>
      <c r="D10" s="246" t="s">
        <v>817</v>
      </c>
      <c r="E10" s="79" t="s">
        <v>816</v>
      </c>
      <c r="F10" s="79">
        <f t="shared" si="0"/>
        <v>21</v>
      </c>
      <c r="G10" s="179">
        <f ca="1">IF(A10=0,"",IFERROR(VLOOKUP($A10,APU,7,0),""))</f>
        <v>308834</v>
      </c>
      <c r="H10" s="329">
        <f t="shared" ref="H10" ca="1" si="1">F10*G10</f>
        <v>6485514</v>
      </c>
      <c r="I10" s="224"/>
      <c r="O10" s="222"/>
    </row>
    <row r="11" spans="1:15" ht="39.950000000000003" customHeight="1" x14ac:dyDescent="0.25">
      <c r="A11" s="79" t="s">
        <v>781</v>
      </c>
      <c r="B11" s="79"/>
      <c r="C11" s="181"/>
      <c r="D11" s="248" t="s">
        <v>818</v>
      </c>
      <c r="E11" s="79" t="s">
        <v>819</v>
      </c>
      <c r="F11" s="79">
        <f t="shared" si="0"/>
        <v>69</v>
      </c>
      <c r="G11" s="179">
        <f t="shared" ref="G11:G15" ca="1" si="2">IF(A11=0,"",IFERROR(VLOOKUP($A11,APU,7,0),""))</f>
        <v>19071</v>
      </c>
      <c r="H11" s="329">
        <f t="shared" ref="H11:H15" ca="1" si="3">F11*G11</f>
        <v>1315899</v>
      </c>
      <c r="I11" s="224"/>
      <c r="O11" s="222"/>
    </row>
    <row r="12" spans="1:15" ht="39.950000000000003" customHeight="1" x14ac:dyDescent="0.25">
      <c r="A12" s="79" t="s">
        <v>782</v>
      </c>
      <c r="B12" s="79"/>
      <c r="C12" s="181"/>
      <c r="D12" s="248" t="s">
        <v>820</v>
      </c>
      <c r="E12" s="79" t="s">
        <v>816</v>
      </c>
      <c r="F12" s="79">
        <f t="shared" si="0"/>
        <v>69</v>
      </c>
      <c r="G12" s="179">
        <f t="shared" ca="1" si="2"/>
        <v>940</v>
      </c>
      <c r="H12" s="329">
        <f t="shared" ca="1" si="3"/>
        <v>64860</v>
      </c>
      <c r="I12" s="224"/>
      <c r="O12" s="222"/>
    </row>
    <row r="13" spans="1:15" ht="39.950000000000003" customHeight="1" x14ac:dyDescent="0.25">
      <c r="A13" s="79" t="s">
        <v>790</v>
      </c>
      <c r="B13" s="79"/>
      <c r="C13" s="181"/>
      <c r="D13" s="248" t="s">
        <v>821</v>
      </c>
      <c r="E13" s="79" t="s">
        <v>816</v>
      </c>
      <c r="F13" s="79">
        <f t="shared" si="0"/>
        <v>21</v>
      </c>
      <c r="G13" s="179">
        <f t="shared" ca="1" si="2"/>
        <v>21710</v>
      </c>
      <c r="H13" s="329">
        <f t="shared" ca="1" si="3"/>
        <v>455910</v>
      </c>
      <c r="I13" s="224"/>
      <c r="O13" s="222"/>
    </row>
    <row r="14" spans="1:15" ht="39.950000000000003" customHeight="1" x14ac:dyDescent="0.25">
      <c r="A14" s="79" t="s">
        <v>791</v>
      </c>
      <c r="B14" s="210"/>
      <c r="C14" s="210"/>
      <c r="D14" s="248" t="s">
        <v>822</v>
      </c>
      <c r="E14" s="79" t="s">
        <v>816</v>
      </c>
      <c r="F14" s="79">
        <f t="shared" si="0"/>
        <v>22</v>
      </c>
      <c r="G14" s="179">
        <f t="shared" ca="1" si="2"/>
        <v>108907</v>
      </c>
      <c r="H14" s="329">
        <f t="shared" ca="1" si="3"/>
        <v>2395954</v>
      </c>
      <c r="I14" s="224"/>
      <c r="O14" s="222"/>
    </row>
    <row r="15" spans="1:15" ht="39.950000000000003" customHeight="1" x14ac:dyDescent="0.25">
      <c r="A15" s="79" t="s">
        <v>792</v>
      </c>
      <c r="B15" s="122"/>
      <c r="C15" s="80"/>
      <c r="D15" s="248" t="s">
        <v>823</v>
      </c>
      <c r="E15" s="79" t="s">
        <v>819</v>
      </c>
      <c r="F15" s="79">
        <f t="shared" si="0"/>
        <v>23</v>
      </c>
      <c r="G15" s="179">
        <f t="shared" ca="1" si="2"/>
        <v>8385</v>
      </c>
      <c r="H15" s="329">
        <f t="shared" ca="1" si="3"/>
        <v>192855</v>
      </c>
      <c r="I15" s="224"/>
      <c r="O15" s="222"/>
    </row>
    <row r="16" spans="1:15" ht="20.25" customHeight="1" x14ac:dyDescent="0.25">
      <c r="A16" s="79"/>
      <c r="B16" s="122"/>
      <c r="C16" s="80"/>
      <c r="D16" s="240"/>
      <c r="E16" s="360" t="s">
        <v>62</v>
      </c>
      <c r="F16" s="361"/>
      <c r="G16" s="362"/>
      <c r="H16" s="182">
        <f ca="1">IF(SUM(H9:H15)=0,"",SUM(H9:H15))</f>
        <v>28446652</v>
      </c>
      <c r="I16" s="224"/>
      <c r="O16" s="222"/>
    </row>
    <row r="17" spans="1:10" ht="17.45" customHeight="1" x14ac:dyDescent="0.25">
      <c r="A17" s="357" t="s">
        <v>513</v>
      </c>
      <c r="B17" s="357"/>
      <c r="C17" s="357"/>
      <c r="D17" s="357"/>
      <c r="E17" s="357"/>
      <c r="F17" s="357"/>
      <c r="G17" s="357"/>
      <c r="H17" s="205">
        <f ca="1">H16</f>
        <v>28446652</v>
      </c>
      <c r="I17" s="225"/>
    </row>
    <row r="18" spans="1:10" x14ac:dyDescent="0.25">
      <c r="A18" s="358" t="s">
        <v>514</v>
      </c>
      <c r="B18" s="358"/>
      <c r="C18" s="358"/>
      <c r="D18" s="358"/>
      <c r="E18" s="358"/>
      <c r="F18" s="358"/>
      <c r="G18" s="213">
        <f ca="1">AU!I36</f>
        <v>0.191</v>
      </c>
      <c r="H18" s="206">
        <f ca="1">IFERROR($H$17*G18,"")</f>
        <v>5433310.5319999997</v>
      </c>
      <c r="J18" s="243"/>
    </row>
    <row r="19" spans="1:10" x14ac:dyDescent="0.25">
      <c r="A19" s="358" t="s">
        <v>509</v>
      </c>
      <c r="B19" s="358"/>
      <c r="C19" s="358"/>
      <c r="D19" s="358"/>
      <c r="E19" s="358"/>
      <c r="F19" s="358"/>
      <c r="G19" s="184">
        <f>AU!I37</f>
        <v>5.131865E-2</v>
      </c>
      <c r="H19" s="206">
        <f ca="1">IFERROR($H$17*G19,"")</f>
        <v>1459843.7776597999</v>
      </c>
    </row>
    <row r="20" spans="1:10" x14ac:dyDescent="0.25">
      <c r="A20" s="357" t="s">
        <v>515</v>
      </c>
      <c r="B20" s="357"/>
      <c r="C20" s="357"/>
      <c r="D20" s="357"/>
      <c r="E20" s="357"/>
      <c r="F20" s="357"/>
      <c r="G20" s="357"/>
      <c r="H20" s="205">
        <f ca="1">$H$17+$H$18+$H$19</f>
        <v>35339806.309659794</v>
      </c>
    </row>
    <row r="21" spans="1:10" x14ac:dyDescent="0.25">
      <c r="A21" s="358" t="s">
        <v>826</v>
      </c>
      <c r="B21" s="358"/>
      <c r="C21" s="358"/>
      <c r="D21" s="358"/>
      <c r="E21" s="358"/>
      <c r="F21" s="358"/>
      <c r="G21" s="184">
        <v>0.03</v>
      </c>
      <c r="H21" s="206">
        <f ca="1">H20*G21</f>
        <v>1060194.1892897938</v>
      </c>
    </row>
    <row r="22" spans="1:10" ht="15" customHeight="1" x14ac:dyDescent="0.25">
      <c r="A22" s="357" t="s">
        <v>515</v>
      </c>
      <c r="B22" s="357"/>
      <c r="C22" s="357"/>
      <c r="D22" s="357"/>
      <c r="E22" s="357"/>
      <c r="F22" s="357"/>
      <c r="G22" s="357"/>
      <c r="H22" s="205">
        <f ca="1">SUM(H20:H21)</f>
        <v>36400000.498949587</v>
      </c>
    </row>
    <row r="23" spans="1:10" ht="82.15" customHeight="1" x14ac:dyDescent="0.25">
      <c r="A23" s="340"/>
      <c r="B23" s="340"/>
      <c r="C23" s="340"/>
    </row>
    <row r="24" spans="1:10" x14ac:dyDescent="0.25">
      <c r="A24" s="228" t="s">
        <v>784</v>
      </c>
    </row>
    <row r="25" spans="1:10" x14ac:dyDescent="0.25">
      <c r="A25" t="s">
        <v>788</v>
      </c>
    </row>
    <row r="26" spans="1:10" x14ac:dyDescent="0.25">
      <c r="A26" s="244" t="s">
        <v>789</v>
      </c>
    </row>
  </sheetData>
  <mergeCells count="27">
    <mergeCell ref="A23:C23"/>
    <mergeCell ref="A17:G17"/>
    <mergeCell ref="A18:F18"/>
    <mergeCell ref="A19:F19"/>
    <mergeCell ref="A7:A8"/>
    <mergeCell ref="B7:C7"/>
    <mergeCell ref="D7:D8"/>
    <mergeCell ref="A20:G20"/>
    <mergeCell ref="E16:G16"/>
    <mergeCell ref="G7:G8"/>
    <mergeCell ref="A21:F21"/>
    <mergeCell ref="A22:G22"/>
    <mergeCell ref="M7:M8"/>
    <mergeCell ref="N7:N8"/>
    <mergeCell ref="O7:O8"/>
    <mergeCell ref="K7:K8"/>
    <mergeCell ref="L7:L8"/>
    <mergeCell ref="H7:H8"/>
    <mergeCell ref="I7:I8"/>
    <mergeCell ref="J7:J8"/>
    <mergeCell ref="E7:E8"/>
    <mergeCell ref="F7:F8"/>
    <mergeCell ref="A1:D1"/>
    <mergeCell ref="E1:H5"/>
    <mergeCell ref="A2:D2"/>
    <mergeCell ref="A3:D3"/>
    <mergeCell ref="A5:D5"/>
  </mergeCells>
  <phoneticPr fontId="35" type="noConversion"/>
  <pageMargins left="0.7" right="0.7" top="0.75" bottom="0.75" header="0.3" footer="0.3"/>
  <pageSetup scale="46" orientation="portrait" horizontalDpi="4294967292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119"/>
  <sheetViews>
    <sheetView view="pageBreakPreview" zoomScale="85" zoomScaleNormal="80" zoomScaleSheetLayoutView="85" workbookViewId="0">
      <selection activeCell="A8" sqref="A8:XFD8"/>
    </sheetView>
  </sheetViews>
  <sheetFormatPr baseColWidth="10" defaultRowHeight="15" x14ac:dyDescent="0.25"/>
  <cols>
    <col min="1" max="1" width="7.85546875" customWidth="1"/>
    <col min="2" max="2" width="42.42578125" customWidth="1"/>
    <col min="3" max="3" width="15.28515625" customWidth="1"/>
    <col min="4" max="4" width="13.7109375" customWidth="1"/>
    <col min="6" max="6" width="13.28515625" customWidth="1"/>
    <col min="8" max="8" width="12.7109375" customWidth="1"/>
    <col min="10" max="10" width="16" bestFit="1" customWidth="1"/>
    <col min="12" max="12" width="20.42578125" bestFit="1" customWidth="1"/>
  </cols>
  <sheetData>
    <row r="1" spans="1:8" ht="15" customHeight="1" x14ac:dyDescent="0.25">
      <c r="A1" s="376" t="str">
        <f>'DATOS INICIALES'!$B$1</f>
        <v>DEPARTAMENTO DE ANTIOQUIA</v>
      </c>
      <c r="B1" s="377"/>
      <c r="C1" s="377"/>
      <c r="D1" s="377"/>
      <c r="E1" s="378"/>
      <c r="F1" s="378"/>
      <c r="G1" s="378"/>
      <c r="H1" s="378"/>
    </row>
    <row r="2" spans="1:8" ht="15" customHeight="1" x14ac:dyDescent="0.25">
      <c r="A2" s="379" t="str">
        <f>'DATOS INICIALES'!$B$2</f>
        <v>MUNICIPIO DE DABEIBA</v>
      </c>
      <c r="B2" s="380"/>
      <c r="C2" s="380"/>
      <c r="D2" s="380"/>
      <c r="E2" s="378"/>
      <c r="F2" s="378"/>
      <c r="G2" s="378"/>
      <c r="H2" s="378"/>
    </row>
    <row r="3" spans="1:8" ht="50.1" customHeight="1" x14ac:dyDescent="0.25">
      <c r="A3" s="381" t="str">
        <f>'DATOS INICIALES'!$B$3</f>
        <v>REPOSICIÓN, AMPLIACIÓN Y REPARACIÓN DE LUMINARIAS QUE HACEN PARTE DE LA RED DE ALUMBRADOPÚBLICO DEL PARQUE PRINCIPAL Y CORREGIMIENTO SAN JOSÉ DE URAMA DEL MUNICIPIO DE DABEIBA.</v>
      </c>
      <c r="B3" s="382"/>
      <c r="C3" s="382"/>
      <c r="D3" s="382"/>
      <c r="E3" s="378"/>
      <c r="F3" s="378"/>
      <c r="G3" s="378"/>
      <c r="H3" s="378"/>
    </row>
    <row r="4" spans="1:8" ht="9.9499999999999993" customHeight="1" x14ac:dyDescent="0.25">
      <c r="A4" s="383"/>
      <c r="B4" s="383"/>
      <c r="C4" s="383"/>
      <c r="D4" s="388"/>
      <c r="E4" s="378"/>
      <c r="F4" s="378"/>
      <c r="G4" s="378"/>
      <c r="H4" s="378"/>
    </row>
    <row r="5" spans="1:8" ht="15" customHeight="1" x14ac:dyDescent="0.25">
      <c r="A5" s="384" t="s">
        <v>576</v>
      </c>
      <c r="B5" s="385"/>
      <c r="C5" s="385"/>
      <c r="D5" s="385"/>
      <c r="E5" s="378"/>
      <c r="F5" s="378"/>
      <c r="G5" s="378"/>
      <c r="H5" s="378"/>
    </row>
    <row r="6" spans="1:8" ht="9.9499999999999993" customHeight="1" x14ac:dyDescent="0.25"/>
    <row r="7" spans="1:8" ht="15" customHeight="1" x14ac:dyDescent="0.25">
      <c r="A7" s="21" t="s">
        <v>42</v>
      </c>
      <c r="B7" s="372" t="s">
        <v>44</v>
      </c>
      <c r="C7" s="373"/>
      <c r="D7" s="373"/>
      <c r="E7" s="373"/>
      <c r="F7" s="374"/>
      <c r="G7" s="21" t="s">
        <v>45</v>
      </c>
      <c r="H7" s="21" t="s">
        <v>46</v>
      </c>
    </row>
    <row r="8" spans="1:8" ht="30" customHeight="1" x14ac:dyDescent="0.25">
      <c r="A8" s="219" t="s">
        <v>50</v>
      </c>
      <c r="B8" s="367" t="str">
        <f>IFERROR(VLOOKUP($A8,PRESUPUESTO!$A$7:$E$15,4,0),"")</f>
        <v>SUMINISTRO, TRANSPORTE, DESMONTE, INSTALACION DE LAMPARAS MALAS Y REPOSICION Y DEMÁS ELEMENTOS PARA SU CORRECTO FUNCIONAMIENTO</v>
      </c>
      <c r="C8" s="367"/>
      <c r="D8" s="367"/>
      <c r="E8" s="367"/>
      <c r="F8" s="367"/>
      <c r="G8" s="207" t="str">
        <f>+IFERROR(VLOOKUP($A8,PRESUPUESTO!A7:E15,5,0),"")</f>
        <v>UND</v>
      </c>
      <c r="H8" s="216">
        <f>+H13</f>
        <v>23</v>
      </c>
    </row>
    <row r="9" spans="1:8" ht="15" customHeight="1" x14ac:dyDescent="0.25"/>
    <row r="10" spans="1:8" ht="15" customHeight="1" x14ac:dyDescent="0.25">
      <c r="A10" s="368" t="s">
        <v>577</v>
      </c>
      <c r="B10" s="368"/>
      <c r="C10" s="214" t="s">
        <v>578</v>
      </c>
      <c r="D10" s="214" t="s">
        <v>46</v>
      </c>
      <c r="E10" s="214" t="s">
        <v>579</v>
      </c>
      <c r="F10" s="214" t="s">
        <v>580</v>
      </c>
      <c r="G10" s="214" t="s">
        <v>581</v>
      </c>
      <c r="H10" s="214" t="s">
        <v>582</v>
      </c>
    </row>
    <row r="11" spans="1:8" ht="15" customHeight="1" x14ac:dyDescent="0.25">
      <c r="A11" s="219">
        <v>1</v>
      </c>
      <c r="B11" s="218" t="s">
        <v>824</v>
      </c>
      <c r="C11" s="219">
        <v>1</v>
      </c>
      <c r="D11" s="219">
        <v>4</v>
      </c>
      <c r="E11" s="219"/>
      <c r="F11" s="219"/>
      <c r="G11" s="219"/>
      <c r="H11" s="215">
        <f>+IF(A11=0,"",IF(AND(E11=0,F11=0,G11=0),C11*D11,IF(AND(F11=0,G11=0),C11*D11*E11,IF(G11=0,C11*D11*E11*F11,C11*D11*E11*F11*G11))))</f>
        <v>4</v>
      </c>
    </row>
    <row r="12" spans="1:8" ht="15" customHeight="1" x14ac:dyDescent="0.25">
      <c r="A12" s="219">
        <v>2</v>
      </c>
      <c r="B12" s="218" t="s">
        <v>825</v>
      </c>
      <c r="C12" s="219">
        <v>1</v>
      </c>
      <c r="D12" s="219">
        <v>19</v>
      </c>
      <c r="E12" s="219"/>
      <c r="F12" s="219"/>
      <c r="G12" s="219"/>
      <c r="H12" s="215">
        <f>+IF(A12=0,"",IF(AND(E12=0,F12=0,G12=0),C12*D12,IF(AND(F12=0,G12=0),C12*D12*E12,IF(G12=0,C12*D12*E12*F12,C12*D12*E12*F12*G12))))</f>
        <v>19</v>
      </c>
    </row>
    <row r="13" spans="1:8" ht="15" customHeight="1" x14ac:dyDescent="0.25">
      <c r="A13" s="369" t="str">
        <f>+"TOTAL CANTIDAD ITEM "&amp;A9</f>
        <v xml:space="preserve">TOTAL CANTIDAD ITEM </v>
      </c>
      <c r="B13" s="370"/>
      <c r="C13" s="370"/>
      <c r="D13" s="370"/>
      <c r="E13" s="370"/>
      <c r="F13" s="370"/>
      <c r="G13" s="371"/>
      <c r="H13" s="216">
        <f>IFERROR(ROUND(IF(SUM(H11:H12)=0,"",SUM(H11:H12)),0),"")</f>
        <v>23</v>
      </c>
    </row>
    <row r="14" spans="1:8" ht="15" customHeight="1" x14ac:dyDescent="0.25">
      <c r="A14" s="386"/>
      <c r="B14" s="386"/>
      <c r="C14" s="386"/>
      <c r="D14" s="386"/>
      <c r="E14" s="386"/>
      <c r="F14" s="386"/>
      <c r="G14" s="386"/>
      <c r="H14" s="386"/>
    </row>
    <row r="15" spans="1:8" ht="15" customHeight="1" x14ac:dyDescent="0.25"/>
    <row r="16" spans="1:8" ht="15" customHeight="1" x14ac:dyDescent="0.25">
      <c r="A16" s="376" t="str">
        <f>'DATOS INICIALES'!$B$1</f>
        <v>DEPARTAMENTO DE ANTIOQUIA</v>
      </c>
      <c r="B16" s="377"/>
      <c r="C16" s="377"/>
      <c r="D16" s="377"/>
      <c r="E16" s="378" t="s">
        <v>51</v>
      </c>
      <c r="F16" s="378"/>
      <c r="G16" s="378"/>
      <c r="H16" s="378"/>
    </row>
    <row r="17" spans="1:8" ht="15" customHeight="1" x14ac:dyDescent="0.25">
      <c r="A17" s="379" t="str">
        <f>'DATOS INICIALES'!$B$2</f>
        <v>MUNICIPIO DE DABEIBA</v>
      </c>
      <c r="B17" s="380"/>
      <c r="C17" s="380"/>
      <c r="D17" s="380"/>
      <c r="E17" s="378"/>
      <c r="F17" s="378"/>
      <c r="G17" s="378"/>
      <c r="H17" s="378"/>
    </row>
    <row r="18" spans="1:8" ht="50.1" customHeight="1" x14ac:dyDescent="0.25">
      <c r="A18" s="381" t="str">
        <f>'DATOS INICIALES'!$B$3</f>
        <v>REPOSICIÓN, AMPLIACIÓN Y REPARACIÓN DE LUMINARIAS QUE HACEN PARTE DE LA RED DE ALUMBRADOPÚBLICO DEL PARQUE PRINCIPAL Y CORREGIMIENTO SAN JOSÉ DE URAMA DEL MUNICIPIO DE DABEIBA.</v>
      </c>
      <c r="B18" s="382"/>
      <c r="C18" s="382"/>
      <c r="D18" s="382"/>
      <c r="E18" s="378"/>
      <c r="F18" s="378"/>
      <c r="G18" s="378"/>
      <c r="H18" s="378"/>
    </row>
    <row r="19" spans="1:8" ht="15" customHeight="1" x14ac:dyDescent="0.25">
      <c r="A19" s="383"/>
      <c r="B19" s="383"/>
      <c r="C19" s="383"/>
      <c r="D19" s="383"/>
      <c r="E19" s="378"/>
      <c r="F19" s="378"/>
      <c r="G19" s="378"/>
      <c r="H19" s="378"/>
    </row>
    <row r="20" spans="1:8" ht="15" customHeight="1" x14ac:dyDescent="0.25">
      <c r="A20" s="384" t="s">
        <v>576</v>
      </c>
      <c r="B20" s="385"/>
      <c r="C20" s="385"/>
      <c r="D20" s="385"/>
      <c r="E20" s="378"/>
      <c r="F20" s="378"/>
      <c r="G20" s="378"/>
      <c r="H20" s="378"/>
    </row>
    <row r="21" spans="1:8" ht="15" customHeight="1" x14ac:dyDescent="0.25"/>
    <row r="22" spans="1:8" ht="15" customHeight="1" x14ac:dyDescent="0.25">
      <c r="A22" s="21" t="s">
        <v>42</v>
      </c>
      <c r="B22" s="372" t="s">
        <v>44</v>
      </c>
      <c r="C22" s="373"/>
      <c r="D22" s="373"/>
      <c r="E22" s="373"/>
      <c r="F22" s="374"/>
      <c r="G22" s="21" t="s">
        <v>45</v>
      </c>
      <c r="H22" s="21" t="s">
        <v>46</v>
      </c>
    </row>
    <row r="23" spans="1:8" ht="30" customHeight="1" x14ac:dyDescent="0.25">
      <c r="A23" s="219" t="s">
        <v>484</v>
      </c>
      <c r="B23" s="367" t="str">
        <f>IFERROR(VLOOKUP($A23,PRESUPUESTO!$A$7:$E$15,4,0),"")</f>
        <v>SUMINISTRO, TRANSPORTE, DESMONTE, INSTALACION DE BRAZO PARA LAMPARAS MALAS Y REPOSICION Y DEMÁS ELEMENTOS PARA SU CORRECTO FUNCIONAMIENTO</v>
      </c>
      <c r="C23" s="367"/>
      <c r="D23" s="367"/>
      <c r="E23" s="367"/>
      <c r="F23" s="367"/>
      <c r="G23" s="207" t="str">
        <f>+IFERROR(VLOOKUP($A23,PRESUPUESTO!$A$7:$F$15,5,0),"")</f>
        <v>UND</v>
      </c>
      <c r="H23" s="216">
        <f>+H28</f>
        <v>21</v>
      </c>
    </row>
    <row r="24" spans="1:8" ht="15" customHeight="1" x14ac:dyDescent="0.25"/>
    <row r="25" spans="1:8" ht="15" customHeight="1" x14ac:dyDescent="0.25">
      <c r="A25" s="368" t="s">
        <v>577</v>
      </c>
      <c r="B25" s="368"/>
      <c r="C25" s="214" t="s">
        <v>578</v>
      </c>
      <c r="D25" s="214" t="s">
        <v>46</v>
      </c>
      <c r="E25" s="214" t="s">
        <v>579</v>
      </c>
      <c r="F25" s="214" t="s">
        <v>580</v>
      </c>
      <c r="G25" s="214" t="s">
        <v>581</v>
      </c>
      <c r="H25" s="214" t="s">
        <v>582</v>
      </c>
    </row>
    <row r="26" spans="1:8" ht="15" customHeight="1" x14ac:dyDescent="0.25">
      <c r="A26" s="219">
        <v>1</v>
      </c>
      <c r="B26" s="218" t="s">
        <v>824</v>
      </c>
      <c r="C26" s="219">
        <v>1</v>
      </c>
      <c r="D26" s="219">
        <v>2</v>
      </c>
      <c r="E26" s="219"/>
      <c r="F26" s="219"/>
      <c r="G26" s="219"/>
      <c r="H26" s="215">
        <f>+IF(A26=0,"",IF(AND(E26=0,F26=0,G26=0),C26*D26,IF(AND(F26=0,G26=0),C26*D26*E26,IF(G26=0,C26*D26*E26*F26,C26*D26*E26*F26*G26))))</f>
        <v>2</v>
      </c>
    </row>
    <row r="27" spans="1:8" ht="15" customHeight="1" x14ac:dyDescent="0.25">
      <c r="A27" s="219">
        <v>2</v>
      </c>
      <c r="B27" s="218" t="s">
        <v>825</v>
      </c>
      <c r="C27" s="219">
        <v>1</v>
      </c>
      <c r="D27" s="219">
        <v>19</v>
      </c>
      <c r="E27" s="219"/>
      <c r="F27" s="219"/>
      <c r="G27" s="219"/>
      <c r="H27" s="215">
        <f t="shared" ref="H27" si="0">+IF(A27=0,"",IF(AND(E27=0,F27=0,G27=0),C27*D27,IF(AND(F27=0,G27=0),C27*D27*E27,IF(G27=0,C27*D27*E27*F27,C27*D27*E27*F27*G27))))</f>
        <v>19</v>
      </c>
    </row>
    <row r="28" spans="1:8" ht="15" customHeight="1" x14ac:dyDescent="0.25">
      <c r="A28" s="369" t="str">
        <f>+"TOTAL CANTIDAD ITEM "&amp;A24</f>
        <v xml:space="preserve">TOTAL CANTIDAD ITEM </v>
      </c>
      <c r="B28" s="370"/>
      <c r="C28" s="370"/>
      <c r="D28" s="370"/>
      <c r="E28" s="370"/>
      <c r="F28" s="370"/>
      <c r="G28" s="371"/>
      <c r="H28" s="216">
        <f>IFERROR(ROUND(IF(SUM(H26:H27)=0,"",SUM(H26:H27)),0),"")</f>
        <v>21</v>
      </c>
    </row>
    <row r="29" spans="1:8" ht="15" customHeight="1" x14ac:dyDescent="0.25">
      <c r="A29" s="386"/>
      <c r="B29" s="386"/>
      <c r="C29" s="386"/>
      <c r="D29" s="386"/>
      <c r="E29" s="386"/>
      <c r="F29" s="386"/>
      <c r="G29" s="386"/>
      <c r="H29" s="386"/>
    </row>
    <row r="30" spans="1:8" ht="15" customHeight="1" x14ac:dyDescent="0.25"/>
    <row r="31" spans="1:8" ht="15" customHeight="1" x14ac:dyDescent="0.25">
      <c r="A31" s="376" t="str">
        <f>'DATOS INICIALES'!$B$1</f>
        <v>DEPARTAMENTO DE ANTIOQUIA</v>
      </c>
      <c r="B31" s="377"/>
      <c r="C31" s="377"/>
      <c r="D31" s="377"/>
      <c r="E31" s="378" t="s">
        <v>51</v>
      </c>
      <c r="F31" s="378"/>
      <c r="G31" s="378"/>
      <c r="H31" s="378"/>
    </row>
    <row r="32" spans="1:8" ht="15" customHeight="1" x14ac:dyDescent="0.25">
      <c r="A32" s="379" t="str">
        <f>'DATOS INICIALES'!$B$2</f>
        <v>MUNICIPIO DE DABEIBA</v>
      </c>
      <c r="B32" s="380"/>
      <c r="C32" s="380"/>
      <c r="D32" s="380"/>
      <c r="E32" s="378"/>
      <c r="F32" s="378"/>
      <c r="G32" s="378"/>
      <c r="H32" s="378"/>
    </row>
    <row r="33" spans="1:8" s="254" customFormat="1" ht="50.1" customHeight="1" x14ac:dyDescent="0.25">
      <c r="A33" s="381" t="str">
        <f>'DATOS INICIALES'!$B$3</f>
        <v>REPOSICIÓN, AMPLIACIÓN Y REPARACIÓN DE LUMINARIAS QUE HACEN PARTE DE LA RED DE ALUMBRADOPÚBLICO DEL PARQUE PRINCIPAL Y CORREGIMIENTO SAN JOSÉ DE URAMA DEL MUNICIPIO DE DABEIBA.</v>
      </c>
      <c r="B33" s="382"/>
      <c r="C33" s="382"/>
      <c r="D33" s="382"/>
      <c r="E33" s="378"/>
      <c r="F33" s="378"/>
      <c r="G33" s="378"/>
      <c r="H33" s="378"/>
    </row>
    <row r="34" spans="1:8" ht="15" customHeight="1" x14ac:dyDescent="0.25">
      <c r="A34" s="383"/>
      <c r="B34" s="383"/>
      <c r="C34" s="383"/>
      <c r="D34" s="383"/>
      <c r="E34" s="378"/>
      <c r="F34" s="378"/>
      <c r="G34" s="378"/>
      <c r="H34" s="378"/>
    </row>
    <row r="35" spans="1:8" ht="15" customHeight="1" x14ac:dyDescent="0.25">
      <c r="A35" s="384" t="s">
        <v>576</v>
      </c>
      <c r="B35" s="385"/>
      <c r="C35" s="385"/>
      <c r="D35" s="385"/>
      <c r="E35" s="378"/>
      <c r="F35" s="378"/>
      <c r="G35" s="378"/>
      <c r="H35" s="378"/>
    </row>
    <row r="36" spans="1:8" ht="15" customHeight="1" x14ac:dyDescent="0.25"/>
    <row r="37" spans="1:8" ht="15" customHeight="1" x14ac:dyDescent="0.25">
      <c r="A37" s="21" t="s">
        <v>42</v>
      </c>
      <c r="B37" s="372" t="s">
        <v>44</v>
      </c>
      <c r="C37" s="373"/>
      <c r="D37" s="373"/>
      <c r="E37" s="373"/>
      <c r="F37" s="374"/>
      <c r="G37" s="21" t="s">
        <v>45</v>
      </c>
      <c r="H37" s="21" t="s">
        <v>46</v>
      </c>
    </row>
    <row r="38" spans="1:8" ht="30" customHeight="1" x14ac:dyDescent="0.25">
      <c r="A38" s="219" t="s">
        <v>781</v>
      </c>
      <c r="B38" s="367" t="str">
        <f>IFERROR(VLOOKUP($A38,PRESUPUESTO!$A$7:$E$15,4,0),"")</f>
        <v>SUNINISTRO, TRANSPORTE E INSTALACION DE ENCAUCHETADO 3X12 Y DEMÁS ELEMENTOS PARA SU CORRECTO FUNCIONAMIENTO</v>
      </c>
      <c r="C38" s="367"/>
      <c r="D38" s="367"/>
      <c r="E38" s="367"/>
      <c r="F38" s="367"/>
      <c r="G38" s="207" t="str">
        <f>+IFERROR(VLOOKUP($A38,PRESUPUESTO!$A$7:$F$15,5,0),"")</f>
        <v>M</v>
      </c>
      <c r="H38" s="216">
        <f>+H43</f>
        <v>69</v>
      </c>
    </row>
    <row r="39" spans="1:8" ht="15" customHeight="1" x14ac:dyDescent="0.25"/>
    <row r="40" spans="1:8" ht="15" customHeight="1" x14ac:dyDescent="0.25">
      <c r="A40" s="368" t="s">
        <v>577</v>
      </c>
      <c r="B40" s="368"/>
      <c r="C40" s="214" t="s">
        <v>578</v>
      </c>
      <c r="D40" s="214" t="s">
        <v>46</v>
      </c>
      <c r="E40" s="214" t="s">
        <v>579</v>
      </c>
      <c r="F40" s="214" t="s">
        <v>580</v>
      </c>
      <c r="G40" s="214" t="s">
        <v>581</v>
      </c>
      <c r="H40" s="214" t="s">
        <v>582</v>
      </c>
    </row>
    <row r="41" spans="1:8" ht="15" customHeight="1" x14ac:dyDescent="0.25">
      <c r="A41" s="219">
        <v>1</v>
      </c>
      <c r="B41" s="218" t="s">
        <v>824</v>
      </c>
      <c r="C41" s="219">
        <v>1</v>
      </c>
      <c r="D41" s="219">
        <v>4</v>
      </c>
      <c r="E41" s="219">
        <v>3</v>
      </c>
      <c r="F41" s="219"/>
      <c r="G41" s="219"/>
      <c r="H41" s="215">
        <f>+IF(A41=0,"",IF(AND(E41=0,F41=0,G41=0),C41*D41,IF(AND(F41=0,G41=0),C41*D41*E41,IF(G41=0,C41*D41*E41*F41,C41*D41*E41*F41*G41))))</f>
        <v>12</v>
      </c>
    </row>
    <row r="42" spans="1:8" ht="15" customHeight="1" x14ac:dyDescent="0.25">
      <c r="A42" s="219">
        <v>2</v>
      </c>
      <c r="B42" s="218" t="s">
        <v>825</v>
      </c>
      <c r="C42" s="219">
        <v>1</v>
      </c>
      <c r="D42" s="219">
        <v>19</v>
      </c>
      <c r="E42" s="219">
        <v>3</v>
      </c>
      <c r="F42" s="219"/>
      <c r="G42" s="219"/>
      <c r="H42" s="215">
        <f>+IF(A42=0,"",IF(AND(E42=0,F42=0,G42=0),C42*D42,IF(AND(F42=0,G42=0),C42*D42*E42,IF(G42=0,C42*D42*E42*F42,C42*D42*E42*F42*G42))))</f>
        <v>57</v>
      </c>
    </row>
    <row r="43" spans="1:8" ht="15" customHeight="1" x14ac:dyDescent="0.25">
      <c r="A43" s="369" t="str">
        <f>+"TOTAL CANTIDAD ITEM "&amp;A39</f>
        <v xml:space="preserve">TOTAL CANTIDAD ITEM </v>
      </c>
      <c r="B43" s="370"/>
      <c r="C43" s="370"/>
      <c r="D43" s="370"/>
      <c r="E43" s="370"/>
      <c r="F43" s="370"/>
      <c r="G43" s="371"/>
      <c r="H43" s="216">
        <f>IFERROR(ROUND(IF(SUM(H41:H42)=0,"",SUM(H41:H42)),0),"")</f>
        <v>69</v>
      </c>
    </row>
    <row r="44" spans="1:8" ht="15" customHeight="1" x14ac:dyDescent="0.25">
      <c r="A44" s="386"/>
      <c r="B44" s="386"/>
      <c r="C44" s="386"/>
      <c r="D44" s="386"/>
      <c r="E44" s="386"/>
      <c r="F44" s="386"/>
      <c r="G44" s="386"/>
      <c r="H44" s="386"/>
    </row>
    <row r="45" spans="1:8" ht="15" customHeight="1" x14ac:dyDescent="0.25"/>
    <row r="46" spans="1:8" ht="15" customHeight="1" x14ac:dyDescent="0.25">
      <c r="A46" s="376" t="str">
        <f>'DATOS INICIALES'!$B$1</f>
        <v>DEPARTAMENTO DE ANTIOQUIA</v>
      </c>
      <c r="B46" s="377"/>
      <c r="C46" s="377"/>
      <c r="D46" s="377"/>
      <c r="E46" s="378" t="s">
        <v>51</v>
      </c>
      <c r="F46" s="378"/>
      <c r="G46" s="378"/>
      <c r="H46" s="378"/>
    </row>
    <row r="47" spans="1:8" ht="15" customHeight="1" x14ac:dyDescent="0.25">
      <c r="A47" s="379" t="str">
        <f>'DATOS INICIALES'!$B$2</f>
        <v>MUNICIPIO DE DABEIBA</v>
      </c>
      <c r="B47" s="380"/>
      <c r="C47" s="380"/>
      <c r="D47" s="380"/>
      <c r="E47" s="378"/>
      <c r="F47" s="378"/>
      <c r="G47" s="378"/>
      <c r="H47" s="378"/>
    </row>
    <row r="48" spans="1:8" s="254" customFormat="1" ht="50.1" customHeight="1" x14ac:dyDescent="0.25">
      <c r="A48" s="381" t="str">
        <f>'DATOS INICIALES'!$B$3</f>
        <v>REPOSICIÓN, AMPLIACIÓN Y REPARACIÓN DE LUMINARIAS QUE HACEN PARTE DE LA RED DE ALUMBRADOPÚBLICO DEL PARQUE PRINCIPAL Y CORREGIMIENTO SAN JOSÉ DE URAMA DEL MUNICIPIO DE DABEIBA.</v>
      </c>
      <c r="B48" s="382"/>
      <c r="C48" s="382"/>
      <c r="D48" s="382"/>
      <c r="E48" s="378"/>
      <c r="F48" s="378"/>
      <c r="G48" s="378"/>
      <c r="H48" s="378"/>
    </row>
    <row r="49" spans="1:8" ht="15" customHeight="1" x14ac:dyDescent="0.25">
      <c r="A49" s="383"/>
      <c r="B49" s="383"/>
      <c r="C49" s="383"/>
      <c r="D49" s="383"/>
      <c r="E49" s="378"/>
      <c r="F49" s="378"/>
      <c r="G49" s="378"/>
      <c r="H49" s="378"/>
    </row>
    <row r="50" spans="1:8" ht="15" customHeight="1" x14ac:dyDescent="0.25">
      <c r="A50" s="384" t="s">
        <v>576</v>
      </c>
      <c r="B50" s="385"/>
      <c r="C50" s="385"/>
      <c r="D50" s="385"/>
      <c r="E50" s="378"/>
      <c r="F50" s="378"/>
      <c r="G50" s="378"/>
      <c r="H50" s="378"/>
    </row>
    <row r="51" spans="1:8" ht="15" customHeight="1" x14ac:dyDescent="0.25"/>
    <row r="52" spans="1:8" ht="15" customHeight="1" x14ac:dyDescent="0.25">
      <c r="A52" s="21" t="s">
        <v>42</v>
      </c>
      <c r="B52" s="372" t="s">
        <v>44</v>
      </c>
      <c r="C52" s="373"/>
      <c r="D52" s="373"/>
      <c r="E52" s="373"/>
      <c r="F52" s="374"/>
      <c r="G52" s="21" t="s">
        <v>45</v>
      </c>
      <c r="H52" s="21" t="s">
        <v>46</v>
      </c>
    </row>
    <row r="53" spans="1:8" ht="30" customHeight="1" x14ac:dyDescent="0.25">
      <c r="A53" s="219" t="s">
        <v>782</v>
      </c>
      <c r="B53" s="367" t="str">
        <f>IFERROR(VLOOKUP($A53,PRESUPUESTO!$A$7:$E$15,4,0),"")</f>
        <v>SUMINISTRO, TRANSPORTE, INSTALACION CONECTOR TIPO RESORTE
CAPUCHA Y DEMÁS ELEMENTOS PARA SU CORRECTO
FUNCIONAMIENTO</v>
      </c>
      <c r="C53" s="367"/>
      <c r="D53" s="367"/>
      <c r="E53" s="367"/>
      <c r="F53" s="367"/>
      <c r="G53" s="207" t="str">
        <f>+IFERROR(VLOOKUP($A53,PRESUPUESTO!$A$7:$F$15,5,0),"")</f>
        <v>UND</v>
      </c>
      <c r="H53" s="216">
        <f>+H58</f>
        <v>69</v>
      </c>
    </row>
    <row r="54" spans="1:8" ht="15" customHeight="1" x14ac:dyDescent="0.25"/>
    <row r="55" spans="1:8" ht="15" customHeight="1" x14ac:dyDescent="0.25">
      <c r="A55" s="368" t="s">
        <v>577</v>
      </c>
      <c r="B55" s="368"/>
      <c r="C55" s="214" t="s">
        <v>578</v>
      </c>
      <c r="D55" s="214" t="s">
        <v>46</v>
      </c>
      <c r="E55" s="214" t="s">
        <v>579</v>
      </c>
      <c r="F55" s="214" t="s">
        <v>580</v>
      </c>
      <c r="G55" s="214" t="s">
        <v>581</v>
      </c>
      <c r="H55" s="214" t="s">
        <v>582</v>
      </c>
    </row>
    <row r="56" spans="1:8" ht="15" customHeight="1" x14ac:dyDescent="0.25">
      <c r="A56" s="219">
        <v>1</v>
      </c>
      <c r="B56" s="218" t="s">
        <v>824</v>
      </c>
      <c r="C56" s="219">
        <v>3</v>
      </c>
      <c r="D56" s="219">
        <v>4</v>
      </c>
      <c r="E56" s="219"/>
      <c r="F56" s="219"/>
      <c r="G56" s="219"/>
      <c r="H56" s="215">
        <f>+IF(A56=0,"",IF(AND(E56=0,F56=0,G56=0),C56*D56,IF(AND(F56=0,G56=0),C56*D56*E56,IF(G56=0,C56*D56*E56*F56,C56*D56*E56*F56*G56))))</f>
        <v>12</v>
      </c>
    </row>
    <row r="57" spans="1:8" ht="15" customHeight="1" x14ac:dyDescent="0.25">
      <c r="A57" s="219">
        <v>2</v>
      </c>
      <c r="B57" s="218" t="s">
        <v>825</v>
      </c>
      <c r="C57" s="219">
        <v>3</v>
      </c>
      <c r="D57" s="219">
        <v>19</v>
      </c>
      <c r="E57" s="219"/>
      <c r="F57" s="219"/>
      <c r="G57" s="219"/>
      <c r="H57" s="215">
        <f>+IF(A57=0,"",IF(AND(E57=0,F57=0,G57=0),C57*D57,IF(AND(F57=0,G57=0),C57*D57*E57,IF(G57=0,C57*D57*E57*F57,C57*D57*E57*F57*G57))))</f>
        <v>57</v>
      </c>
    </row>
    <row r="58" spans="1:8" ht="15" customHeight="1" x14ac:dyDescent="0.25">
      <c r="A58" s="369" t="str">
        <f>+"TOTAL CANTIDAD ITEM "&amp;A54</f>
        <v xml:space="preserve">TOTAL CANTIDAD ITEM </v>
      </c>
      <c r="B58" s="370"/>
      <c r="C58" s="370"/>
      <c r="D58" s="370"/>
      <c r="E58" s="370"/>
      <c r="F58" s="370"/>
      <c r="G58" s="371"/>
      <c r="H58" s="216">
        <f>IFERROR(ROUND(IF(SUM(H56:H57)=0,"",SUM(H56:H57)),0),"")</f>
        <v>69</v>
      </c>
    </row>
    <row r="59" spans="1:8" ht="15" customHeight="1" x14ac:dyDescent="0.25">
      <c r="A59" s="386"/>
      <c r="B59" s="386"/>
      <c r="C59" s="386"/>
      <c r="D59" s="386"/>
      <c r="E59" s="386"/>
      <c r="F59" s="386"/>
      <c r="G59" s="386"/>
      <c r="H59" s="386"/>
    </row>
    <row r="60" spans="1:8" ht="15" customHeight="1" x14ac:dyDescent="0.25">
      <c r="A60" s="376" t="str">
        <f>'DATOS INICIALES'!$B$1</f>
        <v>DEPARTAMENTO DE ANTIOQUIA</v>
      </c>
      <c r="B60" s="377"/>
      <c r="C60" s="377"/>
      <c r="D60" s="377"/>
      <c r="E60" s="378" t="s">
        <v>51</v>
      </c>
      <c r="F60" s="378"/>
      <c r="G60" s="378"/>
      <c r="H60" s="378"/>
    </row>
    <row r="61" spans="1:8" ht="15" customHeight="1" x14ac:dyDescent="0.25">
      <c r="A61" s="379" t="str">
        <f>'DATOS INICIALES'!$B$2</f>
        <v>MUNICIPIO DE DABEIBA</v>
      </c>
      <c r="B61" s="380"/>
      <c r="C61" s="380"/>
      <c r="D61" s="380"/>
      <c r="E61" s="378"/>
      <c r="F61" s="378"/>
      <c r="G61" s="378"/>
      <c r="H61" s="378"/>
    </row>
    <row r="62" spans="1:8" s="254" customFormat="1" ht="50.1" customHeight="1" x14ac:dyDescent="0.25">
      <c r="A62" s="381" t="str">
        <f>'DATOS INICIALES'!$B$3</f>
        <v>REPOSICIÓN, AMPLIACIÓN Y REPARACIÓN DE LUMINARIAS QUE HACEN PARTE DE LA RED DE ALUMBRADOPÚBLICO DEL PARQUE PRINCIPAL Y CORREGIMIENTO SAN JOSÉ DE URAMA DEL MUNICIPIO DE DABEIBA.</v>
      </c>
      <c r="B62" s="382"/>
      <c r="C62" s="382"/>
      <c r="D62" s="382"/>
      <c r="E62" s="378"/>
      <c r="F62" s="378"/>
      <c r="G62" s="378"/>
      <c r="H62" s="378"/>
    </row>
    <row r="63" spans="1:8" ht="15" customHeight="1" x14ac:dyDescent="0.25">
      <c r="A63" s="383"/>
      <c r="B63" s="383"/>
      <c r="C63" s="383"/>
      <c r="D63" s="383"/>
      <c r="E63" s="378"/>
      <c r="F63" s="378"/>
      <c r="G63" s="378"/>
      <c r="H63" s="378"/>
    </row>
    <row r="64" spans="1:8" ht="15" customHeight="1" x14ac:dyDescent="0.25">
      <c r="A64" s="384" t="s">
        <v>576</v>
      </c>
      <c r="B64" s="385"/>
      <c r="C64" s="385"/>
      <c r="D64" s="385"/>
      <c r="E64" s="378"/>
      <c r="F64" s="378"/>
      <c r="G64" s="378"/>
      <c r="H64" s="378"/>
    </row>
    <row r="65" spans="1:8" ht="15" customHeight="1" x14ac:dyDescent="0.25"/>
    <row r="66" spans="1:8" ht="15" customHeight="1" x14ac:dyDescent="0.25">
      <c r="A66" s="21" t="s">
        <v>42</v>
      </c>
      <c r="B66" s="372" t="s">
        <v>44</v>
      </c>
      <c r="C66" s="373"/>
      <c r="D66" s="373"/>
      <c r="E66" s="373"/>
      <c r="F66" s="374"/>
      <c r="G66" s="21" t="s">
        <v>45</v>
      </c>
      <c r="H66" s="21" t="s">
        <v>46</v>
      </c>
    </row>
    <row r="67" spans="1:8" ht="30" customHeight="1" x14ac:dyDescent="0.25">
      <c r="A67" s="219" t="s">
        <v>790</v>
      </c>
      <c r="B67" s="367" t="str">
        <f>IFERROR(VLOOKUP($A67,PRESUPUESTO!$A$7:$E$15,4,0),"")</f>
        <v>SUMINISTRO, TRANSPORTE, INSTALACION ESPACIADORES 8´´ Y
DEMÁS ELEMENTOS PARA SU CORRECTO FUNCIONAMIENTO</v>
      </c>
      <c r="C67" s="367"/>
      <c r="D67" s="367"/>
      <c r="E67" s="367"/>
      <c r="F67" s="367"/>
      <c r="G67" s="207" t="str">
        <f>+IFERROR(VLOOKUP($A67,PRESUPUESTO!$A$7:$F$15,5,0),"")</f>
        <v>UND</v>
      </c>
      <c r="H67" s="216">
        <f>+H72</f>
        <v>21</v>
      </c>
    </row>
    <row r="68" spans="1:8" ht="15" customHeight="1" x14ac:dyDescent="0.25"/>
    <row r="69" spans="1:8" ht="15" customHeight="1" x14ac:dyDescent="0.25">
      <c r="A69" s="368" t="s">
        <v>577</v>
      </c>
      <c r="B69" s="368"/>
      <c r="C69" s="214" t="s">
        <v>578</v>
      </c>
      <c r="D69" s="214" t="s">
        <v>46</v>
      </c>
      <c r="E69" s="214" t="s">
        <v>579</v>
      </c>
      <c r="F69" s="214" t="s">
        <v>580</v>
      </c>
      <c r="G69" s="214" t="s">
        <v>581</v>
      </c>
      <c r="H69" s="214" t="s">
        <v>582</v>
      </c>
    </row>
    <row r="70" spans="1:8" ht="15" customHeight="1" x14ac:dyDescent="0.25">
      <c r="A70" s="219">
        <v>1</v>
      </c>
      <c r="B70" s="218" t="s">
        <v>824</v>
      </c>
      <c r="C70" s="219">
        <v>1</v>
      </c>
      <c r="D70" s="219">
        <v>3</v>
      </c>
      <c r="E70" s="219"/>
      <c r="F70" s="219"/>
      <c r="G70" s="219"/>
      <c r="H70" s="215">
        <f>+IF(A70=0,"",IF(AND(E70=0,F70=0,G70=0),C70*D70,IF(AND(F70=0,G70=0),C70*D70*E70,IF(G70=0,C70*D70*E70*F70,C70*D70*E70*F70*G70))))</f>
        <v>3</v>
      </c>
    </row>
    <row r="71" spans="1:8" ht="15" customHeight="1" x14ac:dyDescent="0.25">
      <c r="A71" s="219">
        <v>2</v>
      </c>
      <c r="B71" s="218" t="s">
        <v>825</v>
      </c>
      <c r="C71" s="219">
        <v>1</v>
      </c>
      <c r="D71" s="219">
        <v>18</v>
      </c>
      <c r="E71" s="219"/>
      <c r="F71" s="219"/>
      <c r="G71" s="219"/>
      <c r="H71" s="215">
        <f t="shared" ref="H71" si="1">+IF(A71=0,"",IF(AND(E71=0,F71=0,G71=0),C71*D71,IF(AND(F71=0,G71=0),C71*D71*E71,IF(G71=0,C71*D71*E71*F71,C71*D71*E71*F71*G71))))</f>
        <v>18</v>
      </c>
    </row>
    <row r="72" spans="1:8" ht="15" customHeight="1" x14ac:dyDescent="0.25">
      <c r="A72" s="369" t="str">
        <f>+"TOTAL CANTIDAD ITEM "&amp;A68</f>
        <v xml:space="preserve">TOTAL CANTIDAD ITEM </v>
      </c>
      <c r="B72" s="370"/>
      <c r="C72" s="370"/>
      <c r="D72" s="370"/>
      <c r="E72" s="370"/>
      <c r="F72" s="370"/>
      <c r="G72" s="371"/>
      <c r="H72" s="216">
        <f>IFERROR(ROUND(IF(SUM(H70:H71)=0,"",SUM(H70:H71)),0),"")</f>
        <v>21</v>
      </c>
    </row>
    <row r="73" spans="1:8" ht="15" customHeight="1" x14ac:dyDescent="0.25">
      <c r="A73" s="387"/>
      <c r="B73" s="387"/>
      <c r="C73" s="387"/>
      <c r="D73" s="387"/>
      <c r="E73" s="387"/>
      <c r="F73" s="387"/>
      <c r="G73" s="387"/>
      <c r="H73" s="387"/>
    </row>
    <row r="74" spans="1:8" ht="15" customHeight="1" x14ac:dyDescent="0.25">
      <c r="A74" s="376" t="str">
        <f>'DATOS INICIALES'!$B$1</f>
        <v>DEPARTAMENTO DE ANTIOQUIA</v>
      </c>
      <c r="B74" s="377"/>
      <c r="C74" s="377"/>
      <c r="D74" s="377"/>
      <c r="E74" s="378" t="s">
        <v>51</v>
      </c>
      <c r="F74" s="378"/>
      <c r="G74" s="378"/>
      <c r="H74" s="378"/>
    </row>
    <row r="75" spans="1:8" ht="15" customHeight="1" x14ac:dyDescent="0.25">
      <c r="A75" s="379" t="str">
        <f>'DATOS INICIALES'!$B$2</f>
        <v>MUNICIPIO DE DABEIBA</v>
      </c>
      <c r="B75" s="380"/>
      <c r="C75" s="380"/>
      <c r="D75" s="380"/>
      <c r="E75" s="378"/>
      <c r="F75" s="378"/>
      <c r="G75" s="378"/>
      <c r="H75" s="378"/>
    </row>
    <row r="76" spans="1:8" s="254" customFormat="1" ht="50.1" customHeight="1" x14ac:dyDescent="0.25">
      <c r="A76" s="381" t="str">
        <f>'DATOS INICIALES'!$B$3</f>
        <v>REPOSICIÓN, AMPLIACIÓN Y REPARACIÓN DE LUMINARIAS QUE HACEN PARTE DE LA RED DE ALUMBRADOPÚBLICO DEL PARQUE PRINCIPAL Y CORREGIMIENTO SAN JOSÉ DE URAMA DEL MUNICIPIO DE DABEIBA.</v>
      </c>
      <c r="B76" s="382"/>
      <c r="C76" s="382"/>
      <c r="D76" s="382"/>
      <c r="E76" s="378"/>
      <c r="F76" s="378"/>
      <c r="G76" s="378"/>
      <c r="H76" s="378"/>
    </row>
    <row r="77" spans="1:8" ht="15" customHeight="1" x14ac:dyDescent="0.25">
      <c r="A77" s="383"/>
      <c r="B77" s="383"/>
      <c r="C77" s="383"/>
      <c r="D77" s="383"/>
      <c r="E77" s="378"/>
      <c r="F77" s="378"/>
      <c r="G77" s="378"/>
      <c r="H77" s="378"/>
    </row>
    <row r="78" spans="1:8" ht="15" customHeight="1" x14ac:dyDescent="0.25">
      <c r="A78" s="384" t="s">
        <v>576</v>
      </c>
      <c r="B78" s="385"/>
      <c r="C78" s="385"/>
      <c r="D78" s="385"/>
      <c r="E78" s="378"/>
      <c r="F78" s="378"/>
      <c r="G78" s="378"/>
      <c r="H78" s="378"/>
    </row>
    <row r="79" spans="1:8" ht="15" customHeight="1" x14ac:dyDescent="0.25"/>
    <row r="80" spans="1:8" ht="15" customHeight="1" x14ac:dyDescent="0.25">
      <c r="A80" s="21" t="s">
        <v>42</v>
      </c>
      <c r="B80" s="372" t="s">
        <v>44</v>
      </c>
      <c r="C80" s="373"/>
      <c r="D80" s="373"/>
      <c r="E80" s="373"/>
      <c r="F80" s="374"/>
      <c r="G80" s="21" t="s">
        <v>45</v>
      </c>
      <c r="H80" s="21" t="s">
        <v>46</v>
      </c>
    </row>
    <row r="81" spans="1:8" ht="30" customHeight="1" x14ac:dyDescent="0.25">
      <c r="A81" s="219" t="s">
        <v>791</v>
      </c>
      <c r="B81" s="367" t="str">
        <f>IFERROR(VLOOKUP($A81,PRESUPUESTO!$A$7:$E$15,4,0),"")</f>
        <v>SUMINISTROS, TRANSPORTE E INSTALACION DE FOTOCELDAS CON SU
RESPECTIVA BASE Y DEMAS ELEMENTOS DE FIJACION</v>
      </c>
      <c r="C81" s="367"/>
      <c r="D81" s="367"/>
      <c r="E81" s="367"/>
      <c r="F81" s="367"/>
      <c r="G81" s="207" t="str">
        <f>+IFERROR(VLOOKUP($A81,PRESUPUESTO!$A$7:$F$15,5,0),"")</f>
        <v>UND</v>
      </c>
      <c r="H81" s="216">
        <f>+H86</f>
        <v>22</v>
      </c>
    </row>
    <row r="82" spans="1:8" ht="15" customHeight="1" x14ac:dyDescent="0.25"/>
    <row r="83" spans="1:8" ht="15" customHeight="1" x14ac:dyDescent="0.25">
      <c r="A83" s="368" t="s">
        <v>577</v>
      </c>
      <c r="B83" s="368"/>
      <c r="C83" s="214" t="s">
        <v>578</v>
      </c>
      <c r="D83" s="214" t="s">
        <v>46</v>
      </c>
      <c r="E83" s="214" t="s">
        <v>579</v>
      </c>
      <c r="F83" s="214" t="s">
        <v>580</v>
      </c>
      <c r="G83" s="214" t="s">
        <v>581</v>
      </c>
      <c r="H83" s="214" t="s">
        <v>582</v>
      </c>
    </row>
    <row r="84" spans="1:8" ht="15" customHeight="1" x14ac:dyDescent="0.25">
      <c r="A84" s="219">
        <v>1</v>
      </c>
      <c r="B84" s="218" t="s">
        <v>824</v>
      </c>
      <c r="C84" s="219">
        <v>1</v>
      </c>
      <c r="D84" s="219">
        <v>3</v>
      </c>
      <c r="E84" s="219"/>
      <c r="F84" s="219"/>
      <c r="G84" s="219"/>
      <c r="H84" s="215">
        <f>+IF(A84=0,"",IF(AND(E84=0,F84=0,G84=0),C84*D84,IF(AND(F84=0,G84=0),C84*D84*E84,IF(G84=0,C84*D84*E84*F84,C84*D84*E84*F84*G84))))</f>
        <v>3</v>
      </c>
    </row>
    <row r="85" spans="1:8" ht="15" customHeight="1" x14ac:dyDescent="0.25">
      <c r="A85" s="219">
        <v>2</v>
      </c>
      <c r="B85" s="218" t="s">
        <v>825</v>
      </c>
      <c r="C85" s="219">
        <v>1</v>
      </c>
      <c r="D85" s="219">
        <v>19</v>
      </c>
      <c r="E85" s="219"/>
      <c r="F85" s="219"/>
      <c r="G85" s="219"/>
      <c r="H85" s="215">
        <f t="shared" ref="H85" si="2">+IF(A85=0,"",IF(AND(E85=0,F85=0,G85=0),C85*D85,IF(AND(F85=0,G85=0),C85*D85*E85,IF(G85=0,C85*D85*E85*F85,C85*D85*E85*F85*G85))))</f>
        <v>19</v>
      </c>
    </row>
    <row r="86" spans="1:8" ht="15" customHeight="1" x14ac:dyDescent="0.25">
      <c r="A86" s="369" t="str">
        <f>+"TOTAL CANTIDAD ITEM "&amp;A82</f>
        <v xml:space="preserve">TOTAL CANTIDAD ITEM </v>
      </c>
      <c r="B86" s="370"/>
      <c r="C86" s="370"/>
      <c r="D86" s="370"/>
      <c r="E86" s="370"/>
      <c r="F86" s="370"/>
      <c r="G86" s="371"/>
      <c r="H86" s="216">
        <f>IFERROR(ROUND(IF(SUM(H84:H85)=0,"",SUM(H84:H85)),0),"")</f>
        <v>22</v>
      </c>
    </row>
    <row r="87" spans="1:8" ht="15" customHeight="1" x14ac:dyDescent="0.25">
      <c r="A87" s="387"/>
      <c r="B87" s="387"/>
      <c r="C87" s="387"/>
      <c r="D87" s="387"/>
      <c r="E87" s="387"/>
      <c r="F87" s="387"/>
      <c r="G87" s="387"/>
      <c r="H87" s="387"/>
    </row>
    <row r="88" spans="1:8" ht="15" customHeight="1" x14ac:dyDescent="0.25">
      <c r="A88" s="376" t="str">
        <f>'DATOS INICIALES'!$B$1</f>
        <v>DEPARTAMENTO DE ANTIOQUIA</v>
      </c>
      <c r="B88" s="377"/>
      <c r="C88" s="377"/>
      <c r="D88" s="377"/>
      <c r="E88" s="378" t="s">
        <v>51</v>
      </c>
      <c r="F88" s="378"/>
      <c r="G88" s="378"/>
      <c r="H88" s="378"/>
    </row>
    <row r="89" spans="1:8" ht="15" customHeight="1" x14ac:dyDescent="0.25">
      <c r="A89" s="379" t="str">
        <f>'DATOS INICIALES'!$B$2</f>
        <v>MUNICIPIO DE DABEIBA</v>
      </c>
      <c r="B89" s="380"/>
      <c r="C89" s="380"/>
      <c r="D89" s="380"/>
      <c r="E89" s="378"/>
      <c r="F89" s="378"/>
      <c r="G89" s="378"/>
      <c r="H89" s="378"/>
    </row>
    <row r="90" spans="1:8" s="254" customFormat="1" ht="50.1" customHeight="1" x14ac:dyDescent="0.25">
      <c r="A90" s="381" t="str">
        <f>'DATOS INICIALES'!$B$3</f>
        <v>REPOSICIÓN, AMPLIACIÓN Y REPARACIÓN DE LUMINARIAS QUE HACEN PARTE DE LA RED DE ALUMBRADOPÚBLICO DEL PARQUE PRINCIPAL Y CORREGIMIENTO SAN JOSÉ DE URAMA DEL MUNICIPIO DE DABEIBA.</v>
      </c>
      <c r="B90" s="382"/>
      <c r="C90" s="382"/>
      <c r="D90" s="382"/>
      <c r="E90" s="378"/>
      <c r="F90" s="378"/>
      <c r="G90" s="378"/>
      <c r="H90" s="378"/>
    </row>
    <row r="91" spans="1:8" ht="15" customHeight="1" x14ac:dyDescent="0.25">
      <c r="A91" s="383"/>
      <c r="B91" s="383"/>
      <c r="C91" s="383"/>
      <c r="D91" s="383"/>
      <c r="E91" s="378"/>
      <c r="F91" s="378"/>
      <c r="G91" s="378"/>
      <c r="H91" s="378"/>
    </row>
    <row r="92" spans="1:8" ht="15" customHeight="1" x14ac:dyDescent="0.25">
      <c r="A92" s="384" t="s">
        <v>576</v>
      </c>
      <c r="B92" s="385"/>
      <c r="C92" s="385"/>
      <c r="D92" s="385"/>
      <c r="E92" s="378"/>
      <c r="F92" s="378"/>
      <c r="G92" s="378"/>
      <c r="H92" s="378"/>
    </row>
    <row r="93" spans="1:8" ht="15" customHeight="1" x14ac:dyDescent="0.25"/>
    <row r="94" spans="1:8" ht="15" customHeight="1" x14ac:dyDescent="0.25">
      <c r="A94" s="21" t="s">
        <v>42</v>
      </c>
      <c r="B94" s="372" t="s">
        <v>44</v>
      </c>
      <c r="C94" s="373"/>
      <c r="D94" s="373"/>
      <c r="E94" s="373"/>
      <c r="F94" s="374"/>
      <c r="G94" s="21" t="s">
        <v>45</v>
      </c>
      <c r="H94" s="21" t="s">
        <v>46</v>
      </c>
    </row>
    <row r="95" spans="1:8" ht="30" customHeight="1" x14ac:dyDescent="0.25">
      <c r="A95" s="219" t="s">
        <v>792</v>
      </c>
      <c r="B95" s="367" t="str">
        <f>IFERROR(VLOOKUP($A95,PRESUPUESTO!$A$7:$E$15,4,0),"")</f>
        <v>SUMINISTRO, TRANSPORTE E INSTALACION DE CINTA BANDY, EVILLAS Y
DEMAS ELEMENTOS DE FIJACION</v>
      </c>
      <c r="C95" s="367"/>
      <c r="D95" s="367"/>
      <c r="E95" s="367"/>
      <c r="F95" s="367"/>
      <c r="G95" s="207" t="str">
        <f>+IFERROR(VLOOKUP($A95,PRESUPUESTO!$A$7:$F$15,5,0),"")</f>
        <v>M</v>
      </c>
      <c r="H95" s="216">
        <f>+H100</f>
        <v>23</v>
      </c>
    </row>
    <row r="96" spans="1:8" ht="15" customHeight="1" x14ac:dyDescent="0.25"/>
    <row r="97" spans="1:8" ht="15" customHeight="1" x14ac:dyDescent="0.25">
      <c r="A97" s="368" t="s">
        <v>577</v>
      </c>
      <c r="B97" s="368"/>
      <c r="C97" s="214" t="s">
        <v>578</v>
      </c>
      <c r="D97" s="214" t="s">
        <v>46</v>
      </c>
      <c r="E97" s="214" t="s">
        <v>579</v>
      </c>
      <c r="F97" s="214" t="s">
        <v>580</v>
      </c>
      <c r="G97" s="214" t="s">
        <v>581</v>
      </c>
      <c r="H97" s="214" t="s">
        <v>582</v>
      </c>
    </row>
    <row r="98" spans="1:8" ht="15" customHeight="1" x14ac:dyDescent="0.25">
      <c r="A98" s="219">
        <v>1</v>
      </c>
      <c r="B98" s="218" t="s">
        <v>824</v>
      </c>
      <c r="C98" s="219">
        <v>1</v>
      </c>
      <c r="D98" s="219">
        <v>4</v>
      </c>
      <c r="E98" s="217"/>
      <c r="F98" s="217"/>
      <c r="G98" s="217"/>
      <c r="H98" s="215">
        <f>+IF(A98=0,"",IF(AND(E98=0,F98=0,G98=0),C98*D98,IF(AND(F98=0,G98=0),C98*D98*E98,IF(G98=0,C98*D98*E98*F98,C98*D98*E98*F98*G98))))</f>
        <v>4</v>
      </c>
    </row>
    <row r="99" spans="1:8" ht="15" customHeight="1" x14ac:dyDescent="0.25">
      <c r="A99" s="219">
        <v>2</v>
      </c>
      <c r="B99" s="218" t="s">
        <v>825</v>
      </c>
      <c r="C99" s="219">
        <v>1</v>
      </c>
      <c r="D99" s="219">
        <v>19</v>
      </c>
      <c r="E99" s="217"/>
      <c r="F99" s="217"/>
      <c r="G99" s="217"/>
      <c r="H99" s="215">
        <f>+IF(A99=0,"",IF(AND(E99=0,F99=0,G99=0),C99*D99,IF(AND(F99=0,G99=0),C99*D99*E99,IF(G99=0,C99*D99*E99*F99,C99*D99*E99*F99*G99))))</f>
        <v>19</v>
      </c>
    </row>
    <row r="100" spans="1:8" ht="15" customHeight="1" x14ac:dyDescent="0.25">
      <c r="A100" s="369" t="str">
        <f>+"TOTAL CANTIDAD ITEM "&amp;A96</f>
        <v xml:space="preserve">TOTAL CANTIDAD ITEM </v>
      </c>
      <c r="B100" s="370"/>
      <c r="C100" s="370"/>
      <c r="D100" s="370"/>
      <c r="E100" s="370"/>
      <c r="F100" s="370"/>
      <c r="G100" s="371"/>
      <c r="H100" s="216">
        <f>IFERROR(ROUND(IF(SUM(H98:H99)=0,"",SUM(H98:H99)),0),"")</f>
        <v>23</v>
      </c>
    </row>
    <row r="101" spans="1:8" ht="15" customHeight="1" x14ac:dyDescent="0.25">
      <c r="A101" s="333"/>
      <c r="B101" s="333"/>
      <c r="C101" s="333"/>
      <c r="D101" s="333"/>
      <c r="E101" s="333"/>
      <c r="F101" s="333"/>
      <c r="G101" s="333"/>
      <c r="H101" s="333"/>
    </row>
    <row r="102" spans="1:8" ht="15" hidden="1" customHeight="1" x14ac:dyDescent="0.25">
      <c r="A102" s="376" t="str">
        <f>'DATOS INICIALES'!$B$1</f>
        <v>DEPARTAMENTO DE ANTIOQUIA</v>
      </c>
      <c r="B102" s="377"/>
      <c r="C102" s="377"/>
      <c r="D102" s="377"/>
      <c r="E102" s="378" t="s">
        <v>51</v>
      </c>
      <c r="F102" s="378"/>
      <c r="G102" s="378"/>
      <c r="H102" s="378"/>
    </row>
    <row r="103" spans="1:8" ht="15" hidden="1" customHeight="1" x14ac:dyDescent="0.25">
      <c r="A103" s="379" t="str">
        <f>'DATOS INICIALES'!$B$2</f>
        <v>MUNICIPIO DE DABEIBA</v>
      </c>
      <c r="B103" s="380"/>
      <c r="C103" s="380"/>
      <c r="D103" s="380"/>
      <c r="E103" s="378"/>
      <c r="F103" s="378"/>
      <c r="G103" s="378"/>
      <c r="H103" s="378"/>
    </row>
    <row r="104" spans="1:8" s="254" customFormat="1" ht="50.1" hidden="1" customHeight="1" x14ac:dyDescent="0.25">
      <c r="A104" s="381" t="str">
        <f>'DATOS INICIALES'!$B$3</f>
        <v>REPOSICIÓN, AMPLIACIÓN Y REPARACIÓN DE LUMINARIAS QUE HACEN PARTE DE LA RED DE ALUMBRADOPÚBLICO DEL PARQUE PRINCIPAL Y CORREGIMIENTO SAN JOSÉ DE URAMA DEL MUNICIPIO DE DABEIBA.</v>
      </c>
      <c r="B104" s="382"/>
      <c r="C104" s="382"/>
      <c r="D104" s="382"/>
      <c r="E104" s="378"/>
      <c r="F104" s="378"/>
      <c r="G104" s="378"/>
      <c r="H104" s="378"/>
    </row>
    <row r="105" spans="1:8" ht="15" hidden="1" customHeight="1" x14ac:dyDescent="0.25">
      <c r="A105" s="383"/>
      <c r="B105" s="383"/>
      <c r="C105" s="383"/>
      <c r="D105" s="383"/>
      <c r="E105" s="378"/>
      <c r="F105" s="378"/>
      <c r="G105" s="378"/>
      <c r="H105" s="378"/>
    </row>
    <row r="106" spans="1:8" ht="15" hidden="1" customHeight="1" x14ac:dyDescent="0.25">
      <c r="A106" s="384" t="s">
        <v>576</v>
      </c>
      <c r="B106" s="385"/>
      <c r="C106" s="385"/>
      <c r="D106" s="385"/>
      <c r="E106" s="378"/>
      <c r="F106" s="378"/>
      <c r="G106" s="378"/>
      <c r="H106" s="378"/>
    </row>
    <row r="107" spans="1:8" ht="15" hidden="1" customHeight="1" x14ac:dyDescent="0.25"/>
    <row r="108" spans="1:8" ht="15" hidden="1" customHeight="1" x14ac:dyDescent="0.25">
      <c r="A108" s="21" t="s">
        <v>42</v>
      </c>
      <c r="B108" s="372" t="s">
        <v>44</v>
      </c>
      <c r="C108" s="373"/>
      <c r="D108" s="373"/>
      <c r="E108" s="373"/>
      <c r="F108" s="374"/>
      <c r="G108" s="21" t="s">
        <v>45</v>
      </c>
      <c r="H108" s="21" t="s">
        <v>46</v>
      </c>
    </row>
    <row r="109" spans="1:8" ht="15" hidden="1" customHeight="1" x14ac:dyDescent="0.25">
      <c r="A109" s="219" t="s">
        <v>793</v>
      </c>
      <c r="B109" s="375" t="str">
        <f>IFERROR(VLOOKUP($A109,PRESUPUESTO!$A$7:$E$15,4,0),"")</f>
        <v/>
      </c>
      <c r="C109" s="375"/>
      <c r="D109" s="375"/>
      <c r="E109" s="375"/>
      <c r="F109" s="375"/>
      <c r="G109" s="207" t="str">
        <f>+IFERROR(VLOOKUP($A109,PRESUPUESTO!$A$7:$F$15,5,0),"")</f>
        <v/>
      </c>
      <c r="H109" s="216">
        <f>$H$114</f>
        <v>0.4</v>
      </c>
    </row>
    <row r="110" spans="1:8" ht="15" hidden="1" customHeight="1" x14ac:dyDescent="0.25"/>
    <row r="111" spans="1:8" ht="15" hidden="1" customHeight="1" x14ac:dyDescent="0.25">
      <c r="A111" s="368" t="s">
        <v>577</v>
      </c>
      <c r="B111" s="368"/>
      <c r="C111" s="214" t="s">
        <v>578</v>
      </c>
      <c r="D111" s="214" t="s">
        <v>46</v>
      </c>
      <c r="E111" s="214" t="s">
        <v>579</v>
      </c>
      <c r="F111" s="214" t="s">
        <v>580</v>
      </c>
      <c r="G111" s="214" t="s">
        <v>581</v>
      </c>
      <c r="H111" s="214" t="s">
        <v>582</v>
      </c>
    </row>
    <row r="112" spans="1:8" ht="15" hidden="1" customHeight="1" x14ac:dyDescent="0.25">
      <c r="A112" s="219">
        <v>22</v>
      </c>
      <c r="B112" s="241" t="e">
        <f>VLOOKUP(A112,$K$2:$L$24,2,FALSE)</f>
        <v>#N/A</v>
      </c>
      <c r="C112" s="219">
        <v>1</v>
      </c>
      <c r="D112" s="219">
        <v>1</v>
      </c>
      <c r="E112" s="217">
        <v>0.25</v>
      </c>
      <c r="F112" s="217">
        <v>1.6</v>
      </c>
      <c r="G112" s="217"/>
      <c r="H112" s="215">
        <f>+IF(A112=0,"",IF(AND(E112=0,F112=0,G112=0),C112*D112,IF(AND(F112=0,G112=0),C112*D112*E112,IF(G112=0,C112*D112*E112*F112,C112*D112*E112*F112*G112))))</f>
        <v>0.4</v>
      </c>
    </row>
    <row r="113" spans="1:8" ht="15" hidden="1" customHeight="1" x14ac:dyDescent="0.25">
      <c r="A113" s="219"/>
      <c r="B113" s="241"/>
      <c r="C113" s="219"/>
      <c r="D113" s="219"/>
      <c r="E113" s="219"/>
      <c r="F113" s="219"/>
      <c r="G113" s="219"/>
      <c r="H113" s="215" t="str">
        <f t="shared" ref="H113" si="3">+IF(A113=0,"",IF(AND(E113=0,F113=0,G113=0),C113*D113,IF(AND(F113=0,G113=0),C113*D113*E113,IF(G113=0,C113*D113*E113*F113,C113*D113*E113*F113*G113))))</f>
        <v/>
      </c>
    </row>
    <row r="114" spans="1:8" ht="15" hidden="1" customHeight="1" x14ac:dyDescent="0.25">
      <c r="A114" s="369" t="str">
        <f>+"TOTAL CANTIDAD ITEM "&amp;A110</f>
        <v xml:space="preserve">TOTAL CANTIDAD ITEM </v>
      </c>
      <c r="B114" s="370"/>
      <c r="C114" s="370"/>
      <c r="D114" s="370"/>
      <c r="E114" s="370"/>
      <c r="F114" s="370"/>
      <c r="G114" s="371"/>
      <c r="H114" s="216">
        <f>H112</f>
        <v>0.4</v>
      </c>
    </row>
    <row r="117" spans="1:8" ht="15.75" x14ac:dyDescent="0.25">
      <c r="A117" s="228"/>
      <c r="B117" s="365" t="s">
        <v>784</v>
      </c>
      <c r="C117" s="365"/>
      <c r="D117" s="221"/>
    </row>
    <row r="118" spans="1:8" x14ac:dyDescent="0.25">
      <c r="B118" s="365" t="s">
        <v>788</v>
      </c>
      <c r="C118" s="365"/>
      <c r="D118" s="245"/>
    </row>
    <row r="119" spans="1:8" x14ac:dyDescent="0.25">
      <c r="A119" s="244"/>
      <c r="B119" s="333" t="s">
        <v>789</v>
      </c>
      <c r="C119" s="366"/>
    </row>
  </sheetData>
  <mergeCells count="90">
    <mergeCell ref="A16:D16"/>
    <mergeCell ref="E16:H20"/>
    <mergeCell ref="A17:D17"/>
    <mergeCell ref="A18:D18"/>
    <mergeCell ref="A19:D19"/>
    <mergeCell ref="A20:D20"/>
    <mergeCell ref="B7:F7"/>
    <mergeCell ref="B8:F8"/>
    <mergeCell ref="A10:B10"/>
    <mergeCell ref="A13:G13"/>
    <mergeCell ref="A14:H14"/>
    <mergeCell ref="A1:D1"/>
    <mergeCell ref="E1:H5"/>
    <mergeCell ref="A2:D2"/>
    <mergeCell ref="A3:D3"/>
    <mergeCell ref="A4:D4"/>
    <mergeCell ref="A5:D5"/>
    <mergeCell ref="A87:H87"/>
    <mergeCell ref="A74:D74"/>
    <mergeCell ref="E74:H78"/>
    <mergeCell ref="A75:D75"/>
    <mergeCell ref="A76:D76"/>
    <mergeCell ref="A77:D77"/>
    <mergeCell ref="A78:D78"/>
    <mergeCell ref="A44:H44"/>
    <mergeCell ref="B22:F22"/>
    <mergeCell ref="B23:F23"/>
    <mergeCell ref="A25:B25"/>
    <mergeCell ref="A28:G28"/>
    <mergeCell ref="A29:H29"/>
    <mergeCell ref="A31:D31"/>
    <mergeCell ref="E31:H35"/>
    <mergeCell ref="A32:D32"/>
    <mergeCell ref="A33:D33"/>
    <mergeCell ref="A34:D34"/>
    <mergeCell ref="A35:D35"/>
    <mergeCell ref="B37:F37"/>
    <mergeCell ref="B38:F38"/>
    <mergeCell ref="A40:B40"/>
    <mergeCell ref="A43:G43"/>
    <mergeCell ref="B80:F80"/>
    <mergeCell ref="B81:F81"/>
    <mergeCell ref="A83:B83"/>
    <mergeCell ref="A86:G86"/>
    <mergeCell ref="A46:D46"/>
    <mergeCell ref="E46:H50"/>
    <mergeCell ref="A47:D47"/>
    <mergeCell ref="A48:D48"/>
    <mergeCell ref="A49:D49"/>
    <mergeCell ref="A50:D50"/>
    <mergeCell ref="B52:F52"/>
    <mergeCell ref="B53:F53"/>
    <mergeCell ref="A55:B55"/>
    <mergeCell ref="E60:H64"/>
    <mergeCell ref="A61:D61"/>
    <mergeCell ref="A62:D62"/>
    <mergeCell ref="A63:D63"/>
    <mergeCell ref="A64:D64"/>
    <mergeCell ref="A106:D106"/>
    <mergeCell ref="A58:G58"/>
    <mergeCell ref="A59:H59"/>
    <mergeCell ref="A88:D88"/>
    <mergeCell ref="E88:H92"/>
    <mergeCell ref="A89:D89"/>
    <mergeCell ref="A90:D90"/>
    <mergeCell ref="A91:D91"/>
    <mergeCell ref="A92:D92"/>
    <mergeCell ref="B94:F94"/>
    <mergeCell ref="B66:F66"/>
    <mergeCell ref="B67:F67"/>
    <mergeCell ref="A69:B69"/>
    <mergeCell ref="A72:G72"/>
    <mergeCell ref="A73:H73"/>
    <mergeCell ref="A60:D60"/>
    <mergeCell ref="B118:C118"/>
    <mergeCell ref="B119:C119"/>
    <mergeCell ref="B117:C117"/>
    <mergeCell ref="B95:F95"/>
    <mergeCell ref="A97:B97"/>
    <mergeCell ref="A100:G100"/>
    <mergeCell ref="B108:F108"/>
    <mergeCell ref="B109:F109"/>
    <mergeCell ref="A111:B111"/>
    <mergeCell ref="A114:G114"/>
    <mergeCell ref="A101:H101"/>
    <mergeCell ref="A102:D102"/>
    <mergeCell ref="E102:H106"/>
    <mergeCell ref="A103:D103"/>
    <mergeCell ref="A104:D104"/>
    <mergeCell ref="A105:D105"/>
  </mergeCells>
  <phoneticPr fontId="35" type="noConversion"/>
  <dataValidations count="1">
    <dataValidation allowBlank="1" showErrorMessage="1" sqref="B117:B118" xr:uid="{00000000-0002-0000-0300-000000000000}"/>
  </dataValidations>
  <pageMargins left="0.70866141732283472" right="0.70866141732283472" top="0.74803149606299213" bottom="0.74803149606299213" header="0.31496062992125984" footer="0.31496062992125984"/>
  <pageSetup scale="70" fitToHeight="0" orientation="portrait" r:id="rId1"/>
  <rowBreaks count="1" manualBreakCount="1">
    <brk id="50" max="7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411"/>
  <sheetViews>
    <sheetView view="pageBreakPreview" topLeftCell="A295" zoomScale="85" zoomScaleNormal="70" zoomScaleSheetLayoutView="85" workbookViewId="0">
      <selection activeCell="E310" sqref="E310"/>
    </sheetView>
  </sheetViews>
  <sheetFormatPr baseColWidth="10" defaultRowHeight="15" x14ac:dyDescent="0.25"/>
  <cols>
    <col min="1" max="1" width="8.28515625" bestFit="1" customWidth="1"/>
    <col min="2" max="2" width="51.28515625" customWidth="1"/>
    <col min="3" max="3" width="9.5703125" bestFit="1" customWidth="1"/>
    <col min="4" max="4" width="7.7109375" customWidth="1"/>
    <col min="5" max="5" width="13.85546875" bestFit="1" customWidth="1"/>
    <col min="6" max="6" width="13.7109375" bestFit="1" customWidth="1"/>
    <col min="7" max="7" width="15" bestFit="1" customWidth="1"/>
    <col min="9" max="9" width="15.42578125" bestFit="1" customWidth="1"/>
  </cols>
  <sheetData>
    <row r="1" spans="1:7" ht="15" customHeight="1" x14ac:dyDescent="0.25">
      <c r="A1" s="419" t="str">
        <f>'DATOS INICIALES'!$B$1</f>
        <v>DEPARTAMENTO DE ANTIOQUIA</v>
      </c>
      <c r="B1" s="420"/>
      <c r="C1" s="420"/>
      <c r="D1" s="420"/>
      <c r="E1" s="420"/>
      <c r="F1" s="421" t="s">
        <v>51</v>
      </c>
      <c r="G1" s="421"/>
    </row>
    <row r="2" spans="1:7" ht="15" customHeight="1" x14ac:dyDescent="0.25">
      <c r="A2" s="422" t="str">
        <f>'DATOS INICIALES'!$B$2</f>
        <v>MUNICIPIO DE DABEIBA</v>
      </c>
      <c r="B2" s="423"/>
      <c r="C2" s="423"/>
      <c r="D2" s="423"/>
      <c r="E2" s="423"/>
      <c r="F2" s="421"/>
      <c r="G2" s="421"/>
    </row>
    <row r="3" spans="1:7" s="254" customFormat="1" ht="50.1" customHeight="1" x14ac:dyDescent="0.25">
      <c r="A3" s="424" t="str">
        <f>'DATOS INICIALES'!$B$3</f>
        <v>REPOSICIÓN, AMPLIACIÓN Y REPARACIÓN DE LUMINARIAS QUE HACEN PARTE DE LA RED DE ALUMBRADOPÚBLICO DEL PARQUE PRINCIPAL Y CORREGIMIENTO SAN JOSÉ DE URAMA DEL MUNICIPIO DE DABEIBA.</v>
      </c>
      <c r="B3" s="425"/>
      <c r="C3" s="425"/>
      <c r="D3" s="425"/>
      <c r="E3" s="425"/>
      <c r="F3" s="421"/>
      <c r="G3" s="421"/>
    </row>
    <row r="4" spans="1:7" ht="15" customHeight="1" x14ac:dyDescent="0.25">
      <c r="A4" s="417"/>
      <c r="B4" s="417"/>
      <c r="C4" s="417"/>
      <c r="D4" s="417"/>
      <c r="E4" s="426"/>
      <c r="F4" s="421"/>
      <c r="G4" s="421"/>
    </row>
    <row r="5" spans="1:7" ht="15" customHeight="1" x14ac:dyDescent="0.25">
      <c r="A5" s="427" t="s">
        <v>52</v>
      </c>
      <c r="B5" s="428"/>
      <c r="C5" s="428"/>
      <c r="D5" s="428"/>
      <c r="E5" s="428"/>
      <c r="F5" s="421"/>
      <c r="G5" s="421"/>
    </row>
    <row r="6" spans="1:7" ht="15" customHeight="1" x14ac:dyDescent="0.25">
      <c r="A6" s="417"/>
      <c r="B6" s="417"/>
      <c r="C6" s="417"/>
      <c r="D6" s="417"/>
      <c r="E6" s="417"/>
      <c r="F6" s="418"/>
      <c r="G6" s="418"/>
    </row>
    <row r="7" spans="1:7" ht="12.95" customHeight="1" x14ac:dyDescent="0.25">
      <c r="A7" s="255" t="s">
        <v>42</v>
      </c>
      <c r="B7" s="414" t="s">
        <v>44</v>
      </c>
      <c r="C7" s="415"/>
      <c r="D7" s="416"/>
      <c r="E7" s="256" t="s">
        <v>45</v>
      </c>
      <c r="F7" s="257" t="s">
        <v>46</v>
      </c>
      <c r="G7" s="257" t="s">
        <v>53</v>
      </c>
    </row>
    <row r="8" spans="1:7" ht="30" customHeight="1" x14ac:dyDescent="0.25">
      <c r="A8" s="258" t="s">
        <v>50</v>
      </c>
      <c r="B8" s="399" t="str">
        <f>+IFERROR(VLOOKUP($A8,PRESUPUESTO!$A$7:$E$15,4,0),"")</f>
        <v>SUMINISTRO, TRANSPORTE, DESMONTE, INSTALACION DE LAMPARAS MALAS Y REPOSICION Y DEMÁS ELEMENTOS PARA SU CORRECTO FUNCIONAMIENTO</v>
      </c>
      <c r="C8" s="400"/>
      <c r="D8" s="401"/>
      <c r="E8" s="259" t="str">
        <f>+IFERROR(VLOOKUP($A8,PRESUPUESTO!$A$7:$E$15,5,0),"")</f>
        <v>UND</v>
      </c>
      <c r="F8" s="259">
        <f>+IFERROR(VLOOKUP($A8,PRESUPUESTO!$A$7:$F$15,6,0),"")</f>
        <v>23</v>
      </c>
      <c r="G8" s="260">
        <f ca="1">IF(G56=0,"",G47)</f>
        <v>762420</v>
      </c>
    </row>
    <row r="9" spans="1:7" ht="12.95" customHeight="1" x14ac:dyDescent="0.25">
      <c r="A9" s="261"/>
      <c r="B9" s="261"/>
      <c r="C9" s="261"/>
      <c r="D9" s="261"/>
      <c r="E9" s="262"/>
      <c r="F9" s="262"/>
      <c r="G9" s="263"/>
    </row>
    <row r="10" spans="1:7" ht="12.95" customHeight="1" x14ac:dyDescent="0.25">
      <c r="A10" s="402" t="s">
        <v>54</v>
      </c>
      <c r="B10" s="402"/>
      <c r="C10" s="402"/>
      <c r="D10" s="402"/>
      <c r="E10" s="402"/>
      <c r="F10" s="402"/>
      <c r="G10" s="402"/>
    </row>
    <row r="11" spans="1:7" ht="12.95" customHeight="1" x14ac:dyDescent="0.25">
      <c r="A11" s="264"/>
      <c r="B11" s="264"/>
      <c r="C11" s="264"/>
      <c r="D11" s="264"/>
      <c r="E11" s="264"/>
      <c r="F11" s="264"/>
      <c r="G11" s="264"/>
    </row>
    <row r="12" spans="1:7" ht="12.95" customHeight="1" x14ac:dyDescent="0.25">
      <c r="A12" s="403" t="s">
        <v>55</v>
      </c>
      <c r="B12" s="403"/>
      <c r="C12" s="403"/>
      <c r="D12" s="403"/>
      <c r="E12" s="403"/>
      <c r="F12" s="403"/>
      <c r="G12" s="404"/>
    </row>
    <row r="13" spans="1:7" ht="12.95" customHeight="1" x14ac:dyDescent="0.25">
      <c r="A13" s="265" t="s">
        <v>56</v>
      </c>
      <c r="B13" s="405" t="s">
        <v>44</v>
      </c>
      <c r="C13" s="406"/>
      <c r="D13" s="265" t="s">
        <v>45</v>
      </c>
      <c r="E13" s="265" t="s">
        <v>57</v>
      </c>
      <c r="F13" s="265" t="s">
        <v>58</v>
      </c>
      <c r="G13" s="265" t="s">
        <v>59</v>
      </c>
    </row>
    <row r="14" spans="1:7" ht="12.95" customHeight="1" x14ac:dyDescent="0.25">
      <c r="A14" s="266" t="str">
        <f>IF(B14="","",INDEX(CODIGOEQUIPOS,MATCH($B14,'INSUMOS EQUIPOS'!$B$7:$B$39,0)))</f>
        <v>EQ014</v>
      </c>
      <c r="B14" s="389" t="s">
        <v>828</v>
      </c>
      <c r="C14" s="390"/>
      <c r="D14" s="267" t="str">
        <f>IF(B14="","",(VLOOKUP($A14,INSUMOSEQUIPOS,3,0)))</f>
        <v>DIA</v>
      </c>
      <c r="E14" s="268">
        <f>IF(B14="","",(VLOOKUP($A14,INSUMOSEQUIPOS,4,0)))</f>
        <v>35000</v>
      </c>
      <c r="F14" s="324">
        <v>3.6</v>
      </c>
      <c r="G14" s="269">
        <f>+IFERROR(E14/F14,"")</f>
        <v>9722.2222222222226</v>
      </c>
    </row>
    <row r="15" spans="1:7" ht="12.95" customHeight="1" x14ac:dyDescent="0.25">
      <c r="A15" s="266" t="str">
        <f>IF(B15="","",INDEX(CODIGOEQUIPOS,MATCH($B15,'INSUMOS EQUIPOS'!$B$7:$B$39,0)))</f>
        <v>EQ015</v>
      </c>
      <c r="B15" s="389" t="s">
        <v>829</v>
      </c>
      <c r="C15" s="390"/>
      <c r="D15" s="267" t="str">
        <f>IF(B15="","",(VLOOKUP($A15,INSUMOSEQUIPOS,3,0)))</f>
        <v>DIA</v>
      </c>
      <c r="E15" s="268">
        <f>IF(B15="","",(VLOOKUP($A15,INSUMOSEQUIPOS,4,0)))</f>
        <v>23000</v>
      </c>
      <c r="F15" s="324">
        <v>3.6</v>
      </c>
      <c r="G15" s="269">
        <f t="shared" ref="G15:G16" si="0">+IFERROR(E15/F15,"")</f>
        <v>6388.8888888888887</v>
      </c>
    </row>
    <row r="16" spans="1:7" ht="12.95" customHeight="1" x14ac:dyDescent="0.25">
      <c r="A16" s="266" t="str">
        <f>IF(B16="","",INDEX(CODIGOEQUIPOS,MATCH($B16,'INSUMOS EQUIPOS'!$B$7:$B$39,0)))</f>
        <v>EQ016</v>
      </c>
      <c r="B16" s="389" t="s">
        <v>830</v>
      </c>
      <c r="C16" s="390"/>
      <c r="D16" s="267" t="str">
        <f>IF(B16="","",(VLOOKUP($A16,INSUMOSEQUIPOS,3,0)))</f>
        <v>DIA</v>
      </c>
      <c r="E16" s="268">
        <f>IF(B16="","",(VLOOKUP($A16,INSUMOSEQUIPOS,4,0)))</f>
        <v>280000</v>
      </c>
      <c r="F16" s="324">
        <v>3.6</v>
      </c>
      <c r="G16" s="269">
        <f t="shared" si="0"/>
        <v>77777.777777777781</v>
      </c>
    </row>
    <row r="17" spans="1:7" ht="12.95" customHeight="1" x14ac:dyDescent="0.25">
      <c r="A17" s="266" t="str">
        <f>IF(B17="","",INDEX(CODIGOEQUIPOS,MATCH($B17,'INSUMOS EQUIPOS'!$B$7:$B$39,0)))</f>
        <v>EQ017</v>
      </c>
      <c r="B17" s="389" t="s">
        <v>831</v>
      </c>
      <c r="C17" s="390"/>
      <c r="D17" s="267" t="str">
        <f>IF(B17="","",(VLOOKUP($A17,INSUMOSEQUIPOS,3,0)))</f>
        <v>DIA</v>
      </c>
      <c r="E17" s="268">
        <f>IF(B17="","",(VLOOKUP($A17,INSUMOSEQUIPOS,4,0)))</f>
        <v>22000</v>
      </c>
      <c r="F17" s="324">
        <v>3.6</v>
      </c>
      <c r="G17" s="269">
        <f>+IFERROR(E17/F17,"")</f>
        <v>6111.1111111111113</v>
      </c>
    </row>
    <row r="18" spans="1:7" ht="12.95" customHeight="1" x14ac:dyDescent="0.25">
      <c r="A18" s="270"/>
      <c r="B18" s="407" t="s">
        <v>827</v>
      </c>
      <c r="C18" s="408"/>
      <c r="D18" s="267" t="s">
        <v>89</v>
      </c>
      <c r="E18" s="271">
        <f>$G$39</f>
        <v>156384.44444444444</v>
      </c>
      <c r="F18" s="325">
        <v>0.1</v>
      </c>
      <c r="G18" s="269">
        <f>+IFERROR(E18*F18,"")</f>
        <v>15638.444444444445</v>
      </c>
    </row>
    <row r="19" spans="1:7" ht="12.95" customHeight="1" x14ac:dyDescent="0.25">
      <c r="A19" s="272"/>
      <c r="B19" s="273"/>
      <c r="C19" s="264"/>
      <c r="D19" s="264"/>
      <c r="E19" s="274"/>
      <c r="F19" s="275" t="s">
        <v>62</v>
      </c>
      <c r="G19" s="276">
        <f>+IF(SUM(G14:G18)=0,"",SUM(G14:G18))</f>
        <v>115638.44444444444</v>
      </c>
    </row>
    <row r="20" spans="1:7" ht="12.95" customHeight="1" x14ac:dyDescent="0.25">
      <c r="A20" s="273"/>
      <c r="B20" s="264"/>
      <c r="C20" s="264"/>
      <c r="D20" s="274"/>
      <c r="E20" s="277"/>
      <c r="F20" s="278"/>
      <c r="G20" s="272"/>
    </row>
    <row r="21" spans="1:7" ht="12.95" customHeight="1" x14ac:dyDescent="0.25">
      <c r="A21" s="402" t="s">
        <v>63</v>
      </c>
      <c r="B21" s="402"/>
      <c r="C21" s="402"/>
      <c r="D21" s="402"/>
      <c r="E21" s="402"/>
      <c r="F21" s="402"/>
      <c r="G21" s="409"/>
    </row>
    <row r="22" spans="1:7" ht="12.95" customHeight="1" x14ac:dyDescent="0.25">
      <c r="A22" s="265" t="s">
        <v>56</v>
      </c>
      <c r="B22" s="279" t="s">
        <v>44</v>
      </c>
      <c r="C22" s="280" t="s">
        <v>208</v>
      </c>
      <c r="D22" s="280" t="s">
        <v>476</v>
      </c>
      <c r="E22" s="280" t="s">
        <v>64</v>
      </c>
      <c r="F22" s="280" t="s">
        <v>65</v>
      </c>
      <c r="G22" s="280" t="s">
        <v>59</v>
      </c>
    </row>
    <row r="23" spans="1:7" ht="12.95" customHeight="1" x14ac:dyDescent="0.25">
      <c r="A23" s="266" t="str">
        <f>IF(B23="","",INDEX(CODIGOMATERIALES,MATCH($B23,'INSUMOS MATERIALES'!$B$7:$B$51,0)))</f>
        <v>MA020</v>
      </c>
      <c r="B23" s="281" t="s">
        <v>832</v>
      </c>
      <c r="C23" s="282" t="str">
        <f>IF(B23="","",(VLOOKUP($A23,INSUMOSMATERIALES,3,0)))</f>
        <v>UN</v>
      </c>
      <c r="D23" s="289">
        <v>1</v>
      </c>
      <c r="E23" s="283">
        <v>0</v>
      </c>
      <c r="F23" s="284">
        <f>IF(B23="","",(VLOOKUP($A23,INSUMOSMATERIALES,4,0)))</f>
        <v>389630</v>
      </c>
      <c r="G23" s="269">
        <f t="shared" ref="G23:G26" si="1">+IFERROR(F23*D23*(1+E23),"")</f>
        <v>389630</v>
      </c>
    </row>
    <row r="24" spans="1:7" ht="12.95" customHeight="1" x14ac:dyDescent="0.25">
      <c r="A24" s="266" t="str">
        <f>IF(B24="","",INDEX(CODIGOMATERIALES,MATCH($B24,'INSUMOS MATERIALES'!$B$7:$B$51,0)))</f>
        <v>MA021</v>
      </c>
      <c r="B24" s="281" t="s">
        <v>833</v>
      </c>
      <c r="C24" s="282" t="str">
        <f>IF(B24="","",(VLOOKUP($A24,INSUMOSMATERIALES,3,0)))</f>
        <v>M</v>
      </c>
      <c r="D24" s="289">
        <v>3</v>
      </c>
      <c r="E24" s="283">
        <v>0.04</v>
      </c>
      <c r="F24" s="284">
        <f>IF(B24="","",(VLOOKUP($A24,INSUMOSMATERIALES,4,0)))</f>
        <v>10860</v>
      </c>
      <c r="G24" s="269">
        <f t="shared" si="1"/>
        <v>33883.200000000004</v>
      </c>
    </row>
    <row r="25" spans="1:7" ht="12.95" customHeight="1" x14ac:dyDescent="0.25">
      <c r="A25" s="266" t="str">
        <f>IF(B25="","",INDEX(CODIGOMATERIALES,MATCH($B25,'INSUMOS MATERIALES'!$B$7:$B$51,0)))</f>
        <v>MA022</v>
      </c>
      <c r="B25" s="281" t="s">
        <v>834</v>
      </c>
      <c r="C25" s="282" t="str">
        <f>IF(B25="","",(VLOOKUP($A25,INSUMOSMATERIALES,3,0)))</f>
        <v>UN</v>
      </c>
      <c r="D25" s="289">
        <v>0.04</v>
      </c>
      <c r="E25" s="283">
        <v>0</v>
      </c>
      <c r="F25" s="284">
        <f>IF(B25="","",(VLOOKUP($A25,INSUMOSMATERIALES,4,0)))</f>
        <v>27300</v>
      </c>
      <c r="G25" s="269">
        <f t="shared" si="1"/>
        <v>1092</v>
      </c>
    </row>
    <row r="26" spans="1:7" ht="12.95" customHeight="1" x14ac:dyDescent="0.25">
      <c r="A26" s="266" t="str">
        <f>IF(B26="","",INDEX(CODIGOMATERIALES,MATCH($B26,'INSUMOS MATERIALES'!$B$7:$B$51,0)))</f>
        <v>MA023</v>
      </c>
      <c r="B26" s="281" t="s">
        <v>835</v>
      </c>
      <c r="C26" s="282" t="str">
        <f>IF(B26="","",(VLOOKUP($A26,INSUMOSMATERIALES,3,0)))</f>
        <v>UN</v>
      </c>
      <c r="D26" s="289">
        <v>0.04</v>
      </c>
      <c r="E26" s="283">
        <v>0</v>
      </c>
      <c r="F26" s="284">
        <f>IF(B26="","",(VLOOKUP($A26,INSUMOSMATERIALES,4,0)))</f>
        <v>6800</v>
      </c>
      <c r="G26" s="269">
        <f t="shared" si="1"/>
        <v>272</v>
      </c>
    </row>
    <row r="27" spans="1:7" ht="12.95" customHeight="1" x14ac:dyDescent="0.25">
      <c r="A27" s="272"/>
      <c r="B27" s="285"/>
      <c r="C27" s="264"/>
      <c r="D27" s="264"/>
      <c r="E27" s="274"/>
      <c r="F27" s="286" t="s">
        <v>62</v>
      </c>
      <c r="G27" s="276">
        <f>+IF(SUM(G23:G26)=0,"",SUM(G23:G26))</f>
        <v>424877.2</v>
      </c>
    </row>
    <row r="28" spans="1:7" ht="12.95" customHeight="1" x14ac:dyDescent="0.25">
      <c r="A28" s="273"/>
      <c r="B28" s="264"/>
      <c r="C28" s="264"/>
      <c r="D28" s="274"/>
      <c r="E28" s="287"/>
      <c r="F28" s="278"/>
      <c r="G28" s="272"/>
    </row>
    <row r="29" spans="1:7" ht="12.95" customHeight="1" x14ac:dyDescent="0.25">
      <c r="A29" s="402" t="s">
        <v>66</v>
      </c>
      <c r="B29" s="402"/>
      <c r="C29" s="402"/>
      <c r="D29" s="402"/>
      <c r="E29" s="402"/>
      <c r="F29" s="402"/>
      <c r="G29" s="402"/>
    </row>
    <row r="30" spans="1:7" ht="12.95" customHeight="1" x14ac:dyDescent="0.25">
      <c r="A30" s="265" t="s">
        <v>56</v>
      </c>
      <c r="B30" s="265" t="s">
        <v>44</v>
      </c>
      <c r="C30" s="265" t="s">
        <v>67</v>
      </c>
      <c r="D30" s="265" t="s">
        <v>68</v>
      </c>
      <c r="E30" s="280" t="s">
        <v>69</v>
      </c>
      <c r="F30" s="280" t="s">
        <v>57</v>
      </c>
      <c r="G30" s="280" t="s">
        <v>59</v>
      </c>
    </row>
    <row r="31" spans="1:7" ht="12.95" customHeight="1" x14ac:dyDescent="0.25">
      <c r="A31" s="266" t="str">
        <f>IF(B31="","",INDEX(CODIGOTRANSPORTES,MATCH(B31,'INSUMOS TRANSPORTES'!$B$7:$B$13,0)))</f>
        <v>TR001</v>
      </c>
      <c r="B31" s="281" t="s">
        <v>467</v>
      </c>
      <c r="C31" s="288" t="s">
        <v>462</v>
      </c>
      <c r="D31" s="289">
        <v>0.65</v>
      </c>
      <c r="E31" s="290">
        <f>+IF(C31=0,"",IF(C31="INSUMOS",'DATOS INICIALES'!$B$24,IF(C31="PLAYA",'DATOS INICIALES'!$B$21,IF(C31="TIERRA",'DATOS INICIALES'!$B$19,IF(C31="ESCOMBROS",'DATOS INICIALES'!$B$20,IF(C31="ASFALTO",'DATOS INICIALES'!$B$25,IF(C31="GRANULAR",'DATOS INICIALES'!B111)))))))</f>
        <v>180</v>
      </c>
      <c r="F31" s="291">
        <f>+IF(B31="","",(VLOOKUP($A31,INSUMOSTRANSPORTES,4,0)))</f>
        <v>560</v>
      </c>
      <c r="G31" s="292">
        <f>+IFERROR(D31*E31*F31,"")</f>
        <v>65520</v>
      </c>
    </row>
    <row r="32" spans="1:7" ht="12.95" customHeight="1" x14ac:dyDescent="0.25">
      <c r="A32" s="272"/>
      <c r="B32" s="293"/>
      <c r="C32" s="264"/>
      <c r="D32" s="264"/>
      <c r="E32" s="274"/>
      <c r="F32" s="275" t="s">
        <v>62</v>
      </c>
      <c r="G32" s="294">
        <f>+IF(SUM(G31:G31)=0,"",SUM(G31:G31))</f>
        <v>65520</v>
      </c>
    </row>
    <row r="33" spans="1:7" ht="12.95" customHeight="1" x14ac:dyDescent="0.25">
      <c r="A33" s="264"/>
      <c r="B33" s="264"/>
      <c r="C33" s="264"/>
      <c r="D33" s="274"/>
      <c r="E33" s="287"/>
      <c r="F33" s="278"/>
      <c r="G33" s="272"/>
    </row>
    <row r="34" spans="1:7" ht="12.95" customHeight="1" x14ac:dyDescent="0.25">
      <c r="A34" s="402" t="s">
        <v>70</v>
      </c>
      <c r="B34" s="402"/>
      <c r="C34" s="402"/>
      <c r="D34" s="402"/>
      <c r="E34" s="402"/>
      <c r="F34" s="402"/>
      <c r="G34" s="409"/>
    </row>
    <row r="35" spans="1:7" ht="12.95" customHeight="1" x14ac:dyDescent="0.25">
      <c r="A35" s="265" t="s">
        <v>56</v>
      </c>
      <c r="B35" s="413" t="s">
        <v>71</v>
      </c>
      <c r="C35" s="413"/>
      <c r="D35" s="280" t="s">
        <v>46</v>
      </c>
      <c r="E35" s="280" t="s">
        <v>72</v>
      </c>
      <c r="F35" s="280" t="s">
        <v>58</v>
      </c>
      <c r="G35" s="280" t="s">
        <v>59</v>
      </c>
    </row>
    <row r="36" spans="1:7" ht="12.95" customHeight="1" x14ac:dyDescent="0.25">
      <c r="A36" s="266" t="str">
        <f>IF(B36="","",INDEX(CODIGOSMANODEOBRA,MATCH($B36,'INSUMOS MANO DE OBRA'!$B$7:$B$61,0)))</f>
        <v>MO019</v>
      </c>
      <c r="B36" s="391" t="s">
        <v>346</v>
      </c>
      <c r="C36" s="392"/>
      <c r="D36" s="295">
        <v>1</v>
      </c>
      <c r="E36" s="296">
        <f>IF(B36="","",(VLOOKUP($A36,INSUMOSMANODEOBRA,8,0)))</f>
        <v>194075</v>
      </c>
      <c r="F36" s="289">
        <v>3.6</v>
      </c>
      <c r="G36" s="319">
        <f>+IFERROR(D36*E36/F36,"")</f>
        <v>53909.722222222219</v>
      </c>
    </row>
    <row r="37" spans="1:7" ht="12.95" customHeight="1" x14ac:dyDescent="0.25">
      <c r="A37" s="266" t="str">
        <f>IF(B37="","",INDEX(CODIGOSMANODEOBRA,MATCH($B37,'INSUMOS MANO DE OBRA'!$B$7:$B$61,0)))</f>
        <v>MO021</v>
      </c>
      <c r="B37" s="391" t="s">
        <v>348</v>
      </c>
      <c r="C37" s="392"/>
      <c r="D37" s="295">
        <v>1</v>
      </c>
      <c r="E37" s="296">
        <f>IF(B37="","",(VLOOKUP($A37,INSUMOSMANODEOBRA,8,0)))</f>
        <v>179201</v>
      </c>
      <c r="F37" s="289">
        <f>$F$36</f>
        <v>3.6</v>
      </c>
      <c r="G37" s="319">
        <f>+IFERROR(D37*E37/F37,"")</f>
        <v>49778.055555555555</v>
      </c>
    </row>
    <row r="38" spans="1:7" ht="12.95" customHeight="1" x14ac:dyDescent="0.25">
      <c r="A38" s="266" t="str">
        <f>IF(B38="","",INDEX(CODIGOSMANODEOBRA,MATCH($B38,'INSUMOS MANO DE OBRA'!$B$7:$B$61,0)))</f>
        <v>MO022</v>
      </c>
      <c r="B38" s="391" t="s">
        <v>349</v>
      </c>
      <c r="C38" s="392"/>
      <c r="D38" s="295">
        <v>2</v>
      </c>
      <c r="E38" s="296">
        <f>IF(B38="","",(VLOOKUP($A38,INSUMOSMANODEOBRA,8,0)))</f>
        <v>94854</v>
      </c>
      <c r="F38" s="289">
        <f>$F$36</f>
        <v>3.6</v>
      </c>
      <c r="G38" s="319">
        <f>+IFERROR(D38*E38/F38,"")</f>
        <v>52696.666666666664</v>
      </c>
    </row>
    <row r="39" spans="1:7" ht="12.95" customHeight="1" x14ac:dyDescent="0.25">
      <c r="A39" s="272"/>
      <c r="B39" s="273"/>
      <c r="C39" s="264"/>
      <c r="D39" s="264"/>
      <c r="E39" s="274"/>
      <c r="F39" s="275" t="s">
        <v>62</v>
      </c>
      <c r="G39" s="276">
        <f>+IF(SUM(G36:G38)=0,"",SUM(G36:G38))</f>
        <v>156384.44444444444</v>
      </c>
    </row>
    <row r="40" spans="1:7" ht="12.95" customHeight="1" x14ac:dyDescent="0.25">
      <c r="A40" s="299"/>
      <c r="B40" s="264"/>
      <c r="C40" s="300"/>
      <c r="D40" s="300"/>
      <c r="E40" s="300"/>
      <c r="F40" s="278"/>
      <c r="G40" s="301"/>
    </row>
    <row r="41" spans="1:7" ht="12.95" customHeight="1" x14ac:dyDescent="0.25">
      <c r="A41" s="402" t="s">
        <v>76</v>
      </c>
      <c r="B41" s="402"/>
      <c r="C41" s="402"/>
      <c r="D41" s="402"/>
      <c r="E41" s="402"/>
      <c r="F41" s="402"/>
      <c r="G41" s="409"/>
    </row>
    <row r="42" spans="1:7" ht="12.95" customHeight="1" x14ac:dyDescent="0.25">
      <c r="A42" s="265" t="s">
        <v>56</v>
      </c>
      <c r="B42" s="413" t="s">
        <v>44</v>
      </c>
      <c r="C42" s="413"/>
      <c r="D42" s="265" t="s">
        <v>45</v>
      </c>
      <c r="E42" s="265" t="s">
        <v>46</v>
      </c>
      <c r="F42" s="265" t="s">
        <v>65</v>
      </c>
      <c r="G42" s="265" t="s">
        <v>59</v>
      </c>
    </row>
    <row r="43" spans="1:7" ht="12.95" customHeight="1" x14ac:dyDescent="0.25">
      <c r="A43" s="266" t="str">
        <f>IF(B43="","",INDEX(CODIGOSSERVICIOS,MATCH($B43,'INSUMOS SERVICIOS'!$B$7:$B$21,0)))</f>
        <v/>
      </c>
      <c r="B43" s="391"/>
      <c r="C43" s="392"/>
      <c r="D43" s="282" t="str">
        <f>+IF(B43="","",(VLOOKUP($A43,INSUMOSSERVICIOS,3,0)))</f>
        <v/>
      </c>
      <c r="E43" s="302"/>
      <c r="F43" s="297" t="str">
        <f>IF(B43="","",(VLOOKUP($A43,INSUMOSSERVICIOS,4,0)))</f>
        <v/>
      </c>
      <c r="G43" s="303" t="str">
        <f>+IFERROR(E43*F43,"")</f>
        <v/>
      </c>
    </row>
    <row r="44" spans="1:7" ht="12.95" customHeight="1" x14ac:dyDescent="0.25">
      <c r="A44" s="266" t="str">
        <f>IF(B44="","",INDEX(CÓDIGOS_SERVICIOS,MATCH($B44,'[7]INSUMOS SERVICIOS'!$B$8:$B$51,0)))</f>
        <v/>
      </c>
      <c r="B44" s="391"/>
      <c r="C44" s="392"/>
      <c r="D44" s="282" t="str">
        <f>+IF(B44="","",(VLOOKUP($A44,INSUMOS_SERVICIOS,3,0)))</f>
        <v/>
      </c>
      <c r="E44" s="302"/>
      <c r="F44" s="297" t="str">
        <f>IF(B44="","",(VLOOKUP($A44,INSUMOS_SERVICIOS,4,0)))</f>
        <v/>
      </c>
      <c r="G44" s="303" t="str">
        <f>+IFERROR(E44*F44,"")</f>
        <v/>
      </c>
    </row>
    <row r="45" spans="1:7" ht="12.95" customHeight="1" x14ac:dyDescent="0.25">
      <c r="A45" s="272"/>
      <c r="B45" s="273"/>
      <c r="C45" s="264"/>
      <c r="D45" s="264"/>
      <c r="E45" s="274"/>
      <c r="F45" s="304" t="s">
        <v>62</v>
      </c>
      <c r="G45" s="298" t="str">
        <f>+IF(SUM(G43:G44)=0,"",SUM(G43:G44))</f>
        <v/>
      </c>
    </row>
    <row r="46" spans="1:7" ht="12.95" customHeight="1" x14ac:dyDescent="0.25">
      <c r="A46" s="299"/>
      <c r="B46" s="264"/>
      <c r="C46" s="300"/>
      <c r="D46" s="300"/>
      <c r="E46" s="300"/>
      <c r="F46" s="278"/>
      <c r="G46" s="301"/>
    </row>
    <row r="47" spans="1:7" ht="12.95" customHeight="1" x14ac:dyDescent="0.25">
      <c r="A47" s="411" t="s">
        <v>77</v>
      </c>
      <c r="B47" s="411"/>
      <c r="C47" s="411"/>
      <c r="D47" s="411"/>
      <c r="E47" s="411"/>
      <c r="F47" s="411"/>
      <c r="G47" s="305">
        <f>IF(SUM(G19,G27,G32,G39,G45)=0,"",(ROUND(SUM(G19,G27,G32,G39,G45),0)))</f>
        <v>762420</v>
      </c>
    </row>
    <row r="48" spans="1:7" ht="12.95" customHeight="1" x14ac:dyDescent="0.25">
      <c r="A48" s="301"/>
      <c r="B48" s="287"/>
      <c r="C48" s="287"/>
      <c r="D48" s="287"/>
      <c r="E48" s="287"/>
      <c r="F48" s="287"/>
      <c r="G48" s="278"/>
    </row>
    <row r="49" spans="1:7" ht="12.95" customHeight="1" x14ac:dyDescent="0.25">
      <c r="A49" s="402" t="s">
        <v>78</v>
      </c>
      <c r="B49" s="402"/>
      <c r="C49" s="402"/>
      <c r="D49" s="402"/>
      <c r="E49" s="402"/>
      <c r="F49" s="402"/>
      <c r="G49" s="402"/>
    </row>
    <row r="50" spans="1:7" ht="12.95" customHeight="1" x14ac:dyDescent="0.25">
      <c r="A50" s="264"/>
      <c r="B50" s="264"/>
      <c r="C50" s="264"/>
      <c r="D50" s="264"/>
      <c r="E50" s="264"/>
      <c r="F50" s="264"/>
      <c r="G50" s="264"/>
    </row>
    <row r="51" spans="1:7" ht="12.95" customHeight="1" x14ac:dyDescent="0.25">
      <c r="A51" s="412" t="s">
        <v>44</v>
      </c>
      <c r="B51" s="412"/>
      <c r="C51" s="412"/>
      <c r="D51" s="412"/>
      <c r="E51" s="412"/>
      <c r="F51" s="306" t="s">
        <v>79</v>
      </c>
      <c r="G51" s="306" t="s">
        <v>48</v>
      </c>
    </row>
    <row r="52" spans="1:7" ht="12.95" customHeight="1" x14ac:dyDescent="0.25">
      <c r="A52" s="410" t="s">
        <v>80</v>
      </c>
      <c r="B52" s="410"/>
      <c r="C52" s="410"/>
      <c r="D52" s="410"/>
      <c r="E52" s="410"/>
      <c r="F52" s="307">
        <f ca="1">AU!$I$36</f>
        <v>0.191</v>
      </c>
      <c r="G52" s="308">
        <f ca="1">+IFERROR(G47*F52,"")</f>
        <v>145622.22</v>
      </c>
    </row>
    <row r="53" spans="1:7" ht="12.95" customHeight="1" x14ac:dyDescent="0.25">
      <c r="A53" s="410" t="s">
        <v>82</v>
      </c>
      <c r="B53" s="410"/>
      <c r="C53" s="410"/>
      <c r="D53" s="410"/>
      <c r="E53" s="410"/>
      <c r="F53" s="307">
        <f>IF(AU!$I$37=0,"",AU!$I$37)</f>
        <v>5.131865E-2</v>
      </c>
      <c r="G53" s="308">
        <f>+IFERROR(G47*F53,"")</f>
        <v>39126.365132999999</v>
      </c>
    </row>
    <row r="54" spans="1:7" ht="12.95" customHeight="1" x14ac:dyDescent="0.25">
      <c r="A54" s="393" t="s">
        <v>83</v>
      </c>
      <c r="B54" s="394"/>
      <c r="C54" s="394"/>
      <c r="D54" s="394"/>
      <c r="E54" s="394"/>
      <c r="F54" s="309">
        <f ca="1">IF(SUM(F52:F53)=0,"",SUM(F52:F53))</f>
        <v>0.24231865</v>
      </c>
      <c r="G54" s="310">
        <f ca="1">IF(SUM(G52:G53)=0,"",ROUND(SUM(G52:G53),0))</f>
        <v>184749</v>
      </c>
    </row>
    <row r="55" spans="1:7" ht="12.95" customHeight="1" x14ac:dyDescent="0.25">
      <c r="A55" s="301"/>
      <c r="B55" s="273"/>
      <c r="C55" s="273"/>
      <c r="D55" s="273"/>
      <c r="E55" s="395"/>
      <c r="F55" s="395"/>
      <c r="G55" s="311"/>
    </row>
    <row r="56" spans="1:7" ht="12.95" customHeight="1" x14ac:dyDescent="0.25">
      <c r="A56" s="396" t="s">
        <v>84</v>
      </c>
      <c r="B56" s="397"/>
      <c r="C56" s="397"/>
      <c r="D56" s="397"/>
      <c r="E56" s="397"/>
      <c r="F56" s="397"/>
      <c r="G56" s="312">
        <f ca="1">+IFERROR(ROUND(G47+G54,0),"")</f>
        <v>947169</v>
      </c>
    </row>
    <row r="57" spans="1:7" ht="12.95" customHeight="1" x14ac:dyDescent="0.25">
      <c r="A57" s="261"/>
      <c r="B57" s="261"/>
      <c r="C57" s="261"/>
      <c r="D57" s="261"/>
      <c r="E57" s="262"/>
      <c r="F57" s="262"/>
      <c r="G57" s="263"/>
    </row>
    <row r="58" spans="1:7" ht="12.95" customHeight="1" x14ac:dyDescent="0.25">
      <c r="A58" s="261"/>
      <c r="B58" s="313" t="s">
        <v>784</v>
      </c>
      <c r="C58" s="262"/>
      <c r="D58" s="314"/>
      <c r="E58" s="314"/>
      <c r="F58" s="314"/>
      <c r="G58" s="262"/>
    </row>
    <row r="59" spans="1:7" ht="12.95" customHeight="1" x14ac:dyDescent="0.25">
      <c r="A59" s="261"/>
      <c r="B59" s="313" t="s">
        <v>785</v>
      </c>
      <c r="C59" s="263"/>
      <c r="D59" s="398" t="s">
        <v>85</v>
      </c>
      <c r="E59" s="398"/>
      <c r="F59" s="398"/>
      <c r="G59" s="263"/>
    </row>
    <row r="60" spans="1:7" ht="12.95" customHeight="1" x14ac:dyDescent="0.25">
      <c r="A60" s="301"/>
      <c r="B60" s="301"/>
      <c r="C60" s="301"/>
      <c r="D60" s="301"/>
      <c r="E60" s="301"/>
      <c r="F60" s="301"/>
      <c r="G60" s="301"/>
    </row>
    <row r="61" spans="1:7" ht="12.95" customHeight="1" x14ac:dyDescent="0.25">
      <c r="A61" s="419" t="str">
        <f>'DATOS INICIALES'!$B$1</f>
        <v>DEPARTAMENTO DE ANTIOQUIA</v>
      </c>
      <c r="B61" s="420"/>
      <c r="C61" s="420"/>
      <c r="D61" s="420"/>
      <c r="E61" s="420"/>
      <c r="F61" s="421" t="s">
        <v>51</v>
      </c>
      <c r="G61" s="421"/>
    </row>
    <row r="62" spans="1:7" ht="12.95" customHeight="1" x14ac:dyDescent="0.25">
      <c r="A62" s="422" t="str">
        <f>'DATOS INICIALES'!$B$2</f>
        <v>MUNICIPIO DE DABEIBA</v>
      </c>
      <c r="B62" s="423"/>
      <c r="C62" s="423"/>
      <c r="D62" s="423"/>
      <c r="E62" s="423"/>
      <c r="F62" s="421"/>
      <c r="G62" s="421"/>
    </row>
    <row r="63" spans="1:7" s="254" customFormat="1" ht="50.1" customHeight="1" x14ac:dyDescent="0.25">
      <c r="A63" s="424" t="str">
        <f>'DATOS INICIALES'!$B$3</f>
        <v>REPOSICIÓN, AMPLIACIÓN Y REPARACIÓN DE LUMINARIAS QUE HACEN PARTE DE LA RED DE ALUMBRADOPÚBLICO DEL PARQUE PRINCIPAL Y CORREGIMIENTO SAN JOSÉ DE URAMA DEL MUNICIPIO DE DABEIBA.</v>
      </c>
      <c r="B63" s="425"/>
      <c r="C63" s="425"/>
      <c r="D63" s="425"/>
      <c r="E63" s="425"/>
      <c r="F63" s="421"/>
      <c r="G63" s="421"/>
    </row>
    <row r="64" spans="1:7" ht="12.95" customHeight="1" x14ac:dyDescent="0.25">
      <c r="A64" s="417"/>
      <c r="B64" s="417"/>
      <c r="C64" s="417"/>
      <c r="D64" s="417"/>
      <c r="E64" s="426"/>
      <c r="F64" s="421"/>
      <c r="G64" s="421"/>
    </row>
    <row r="65" spans="1:7" ht="12.95" customHeight="1" x14ac:dyDescent="0.25">
      <c r="A65" s="427" t="s">
        <v>52</v>
      </c>
      <c r="B65" s="428"/>
      <c r="C65" s="428"/>
      <c r="D65" s="428"/>
      <c r="E65" s="428"/>
      <c r="F65" s="421"/>
      <c r="G65" s="421"/>
    </row>
    <row r="66" spans="1:7" ht="12.95" customHeight="1" x14ac:dyDescent="0.25">
      <c r="A66" s="417"/>
      <c r="B66" s="417"/>
      <c r="C66" s="417"/>
      <c r="D66" s="417"/>
      <c r="E66" s="417"/>
      <c r="F66" s="418"/>
      <c r="G66" s="418"/>
    </row>
    <row r="67" spans="1:7" ht="12.95" customHeight="1" x14ac:dyDescent="0.25">
      <c r="A67" s="255" t="s">
        <v>42</v>
      </c>
      <c r="B67" s="414" t="s">
        <v>44</v>
      </c>
      <c r="C67" s="415"/>
      <c r="D67" s="416"/>
      <c r="E67" s="256" t="s">
        <v>45</v>
      </c>
      <c r="F67" s="257" t="s">
        <v>46</v>
      </c>
      <c r="G67" s="257" t="s">
        <v>53</v>
      </c>
    </row>
    <row r="68" spans="1:7" ht="30" customHeight="1" x14ac:dyDescent="0.25">
      <c r="A68" s="258" t="s">
        <v>484</v>
      </c>
      <c r="B68" s="429" t="str">
        <f>+IFERROR(VLOOKUP($A68,PRESUPUESTO!$A$7:$E$15,4,0),"")</f>
        <v>SUMINISTRO, TRANSPORTE, DESMONTE, INSTALACION DE BRAZO PARA LAMPARAS MALAS Y REPOSICION Y DEMÁS ELEMENTOS PARA SU CORRECTO FUNCIONAMIENTO</v>
      </c>
      <c r="C68" s="430"/>
      <c r="D68" s="431"/>
      <c r="E68" s="259" t="str">
        <f>+IFERROR(VLOOKUP($A68,PRESUPUESTO!$A$7:$E$15,5,0),"")</f>
        <v>UND</v>
      </c>
      <c r="F68" s="259">
        <f>+IFERROR(VLOOKUP($A68,PRESUPUESTO!$A$7:$F$15,6,0),"")</f>
        <v>21</v>
      </c>
      <c r="G68" s="260">
        <f ca="1">IF(G115=0,"",G106)</f>
        <v>308834</v>
      </c>
    </row>
    <row r="69" spans="1:7" ht="12.95" customHeight="1" x14ac:dyDescent="0.25">
      <c r="A69" s="261"/>
      <c r="B69" s="261"/>
      <c r="C69" s="261"/>
      <c r="D69" s="261"/>
      <c r="E69" s="262"/>
      <c r="F69" s="262"/>
      <c r="G69" s="263"/>
    </row>
    <row r="70" spans="1:7" ht="12.95" customHeight="1" x14ac:dyDescent="0.25">
      <c r="A70" s="402" t="s">
        <v>54</v>
      </c>
      <c r="B70" s="402"/>
      <c r="C70" s="402"/>
      <c r="D70" s="402"/>
      <c r="E70" s="402"/>
      <c r="F70" s="402"/>
      <c r="G70" s="402"/>
    </row>
    <row r="71" spans="1:7" ht="12.95" customHeight="1" x14ac:dyDescent="0.25">
      <c r="A71" s="264"/>
      <c r="B71" s="264"/>
      <c r="C71" s="264"/>
      <c r="D71" s="264"/>
      <c r="E71" s="264"/>
      <c r="F71" s="264"/>
      <c r="G71" s="264"/>
    </row>
    <row r="72" spans="1:7" ht="12.95" customHeight="1" x14ac:dyDescent="0.25">
      <c r="A72" s="403" t="s">
        <v>55</v>
      </c>
      <c r="B72" s="403"/>
      <c r="C72" s="403"/>
      <c r="D72" s="403"/>
      <c r="E72" s="403"/>
      <c r="F72" s="403"/>
      <c r="G72" s="404"/>
    </row>
    <row r="73" spans="1:7" ht="12.95" customHeight="1" x14ac:dyDescent="0.25">
      <c r="A73" s="265" t="s">
        <v>56</v>
      </c>
      <c r="B73" s="405" t="s">
        <v>44</v>
      </c>
      <c r="C73" s="406"/>
      <c r="D73" s="265" t="s">
        <v>45</v>
      </c>
      <c r="E73" s="265" t="s">
        <v>57</v>
      </c>
      <c r="F73" s="265" t="s">
        <v>58</v>
      </c>
      <c r="G73" s="265" t="s">
        <v>59</v>
      </c>
    </row>
    <row r="74" spans="1:7" ht="12.95" customHeight="1" x14ac:dyDescent="0.25">
      <c r="A74" s="266" t="str">
        <f>IF(B74="","",INDEX(CODIGOEQUIPOS,MATCH($B74,'INSUMOS EQUIPOS'!$B$7:$B$39,0)))</f>
        <v>EQ014</v>
      </c>
      <c r="B74" s="389" t="s">
        <v>828</v>
      </c>
      <c r="C74" s="390"/>
      <c r="D74" s="267" t="str">
        <f>IF(B74="","",(VLOOKUP($A74,INSUMOSEQUIPOS,3,0)))</f>
        <v>DIA</v>
      </c>
      <c r="E74" s="268">
        <f>IF(B74="","",(VLOOKUP($A74,INSUMOSEQUIPOS,4,0)))</f>
        <v>35000</v>
      </c>
      <c r="F74" s="324">
        <v>5.9</v>
      </c>
      <c r="G74" s="269">
        <f>+IFERROR(E74/F74,"")</f>
        <v>5932.2033898305081</v>
      </c>
    </row>
    <row r="75" spans="1:7" ht="12.95" customHeight="1" x14ac:dyDescent="0.25">
      <c r="A75" s="266" t="str">
        <f>IF(B75="","",INDEX(CODIGOEQUIPOS,MATCH($B75,'INSUMOS EQUIPOS'!$B$7:$B$39,0)))</f>
        <v>EQ015</v>
      </c>
      <c r="B75" s="389" t="s">
        <v>829</v>
      </c>
      <c r="C75" s="390"/>
      <c r="D75" s="267" t="str">
        <f>IF(B75="","",(VLOOKUP($A75,INSUMOSEQUIPOS,3,0)))</f>
        <v>DIA</v>
      </c>
      <c r="E75" s="268">
        <f>IF(B75="","",(VLOOKUP($A75,INSUMOSEQUIPOS,4,0)))</f>
        <v>23000</v>
      </c>
      <c r="F75" s="324">
        <v>5.9</v>
      </c>
      <c r="G75" s="269">
        <f t="shared" ref="G75:G76" si="2">+IFERROR(E75/F75,"")</f>
        <v>3898.3050847457625</v>
      </c>
    </row>
    <row r="76" spans="1:7" ht="12.95" customHeight="1" x14ac:dyDescent="0.25">
      <c r="A76" s="266" t="str">
        <f>IF(B76="","",INDEX(CODIGOEQUIPOS,MATCH($B76,'INSUMOS EQUIPOS'!$B$7:$B$39,0)))</f>
        <v>EQ016</v>
      </c>
      <c r="B76" s="389" t="s">
        <v>830</v>
      </c>
      <c r="C76" s="390"/>
      <c r="D76" s="267" t="str">
        <f>IF(B76="","",(VLOOKUP($A76,INSUMOSEQUIPOS,3,0)))</f>
        <v>DIA</v>
      </c>
      <c r="E76" s="268">
        <f>IF(B76="","",(VLOOKUP($A76,INSUMOSEQUIPOS,4,0)))</f>
        <v>280000</v>
      </c>
      <c r="F76" s="324">
        <v>5.9</v>
      </c>
      <c r="G76" s="269">
        <f t="shared" si="2"/>
        <v>47457.627118644064</v>
      </c>
    </row>
    <row r="77" spans="1:7" ht="12.95" customHeight="1" x14ac:dyDescent="0.25">
      <c r="A77" s="266" t="str">
        <f>IF(B77="","",INDEX(CODIGOEQUIPOS,MATCH($B77,'INSUMOS EQUIPOS'!$B$7:$B$39,0)))</f>
        <v>EQ017</v>
      </c>
      <c r="B77" s="389" t="s">
        <v>831</v>
      </c>
      <c r="C77" s="390"/>
      <c r="D77" s="267" t="str">
        <f>IF(B77="","",(VLOOKUP($A77,INSUMOSEQUIPOS,3,0)))</f>
        <v>DIA</v>
      </c>
      <c r="E77" s="268">
        <f>IF(B77="","",(VLOOKUP($A77,INSUMOSEQUIPOS,4,0)))</f>
        <v>22000</v>
      </c>
      <c r="F77" s="324">
        <v>5.9</v>
      </c>
      <c r="G77" s="269">
        <f>+IFERROR(E77/F77,"")</f>
        <v>3728.8135593220336</v>
      </c>
    </row>
    <row r="78" spans="1:7" ht="12.95" customHeight="1" x14ac:dyDescent="0.25">
      <c r="A78" s="270"/>
      <c r="B78" s="407" t="s">
        <v>827</v>
      </c>
      <c r="C78" s="408"/>
      <c r="D78" s="267" t="s">
        <v>89</v>
      </c>
      <c r="E78" s="271">
        <f>$G$98</f>
        <v>95421.01694915253</v>
      </c>
      <c r="F78" s="325">
        <v>0.1</v>
      </c>
      <c r="G78" s="269">
        <f>+IFERROR(E78*F78,"")</f>
        <v>9542.1016949152527</v>
      </c>
    </row>
    <row r="79" spans="1:7" ht="12.95" customHeight="1" x14ac:dyDescent="0.25">
      <c r="A79" s="272"/>
      <c r="B79" s="273"/>
      <c r="C79" s="264"/>
      <c r="D79" s="264"/>
      <c r="E79" s="274"/>
      <c r="F79" s="275" t="s">
        <v>62</v>
      </c>
      <c r="G79" s="276">
        <f>+IF(SUM(G74:G78)=0,"",SUM(G74:G78))</f>
        <v>70559.05084745762</v>
      </c>
    </row>
    <row r="80" spans="1:7" ht="12.95" customHeight="1" x14ac:dyDescent="0.25">
      <c r="A80" s="273"/>
      <c r="B80" s="264"/>
      <c r="C80" s="264"/>
      <c r="D80" s="274"/>
      <c r="E80" s="277"/>
      <c r="F80" s="278"/>
      <c r="G80" s="272"/>
    </row>
    <row r="81" spans="1:7" ht="12.95" customHeight="1" x14ac:dyDescent="0.25">
      <c r="A81" s="402" t="s">
        <v>63</v>
      </c>
      <c r="B81" s="402"/>
      <c r="C81" s="402"/>
      <c r="D81" s="402"/>
      <c r="E81" s="402"/>
      <c r="F81" s="402"/>
      <c r="G81" s="409"/>
    </row>
    <row r="82" spans="1:7" ht="12.95" customHeight="1" x14ac:dyDescent="0.25">
      <c r="A82" s="265" t="s">
        <v>56</v>
      </c>
      <c r="B82" s="279" t="s">
        <v>44</v>
      </c>
      <c r="C82" s="280" t="s">
        <v>208</v>
      </c>
      <c r="D82" s="280" t="s">
        <v>476</v>
      </c>
      <c r="E82" s="280" t="s">
        <v>64</v>
      </c>
      <c r="F82" s="280" t="s">
        <v>65</v>
      </c>
      <c r="G82" s="280" t="s">
        <v>59</v>
      </c>
    </row>
    <row r="83" spans="1:7" ht="12.95" customHeight="1" x14ac:dyDescent="0.25">
      <c r="A83" s="266" t="str">
        <f>IF(B83="","",INDEX(CODIGOMATERIALES,MATCH($B83,'INSUMOS MATERIALES'!$B$7:$B$51,0)))</f>
        <v>MA024</v>
      </c>
      <c r="B83" s="315" t="s">
        <v>838</v>
      </c>
      <c r="C83" s="282" t="str">
        <f>IF(B83="","",(VLOOKUP($A83,INSUMOSMATERIALES,3,0)))</f>
        <v>UN</v>
      </c>
      <c r="D83" s="289">
        <v>1</v>
      </c>
      <c r="E83" s="283">
        <v>0</v>
      </c>
      <c r="F83" s="296">
        <f>IF(B83="","",(VLOOKUP($A83,INSUMOSMATERIALES,4,0)))</f>
        <v>111250</v>
      </c>
      <c r="G83" s="292">
        <f>+IFERROR(F83*D83*(1+E83),"")</f>
        <v>111250</v>
      </c>
    </row>
    <row r="84" spans="1:7" ht="12.95" customHeight="1" x14ac:dyDescent="0.25">
      <c r="A84" s="266" t="str">
        <f>IF(B84="","",INDEX(CODIGOMATERIALES,MATCH($B84,'INSUMOS MATERIALES'!$B$7:$B$52,0)))</f>
        <v>MA022</v>
      </c>
      <c r="B84" s="315" t="s">
        <v>834</v>
      </c>
      <c r="C84" s="282" t="str">
        <f>IF(B84="","",(VLOOKUP($A84,INSUMOSMATERIALES,3,0)))</f>
        <v>UN</v>
      </c>
      <c r="D84" s="289">
        <v>0.04</v>
      </c>
      <c r="E84" s="283">
        <v>0</v>
      </c>
      <c r="F84" s="296">
        <f>IF(B84="","",(VLOOKUP($A84,INSUMOSMATERIALES,4,0)))</f>
        <v>27300</v>
      </c>
      <c r="G84" s="292">
        <f>+IFERROR(F84*D84*(1+E84),"")</f>
        <v>1092</v>
      </c>
    </row>
    <row r="85" spans="1:7" ht="12.95" customHeight="1" x14ac:dyDescent="0.25">
      <c r="A85" s="266" t="str">
        <f>IF(B85="","",INDEX(CODIGOMATERIALES,MATCH($B85,'INSUMOS MATERIALES'!$B$7:$B$52,0)))</f>
        <v>MA023</v>
      </c>
      <c r="B85" s="315" t="s">
        <v>835</v>
      </c>
      <c r="C85" s="282" t="str">
        <f>IF(B85="","",(VLOOKUP($A85,INSUMOSMATERIALES,3,0)))</f>
        <v>UN</v>
      </c>
      <c r="D85" s="289">
        <v>0.04</v>
      </c>
      <c r="E85" s="283">
        <v>0</v>
      </c>
      <c r="F85" s="296">
        <f>IF(B85="","",(VLOOKUP($A85,INSUMOSMATERIALES,4,0)))</f>
        <v>6800</v>
      </c>
      <c r="G85" s="292">
        <f>+IFERROR(F85*D85*(1+E85),"")</f>
        <v>272</v>
      </c>
    </row>
    <row r="86" spans="1:7" ht="12.95" customHeight="1" x14ac:dyDescent="0.25">
      <c r="A86" s="272"/>
      <c r="B86" s="285"/>
      <c r="C86" s="264"/>
      <c r="D86" s="264"/>
      <c r="E86" s="274"/>
      <c r="F86" s="275" t="s">
        <v>62</v>
      </c>
      <c r="G86" s="294">
        <f>+IF(SUM(G83:G85)=0,"",SUM(G83:G85))</f>
        <v>112614</v>
      </c>
    </row>
    <row r="87" spans="1:7" ht="12.95" customHeight="1" x14ac:dyDescent="0.25">
      <c r="A87" s="273"/>
      <c r="B87" s="264"/>
      <c r="C87" s="264"/>
      <c r="D87" s="274"/>
      <c r="E87" s="287"/>
      <c r="F87" s="278"/>
      <c r="G87" s="272"/>
    </row>
    <row r="88" spans="1:7" ht="12.95" customHeight="1" x14ac:dyDescent="0.25">
      <c r="A88" s="402" t="s">
        <v>66</v>
      </c>
      <c r="B88" s="402"/>
      <c r="C88" s="402"/>
      <c r="D88" s="402"/>
      <c r="E88" s="402"/>
      <c r="F88" s="402"/>
      <c r="G88" s="402"/>
    </row>
    <row r="89" spans="1:7" ht="12.95" customHeight="1" x14ac:dyDescent="0.25">
      <c r="A89" s="265" t="s">
        <v>56</v>
      </c>
      <c r="B89" s="265" t="s">
        <v>44</v>
      </c>
      <c r="C89" s="265" t="s">
        <v>67</v>
      </c>
      <c r="D89" s="265" t="s">
        <v>68</v>
      </c>
      <c r="E89" s="280" t="s">
        <v>69</v>
      </c>
      <c r="F89" s="280" t="s">
        <v>57</v>
      </c>
      <c r="G89" s="280" t="s">
        <v>59</v>
      </c>
    </row>
    <row r="90" spans="1:7" ht="12.95" customHeight="1" x14ac:dyDescent="0.25">
      <c r="A90" s="266" t="str">
        <f>IF(B90="","",INDEX(CODIGOTRANSPORTES,MATCH(B90,'INSUMOS TRANSPORTES'!$B$7:$B$13,0)))</f>
        <v>TR001</v>
      </c>
      <c r="B90" s="281" t="s">
        <v>467</v>
      </c>
      <c r="C90" s="288" t="s">
        <v>462</v>
      </c>
      <c r="D90" s="289">
        <v>0.3</v>
      </c>
      <c r="E90" s="290">
        <f>+IF(C90=0,"",IF(C90="INSUMOS",'DATOS INICIALES'!$B$24,IF(C90="PLAYA",'DATOS INICIALES'!$B$21,IF(C90="TIERRA",'DATOS INICIALES'!$B$19,IF(C90="ESCOMBROS",'DATOS INICIALES'!$B$20,IF(C90="ASFALTO",'DATOS INICIALES'!$B$25,IF(C90="GRANULAR",'DATOS INICIALES'!B180)))))))</f>
        <v>180</v>
      </c>
      <c r="F90" s="291">
        <f>+IF(B90="","",(VLOOKUP($A90,INSUMOSTRANSPORTES,4,0)))</f>
        <v>560</v>
      </c>
      <c r="G90" s="292">
        <f>+IFERROR(D90*E90*F90,"")</f>
        <v>30240</v>
      </c>
    </row>
    <row r="91" spans="1:7" ht="12.95" customHeight="1" x14ac:dyDescent="0.25">
      <c r="A91" s="272"/>
      <c r="B91" s="293"/>
      <c r="C91" s="264"/>
      <c r="D91" s="264"/>
      <c r="E91" s="274"/>
      <c r="F91" s="275" t="s">
        <v>62</v>
      </c>
      <c r="G91" s="294">
        <f>+IF(SUM(G90:G90)=0,"",SUM(G90:G90))</f>
        <v>30240</v>
      </c>
    </row>
    <row r="92" spans="1:7" ht="12.95" customHeight="1" x14ac:dyDescent="0.25">
      <c r="A92" s="264"/>
      <c r="B92" s="264"/>
      <c r="C92" s="264"/>
      <c r="D92" s="274"/>
      <c r="E92" s="287"/>
      <c r="F92" s="278"/>
      <c r="G92" s="272"/>
    </row>
    <row r="93" spans="1:7" ht="12.95" customHeight="1" x14ac:dyDescent="0.25">
      <c r="A93" s="402" t="s">
        <v>70</v>
      </c>
      <c r="B93" s="402"/>
      <c r="C93" s="402"/>
      <c r="D93" s="402"/>
      <c r="E93" s="402"/>
      <c r="F93" s="402"/>
      <c r="G93" s="409"/>
    </row>
    <row r="94" spans="1:7" ht="12.95" customHeight="1" x14ac:dyDescent="0.25">
      <c r="A94" s="265" t="s">
        <v>56</v>
      </c>
      <c r="B94" s="413" t="s">
        <v>71</v>
      </c>
      <c r="C94" s="413"/>
      <c r="D94" s="280" t="s">
        <v>46</v>
      </c>
      <c r="E94" s="280" t="s">
        <v>72</v>
      </c>
      <c r="F94" s="280" t="s">
        <v>58</v>
      </c>
      <c r="G94" s="280" t="s">
        <v>59</v>
      </c>
    </row>
    <row r="95" spans="1:7" ht="12.95" customHeight="1" x14ac:dyDescent="0.25">
      <c r="A95" s="266" t="str">
        <f>IF(B95="","",INDEX(CODIGOSMANODEOBRA,MATCH($B95,'INSUMOS MANO DE OBRA'!$B$7:$B$61,0)))</f>
        <v>MO019</v>
      </c>
      <c r="B95" s="391" t="s">
        <v>346</v>
      </c>
      <c r="C95" s="392"/>
      <c r="D95" s="295">
        <v>1</v>
      </c>
      <c r="E95" s="296">
        <f>IF(B95="","",(VLOOKUP($A95,INSUMOSMANODEOBRA,8,0)))</f>
        <v>194075</v>
      </c>
      <c r="F95" s="289">
        <v>5.9</v>
      </c>
      <c r="G95" s="319">
        <f>+IFERROR(D95*E95/F95,"")</f>
        <v>32894.067796610165</v>
      </c>
    </row>
    <row r="96" spans="1:7" ht="12.95" customHeight="1" x14ac:dyDescent="0.25">
      <c r="A96" s="266" t="str">
        <f>IF(B96="","",INDEX(CODIGOSMANODEOBRA,MATCH($B96,'INSUMOS MANO DE OBRA'!$B$7:$B$61,0)))</f>
        <v>MO021</v>
      </c>
      <c r="B96" s="391" t="s">
        <v>348</v>
      </c>
      <c r="C96" s="392"/>
      <c r="D96" s="295">
        <v>1</v>
      </c>
      <c r="E96" s="296">
        <f>IF(B96="","",(VLOOKUP($A96,INSUMOSMANODEOBRA,8,0)))</f>
        <v>179201</v>
      </c>
      <c r="F96" s="289">
        <f>F95</f>
        <v>5.9</v>
      </c>
      <c r="G96" s="319">
        <f>+IFERROR(D96*E96/F96,"")</f>
        <v>30373.050847457624</v>
      </c>
    </row>
    <row r="97" spans="1:7" ht="12.95" customHeight="1" x14ac:dyDescent="0.25">
      <c r="A97" s="266" t="str">
        <f>IF(B97="","",INDEX(CODIGOSMANODEOBRA,MATCH($B97,'INSUMOS MANO DE OBRA'!$B$7:$B$61,0)))</f>
        <v>MO022</v>
      </c>
      <c r="B97" s="391" t="s">
        <v>349</v>
      </c>
      <c r="C97" s="392"/>
      <c r="D97" s="295">
        <v>2</v>
      </c>
      <c r="E97" s="296">
        <f>IF(B97="","",(VLOOKUP($A97,INSUMOSMANODEOBRA,8,0)))</f>
        <v>94854</v>
      </c>
      <c r="F97" s="289">
        <f>F95</f>
        <v>5.9</v>
      </c>
      <c r="G97" s="319">
        <f>+IFERROR(D97*E97/F97,"")</f>
        <v>32153.898305084746</v>
      </c>
    </row>
    <row r="98" spans="1:7" ht="12.95" customHeight="1" x14ac:dyDescent="0.25">
      <c r="A98" s="272"/>
      <c r="B98" s="273"/>
      <c r="C98" s="264"/>
      <c r="D98" s="264"/>
      <c r="E98" s="274"/>
      <c r="F98" s="275" t="s">
        <v>62</v>
      </c>
      <c r="G98" s="294">
        <f>+IF(SUM(G95:G97)=0,"",SUM(G95:G97))</f>
        <v>95421.01694915253</v>
      </c>
    </row>
    <row r="99" spans="1:7" ht="12.95" customHeight="1" x14ac:dyDescent="0.25">
      <c r="A99" s="299"/>
      <c r="B99" s="264"/>
      <c r="C99" s="300"/>
      <c r="D99" s="300"/>
      <c r="E99" s="300"/>
      <c r="F99" s="278"/>
      <c r="G99" s="301"/>
    </row>
    <row r="100" spans="1:7" ht="12.95" customHeight="1" x14ac:dyDescent="0.25">
      <c r="A100" s="402" t="s">
        <v>76</v>
      </c>
      <c r="B100" s="402"/>
      <c r="C100" s="402"/>
      <c r="D100" s="402"/>
      <c r="E100" s="402"/>
      <c r="F100" s="402"/>
      <c r="G100" s="409"/>
    </row>
    <row r="101" spans="1:7" ht="12.95" customHeight="1" x14ac:dyDescent="0.25">
      <c r="A101" s="265" t="s">
        <v>56</v>
      </c>
      <c r="B101" s="413" t="s">
        <v>44</v>
      </c>
      <c r="C101" s="413"/>
      <c r="D101" s="265" t="s">
        <v>45</v>
      </c>
      <c r="E101" s="265" t="s">
        <v>46</v>
      </c>
      <c r="F101" s="265" t="s">
        <v>65</v>
      </c>
      <c r="G101" s="265" t="s">
        <v>59</v>
      </c>
    </row>
    <row r="102" spans="1:7" ht="12.95" customHeight="1" x14ac:dyDescent="0.25">
      <c r="A102" s="266" t="str">
        <f>IF(B102="","",INDEX(CODIGOSSERVICIOS,MATCH($B102,'INSUMOS SERVICIOS'!$B$7:$B$21,0)))</f>
        <v/>
      </c>
      <c r="B102" s="391"/>
      <c r="C102" s="392"/>
      <c r="D102" s="282" t="str">
        <f>+IF(B102="","",(VLOOKUP($A102,INSUMOSSERVICIOS,3,0)))</f>
        <v/>
      </c>
      <c r="E102" s="302"/>
      <c r="F102" s="296" t="str">
        <f>IF(B102="","",(VLOOKUP($A102,INSUMOSSERVICIOS,4,0)))</f>
        <v/>
      </c>
      <c r="G102" s="292" t="str">
        <f>+IFERROR(E102*F102,"")</f>
        <v/>
      </c>
    </row>
    <row r="103" spans="1:7" ht="12.95" customHeight="1" x14ac:dyDescent="0.25">
      <c r="A103" s="266" t="str">
        <f>IF(B103="","",INDEX(CÓDIGOS_SERVICIOS,MATCH($B103,'[7]INSUMOS SERVICIOS'!$B$8:$B$51,0)))</f>
        <v/>
      </c>
      <c r="B103" s="391"/>
      <c r="C103" s="392"/>
      <c r="D103" s="282" t="str">
        <f>+IF(B103="","",(VLOOKUP($A103,INSUMOS_SERVICIOS,3,0)))</f>
        <v/>
      </c>
      <c r="E103" s="302"/>
      <c r="F103" s="297" t="str">
        <f>IF(B103="","",(VLOOKUP($A103,INSUMOS_SERVICIOS,4,0)))</f>
        <v/>
      </c>
      <c r="G103" s="292" t="str">
        <f>+IFERROR(E103*F103,"")</f>
        <v/>
      </c>
    </row>
    <row r="104" spans="1:7" ht="12.95" customHeight="1" x14ac:dyDescent="0.25">
      <c r="A104" s="272"/>
      <c r="B104" s="273"/>
      <c r="C104" s="264"/>
      <c r="D104" s="264"/>
      <c r="E104" s="274"/>
      <c r="F104" s="304" t="s">
        <v>62</v>
      </c>
      <c r="G104" s="294" t="str">
        <f>+IF(SUM(G102:G103)=0,"",SUM(G102:G103))</f>
        <v/>
      </c>
    </row>
    <row r="105" spans="1:7" ht="12.95" customHeight="1" x14ac:dyDescent="0.25">
      <c r="A105" s="299"/>
      <c r="B105" s="264"/>
      <c r="C105" s="300"/>
      <c r="D105" s="300"/>
      <c r="E105" s="300"/>
      <c r="F105" s="278"/>
      <c r="G105" s="317"/>
    </row>
    <row r="106" spans="1:7" ht="12.95" customHeight="1" x14ac:dyDescent="0.25">
      <c r="A106" s="411" t="s">
        <v>77</v>
      </c>
      <c r="B106" s="411"/>
      <c r="C106" s="411"/>
      <c r="D106" s="411"/>
      <c r="E106" s="411"/>
      <c r="F106" s="411"/>
      <c r="G106" s="326">
        <f>IF(SUM(G79,G86,G91,G98,G104)=0,"",(ROUND(SUM(G79,G86,G91,G98,G104),0)))</f>
        <v>308834</v>
      </c>
    </row>
    <row r="107" spans="1:7" ht="12.95" customHeight="1" x14ac:dyDescent="0.25">
      <c r="A107" s="301"/>
      <c r="B107" s="287"/>
      <c r="C107" s="287"/>
      <c r="D107" s="287"/>
      <c r="E107" s="287"/>
      <c r="F107" s="287"/>
      <c r="G107" s="278"/>
    </row>
    <row r="108" spans="1:7" ht="12.95" customHeight="1" x14ac:dyDescent="0.25">
      <c r="A108" s="402" t="s">
        <v>78</v>
      </c>
      <c r="B108" s="402"/>
      <c r="C108" s="402"/>
      <c r="D108" s="402"/>
      <c r="E108" s="402"/>
      <c r="F108" s="402"/>
      <c r="G108" s="402"/>
    </row>
    <row r="109" spans="1:7" ht="12.95" customHeight="1" x14ac:dyDescent="0.25">
      <c r="A109" s="264"/>
      <c r="B109" s="264"/>
      <c r="C109" s="264"/>
      <c r="D109" s="264"/>
      <c r="E109" s="264"/>
      <c r="F109" s="264"/>
      <c r="G109" s="264"/>
    </row>
    <row r="110" spans="1:7" ht="12.95" customHeight="1" x14ac:dyDescent="0.25">
      <c r="A110" s="412" t="s">
        <v>44</v>
      </c>
      <c r="B110" s="412"/>
      <c r="C110" s="412"/>
      <c r="D110" s="412"/>
      <c r="E110" s="412"/>
      <c r="F110" s="306" t="s">
        <v>79</v>
      </c>
      <c r="G110" s="306" t="s">
        <v>48</v>
      </c>
    </row>
    <row r="111" spans="1:7" ht="12.95" customHeight="1" x14ac:dyDescent="0.25">
      <c r="A111" s="410" t="s">
        <v>80</v>
      </c>
      <c r="B111" s="410"/>
      <c r="C111" s="410"/>
      <c r="D111" s="410"/>
      <c r="E111" s="410"/>
      <c r="F111" s="307">
        <f ca="1">AU!$I$36</f>
        <v>0.191</v>
      </c>
      <c r="G111" s="308">
        <f ca="1">+IFERROR(G106*F111,"")</f>
        <v>58987.294000000002</v>
      </c>
    </row>
    <row r="112" spans="1:7" ht="12.95" customHeight="1" x14ac:dyDescent="0.25">
      <c r="A112" s="410" t="s">
        <v>82</v>
      </c>
      <c r="B112" s="410"/>
      <c r="C112" s="410"/>
      <c r="D112" s="410"/>
      <c r="E112" s="410"/>
      <c r="F112" s="307">
        <f>IF(AU!$I$37=0,"",AU!$I$37)</f>
        <v>5.131865E-2</v>
      </c>
      <c r="G112" s="308">
        <f>+IFERROR(G106*F112,"")</f>
        <v>15848.943954099999</v>
      </c>
    </row>
    <row r="113" spans="1:7" ht="12.95" customHeight="1" x14ac:dyDescent="0.25">
      <c r="A113" s="393" t="s">
        <v>83</v>
      </c>
      <c r="B113" s="394"/>
      <c r="C113" s="394"/>
      <c r="D113" s="394"/>
      <c r="E113" s="394"/>
      <c r="F113" s="309">
        <f ca="1">IF(SUM(F111:F112)=0,"",SUM(F111:F112))</f>
        <v>0.24231865</v>
      </c>
      <c r="G113" s="310">
        <f ca="1">IF(SUM(G111:G112)=0,"",ROUND(SUM(G111:G112),0))</f>
        <v>74836</v>
      </c>
    </row>
    <row r="114" spans="1:7" ht="12.95" customHeight="1" x14ac:dyDescent="0.25">
      <c r="A114" s="301"/>
      <c r="B114" s="273"/>
      <c r="C114" s="273"/>
      <c r="D114" s="273"/>
      <c r="E114" s="395"/>
      <c r="F114" s="395"/>
      <c r="G114" s="311"/>
    </row>
    <row r="115" spans="1:7" ht="12.95" customHeight="1" x14ac:dyDescent="0.25">
      <c r="A115" s="396" t="s">
        <v>84</v>
      </c>
      <c r="B115" s="397"/>
      <c r="C115" s="397"/>
      <c r="D115" s="397"/>
      <c r="E115" s="397"/>
      <c r="F115" s="397"/>
      <c r="G115" s="312">
        <f ca="1">+IFERROR(ROUND(G106+G113,0),"")</f>
        <v>383670</v>
      </c>
    </row>
    <row r="116" spans="1:7" ht="12.95" customHeight="1" x14ac:dyDescent="0.25">
      <c r="A116" s="261"/>
      <c r="B116" s="261"/>
      <c r="C116" s="261"/>
      <c r="D116" s="261"/>
      <c r="E116" s="262"/>
      <c r="F116" s="262"/>
      <c r="G116" s="263"/>
    </row>
    <row r="117" spans="1:7" ht="12.95" customHeight="1" x14ac:dyDescent="0.25">
      <c r="A117" s="261"/>
      <c r="B117" s="313" t="s">
        <v>784</v>
      </c>
      <c r="C117" s="262"/>
      <c r="D117" s="314"/>
      <c r="E117" s="314"/>
      <c r="F117" s="314"/>
      <c r="G117" s="262"/>
    </row>
    <row r="118" spans="1:7" ht="12.95" customHeight="1" x14ac:dyDescent="0.25">
      <c r="A118" s="261"/>
      <c r="B118" s="313" t="s">
        <v>785</v>
      </c>
      <c r="C118" s="263"/>
      <c r="D118" s="398" t="s">
        <v>85</v>
      </c>
      <c r="E118" s="398"/>
      <c r="F118" s="398"/>
      <c r="G118" s="263"/>
    </row>
    <row r="119" spans="1:7" ht="12.95" customHeight="1" x14ac:dyDescent="0.25">
      <c r="A119" s="301"/>
      <c r="B119" s="301"/>
      <c r="C119" s="301"/>
      <c r="D119" s="301"/>
      <c r="E119" s="301"/>
      <c r="F119" s="301"/>
      <c r="G119" s="301"/>
    </row>
    <row r="120" spans="1:7" ht="12.95" customHeight="1" x14ac:dyDescent="0.25">
      <c r="A120" s="419" t="str">
        <f>'DATOS INICIALES'!$B$1</f>
        <v>DEPARTAMENTO DE ANTIOQUIA</v>
      </c>
      <c r="B120" s="420"/>
      <c r="C120" s="420"/>
      <c r="D120" s="420"/>
      <c r="E120" s="420"/>
      <c r="F120" s="421" t="s">
        <v>51</v>
      </c>
      <c r="G120" s="421"/>
    </row>
    <row r="121" spans="1:7" ht="12.95" customHeight="1" x14ac:dyDescent="0.25">
      <c r="A121" s="422" t="str">
        <f>'DATOS INICIALES'!$B$2</f>
        <v>MUNICIPIO DE DABEIBA</v>
      </c>
      <c r="B121" s="423"/>
      <c r="C121" s="423"/>
      <c r="D121" s="423"/>
      <c r="E121" s="423"/>
      <c r="F121" s="421"/>
      <c r="G121" s="421"/>
    </row>
    <row r="122" spans="1:7" s="254" customFormat="1" ht="50.1" customHeight="1" x14ac:dyDescent="0.25">
      <c r="A122" s="424" t="str">
        <f>'DATOS INICIALES'!$B$3</f>
        <v>REPOSICIÓN, AMPLIACIÓN Y REPARACIÓN DE LUMINARIAS QUE HACEN PARTE DE LA RED DE ALUMBRADOPÚBLICO DEL PARQUE PRINCIPAL Y CORREGIMIENTO SAN JOSÉ DE URAMA DEL MUNICIPIO DE DABEIBA.</v>
      </c>
      <c r="B122" s="425"/>
      <c r="C122" s="425"/>
      <c r="D122" s="425"/>
      <c r="E122" s="425"/>
      <c r="F122" s="421"/>
      <c r="G122" s="421"/>
    </row>
    <row r="123" spans="1:7" ht="12.95" customHeight="1" x14ac:dyDescent="0.25">
      <c r="A123" s="417"/>
      <c r="B123" s="417"/>
      <c r="C123" s="417"/>
      <c r="D123" s="417"/>
      <c r="E123" s="426"/>
      <c r="F123" s="421"/>
      <c r="G123" s="421"/>
    </row>
    <row r="124" spans="1:7" ht="12.95" customHeight="1" x14ac:dyDescent="0.25">
      <c r="A124" s="427" t="s">
        <v>52</v>
      </c>
      <c r="B124" s="428"/>
      <c r="C124" s="428"/>
      <c r="D124" s="428"/>
      <c r="E124" s="428"/>
      <c r="F124" s="421"/>
      <c r="G124" s="421"/>
    </row>
    <row r="125" spans="1:7" ht="12.95" customHeight="1" x14ac:dyDescent="0.25">
      <c r="A125" s="417"/>
      <c r="B125" s="417"/>
      <c r="C125" s="417"/>
      <c r="D125" s="417"/>
      <c r="E125" s="417"/>
      <c r="F125" s="418"/>
      <c r="G125" s="418"/>
    </row>
    <row r="126" spans="1:7" ht="12.95" customHeight="1" x14ac:dyDescent="0.25">
      <c r="A126" s="255" t="s">
        <v>42</v>
      </c>
      <c r="B126" s="414" t="s">
        <v>44</v>
      </c>
      <c r="C126" s="415"/>
      <c r="D126" s="416"/>
      <c r="E126" s="256" t="s">
        <v>45</v>
      </c>
      <c r="F126" s="257" t="s">
        <v>46</v>
      </c>
      <c r="G126" s="257" t="s">
        <v>53</v>
      </c>
    </row>
    <row r="127" spans="1:7" ht="30" customHeight="1" x14ac:dyDescent="0.25">
      <c r="A127" s="258" t="s">
        <v>781</v>
      </c>
      <c r="B127" s="399" t="str">
        <f>+IFERROR(VLOOKUP($A127,PRESUPUESTO!$A$7:$E$15,4,0),"")</f>
        <v>SUNINISTRO, TRANSPORTE E INSTALACION DE ENCAUCHETADO 3X12 Y DEMÁS ELEMENTOS PARA SU CORRECTO FUNCIONAMIENTO</v>
      </c>
      <c r="C127" s="400"/>
      <c r="D127" s="401"/>
      <c r="E127" s="259" t="str">
        <f>+IFERROR(VLOOKUP($A127,PRESUPUESTO!$A$7:$E$15,5,0),"")</f>
        <v>M</v>
      </c>
      <c r="F127" s="259">
        <f>+IFERROR(VLOOKUP($A127,PRESUPUESTO!$A$7:$F$15,6,0),"")</f>
        <v>69</v>
      </c>
      <c r="G127" s="260">
        <f ca="1">IF(G175=0,"",G166)</f>
        <v>19071</v>
      </c>
    </row>
    <row r="128" spans="1:7" ht="12.95" customHeight="1" x14ac:dyDescent="0.25">
      <c r="A128" s="261"/>
      <c r="B128" s="261"/>
      <c r="C128" s="261"/>
      <c r="D128" s="261"/>
      <c r="E128" s="262"/>
      <c r="F128" s="262"/>
      <c r="G128" s="263"/>
    </row>
    <row r="129" spans="1:7" ht="12.95" customHeight="1" x14ac:dyDescent="0.25">
      <c r="A129" s="402" t="s">
        <v>54</v>
      </c>
      <c r="B129" s="402"/>
      <c r="C129" s="402"/>
      <c r="D129" s="402"/>
      <c r="E129" s="402"/>
      <c r="F129" s="402"/>
      <c r="G129" s="402"/>
    </row>
    <row r="130" spans="1:7" ht="12.95" customHeight="1" x14ac:dyDescent="0.25">
      <c r="A130" s="264"/>
      <c r="B130" s="264"/>
      <c r="C130" s="264"/>
      <c r="D130" s="264"/>
      <c r="E130" s="264"/>
      <c r="F130" s="264"/>
      <c r="G130" s="264"/>
    </row>
    <row r="131" spans="1:7" ht="12.95" customHeight="1" x14ac:dyDescent="0.25">
      <c r="A131" s="403" t="s">
        <v>55</v>
      </c>
      <c r="B131" s="403"/>
      <c r="C131" s="403"/>
      <c r="D131" s="403"/>
      <c r="E131" s="403"/>
      <c r="F131" s="403"/>
      <c r="G131" s="404"/>
    </row>
    <row r="132" spans="1:7" ht="12.95" customHeight="1" x14ac:dyDescent="0.25">
      <c r="A132" s="265" t="s">
        <v>56</v>
      </c>
      <c r="B132" s="405" t="s">
        <v>44</v>
      </c>
      <c r="C132" s="406"/>
      <c r="D132" s="265" t="s">
        <v>45</v>
      </c>
      <c r="E132" s="265" t="s">
        <v>57</v>
      </c>
      <c r="F132" s="265" t="s">
        <v>58</v>
      </c>
      <c r="G132" s="265" t="s">
        <v>59</v>
      </c>
    </row>
    <row r="133" spans="1:7" ht="12.95" customHeight="1" x14ac:dyDescent="0.25">
      <c r="A133" s="266" t="str">
        <f>IF(B133="","",INDEX(CODIGOEQUIPOS,MATCH($B133,'INSUMOS EQUIPOS'!$B$7:$B$39,0)))</f>
        <v>EQ014</v>
      </c>
      <c r="B133" s="389" t="s">
        <v>828</v>
      </c>
      <c r="C133" s="390"/>
      <c r="D133" s="267" t="str">
        <f>IF(B133="","",(VLOOKUP($A133,INSUMOSEQUIPOS,3,0)))</f>
        <v>DIA</v>
      </c>
      <c r="E133" s="268">
        <f>IF(B133="","",(VLOOKUP($A133,INSUMOSEQUIPOS,4,0)))</f>
        <v>35000</v>
      </c>
      <c r="F133" s="324">
        <v>150</v>
      </c>
      <c r="G133" s="269">
        <f>+IFERROR(E133/F133,"")</f>
        <v>233.33333333333334</v>
      </c>
    </row>
    <row r="134" spans="1:7" ht="12.95" customHeight="1" x14ac:dyDescent="0.25">
      <c r="A134" s="266" t="str">
        <f>IF(B134="","",INDEX(CODIGOEQUIPOS,MATCH($B134,'INSUMOS EQUIPOS'!$B$7:$B$39,0)))</f>
        <v>EQ015</v>
      </c>
      <c r="B134" s="389" t="s">
        <v>829</v>
      </c>
      <c r="C134" s="390"/>
      <c r="D134" s="267" t="str">
        <f>IF(B134="","",(VLOOKUP($A134,INSUMOSEQUIPOS,3,0)))</f>
        <v>DIA</v>
      </c>
      <c r="E134" s="268">
        <f>IF(B134="","",(VLOOKUP($A134,INSUMOSEQUIPOS,4,0)))</f>
        <v>23000</v>
      </c>
      <c r="F134" s="324">
        <v>150</v>
      </c>
      <c r="G134" s="269">
        <f t="shared" ref="G134:G135" si="3">+IFERROR(E134/F134,"")</f>
        <v>153.33333333333334</v>
      </c>
    </row>
    <row r="135" spans="1:7" ht="12.95" customHeight="1" x14ac:dyDescent="0.25">
      <c r="A135" s="266" t="str">
        <f>IF(B135="","",INDEX(CODIGOEQUIPOS,MATCH($B135,'INSUMOS EQUIPOS'!$B$7:$B$39,0)))</f>
        <v>EQ016</v>
      </c>
      <c r="B135" s="389" t="s">
        <v>830</v>
      </c>
      <c r="C135" s="390"/>
      <c r="D135" s="267" t="str">
        <f>IF(B135="","",(VLOOKUP($A135,INSUMOSEQUIPOS,3,0)))</f>
        <v>DIA</v>
      </c>
      <c r="E135" s="268">
        <f>IF(B135="","",(VLOOKUP($A135,INSUMOSEQUIPOS,4,0)))</f>
        <v>280000</v>
      </c>
      <c r="F135" s="324">
        <v>150</v>
      </c>
      <c r="G135" s="269">
        <f t="shared" si="3"/>
        <v>1866.6666666666667</v>
      </c>
    </row>
    <row r="136" spans="1:7" ht="12.95" customHeight="1" x14ac:dyDescent="0.25">
      <c r="A136" s="266" t="str">
        <f>IF(B136="","",INDEX(CODIGOEQUIPOS,MATCH($B136,'INSUMOS EQUIPOS'!$B$7:$B$39,0)))</f>
        <v>EQ017</v>
      </c>
      <c r="B136" s="389" t="s">
        <v>831</v>
      </c>
      <c r="C136" s="390"/>
      <c r="D136" s="267" t="str">
        <f>IF(B136="","",(VLOOKUP($A136,INSUMOSEQUIPOS,3,0)))</f>
        <v>DIA</v>
      </c>
      <c r="E136" s="268">
        <f>IF(B136="","",(VLOOKUP($A136,INSUMOSEQUIPOS,4,0)))</f>
        <v>22000</v>
      </c>
      <c r="F136" s="324">
        <v>150</v>
      </c>
      <c r="G136" s="269">
        <f>+IFERROR(E136/F136,"")</f>
        <v>146.66666666666666</v>
      </c>
    </row>
    <row r="137" spans="1:7" ht="12.95" customHeight="1" x14ac:dyDescent="0.25">
      <c r="A137" s="270"/>
      <c r="B137" s="407" t="s">
        <v>827</v>
      </c>
      <c r="C137" s="408"/>
      <c r="D137" s="267" t="s">
        <v>89</v>
      </c>
      <c r="E137" s="323">
        <f>$G$158</f>
        <v>3753.2266666666665</v>
      </c>
      <c r="F137" s="325">
        <v>0.1</v>
      </c>
      <c r="G137" s="269">
        <f>+IFERROR(E137*F137,"")</f>
        <v>375.32266666666669</v>
      </c>
    </row>
    <row r="138" spans="1:7" ht="12.95" customHeight="1" x14ac:dyDescent="0.25">
      <c r="A138" s="272"/>
      <c r="B138" s="273"/>
      <c r="C138" s="264"/>
      <c r="D138" s="264"/>
      <c r="E138" s="274"/>
      <c r="F138" s="275" t="s">
        <v>62</v>
      </c>
      <c r="G138" s="276">
        <f>+IF(SUM(G133:G137)=0,"",SUM(G133:G137))</f>
        <v>2775.3226666666669</v>
      </c>
    </row>
    <row r="139" spans="1:7" ht="12.95" customHeight="1" x14ac:dyDescent="0.25">
      <c r="A139" s="273"/>
      <c r="B139" s="264"/>
      <c r="C139" s="264"/>
      <c r="D139" s="274"/>
      <c r="E139" s="277"/>
      <c r="F139" s="278"/>
      <c r="G139" s="272"/>
    </row>
    <row r="140" spans="1:7" ht="12.95" customHeight="1" x14ac:dyDescent="0.25">
      <c r="A140" s="402" t="s">
        <v>63</v>
      </c>
      <c r="B140" s="402"/>
      <c r="C140" s="402"/>
      <c r="D140" s="402"/>
      <c r="E140" s="402"/>
      <c r="F140" s="402"/>
      <c r="G140" s="409"/>
    </row>
    <row r="141" spans="1:7" ht="12.95" customHeight="1" x14ac:dyDescent="0.25">
      <c r="A141" s="265" t="s">
        <v>56</v>
      </c>
      <c r="B141" s="279" t="s">
        <v>44</v>
      </c>
      <c r="C141" s="280" t="s">
        <v>208</v>
      </c>
      <c r="D141" s="280" t="s">
        <v>476</v>
      </c>
      <c r="E141" s="280" t="s">
        <v>64</v>
      </c>
      <c r="F141" s="280" t="s">
        <v>65</v>
      </c>
      <c r="G141" s="280" t="s">
        <v>59</v>
      </c>
    </row>
    <row r="142" spans="1:7" ht="12.95" customHeight="1" x14ac:dyDescent="0.25">
      <c r="A142" s="266" t="str">
        <f>IF(B142="","",INDEX(CODIGOMATERIALES,MATCH($B142,'INSUMOS MATERIALES'!$B$7:$B$51,0)))</f>
        <v>MA025</v>
      </c>
      <c r="B142" s="281" t="s">
        <v>839</v>
      </c>
      <c r="C142" s="282" t="str">
        <f>IF(B142="","",(VLOOKUP($A142,INSUMOSMATERIALES,3,0)))</f>
        <v>UN</v>
      </c>
      <c r="D142" s="295">
        <v>5.0000000000000001E-3</v>
      </c>
      <c r="E142" s="283">
        <v>0.02</v>
      </c>
      <c r="F142" s="284">
        <f>IF(B142="","",(VLOOKUP($A142,INSUMOSMATERIALES,4,0)))</f>
        <v>59800</v>
      </c>
      <c r="G142" s="269">
        <f>+IFERROR(F142*D142*(1+E142),"")</f>
        <v>304.98</v>
      </c>
    </row>
    <row r="143" spans="1:7" ht="12.95" customHeight="1" x14ac:dyDescent="0.25">
      <c r="A143" s="266" t="str">
        <f>IF(B143="","",INDEX(CODIGOMATERIALES,MATCH($B143,'INSUMOS MATERIALES'!$B$7:$B$51,0)))</f>
        <v>MA022</v>
      </c>
      <c r="B143" s="281" t="s">
        <v>834</v>
      </c>
      <c r="C143" s="282" t="str">
        <f>IF(B143="","",(VLOOKUP($A143,INSUMOSMATERIALES,3,0)))</f>
        <v>UN</v>
      </c>
      <c r="D143" s="289">
        <v>0.01</v>
      </c>
      <c r="E143" s="283">
        <v>0.02</v>
      </c>
      <c r="F143" s="284">
        <f>IF(B143="","",(VLOOKUP($A143,INSUMOSMATERIALES,4,0)))</f>
        <v>27300</v>
      </c>
      <c r="G143" s="269">
        <f>+IFERROR(F143*D143*(1+E143),"")</f>
        <v>278.45999999999998</v>
      </c>
    </row>
    <row r="144" spans="1:7" ht="12.95" customHeight="1" x14ac:dyDescent="0.25">
      <c r="A144" s="266" t="str">
        <f>IF(B144="","",INDEX(CODIGOMATERIALES,MATCH($B144,'INSUMOS MATERIALES'!$B$7:$B$51,0)))</f>
        <v>MA021</v>
      </c>
      <c r="B144" s="281" t="s">
        <v>833</v>
      </c>
      <c r="C144" s="282" t="str">
        <f>IF(B144="","",(VLOOKUP($A144,INSUMOSMATERIALES,3,0)))</f>
        <v>M</v>
      </c>
      <c r="D144" s="289">
        <v>1</v>
      </c>
      <c r="E144" s="283">
        <v>0.02</v>
      </c>
      <c r="F144" s="284">
        <f>IF(B144="","",(VLOOKUP($A144,INSUMOSMATERIALES,4,0)))</f>
        <v>10860</v>
      </c>
      <c r="G144" s="269">
        <f>+IFERROR(F144*D144*(1+E144),"")</f>
        <v>11077.2</v>
      </c>
    </row>
    <row r="145" spans="1:7" ht="12.95" customHeight="1" x14ac:dyDescent="0.25">
      <c r="A145" s="266" t="str">
        <f>IF(B145="","",INDEX(CODIGOMATERIALES,MATCH($B145,'INSUMOS MATERIALES'!$B$7:$B$51,0)))</f>
        <v>MA026</v>
      </c>
      <c r="B145" s="281" t="s">
        <v>840</v>
      </c>
      <c r="C145" s="282" t="str">
        <f>IF(B145="","",(VLOOKUP($A145,INSUMOSMATERIALES,3,0)))</f>
        <v>UN</v>
      </c>
      <c r="D145" s="289">
        <v>0.5</v>
      </c>
      <c r="E145" s="283">
        <v>0</v>
      </c>
      <c r="F145" s="284">
        <f>IF(B145="","",(VLOOKUP($A145,INSUMOSMATERIALES,4,0)))</f>
        <v>150</v>
      </c>
      <c r="G145" s="269">
        <f>+IFERROR(F145*D145*(1+E145),"")</f>
        <v>75</v>
      </c>
    </row>
    <row r="146" spans="1:7" ht="12.95" customHeight="1" x14ac:dyDescent="0.25">
      <c r="A146" s="272"/>
      <c r="B146" s="285"/>
      <c r="C146" s="264"/>
      <c r="D146" s="264"/>
      <c r="E146" s="274"/>
      <c r="F146" s="286" t="s">
        <v>62</v>
      </c>
      <c r="G146" s="276">
        <f>+IF(SUM(G142:G145)=0,"",SUM(G142:G145))</f>
        <v>11735.640000000001</v>
      </c>
    </row>
    <row r="147" spans="1:7" ht="12.95" customHeight="1" x14ac:dyDescent="0.25">
      <c r="A147" s="273"/>
      <c r="B147" s="264"/>
      <c r="C147" s="264"/>
      <c r="D147" s="274"/>
      <c r="E147" s="287"/>
      <c r="F147" s="278"/>
      <c r="G147" s="272"/>
    </row>
    <row r="148" spans="1:7" ht="12.95" customHeight="1" x14ac:dyDescent="0.25">
      <c r="A148" s="402" t="s">
        <v>66</v>
      </c>
      <c r="B148" s="402"/>
      <c r="C148" s="402"/>
      <c r="D148" s="402"/>
      <c r="E148" s="402"/>
      <c r="F148" s="402"/>
      <c r="G148" s="402"/>
    </row>
    <row r="149" spans="1:7" ht="12.95" customHeight="1" x14ac:dyDescent="0.25">
      <c r="A149" s="265" t="s">
        <v>56</v>
      </c>
      <c r="B149" s="265" t="s">
        <v>44</v>
      </c>
      <c r="C149" s="265" t="s">
        <v>67</v>
      </c>
      <c r="D149" s="265" t="s">
        <v>68</v>
      </c>
      <c r="E149" s="280" t="s">
        <v>69</v>
      </c>
      <c r="F149" s="280" t="s">
        <v>57</v>
      </c>
      <c r="G149" s="280" t="s">
        <v>59</v>
      </c>
    </row>
    <row r="150" spans="1:7" ht="12.95" customHeight="1" x14ac:dyDescent="0.25">
      <c r="A150" s="266" t="str">
        <f>IF(B150="","",INDEX(CODIGOTRANSPORTES,MATCH(B150,'INSUMOS TRANSPORTES'!$B$7:$B$13,0)))</f>
        <v>TR001</v>
      </c>
      <c r="B150" s="281" t="s">
        <v>467</v>
      </c>
      <c r="C150" s="288" t="s">
        <v>462</v>
      </c>
      <c r="D150" s="295">
        <v>8.0000000000000002E-3</v>
      </c>
      <c r="E150" s="290">
        <f>+IF(C150=0,"",IF(C150="INSUMOS",'DATOS INICIALES'!$B$24,IF(C150="PLAYA",'DATOS INICIALES'!$B$21,IF(C150="TIERRA",'DATOS INICIALES'!$B$19,IF(C150="ESCOMBROS",'DATOS INICIALES'!$B$20,IF(C150="ASFALTO",'DATOS INICIALES'!$B$25,IF(C150="GRANULAR",'DATOS INICIALES'!B246)))))))</f>
        <v>180</v>
      </c>
      <c r="F150" s="291">
        <f>+IF(B150="","",(VLOOKUP($A150,INSUMOSTRANSPORTES,4,0)))</f>
        <v>560</v>
      </c>
      <c r="G150" s="292">
        <f>+IFERROR(D150*E150*F150,"")</f>
        <v>806.4</v>
      </c>
    </row>
    <row r="151" spans="1:7" ht="12.95" customHeight="1" x14ac:dyDescent="0.25">
      <c r="A151" s="272"/>
      <c r="B151" s="293"/>
      <c r="C151" s="264"/>
      <c r="D151" s="264"/>
      <c r="E151" s="274"/>
      <c r="F151" s="275" t="s">
        <v>62</v>
      </c>
      <c r="G151" s="294">
        <f>+IF(SUM(G150:G150)=0,"",SUM(G150:G150))</f>
        <v>806.4</v>
      </c>
    </row>
    <row r="152" spans="1:7" ht="12.95" customHeight="1" x14ac:dyDescent="0.25">
      <c r="A152" s="264"/>
      <c r="B152" s="264"/>
      <c r="C152" s="264"/>
      <c r="D152" s="274"/>
      <c r="E152" s="287"/>
      <c r="F152" s="278"/>
      <c r="G152" s="272"/>
    </row>
    <row r="153" spans="1:7" ht="12.95" customHeight="1" x14ac:dyDescent="0.25">
      <c r="A153" s="402" t="s">
        <v>70</v>
      </c>
      <c r="B153" s="402"/>
      <c r="C153" s="402"/>
      <c r="D153" s="402"/>
      <c r="E153" s="402"/>
      <c r="F153" s="402"/>
      <c r="G153" s="409"/>
    </row>
    <row r="154" spans="1:7" ht="12.95" customHeight="1" x14ac:dyDescent="0.25">
      <c r="A154" s="265" t="s">
        <v>56</v>
      </c>
      <c r="B154" s="413" t="s">
        <v>71</v>
      </c>
      <c r="C154" s="413"/>
      <c r="D154" s="280" t="s">
        <v>46</v>
      </c>
      <c r="E154" s="280" t="s">
        <v>72</v>
      </c>
      <c r="F154" s="280" t="s">
        <v>58</v>
      </c>
      <c r="G154" s="280" t="s">
        <v>59</v>
      </c>
    </row>
    <row r="155" spans="1:7" ht="12.95" customHeight="1" x14ac:dyDescent="0.25">
      <c r="A155" s="266" t="str">
        <f>IF(B155="","",INDEX(CODIGOSMANODEOBRA,MATCH($B155,'INSUMOS MANO DE OBRA'!$B$7:$B$61,0)))</f>
        <v>MO019</v>
      </c>
      <c r="B155" s="391" t="s">
        <v>346</v>
      </c>
      <c r="C155" s="392"/>
      <c r="D155" s="295">
        <v>1</v>
      </c>
      <c r="E155" s="296">
        <f>IF(B155="","",(VLOOKUP($A155,INSUMOSMANODEOBRA,8,0)))</f>
        <v>194075</v>
      </c>
      <c r="F155" s="289">
        <v>150</v>
      </c>
      <c r="G155" s="319">
        <f>+IFERROR(D155*E155/F155,"")</f>
        <v>1293.8333333333333</v>
      </c>
    </row>
    <row r="156" spans="1:7" ht="12.95" customHeight="1" x14ac:dyDescent="0.25">
      <c r="A156" s="266" t="str">
        <f>IF(B156="","",INDEX(CODIGOSMANODEOBRA,MATCH($B156,'INSUMOS MANO DE OBRA'!$B$7:$B$61,0)))</f>
        <v>MO021</v>
      </c>
      <c r="B156" s="391" t="s">
        <v>348</v>
      </c>
      <c r="C156" s="392"/>
      <c r="D156" s="295">
        <v>1</v>
      </c>
      <c r="E156" s="296">
        <f>IF(B156="","",(VLOOKUP($A156,INSUMOSMANODEOBRA,8,0)))</f>
        <v>179201</v>
      </c>
      <c r="F156" s="289">
        <f>F155</f>
        <v>150</v>
      </c>
      <c r="G156" s="319">
        <f>+IFERROR(D156*E156/F156,"")</f>
        <v>1194.6733333333334</v>
      </c>
    </row>
    <row r="157" spans="1:7" ht="12.95" customHeight="1" x14ac:dyDescent="0.25">
      <c r="A157" s="266" t="str">
        <f>IF(B157="","",INDEX(CODIGOSMANODEOBRA,MATCH($B157,'INSUMOS MANO DE OBRA'!$B$7:$B$61,0)))</f>
        <v>MO022</v>
      </c>
      <c r="B157" s="391" t="s">
        <v>349</v>
      </c>
      <c r="C157" s="392"/>
      <c r="D157" s="295">
        <v>2</v>
      </c>
      <c r="E157" s="296">
        <f>IF(B157="","",(VLOOKUP($A157,INSUMOSMANODEOBRA,8,0)))</f>
        <v>94854</v>
      </c>
      <c r="F157" s="289">
        <f>F155</f>
        <v>150</v>
      </c>
      <c r="G157" s="319">
        <f>+IFERROR(D157*E157/F157,"")</f>
        <v>1264.72</v>
      </c>
    </row>
    <row r="158" spans="1:7" ht="12.95" customHeight="1" x14ac:dyDescent="0.25">
      <c r="A158" s="272"/>
      <c r="B158" s="273"/>
      <c r="C158" s="264"/>
      <c r="D158" s="264"/>
      <c r="E158" s="274"/>
      <c r="F158" s="275" t="s">
        <v>62</v>
      </c>
      <c r="G158" s="276">
        <f>+IF(SUM(G155:G157)=0,"",SUM(G155:G157))</f>
        <v>3753.2266666666665</v>
      </c>
    </row>
    <row r="159" spans="1:7" ht="12.95" customHeight="1" x14ac:dyDescent="0.25">
      <c r="A159" s="299"/>
      <c r="B159" s="264"/>
      <c r="C159" s="300"/>
      <c r="D159" s="300"/>
      <c r="E159" s="300"/>
      <c r="F159" s="278"/>
      <c r="G159" s="301"/>
    </row>
    <row r="160" spans="1:7" ht="12.95" customHeight="1" x14ac:dyDescent="0.25">
      <c r="A160" s="402" t="s">
        <v>76</v>
      </c>
      <c r="B160" s="402"/>
      <c r="C160" s="402"/>
      <c r="D160" s="402"/>
      <c r="E160" s="402"/>
      <c r="F160" s="402"/>
      <c r="G160" s="409"/>
    </row>
    <row r="161" spans="1:7" ht="12.95" customHeight="1" x14ac:dyDescent="0.25">
      <c r="A161" s="265" t="s">
        <v>56</v>
      </c>
      <c r="B161" s="413" t="s">
        <v>44</v>
      </c>
      <c r="C161" s="413"/>
      <c r="D161" s="265" t="s">
        <v>45</v>
      </c>
      <c r="E161" s="265" t="s">
        <v>46</v>
      </c>
      <c r="F161" s="265" t="s">
        <v>65</v>
      </c>
      <c r="G161" s="265" t="s">
        <v>59</v>
      </c>
    </row>
    <row r="162" spans="1:7" ht="12.95" customHeight="1" x14ac:dyDescent="0.25">
      <c r="A162" s="266" t="str">
        <f>IF(B162="","",INDEX(CODIGOSSERVICIOS,MATCH($B162,'INSUMOS SERVICIOS'!$B$7:$B$21,0)))</f>
        <v/>
      </c>
      <c r="B162" s="391"/>
      <c r="C162" s="392"/>
      <c r="D162" s="282" t="str">
        <f>+IF(B162="","",(VLOOKUP($A162,INSUMOSSERVICIOS,3,0)))</f>
        <v/>
      </c>
      <c r="E162" s="302"/>
      <c r="F162" s="297" t="str">
        <f>IF(B162="","",(VLOOKUP($A162,INSUMOSSERVICIOS,4,0)))</f>
        <v/>
      </c>
      <c r="G162" s="303" t="str">
        <f>+IFERROR(E162*F162,"")</f>
        <v/>
      </c>
    </row>
    <row r="163" spans="1:7" ht="12.95" customHeight="1" x14ac:dyDescent="0.25">
      <c r="A163" s="266" t="str">
        <f>IF(B163="","",INDEX(CÓDIGOS_SERVICIOS,MATCH($B163,'[7]INSUMOS SERVICIOS'!$B$8:$B$51,0)))</f>
        <v/>
      </c>
      <c r="B163" s="391"/>
      <c r="C163" s="392"/>
      <c r="D163" s="282" t="str">
        <f>+IF(B163="","",(VLOOKUP($A163,INSUMOS_SERVICIOS,3,0)))</f>
        <v/>
      </c>
      <c r="E163" s="302"/>
      <c r="F163" s="297" t="str">
        <f>IF(B163="","",(VLOOKUP($A163,INSUMOS_SERVICIOS,4,0)))</f>
        <v/>
      </c>
      <c r="G163" s="303" t="str">
        <f>+IFERROR(E163*F163,"")</f>
        <v/>
      </c>
    </row>
    <row r="164" spans="1:7" ht="12.95" customHeight="1" x14ac:dyDescent="0.25">
      <c r="A164" s="272"/>
      <c r="B164" s="273"/>
      <c r="C164" s="264"/>
      <c r="D164" s="264"/>
      <c r="E164" s="274"/>
      <c r="F164" s="304" t="s">
        <v>62</v>
      </c>
      <c r="G164" s="298" t="str">
        <f>+IF(SUM(G162:G163)=0,"",SUM(G162:G163))</f>
        <v/>
      </c>
    </row>
    <row r="165" spans="1:7" ht="12.95" customHeight="1" x14ac:dyDescent="0.25">
      <c r="A165" s="299"/>
      <c r="B165" s="264"/>
      <c r="C165" s="300"/>
      <c r="D165" s="300"/>
      <c r="E165" s="300"/>
      <c r="F165" s="278"/>
      <c r="G165" s="301"/>
    </row>
    <row r="166" spans="1:7" ht="12.95" customHeight="1" x14ac:dyDescent="0.25">
      <c r="A166" s="411" t="s">
        <v>77</v>
      </c>
      <c r="B166" s="411"/>
      <c r="C166" s="411"/>
      <c r="D166" s="411"/>
      <c r="E166" s="411"/>
      <c r="F166" s="411"/>
      <c r="G166" s="326">
        <f>IF(SUM(G138,G146,G151,G158,G164)=0,"",(ROUND(SUM(G138,G146,G151,G158,G164),0)))</f>
        <v>19071</v>
      </c>
    </row>
    <row r="167" spans="1:7" ht="12.95" customHeight="1" x14ac:dyDescent="0.25">
      <c r="A167" s="301"/>
      <c r="B167" s="287"/>
      <c r="C167" s="287"/>
      <c r="D167" s="287"/>
      <c r="E167" s="287"/>
      <c r="F167" s="287"/>
      <c r="G167" s="278"/>
    </row>
    <row r="168" spans="1:7" ht="12.95" customHeight="1" x14ac:dyDescent="0.25">
      <c r="A168" s="402" t="s">
        <v>78</v>
      </c>
      <c r="B168" s="402"/>
      <c r="C168" s="402"/>
      <c r="D168" s="402"/>
      <c r="E168" s="402"/>
      <c r="F168" s="402"/>
      <c r="G168" s="402"/>
    </row>
    <row r="169" spans="1:7" ht="12.95" customHeight="1" x14ac:dyDescent="0.25">
      <c r="A169" s="264"/>
      <c r="B169" s="264"/>
      <c r="C169" s="264"/>
      <c r="D169" s="264"/>
      <c r="E169" s="264"/>
      <c r="F169" s="264"/>
      <c r="G169" s="264"/>
    </row>
    <row r="170" spans="1:7" ht="12.95" customHeight="1" x14ac:dyDescent="0.25">
      <c r="A170" s="412" t="s">
        <v>44</v>
      </c>
      <c r="B170" s="412"/>
      <c r="C170" s="412"/>
      <c r="D170" s="412"/>
      <c r="E170" s="412"/>
      <c r="F170" s="306" t="s">
        <v>79</v>
      </c>
      <c r="G170" s="306" t="s">
        <v>48</v>
      </c>
    </row>
    <row r="171" spans="1:7" ht="12.95" customHeight="1" x14ac:dyDescent="0.25">
      <c r="A171" s="410" t="s">
        <v>80</v>
      </c>
      <c r="B171" s="410"/>
      <c r="C171" s="410"/>
      <c r="D171" s="410"/>
      <c r="E171" s="410"/>
      <c r="F171" s="307">
        <f ca="1">AU!$I$36</f>
        <v>0.191</v>
      </c>
      <c r="G171" s="308">
        <f ca="1">+IFERROR(G166*F171,"")</f>
        <v>3642.5610000000001</v>
      </c>
    </row>
    <row r="172" spans="1:7" ht="12.95" customHeight="1" x14ac:dyDescent="0.25">
      <c r="A172" s="410" t="s">
        <v>82</v>
      </c>
      <c r="B172" s="410"/>
      <c r="C172" s="410"/>
      <c r="D172" s="410"/>
      <c r="E172" s="410"/>
      <c r="F172" s="307">
        <f>IF(AU!$I$37=0,"",AU!$I$37)</f>
        <v>5.131865E-2</v>
      </c>
      <c r="G172" s="308">
        <f>+IFERROR(G166*F172,"")</f>
        <v>978.69797415000005</v>
      </c>
    </row>
    <row r="173" spans="1:7" ht="12.95" customHeight="1" x14ac:dyDescent="0.25">
      <c r="A173" s="393" t="s">
        <v>83</v>
      </c>
      <c r="B173" s="394"/>
      <c r="C173" s="394"/>
      <c r="D173" s="394"/>
      <c r="E173" s="394"/>
      <c r="F173" s="309">
        <f ca="1">IF(SUM(F171:F172)=0,"",SUM(F171:F172))</f>
        <v>0.24231865</v>
      </c>
      <c r="G173" s="310">
        <f ca="1">IF(SUM(G171:G172)=0,"",ROUND(SUM(G171:G172),0))</f>
        <v>4621</v>
      </c>
    </row>
    <row r="174" spans="1:7" ht="12.95" customHeight="1" x14ac:dyDescent="0.25">
      <c r="A174" s="301"/>
      <c r="B174" s="273"/>
      <c r="C174" s="273"/>
      <c r="D174" s="273"/>
      <c r="E174" s="395"/>
      <c r="F174" s="395"/>
      <c r="G174" s="311"/>
    </row>
    <row r="175" spans="1:7" ht="12.95" customHeight="1" x14ac:dyDescent="0.25">
      <c r="A175" s="396" t="s">
        <v>84</v>
      </c>
      <c r="B175" s="397"/>
      <c r="C175" s="397"/>
      <c r="D175" s="397"/>
      <c r="E175" s="397"/>
      <c r="F175" s="397"/>
      <c r="G175" s="312">
        <f ca="1">+IFERROR(ROUND(G166+G173,0),"")</f>
        <v>23692</v>
      </c>
    </row>
    <row r="176" spans="1:7" ht="12.95" customHeight="1" x14ac:dyDescent="0.25">
      <c r="A176" s="261"/>
      <c r="B176" s="261"/>
      <c r="C176" s="261"/>
      <c r="D176" s="261"/>
      <c r="E176" s="262"/>
      <c r="F176" s="262"/>
      <c r="G176" s="263"/>
    </row>
    <row r="177" spans="1:7" ht="12.95" customHeight="1" x14ac:dyDescent="0.25">
      <c r="A177" s="261"/>
      <c r="B177" s="313" t="s">
        <v>784</v>
      </c>
      <c r="C177" s="262"/>
      <c r="D177" s="314"/>
      <c r="E177" s="314"/>
      <c r="F177" s="314"/>
      <c r="G177" s="262"/>
    </row>
    <row r="178" spans="1:7" ht="12.95" customHeight="1" x14ac:dyDescent="0.25">
      <c r="A178" s="261"/>
      <c r="B178" s="313" t="s">
        <v>785</v>
      </c>
      <c r="C178" s="263"/>
      <c r="D178" s="398" t="s">
        <v>85</v>
      </c>
      <c r="E178" s="398"/>
      <c r="F178" s="398"/>
      <c r="G178" s="263"/>
    </row>
    <row r="179" spans="1:7" ht="12.95" customHeight="1" x14ac:dyDescent="0.25">
      <c r="A179" s="301"/>
      <c r="B179" s="301"/>
      <c r="C179" s="301"/>
      <c r="D179" s="301"/>
      <c r="E179" s="301"/>
      <c r="F179" s="301"/>
      <c r="G179" s="301"/>
    </row>
    <row r="180" spans="1:7" ht="12.95" customHeight="1" x14ac:dyDescent="0.25">
      <c r="A180" s="419" t="str">
        <f>'DATOS INICIALES'!$B$1</f>
        <v>DEPARTAMENTO DE ANTIOQUIA</v>
      </c>
      <c r="B180" s="420"/>
      <c r="C180" s="420"/>
      <c r="D180" s="420"/>
      <c r="E180" s="420"/>
      <c r="F180" s="421" t="s">
        <v>51</v>
      </c>
      <c r="G180" s="421"/>
    </row>
    <row r="181" spans="1:7" ht="12.95" customHeight="1" x14ac:dyDescent="0.25">
      <c r="A181" s="422" t="str">
        <f>'DATOS INICIALES'!$B$2</f>
        <v>MUNICIPIO DE DABEIBA</v>
      </c>
      <c r="B181" s="423"/>
      <c r="C181" s="423"/>
      <c r="D181" s="423"/>
      <c r="E181" s="423"/>
      <c r="F181" s="421"/>
      <c r="G181" s="421"/>
    </row>
    <row r="182" spans="1:7" s="254" customFormat="1" ht="50.1" customHeight="1" x14ac:dyDescent="0.25">
      <c r="A182" s="424" t="str">
        <f>'DATOS INICIALES'!$B$3</f>
        <v>REPOSICIÓN, AMPLIACIÓN Y REPARACIÓN DE LUMINARIAS QUE HACEN PARTE DE LA RED DE ALUMBRADOPÚBLICO DEL PARQUE PRINCIPAL Y CORREGIMIENTO SAN JOSÉ DE URAMA DEL MUNICIPIO DE DABEIBA.</v>
      </c>
      <c r="B182" s="425"/>
      <c r="C182" s="425"/>
      <c r="D182" s="425"/>
      <c r="E182" s="425"/>
      <c r="F182" s="421"/>
      <c r="G182" s="421"/>
    </row>
    <row r="183" spans="1:7" ht="12.95" customHeight="1" x14ac:dyDescent="0.25">
      <c r="A183" s="417"/>
      <c r="B183" s="417"/>
      <c r="C183" s="417"/>
      <c r="D183" s="417"/>
      <c r="E183" s="426"/>
      <c r="F183" s="421"/>
      <c r="G183" s="421"/>
    </row>
    <row r="184" spans="1:7" ht="12.95" customHeight="1" x14ac:dyDescent="0.25">
      <c r="A184" s="427" t="s">
        <v>52</v>
      </c>
      <c r="B184" s="428"/>
      <c r="C184" s="428"/>
      <c r="D184" s="428"/>
      <c r="E184" s="428"/>
      <c r="F184" s="421"/>
      <c r="G184" s="421"/>
    </row>
    <row r="185" spans="1:7" ht="12.95" customHeight="1" x14ac:dyDescent="0.25">
      <c r="A185" s="417"/>
      <c r="B185" s="417"/>
      <c r="C185" s="417"/>
      <c r="D185" s="417"/>
      <c r="E185" s="417"/>
      <c r="F185" s="418"/>
      <c r="G185" s="418"/>
    </row>
    <row r="186" spans="1:7" ht="12.95" customHeight="1" x14ac:dyDescent="0.25">
      <c r="A186" s="255" t="s">
        <v>42</v>
      </c>
      <c r="B186" s="414" t="s">
        <v>44</v>
      </c>
      <c r="C186" s="415"/>
      <c r="D186" s="416"/>
      <c r="E186" s="256" t="s">
        <v>45</v>
      </c>
      <c r="F186" s="257" t="s">
        <v>46</v>
      </c>
      <c r="G186" s="257" t="s">
        <v>53</v>
      </c>
    </row>
    <row r="187" spans="1:7" ht="30" customHeight="1" x14ac:dyDescent="0.25">
      <c r="A187" s="258" t="s">
        <v>782</v>
      </c>
      <c r="B187" s="399" t="str">
        <f>+IFERROR(VLOOKUP($A187,PRESUPUESTO!$A$7:$E$15,4,0),"")</f>
        <v>SUMINISTRO, TRANSPORTE, INSTALACION CONECTOR TIPO RESORTE
CAPUCHA Y DEMÁS ELEMENTOS PARA SU CORRECTO
FUNCIONAMIENTO</v>
      </c>
      <c r="C187" s="400"/>
      <c r="D187" s="401"/>
      <c r="E187" s="259" t="str">
        <f>+IFERROR(VLOOKUP($A187,PRESUPUESTO!$A$7:$E$15,5,0),"")</f>
        <v>UND</v>
      </c>
      <c r="F187" s="259">
        <f>+IFERROR(VLOOKUP($A187,PRESUPUESTO!$A$7:$F$15,6,0),"")</f>
        <v>69</v>
      </c>
      <c r="G187" s="260">
        <f ca="1">IF(G228=0,"",G219)</f>
        <v>940</v>
      </c>
    </row>
    <row r="188" spans="1:7" ht="12.95" customHeight="1" x14ac:dyDescent="0.25">
      <c r="A188" s="261"/>
      <c r="B188" s="261"/>
      <c r="C188" s="261"/>
      <c r="D188" s="261"/>
      <c r="E188" s="262"/>
      <c r="F188" s="262"/>
      <c r="G188" s="263"/>
    </row>
    <row r="189" spans="1:7" ht="12.95" customHeight="1" x14ac:dyDescent="0.25">
      <c r="A189" s="402" t="s">
        <v>54</v>
      </c>
      <c r="B189" s="402"/>
      <c r="C189" s="402"/>
      <c r="D189" s="402"/>
      <c r="E189" s="402"/>
      <c r="F189" s="402"/>
      <c r="G189" s="402"/>
    </row>
    <row r="190" spans="1:7" ht="12.95" customHeight="1" x14ac:dyDescent="0.25">
      <c r="A190" s="264"/>
      <c r="B190" s="264"/>
      <c r="C190" s="264"/>
      <c r="D190" s="264"/>
      <c r="E190" s="264"/>
      <c r="F190" s="264"/>
      <c r="G190" s="264"/>
    </row>
    <row r="191" spans="1:7" ht="12.95" customHeight="1" x14ac:dyDescent="0.25">
      <c r="A191" s="403" t="s">
        <v>55</v>
      </c>
      <c r="B191" s="403"/>
      <c r="C191" s="403"/>
      <c r="D191" s="403"/>
      <c r="E191" s="403"/>
      <c r="F191" s="403"/>
      <c r="G191" s="404"/>
    </row>
    <row r="192" spans="1:7" ht="12.95" customHeight="1" x14ac:dyDescent="0.25">
      <c r="A192" s="265" t="s">
        <v>56</v>
      </c>
      <c r="B192" s="405" t="s">
        <v>44</v>
      </c>
      <c r="C192" s="406"/>
      <c r="D192" s="265" t="s">
        <v>45</v>
      </c>
      <c r="E192" s="265" t="s">
        <v>57</v>
      </c>
      <c r="F192" s="265" t="s">
        <v>58</v>
      </c>
      <c r="G192" s="265" t="s">
        <v>59</v>
      </c>
    </row>
    <row r="193" spans="1:7" ht="12.95" customHeight="1" x14ac:dyDescent="0.25">
      <c r="A193" s="266" t="str">
        <f>IF(B193="","",INDEX(CODIGOEQUIPOS,MATCH($B193,'INSUMOS EQUIPOS'!$B$7:$B$39,0)))</f>
        <v>EQ015</v>
      </c>
      <c r="B193" s="389" t="s">
        <v>829</v>
      </c>
      <c r="C193" s="390"/>
      <c r="D193" s="267" t="str">
        <f>IF(B193="","",(VLOOKUP($A193,INSUMOSEQUIPOS,3,0)))</f>
        <v>DIA</v>
      </c>
      <c r="E193" s="268">
        <f>IF(B193="","",(VLOOKUP($A193,INSUMOSEQUIPOS,4,0)))</f>
        <v>23000</v>
      </c>
      <c r="F193" s="324">
        <v>500</v>
      </c>
      <c r="G193" s="269">
        <f t="shared" ref="G193:G194" si="4">+IFERROR(E193/F193,"")</f>
        <v>46</v>
      </c>
    </row>
    <row r="194" spans="1:7" ht="12.95" customHeight="1" x14ac:dyDescent="0.25">
      <c r="A194" s="266" t="str">
        <f>IF(B194="","",INDEX(CODIGOEQUIPOS,MATCH($B194,'INSUMOS EQUIPOS'!$B$7:$B$39,0)))</f>
        <v>EQ018</v>
      </c>
      <c r="B194" s="389" t="s">
        <v>843</v>
      </c>
      <c r="C194" s="390"/>
      <c r="D194" s="267" t="str">
        <f>IF(B194="","",(VLOOKUP($A194,INSUMOSEQUIPOS,3,0)))</f>
        <v>DIA</v>
      </c>
      <c r="E194" s="268">
        <f>IF(B194="","",(VLOOKUP($A194,INSUMOSEQUIPOS,4,0)))</f>
        <v>35000</v>
      </c>
      <c r="F194" s="324">
        <v>500</v>
      </c>
      <c r="G194" s="269">
        <f t="shared" si="4"/>
        <v>70</v>
      </c>
    </row>
    <row r="195" spans="1:7" ht="12.95" customHeight="1" x14ac:dyDescent="0.25">
      <c r="A195" s="270"/>
      <c r="B195" s="407" t="s">
        <v>827</v>
      </c>
      <c r="C195" s="408"/>
      <c r="D195" s="267" t="s">
        <v>89</v>
      </c>
      <c r="E195" s="271">
        <f>$G$211</f>
        <v>358.40199999999999</v>
      </c>
      <c r="F195" s="325">
        <v>0.1</v>
      </c>
      <c r="G195" s="269">
        <f>+IFERROR(E195*F195,"")</f>
        <v>35.840200000000003</v>
      </c>
    </row>
    <row r="196" spans="1:7" ht="12.95" customHeight="1" x14ac:dyDescent="0.25">
      <c r="A196" s="272"/>
      <c r="B196" s="273"/>
      <c r="C196" s="264"/>
      <c r="D196" s="264"/>
      <c r="E196" s="274"/>
      <c r="F196" s="275" t="s">
        <v>62</v>
      </c>
      <c r="G196" s="276">
        <f>+IF(SUM(G193:G195)=0,"",SUM(G193:G195))</f>
        <v>151.84020000000001</v>
      </c>
    </row>
    <row r="197" spans="1:7" ht="12.95" customHeight="1" x14ac:dyDescent="0.25">
      <c r="A197" s="273"/>
      <c r="B197" s="264"/>
      <c r="C197" s="264"/>
      <c r="D197" s="274"/>
      <c r="E197" s="277"/>
      <c r="F197" s="278"/>
      <c r="G197" s="272"/>
    </row>
    <row r="198" spans="1:7" ht="12.95" customHeight="1" x14ac:dyDescent="0.25">
      <c r="A198" s="402" t="s">
        <v>63</v>
      </c>
      <c r="B198" s="402"/>
      <c r="C198" s="402"/>
      <c r="D198" s="402"/>
      <c r="E198" s="402"/>
      <c r="F198" s="402"/>
      <c r="G198" s="409"/>
    </row>
    <row r="199" spans="1:7" ht="12.95" customHeight="1" x14ac:dyDescent="0.25">
      <c r="A199" s="265" t="s">
        <v>56</v>
      </c>
      <c r="B199" s="279" t="s">
        <v>44</v>
      </c>
      <c r="C199" s="280" t="s">
        <v>208</v>
      </c>
      <c r="D199" s="280" t="s">
        <v>476</v>
      </c>
      <c r="E199" s="280" t="s">
        <v>64</v>
      </c>
      <c r="F199" s="280" t="s">
        <v>65</v>
      </c>
      <c r="G199" s="280" t="s">
        <v>59</v>
      </c>
    </row>
    <row r="200" spans="1:7" ht="12.95" customHeight="1" x14ac:dyDescent="0.25">
      <c r="A200" s="266" t="str">
        <f>IF(B200="","",INDEX(CODIGOMATERIALES,MATCH($B200,'INSUMOS MATERIALES'!$B$7:$B$51,0)))</f>
        <v>MA030</v>
      </c>
      <c r="B200" s="281" t="s">
        <v>845</v>
      </c>
      <c r="C200" s="282" t="str">
        <f>IF(B200="","",(VLOOKUP($A200,INSUMOSMATERIALES,3,0)))</f>
        <v>UN</v>
      </c>
      <c r="D200" s="295">
        <v>1</v>
      </c>
      <c r="E200" s="283">
        <v>0</v>
      </c>
      <c r="F200" s="296">
        <f>IF(B200="","",(VLOOKUP($A200,INSUMOSMATERIALES,4,0)))</f>
        <v>410</v>
      </c>
      <c r="G200" s="292">
        <f>+IFERROR(F200*D200*(1+E200),"")</f>
        <v>410</v>
      </c>
    </row>
    <row r="201" spans="1:7" ht="12.95" customHeight="1" x14ac:dyDescent="0.25">
      <c r="A201" s="272"/>
      <c r="B201" s="285"/>
      <c r="C201" s="264"/>
      <c r="D201" s="264"/>
      <c r="E201" s="274"/>
      <c r="F201" s="275" t="s">
        <v>62</v>
      </c>
      <c r="G201" s="294">
        <f>+IF(SUM(G200:G200)=0,"",SUM(G200:G200))</f>
        <v>410</v>
      </c>
    </row>
    <row r="202" spans="1:7" ht="12.95" customHeight="1" x14ac:dyDescent="0.25">
      <c r="A202" s="273"/>
      <c r="B202" s="264"/>
      <c r="C202" s="264"/>
      <c r="D202" s="274"/>
      <c r="E202" s="287"/>
      <c r="F202" s="278"/>
      <c r="G202" s="272"/>
    </row>
    <row r="203" spans="1:7" ht="12.95" customHeight="1" x14ac:dyDescent="0.25">
      <c r="A203" s="402" t="s">
        <v>66</v>
      </c>
      <c r="B203" s="402"/>
      <c r="C203" s="402"/>
      <c r="D203" s="402"/>
      <c r="E203" s="402"/>
      <c r="F203" s="402"/>
      <c r="G203" s="402"/>
    </row>
    <row r="204" spans="1:7" ht="12.95" customHeight="1" x14ac:dyDescent="0.25">
      <c r="A204" s="265" t="s">
        <v>56</v>
      </c>
      <c r="B204" s="265" t="s">
        <v>44</v>
      </c>
      <c r="C204" s="265" t="s">
        <v>67</v>
      </c>
      <c r="D204" s="265" t="s">
        <v>68</v>
      </c>
      <c r="E204" s="280" t="s">
        <v>69</v>
      </c>
      <c r="F204" s="280" t="s">
        <v>57</v>
      </c>
      <c r="G204" s="280" t="s">
        <v>59</v>
      </c>
    </row>
    <row r="205" spans="1:7" ht="12.95" customHeight="1" x14ac:dyDescent="0.25">
      <c r="A205" s="266" t="str">
        <f>IF(B205="","",INDEX(CODIGOTRANSPORTES,MATCH(B205,'INSUMOS TRANSPORTES'!$B$7:$B$13,0)))</f>
        <v>TR001</v>
      </c>
      <c r="B205" s="281" t="s">
        <v>467</v>
      </c>
      <c r="C205" s="288" t="s">
        <v>462</v>
      </c>
      <c r="D205" s="316">
        <v>2.0000000000000001E-4</v>
      </c>
      <c r="E205" s="290">
        <f>+IF(C205=0,"",IF(C205="INSUMOS",'DATOS INICIALES'!$B$24,IF(C205="PLAYA",'DATOS INICIALES'!$B$21,IF(C205="TIERRA",'DATOS INICIALES'!$B$19,IF(C205="ESCOMBROS",'DATOS INICIALES'!$B$20,IF(C205="ASFALTO",'DATOS INICIALES'!$B$25,IF(C205="GRANULAR",'DATOS INICIALES'!B312)))))))</f>
        <v>180</v>
      </c>
      <c r="F205" s="291">
        <f>+IF(B205="","",(VLOOKUP($A205,INSUMOSTRANSPORTES,4,0)))</f>
        <v>560</v>
      </c>
      <c r="G205" s="292">
        <f>+IFERROR(D205*E205*F205,"")</f>
        <v>20.160000000000004</v>
      </c>
    </row>
    <row r="206" spans="1:7" ht="12.95" customHeight="1" x14ac:dyDescent="0.25">
      <c r="A206" s="272"/>
      <c r="B206" s="293"/>
      <c r="C206" s="264"/>
      <c r="D206" s="264"/>
      <c r="E206" s="274"/>
      <c r="F206" s="275" t="s">
        <v>62</v>
      </c>
      <c r="G206" s="276">
        <f>+IF(SUM(G205:G205)=0,"",SUM(G205:G205))</f>
        <v>20.160000000000004</v>
      </c>
    </row>
    <row r="207" spans="1:7" ht="12.95" customHeight="1" x14ac:dyDescent="0.25">
      <c r="A207" s="264"/>
      <c r="B207" s="264"/>
      <c r="C207" s="264"/>
      <c r="D207" s="274"/>
      <c r="E207" s="287"/>
      <c r="F207" s="278"/>
      <c r="G207" s="272"/>
    </row>
    <row r="208" spans="1:7" ht="12.95" customHeight="1" x14ac:dyDescent="0.25">
      <c r="A208" s="402" t="s">
        <v>70</v>
      </c>
      <c r="B208" s="402"/>
      <c r="C208" s="402"/>
      <c r="D208" s="402"/>
      <c r="E208" s="402"/>
      <c r="F208" s="402"/>
      <c r="G208" s="409"/>
    </row>
    <row r="209" spans="1:7" ht="12.95" customHeight="1" x14ac:dyDescent="0.25">
      <c r="A209" s="265" t="s">
        <v>56</v>
      </c>
      <c r="B209" s="413" t="s">
        <v>71</v>
      </c>
      <c r="C209" s="413"/>
      <c r="D209" s="280" t="s">
        <v>46</v>
      </c>
      <c r="E209" s="280" t="s">
        <v>72</v>
      </c>
      <c r="F209" s="280" t="s">
        <v>58</v>
      </c>
      <c r="G209" s="280" t="s">
        <v>59</v>
      </c>
    </row>
    <row r="210" spans="1:7" ht="12.95" customHeight="1" x14ac:dyDescent="0.25">
      <c r="A210" s="266" t="str">
        <f>IF(B210="","",INDEX(CODIGOSMANODEOBRA,MATCH($B210,'INSUMOS MANO DE OBRA'!$B$7:$B$61,0)))</f>
        <v>MO021</v>
      </c>
      <c r="B210" s="391" t="s">
        <v>348</v>
      </c>
      <c r="C210" s="392"/>
      <c r="D210" s="295">
        <v>1</v>
      </c>
      <c r="E210" s="296">
        <f>IF(B210="","",(VLOOKUP($A210,INSUMOSMANODEOBRA,8,0)))</f>
        <v>179201</v>
      </c>
      <c r="F210" s="289">
        <v>500</v>
      </c>
      <c r="G210" s="319">
        <f>+IFERROR(D210*E210/F210,"")</f>
        <v>358.40199999999999</v>
      </c>
    </row>
    <row r="211" spans="1:7" ht="12.95" customHeight="1" x14ac:dyDescent="0.25">
      <c r="A211" s="272"/>
      <c r="B211" s="273"/>
      <c r="C211" s="264"/>
      <c r="D211" s="264"/>
      <c r="E211" s="274"/>
      <c r="F211" s="275" t="s">
        <v>62</v>
      </c>
      <c r="G211" s="294">
        <f>+IF(SUM(G210:G210)=0,"",SUM(G210:G210))</f>
        <v>358.40199999999999</v>
      </c>
    </row>
    <row r="212" spans="1:7" ht="12.95" customHeight="1" x14ac:dyDescent="0.25">
      <c r="A212" s="299"/>
      <c r="B212" s="264"/>
      <c r="C212" s="300"/>
      <c r="D212" s="300"/>
      <c r="E212" s="300"/>
      <c r="F212" s="278"/>
      <c r="G212" s="301"/>
    </row>
    <row r="213" spans="1:7" ht="12.95" customHeight="1" x14ac:dyDescent="0.25">
      <c r="A213" s="402" t="s">
        <v>76</v>
      </c>
      <c r="B213" s="402"/>
      <c r="C213" s="402"/>
      <c r="D213" s="402"/>
      <c r="E213" s="402"/>
      <c r="F213" s="402"/>
      <c r="G213" s="409"/>
    </row>
    <row r="214" spans="1:7" ht="12.95" customHeight="1" x14ac:dyDescent="0.25">
      <c r="A214" s="265" t="s">
        <v>56</v>
      </c>
      <c r="B214" s="413" t="s">
        <v>44</v>
      </c>
      <c r="C214" s="413"/>
      <c r="D214" s="265" t="s">
        <v>45</v>
      </c>
      <c r="E214" s="265" t="s">
        <v>46</v>
      </c>
      <c r="F214" s="265" t="s">
        <v>65</v>
      </c>
      <c r="G214" s="265" t="s">
        <v>59</v>
      </c>
    </row>
    <row r="215" spans="1:7" ht="12.95" customHeight="1" x14ac:dyDescent="0.25">
      <c r="A215" s="266" t="str">
        <f>IF(B215="","",INDEX(CODIGOSSERVICIOS,MATCH($B215,'INSUMOS SERVICIOS'!$B$7:$B$21,0)))</f>
        <v/>
      </c>
      <c r="B215" s="391"/>
      <c r="C215" s="392"/>
      <c r="D215" s="282" t="str">
        <f>+IF(B215="","",(VLOOKUP($A215,INSUMOSSERVICIOS,3,0)))</f>
        <v/>
      </c>
      <c r="E215" s="302"/>
      <c r="F215" s="297" t="str">
        <f>IF(B215="","",(VLOOKUP($A215,INSUMOSSERVICIOS,4,0)))</f>
        <v/>
      </c>
      <c r="G215" s="303" t="str">
        <f>+IFERROR(E215*F215,"")</f>
        <v/>
      </c>
    </row>
    <row r="216" spans="1:7" ht="12.95" customHeight="1" x14ac:dyDescent="0.25">
      <c r="A216" s="266" t="str">
        <f>IF(B216="","",INDEX(CÓDIGOS_SERVICIOS,MATCH($B216,'[7]INSUMOS SERVICIOS'!$B$8:$B$51,0)))</f>
        <v/>
      </c>
      <c r="B216" s="391"/>
      <c r="C216" s="392"/>
      <c r="D216" s="282" t="str">
        <f>+IF(B216="","",(VLOOKUP($A216,INSUMOS_SERVICIOS,3,0)))</f>
        <v/>
      </c>
      <c r="E216" s="302"/>
      <c r="F216" s="297" t="str">
        <f>IF(B216="","",(VLOOKUP($A216,INSUMOS_SERVICIOS,4,0)))</f>
        <v/>
      </c>
      <c r="G216" s="303" t="str">
        <f>+IFERROR(E216*F216,"")</f>
        <v/>
      </c>
    </row>
    <row r="217" spans="1:7" ht="12.95" customHeight="1" x14ac:dyDescent="0.25">
      <c r="A217" s="272"/>
      <c r="B217" s="273"/>
      <c r="C217" s="264"/>
      <c r="D217" s="264"/>
      <c r="E217" s="274"/>
      <c r="F217" s="304" t="s">
        <v>62</v>
      </c>
      <c r="G217" s="298" t="str">
        <f>+IF(SUM(G215:G216)=0,"",SUM(G215:G216))</f>
        <v/>
      </c>
    </row>
    <row r="218" spans="1:7" ht="12.95" customHeight="1" x14ac:dyDescent="0.25">
      <c r="A218" s="299"/>
      <c r="B218" s="264"/>
      <c r="C218" s="300"/>
      <c r="D218" s="300"/>
      <c r="E218" s="300"/>
      <c r="F218" s="278"/>
      <c r="G218" s="301"/>
    </row>
    <row r="219" spans="1:7" ht="12.95" customHeight="1" x14ac:dyDescent="0.25">
      <c r="A219" s="411" t="s">
        <v>77</v>
      </c>
      <c r="B219" s="411"/>
      <c r="C219" s="411"/>
      <c r="D219" s="411"/>
      <c r="E219" s="411"/>
      <c r="F219" s="411"/>
      <c r="G219" s="326">
        <f>IF(SUM(G196,G201,G206,G211,G217)=0,"",(ROUND(SUM(G196,G201,G206,G211,G217),0)))</f>
        <v>940</v>
      </c>
    </row>
    <row r="220" spans="1:7" ht="12.95" customHeight="1" x14ac:dyDescent="0.25">
      <c r="A220" s="301"/>
      <c r="B220" s="287"/>
      <c r="C220" s="287"/>
      <c r="D220" s="287"/>
      <c r="E220" s="287"/>
      <c r="F220" s="287"/>
      <c r="G220" s="278"/>
    </row>
    <row r="221" spans="1:7" ht="12.95" customHeight="1" x14ac:dyDescent="0.25">
      <c r="A221" s="402" t="s">
        <v>78</v>
      </c>
      <c r="B221" s="402"/>
      <c r="C221" s="402"/>
      <c r="D221" s="402"/>
      <c r="E221" s="402"/>
      <c r="F221" s="402"/>
      <c r="G221" s="402"/>
    </row>
    <row r="222" spans="1:7" ht="12.95" customHeight="1" x14ac:dyDescent="0.25">
      <c r="A222" s="264"/>
      <c r="B222" s="264"/>
      <c r="C222" s="264"/>
      <c r="D222" s="264"/>
      <c r="E222" s="264"/>
      <c r="F222" s="264"/>
      <c r="G222" s="264"/>
    </row>
    <row r="223" spans="1:7" ht="12.95" customHeight="1" x14ac:dyDescent="0.25">
      <c r="A223" s="412" t="s">
        <v>44</v>
      </c>
      <c r="B223" s="412"/>
      <c r="C223" s="412"/>
      <c r="D223" s="412"/>
      <c r="E223" s="412"/>
      <c r="F223" s="306" t="s">
        <v>79</v>
      </c>
      <c r="G223" s="306" t="s">
        <v>48</v>
      </c>
    </row>
    <row r="224" spans="1:7" ht="12.95" customHeight="1" x14ac:dyDescent="0.25">
      <c r="A224" s="410" t="s">
        <v>80</v>
      </c>
      <c r="B224" s="410"/>
      <c r="C224" s="410"/>
      <c r="D224" s="410"/>
      <c r="E224" s="410"/>
      <c r="F224" s="307">
        <f ca="1">AU!$I$36</f>
        <v>0.191</v>
      </c>
      <c r="G224" s="308">
        <f ca="1">+IFERROR(G219*F224,"")</f>
        <v>179.54</v>
      </c>
    </row>
    <row r="225" spans="1:7" ht="12.95" customHeight="1" x14ac:dyDescent="0.25">
      <c r="A225" s="410" t="s">
        <v>82</v>
      </c>
      <c r="B225" s="410"/>
      <c r="C225" s="410"/>
      <c r="D225" s="410"/>
      <c r="E225" s="410"/>
      <c r="F225" s="307">
        <f>IF(AU!$I$37=0,"",AU!$I$37)</f>
        <v>5.131865E-2</v>
      </c>
      <c r="G225" s="308">
        <f>+IFERROR(G219*F225,"")</f>
        <v>48.239530999999999</v>
      </c>
    </row>
    <row r="226" spans="1:7" ht="12.95" customHeight="1" x14ac:dyDescent="0.25">
      <c r="A226" s="393" t="s">
        <v>83</v>
      </c>
      <c r="B226" s="394"/>
      <c r="C226" s="394"/>
      <c r="D226" s="394"/>
      <c r="E226" s="394"/>
      <c r="F226" s="309">
        <f ca="1">IF(SUM(F224:F225)=0,"",SUM(F224:F225))</f>
        <v>0.24231865</v>
      </c>
      <c r="G226" s="310">
        <f ca="1">IF(SUM(G224:G225)=0,"",ROUND(SUM(G224:G225),0))</f>
        <v>228</v>
      </c>
    </row>
    <row r="227" spans="1:7" ht="12.95" customHeight="1" x14ac:dyDescent="0.25">
      <c r="A227" s="301"/>
      <c r="B227" s="273"/>
      <c r="C227" s="273"/>
      <c r="D227" s="273"/>
      <c r="E227" s="395"/>
      <c r="F227" s="395"/>
      <c r="G227" s="311"/>
    </row>
    <row r="228" spans="1:7" ht="12.95" customHeight="1" x14ac:dyDescent="0.25">
      <c r="A228" s="396" t="s">
        <v>84</v>
      </c>
      <c r="B228" s="397"/>
      <c r="C228" s="397"/>
      <c r="D228" s="397"/>
      <c r="E228" s="397"/>
      <c r="F228" s="397"/>
      <c r="G228" s="312">
        <f ca="1">+IFERROR(ROUND(G219+G226,0),"")</f>
        <v>1168</v>
      </c>
    </row>
    <row r="229" spans="1:7" ht="12.95" customHeight="1" x14ac:dyDescent="0.25">
      <c r="A229" s="261"/>
      <c r="B229" s="261"/>
      <c r="C229" s="261"/>
      <c r="D229" s="261"/>
      <c r="E229" s="262"/>
      <c r="F229" s="262"/>
      <c r="G229" s="263"/>
    </row>
    <row r="230" spans="1:7" ht="12.95" customHeight="1" x14ac:dyDescent="0.25">
      <c r="A230" s="261"/>
      <c r="B230" s="313" t="s">
        <v>784</v>
      </c>
      <c r="C230" s="262"/>
      <c r="D230" s="314"/>
      <c r="E230" s="314"/>
      <c r="F230" s="314"/>
      <c r="G230" s="262"/>
    </row>
    <row r="231" spans="1:7" ht="12.95" customHeight="1" x14ac:dyDescent="0.25">
      <c r="A231" s="261"/>
      <c r="B231" s="313" t="s">
        <v>785</v>
      </c>
      <c r="C231" s="263"/>
      <c r="D231" s="398" t="s">
        <v>85</v>
      </c>
      <c r="E231" s="398"/>
      <c r="F231" s="398"/>
      <c r="G231" s="263"/>
    </row>
    <row r="232" spans="1:7" ht="12.95" customHeight="1" x14ac:dyDescent="0.25">
      <c r="A232" s="301"/>
      <c r="B232" s="301"/>
      <c r="C232" s="301"/>
      <c r="D232" s="301"/>
      <c r="E232" s="301"/>
      <c r="F232" s="301"/>
      <c r="G232" s="301"/>
    </row>
    <row r="233" spans="1:7" ht="12.95" customHeight="1" x14ac:dyDescent="0.25">
      <c r="A233" s="419" t="str">
        <f>'DATOS INICIALES'!$B$1</f>
        <v>DEPARTAMENTO DE ANTIOQUIA</v>
      </c>
      <c r="B233" s="420"/>
      <c r="C233" s="420"/>
      <c r="D233" s="420"/>
      <c r="E233" s="420"/>
      <c r="F233" s="421" t="s">
        <v>51</v>
      </c>
      <c r="G233" s="421"/>
    </row>
    <row r="234" spans="1:7" ht="12.95" customHeight="1" x14ac:dyDescent="0.25">
      <c r="A234" s="422" t="str">
        <f>'DATOS INICIALES'!$B$2</f>
        <v>MUNICIPIO DE DABEIBA</v>
      </c>
      <c r="B234" s="423"/>
      <c r="C234" s="423"/>
      <c r="D234" s="423"/>
      <c r="E234" s="423"/>
      <c r="F234" s="421"/>
      <c r="G234" s="421"/>
    </row>
    <row r="235" spans="1:7" s="254" customFormat="1" ht="50.1" customHeight="1" x14ac:dyDescent="0.25">
      <c r="A235" s="424" t="str">
        <f>'DATOS INICIALES'!$B$3</f>
        <v>REPOSICIÓN, AMPLIACIÓN Y REPARACIÓN DE LUMINARIAS QUE HACEN PARTE DE LA RED DE ALUMBRADOPÚBLICO DEL PARQUE PRINCIPAL Y CORREGIMIENTO SAN JOSÉ DE URAMA DEL MUNICIPIO DE DABEIBA.</v>
      </c>
      <c r="B235" s="425"/>
      <c r="C235" s="425"/>
      <c r="D235" s="425"/>
      <c r="E235" s="425"/>
      <c r="F235" s="421"/>
      <c r="G235" s="421"/>
    </row>
    <row r="236" spans="1:7" ht="12.95" customHeight="1" x14ac:dyDescent="0.25">
      <c r="A236" s="417"/>
      <c r="B236" s="417"/>
      <c r="C236" s="417"/>
      <c r="D236" s="417"/>
      <c r="E236" s="426"/>
      <c r="F236" s="421"/>
      <c r="G236" s="421"/>
    </row>
    <row r="237" spans="1:7" ht="12.95" customHeight="1" x14ac:dyDescent="0.25">
      <c r="A237" s="427" t="s">
        <v>52</v>
      </c>
      <c r="B237" s="428"/>
      <c r="C237" s="428"/>
      <c r="D237" s="428"/>
      <c r="E237" s="428"/>
      <c r="F237" s="421"/>
      <c r="G237" s="421"/>
    </row>
    <row r="238" spans="1:7" ht="12.95" customHeight="1" x14ac:dyDescent="0.25">
      <c r="A238" s="417"/>
      <c r="B238" s="417"/>
      <c r="C238" s="417"/>
      <c r="D238" s="417"/>
      <c r="E238" s="417"/>
      <c r="F238" s="418"/>
      <c r="G238" s="418"/>
    </row>
    <row r="239" spans="1:7" ht="12.95" customHeight="1" x14ac:dyDescent="0.25">
      <c r="A239" s="255" t="s">
        <v>42</v>
      </c>
      <c r="B239" s="414" t="s">
        <v>44</v>
      </c>
      <c r="C239" s="415"/>
      <c r="D239" s="416"/>
      <c r="E239" s="256" t="s">
        <v>45</v>
      </c>
      <c r="F239" s="257" t="s">
        <v>46</v>
      </c>
      <c r="G239" s="257" t="s">
        <v>53</v>
      </c>
    </row>
    <row r="240" spans="1:7" ht="30" customHeight="1" x14ac:dyDescent="0.25">
      <c r="A240" s="258" t="s">
        <v>790</v>
      </c>
      <c r="B240" s="399" t="str">
        <f>+IFERROR(VLOOKUP($A240,PRESUPUESTO!$A$7:$E$15,4,0),"")</f>
        <v>SUMINISTRO, TRANSPORTE, INSTALACION ESPACIADORES 8´´ Y
DEMÁS ELEMENTOS PARA SU CORRECTO FUNCIONAMIENTO</v>
      </c>
      <c r="C240" s="400"/>
      <c r="D240" s="401"/>
      <c r="E240" s="259" t="str">
        <f>+IFERROR(VLOOKUP($A240,PRESUPUESTO!$A$7:$E$15,5,0),"")</f>
        <v>UND</v>
      </c>
      <c r="F240" s="259">
        <f>+IFERROR(VLOOKUP($A240,PRESUPUESTO!$A$7:$F$15,6,0),"")</f>
        <v>21</v>
      </c>
      <c r="G240" s="260">
        <f ca="1">IF(G287=0,"",G278)</f>
        <v>21710</v>
      </c>
    </row>
    <row r="241" spans="1:7" x14ac:dyDescent="0.25">
      <c r="A241" s="261"/>
      <c r="B241" s="261"/>
      <c r="C241" s="261"/>
      <c r="D241" s="261"/>
      <c r="E241" s="262"/>
      <c r="F241" s="262"/>
      <c r="G241" s="263"/>
    </row>
    <row r="242" spans="1:7" x14ac:dyDescent="0.25">
      <c r="A242" s="402" t="s">
        <v>54</v>
      </c>
      <c r="B242" s="402"/>
      <c r="C242" s="402"/>
      <c r="D242" s="402"/>
      <c r="E242" s="402"/>
      <c r="F242" s="402"/>
      <c r="G242" s="402"/>
    </row>
    <row r="243" spans="1:7" x14ac:dyDescent="0.25">
      <c r="A243" s="264"/>
      <c r="B243" s="264"/>
      <c r="C243" s="264"/>
      <c r="D243" s="264"/>
      <c r="E243" s="264"/>
      <c r="F243" s="264"/>
      <c r="G243" s="264"/>
    </row>
    <row r="244" spans="1:7" x14ac:dyDescent="0.25">
      <c r="A244" s="403" t="s">
        <v>55</v>
      </c>
      <c r="B244" s="403"/>
      <c r="C244" s="403"/>
      <c r="D244" s="403"/>
      <c r="E244" s="403"/>
      <c r="F244" s="403"/>
      <c r="G244" s="404"/>
    </row>
    <row r="245" spans="1:7" x14ac:dyDescent="0.25">
      <c r="A245" s="265" t="s">
        <v>56</v>
      </c>
      <c r="B245" s="405" t="s">
        <v>44</v>
      </c>
      <c r="C245" s="406"/>
      <c r="D245" s="265" t="s">
        <v>45</v>
      </c>
      <c r="E245" s="265" t="s">
        <v>57</v>
      </c>
      <c r="F245" s="265" t="s">
        <v>58</v>
      </c>
      <c r="G245" s="265" t="s">
        <v>59</v>
      </c>
    </row>
    <row r="246" spans="1:7" x14ac:dyDescent="0.25">
      <c r="A246" s="266" t="str">
        <f>IF(B246="","",INDEX(CODIGOEQUIPOS,MATCH($B246,'INSUMOS EQUIPOS'!$B$7:$B$39,0)))</f>
        <v>EQ014</v>
      </c>
      <c r="B246" s="389" t="s">
        <v>828</v>
      </c>
      <c r="C246" s="390"/>
      <c r="D246" s="267" t="str">
        <f>IF(B246="","",(VLOOKUP($A246,INSUMOSEQUIPOS,3,0)))</f>
        <v>DIA</v>
      </c>
      <c r="E246" s="268">
        <f>IF(B246="","",(VLOOKUP($A246,INSUMOSEQUIPOS,4,0)))</f>
        <v>35000</v>
      </c>
      <c r="F246" s="324">
        <v>50</v>
      </c>
      <c r="G246" s="269">
        <f>+IFERROR(E246/F246,"")</f>
        <v>700</v>
      </c>
    </row>
    <row r="247" spans="1:7" x14ac:dyDescent="0.25">
      <c r="A247" s="266" t="str">
        <f>IF(B247="","",INDEX(CODIGOEQUIPOS,MATCH($B247,'INSUMOS EQUIPOS'!$B$7:$B$39,0)))</f>
        <v>EQ015</v>
      </c>
      <c r="B247" s="389" t="s">
        <v>829</v>
      </c>
      <c r="C247" s="390"/>
      <c r="D247" s="267" t="str">
        <f>IF(B247="","",(VLOOKUP($A247,INSUMOSEQUIPOS,3,0)))</f>
        <v>DIA</v>
      </c>
      <c r="E247" s="268">
        <f>IF(B247="","",(VLOOKUP($A247,INSUMOSEQUIPOS,4,0)))</f>
        <v>23000</v>
      </c>
      <c r="F247" s="324">
        <v>50</v>
      </c>
      <c r="G247" s="269">
        <f t="shared" ref="G247:G248" si="5">+IFERROR(E247/F247,"")</f>
        <v>460</v>
      </c>
    </row>
    <row r="248" spans="1:7" x14ac:dyDescent="0.25">
      <c r="A248" s="266" t="str">
        <f>IF(B248="","",INDEX(CODIGOEQUIPOS,MATCH($B248,'INSUMOS EQUIPOS'!$B$7:$B$39,0)))</f>
        <v>EQ016</v>
      </c>
      <c r="B248" s="389" t="s">
        <v>830</v>
      </c>
      <c r="C248" s="390"/>
      <c r="D248" s="267" t="str">
        <f>IF(B248="","",(VLOOKUP($A248,INSUMOSEQUIPOS,3,0)))</f>
        <v>DIA</v>
      </c>
      <c r="E248" s="268">
        <f>IF(B248="","",(VLOOKUP($A248,INSUMOSEQUIPOS,4,0)))</f>
        <v>280000</v>
      </c>
      <c r="F248" s="324">
        <v>150</v>
      </c>
      <c r="G248" s="269">
        <f t="shared" si="5"/>
        <v>1866.6666666666667</v>
      </c>
    </row>
    <row r="249" spans="1:7" ht="15" customHeight="1" x14ac:dyDescent="0.25">
      <c r="A249" s="266" t="str">
        <f>IF(B249="","",INDEX(CODIGOEQUIPOS,MATCH($B249,'INSUMOS EQUIPOS'!$B$7:$B$39,0)))</f>
        <v>EQ017</v>
      </c>
      <c r="B249" s="389" t="s">
        <v>831</v>
      </c>
      <c r="C249" s="390"/>
      <c r="D249" s="267" t="str">
        <f>IF(B249="","",(VLOOKUP($A249,INSUMOSEQUIPOS,3,0)))</f>
        <v>DIA</v>
      </c>
      <c r="E249" s="268">
        <f>IF(B249="","",(VLOOKUP($A249,INSUMOSEQUIPOS,4,0)))</f>
        <v>22000</v>
      </c>
      <c r="F249" s="324">
        <v>50</v>
      </c>
      <c r="G249" s="269">
        <f>+IFERROR(E249/F249,"")</f>
        <v>440</v>
      </c>
    </row>
    <row r="250" spans="1:7" ht="15" customHeight="1" x14ac:dyDescent="0.25">
      <c r="A250" s="266" t="str">
        <f>IF(B250="","",INDEX(CODIGOEQUIPOS,MATCH($B250,'INSUMOS EQUIPOS'!$B$7:$B$39,0)))</f>
        <v>EQ018</v>
      </c>
      <c r="B250" s="389" t="s">
        <v>843</v>
      </c>
      <c r="C250" s="390"/>
      <c r="D250" s="267" t="str">
        <f>IF(B250="","",(VLOOKUP($A250,INSUMOSEQUIPOS,3,0)))</f>
        <v>DIA</v>
      </c>
      <c r="E250" s="268">
        <f>IF(B250="","",(VLOOKUP($A250,INSUMOSEQUIPOS,4,0)))</f>
        <v>35000</v>
      </c>
      <c r="F250" s="324">
        <v>50</v>
      </c>
      <c r="G250" s="269">
        <f>+IFERROR(E250/F250,"")</f>
        <v>700</v>
      </c>
    </row>
    <row r="251" spans="1:7" x14ac:dyDescent="0.25">
      <c r="A251" s="270"/>
      <c r="B251" s="407" t="s">
        <v>827</v>
      </c>
      <c r="C251" s="408"/>
      <c r="D251" s="267" t="s">
        <v>89</v>
      </c>
      <c r="E251" s="323">
        <f>$G$270</f>
        <v>9362.6</v>
      </c>
      <c r="F251" s="325">
        <v>0.1</v>
      </c>
      <c r="G251" s="269">
        <f>+IFERROR(E251*F251,"")</f>
        <v>936.2600000000001</v>
      </c>
    </row>
    <row r="252" spans="1:7" x14ac:dyDescent="0.25">
      <c r="A252" s="272"/>
      <c r="B252" s="273"/>
      <c r="C252" s="264"/>
      <c r="D252" s="264"/>
      <c r="E252" s="274"/>
      <c r="F252" s="275" t="s">
        <v>62</v>
      </c>
      <c r="G252" s="276">
        <f>+IF(SUM(G246:G251)=0,"",SUM(G246:G251))</f>
        <v>5102.9266666666672</v>
      </c>
    </row>
    <row r="253" spans="1:7" x14ac:dyDescent="0.25">
      <c r="A253" s="273"/>
      <c r="B253" s="264"/>
      <c r="C253" s="264"/>
      <c r="D253" s="274"/>
      <c r="E253" s="277"/>
      <c r="F253" s="278"/>
      <c r="G253" s="272"/>
    </row>
    <row r="254" spans="1:7" x14ac:dyDescent="0.25">
      <c r="A254" s="402" t="s">
        <v>63</v>
      </c>
      <c r="B254" s="402"/>
      <c r="C254" s="402"/>
      <c r="D254" s="402"/>
      <c r="E254" s="402"/>
      <c r="F254" s="402"/>
      <c r="G254" s="409"/>
    </row>
    <row r="255" spans="1:7" x14ac:dyDescent="0.25">
      <c r="A255" s="265" t="s">
        <v>56</v>
      </c>
      <c r="B255" s="279" t="s">
        <v>44</v>
      </c>
      <c r="C255" s="280" t="s">
        <v>208</v>
      </c>
      <c r="D255" s="280" t="s">
        <v>476</v>
      </c>
      <c r="E255" s="280" t="s">
        <v>64</v>
      </c>
      <c r="F255" s="280" t="s">
        <v>65</v>
      </c>
      <c r="G255" s="280" t="s">
        <v>59</v>
      </c>
    </row>
    <row r="256" spans="1:7" x14ac:dyDescent="0.25">
      <c r="A256" s="266" t="str">
        <f>IF(B256="","",INDEX(CODIGOMATERIALES,MATCH($B256,'INSUMOS MATERIALES'!$B$7:$B$51,0)))</f>
        <v>MA031</v>
      </c>
      <c r="B256" s="281" t="s">
        <v>846</v>
      </c>
      <c r="C256" s="282" t="str">
        <f>IF(B256="","",(VLOOKUP($A256,INSUMOSMATERIALES,3,0)))</f>
        <v>UN</v>
      </c>
      <c r="D256" s="289">
        <v>1</v>
      </c>
      <c r="E256" s="283">
        <v>0</v>
      </c>
      <c r="F256" s="296">
        <f>IF(B256="","",(VLOOKUP($A256,INSUMOSMATERIALES,4,0)))</f>
        <v>6400</v>
      </c>
      <c r="G256" s="292">
        <f>+IFERROR(F256*D256*(1+E256),"")</f>
        <v>6400</v>
      </c>
    </row>
    <row r="257" spans="1:7" x14ac:dyDescent="0.25">
      <c r="A257" s="266" t="str">
        <f>IF(B257="","",INDEX(CODIGOMATERIALES,MATCH($B257,'INSUMOS MATERIALES'!$B$7:$B$52,0)))</f>
        <v>MA023</v>
      </c>
      <c r="B257" s="281" t="s">
        <v>835</v>
      </c>
      <c r="C257" s="282" t="str">
        <f>IF(B257="","",(VLOOKUP($A257,INSUMOSMATERIALES,3,0)))</f>
        <v>UN</v>
      </c>
      <c r="D257" s="289">
        <v>0.05</v>
      </c>
      <c r="E257" s="283">
        <v>0</v>
      </c>
      <c r="F257" s="296">
        <f>IF(B257="","",(VLOOKUP($A257,INSUMOSMATERIALES,4,0)))</f>
        <v>6800</v>
      </c>
      <c r="G257" s="292">
        <f>+IFERROR(F257*D257*(1+E257),"")</f>
        <v>340</v>
      </c>
    </row>
    <row r="258" spans="1:7" x14ac:dyDescent="0.25">
      <c r="A258" s="272"/>
      <c r="B258" s="285"/>
      <c r="C258" s="264"/>
      <c r="D258" s="264"/>
      <c r="E258" s="274"/>
      <c r="F258" s="318" t="s">
        <v>62</v>
      </c>
      <c r="G258" s="294">
        <f>+IF(SUM(G256:G257)=0,"",SUM(G256:G257))</f>
        <v>6740</v>
      </c>
    </row>
    <row r="259" spans="1:7" x14ac:dyDescent="0.25">
      <c r="A259" s="273"/>
      <c r="B259" s="264"/>
      <c r="C259" s="264"/>
      <c r="D259" s="274"/>
      <c r="E259" s="287"/>
      <c r="F259" s="278"/>
      <c r="G259" s="272"/>
    </row>
    <row r="260" spans="1:7" x14ac:dyDescent="0.25">
      <c r="A260" s="402" t="s">
        <v>66</v>
      </c>
      <c r="B260" s="402"/>
      <c r="C260" s="402"/>
      <c r="D260" s="402"/>
      <c r="E260" s="402"/>
      <c r="F260" s="402"/>
      <c r="G260" s="402"/>
    </row>
    <row r="261" spans="1:7" x14ac:dyDescent="0.25">
      <c r="A261" s="265" t="s">
        <v>56</v>
      </c>
      <c r="B261" s="265" t="s">
        <v>44</v>
      </c>
      <c r="C261" s="265" t="s">
        <v>67</v>
      </c>
      <c r="D261" s="265" t="s">
        <v>68</v>
      </c>
      <c r="E261" s="280" t="s">
        <v>69</v>
      </c>
      <c r="F261" s="280" t="s">
        <v>57</v>
      </c>
      <c r="G261" s="280" t="s">
        <v>59</v>
      </c>
    </row>
    <row r="262" spans="1:7" x14ac:dyDescent="0.25">
      <c r="A262" s="266" t="str">
        <f>IF(B262="","",INDEX(CODIGOTRANSPORTES,MATCH(B262,'INSUMOS TRANSPORTES'!$B$7:$B$13,0)))</f>
        <v>TR001</v>
      </c>
      <c r="B262" s="281" t="s">
        <v>467</v>
      </c>
      <c r="C262" s="288" t="s">
        <v>462</v>
      </c>
      <c r="D262" s="295">
        <v>5.0000000000000001E-3</v>
      </c>
      <c r="E262" s="290">
        <f>+IF(C262=0,"",IF(C262="INSUMOS",'DATOS INICIALES'!$B$24,IF(C262="PLAYA",'DATOS INICIALES'!$B$21,IF(C262="TIERRA",'DATOS INICIALES'!$B$19,IF(C262="ESCOMBROS",'DATOS INICIALES'!$B$20,IF(C262="ASFALTO",'DATOS INICIALES'!$B$25,IF(C262="GRANULAR",'DATOS INICIALES'!B374)))))))</f>
        <v>180</v>
      </c>
      <c r="F262" s="291">
        <f>+IF(B262="","",(VLOOKUP($A262,INSUMOSTRANSPORTES,4,0)))</f>
        <v>560</v>
      </c>
      <c r="G262" s="292">
        <f>+IFERROR(D262*E262*F262,"")</f>
        <v>504</v>
      </c>
    </row>
    <row r="263" spans="1:7" x14ac:dyDescent="0.25">
      <c r="A263" s="272"/>
      <c r="B263" s="293"/>
      <c r="C263" s="264"/>
      <c r="D263" s="264"/>
      <c r="E263" s="274"/>
      <c r="F263" s="318" t="s">
        <v>62</v>
      </c>
      <c r="G263" s="294">
        <f>+IF(SUM(G262:G262)=0,"",SUM(G262:G262))</f>
        <v>504</v>
      </c>
    </row>
    <row r="264" spans="1:7" x14ac:dyDescent="0.25">
      <c r="A264" s="264"/>
      <c r="B264" s="264"/>
      <c r="C264" s="264"/>
      <c r="D264" s="274"/>
      <c r="E264" s="287"/>
      <c r="F264" s="278"/>
      <c r="G264" s="272"/>
    </row>
    <row r="265" spans="1:7" x14ac:dyDescent="0.25">
      <c r="A265" s="402" t="s">
        <v>70</v>
      </c>
      <c r="B265" s="402"/>
      <c r="C265" s="402"/>
      <c r="D265" s="402"/>
      <c r="E265" s="402"/>
      <c r="F265" s="402"/>
      <c r="G265" s="409"/>
    </row>
    <row r="266" spans="1:7" x14ac:dyDescent="0.25">
      <c r="A266" s="265" t="s">
        <v>56</v>
      </c>
      <c r="B266" s="413" t="s">
        <v>71</v>
      </c>
      <c r="C266" s="413"/>
      <c r="D266" s="280" t="s">
        <v>46</v>
      </c>
      <c r="E266" s="280" t="s">
        <v>72</v>
      </c>
      <c r="F266" s="280" t="s">
        <v>58</v>
      </c>
      <c r="G266" s="280" t="s">
        <v>59</v>
      </c>
    </row>
    <row r="267" spans="1:7" x14ac:dyDescent="0.25">
      <c r="A267" s="266" t="str">
        <f>IF(B267="","",INDEX(CODIGOSMANODEOBRA,MATCH($B267,'INSUMOS MANO DE OBRA'!$B$7:$B$61,0)))</f>
        <v>MO019</v>
      </c>
      <c r="B267" s="391" t="s">
        <v>346</v>
      </c>
      <c r="C267" s="392"/>
      <c r="D267" s="295">
        <v>1</v>
      </c>
      <c r="E267" s="296">
        <f>IF(B267="","",(VLOOKUP($A267,INSUMOSMANODEOBRA,8,0)))</f>
        <v>194075</v>
      </c>
      <c r="F267" s="289">
        <v>50</v>
      </c>
      <c r="G267" s="319">
        <f>+IFERROR(D267*E267/F267,"")</f>
        <v>3881.5</v>
      </c>
    </row>
    <row r="268" spans="1:7" x14ac:dyDescent="0.25">
      <c r="A268" s="266" t="str">
        <f>IF(B268="","",INDEX(CODIGOSMANODEOBRA,MATCH($B268,'INSUMOS MANO DE OBRA'!$B$7:$B$61,0)))</f>
        <v>MO021</v>
      </c>
      <c r="B268" s="391" t="s">
        <v>348</v>
      </c>
      <c r="C268" s="392"/>
      <c r="D268" s="295">
        <v>1</v>
      </c>
      <c r="E268" s="296">
        <f>IF(B268="","",(VLOOKUP($A268,INSUMOSMANODEOBRA,8,0)))</f>
        <v>179201</v>
      </c>
      <c r="F268" s="289">
        <f>F267</f>
        <v>50</v>
      </c>
      <c r="G268" s="319">
        <f>+IFERROR(D268*E268/F268,"")</f>
        <v>3584.02</v>
      </c>
    </row>
    <row r="269" spans="1:7" x14ac:dyDescent="0.25">
      <c r="A269" s="266" t="str">
        <f>IF(B269="","",INDEX(CODIGOSMANODEOBRA,MATCH($B269,'INSUMOS MANO DE OBRA'!$B$7:$B$61,0)))</f>
        <v>MO022</v>
      </c>
      <c r="B269" s="391" t="s">
        <v>349</v>
      </c>
      <c r="C269" s="392"/>
      <c r="D269" s="295">
        <v>1</v>
      </c>
      <c r="E269" s="296">
        <f>IF(B269="","",(VLOOKUP($A269,INSUMOSMANODEOBRA,8,0)))</f>
        <v>94854</v>
      </c>
      <c r="F269" s="289">
        <f>F267</f>
        <v>50</v>
      </c>
      <c r="G269" s="319">
        <f>+IFERROR(D269*E269/F269,"")</f>
        <v>1897.08</v>
      </c>
    </row>
    <row r="270" spans="1:7" x14ac:dyDescent="0.25">
      <c r="A270" s="272"/>
      <c r="B270" s="273"/>
      <c r="C270" s="264"/>
      <c r="D270" s="264"/>
      <c r="E270" s="274"/>
      <c r="F270" s="275" t="s">
        <v>62</v>
      </c>
      <c r="G270" s="276">
        <f>+IF(SUM(G267:G269)=0,"",SUM(G267:G269))</f>
        <v>9362.6</v>
      </c>
    </row>
    <row r="271" spans="1:7" x14ac:dyDescent="0.25">
      <c r="A271" s="299"/>
      <c r="B271" s="264"/>
      <c r="C271" s="300"/>
      <c r="D271" s="300"/>
      <c r="E271" s="300"/>
      <c r="F271" s="278"/>
      <c r="G271" s="301"/>
    </row>
    <row r="272" spans="1:7" x14ac:dyDescent="0.25">
      <c r="A272" s="402" t="s">
        <v>76</v>
      </c>
      <c r="B272" s="402"/>
      <c r="C272" s="402"/>
      <c r="D272" s="402"/>
      <c r="E272" s="402"/>
      <c r="F272" s="402"/>
      <c r="G272" s="409"/>
    </row>
    <row r="273" spans="1:7" x14ac:dyDescent="0.25">
      <c r="A273" s="265" t="s">
        <v>56</v>
      </c>
      <c r="B273" s="413" t="s">
        <v>44</v>
      </c>
      <c r="C273" s="413"/>
      <c r="D273" s="265" t="s">
        <v>45</v>
      </c>
      <c r="E273" s="265" t="s">
        <v>46</v>
      </c>
      <c r="F273" s="265" t="s">
        <v>65</v>
      </c>
      <c r="G273" s="265" t="s">
        <v>59</v>
      </c>
    </row>
    <row r="274" spans="1:7" x14ac:dyDescent="0.25">
      <c r="A274" s="266" t="str">
        <f>IF(B274="","",INDEX(CODIGOSSERVICIOS,MATCH($B274,'INSUMOS SERVICIOS'!$B$7:$B$21,0)))</f>
        <v/>
      </c>
      <c r="B274" s="391"/>
      <c r="C274" s="392"/>
      <c r="D274" s="282" t="str">
        <f>+IF(B274="","",(VLOOKUP($A274,INSUMOSSERVICIOS,3,0)))</f>
        <v/>
      </c>
      <c r="E274" s="302"/>
      <c r="F274" s="297" t="str">
        <f>IF(B274="","",(VLOOKUP($A274,INSUMOSSERVICIOS,4,0)))</f>
        <v/>
      </c>
      <c r="G274" s="303" t="str">
        <f>+IFERROR(E274*F274,"")</f>
        <v/>
      </c>
    </row>
    <row r="275" spans="1:7" x14ac:dyDescent="0.25">
      <c r="A275" s="266" t="str">
        <f>IF(B275="","",INDEX(CÓDIGOS_SERVICIOS,MATCH($B275,'[7]INSUMOS SERVICIOS'!$B$8:$B$51,0)))</f>
        <v/>
      </c>
      <c r="B275" s="391"/>
      <c r="C275" s="392"/>
      <c r="D275" s="282" t="str">
        <f>+IF(B275="","",(VLOOKUP($A275,INSUMOS_SERVICIOS,3,0)))</f>
        <v/>
      </c>
      <c r="E275" s="302"/>
      <c r="F275" s="297" t="str">
        <f>IF(B275="","",(VLOOKUP($A275,INSUMOS_SERVICIOS,4,0)))</f>
        <v/>
      </c>
      <c r="G275" s="303" t="str">
        <f>+IFERROR(E275*F275,"")</f>
        <v/>
      </c>
    </row>
    <row r="276" spans="1:7" x14ac:dyDescent="0.25">
      <c r="A276" s="272"/>
      <c r="B276" s="273"/>
      <c r="C276" s="264"/>
      <c r="D276" s="264"/>
      <c r="E276" s="274"/>
      <c r="F276" s="304" t="s">
        <v>62</v>
      </c>
      <c r="G276" s="298" t="str">
        <f>+IF(SUM(G274:G275)=0,"",SUM(G274:G275))</f>
        <v/>
      </c>
    </row>
    <row r="277" spans="1:7" x14ac:dyDescent="0.25">
      <c r="A277" s="299"/>
      <c r="B277" s="264"/>
      <c r="C277" s="300"/>
      <c r="D277" s="300"/>
      <c r="E277" s="300"/>
      <c r="F277" s="278"/>
      <c r="G277" s="301"/>
    </row>
    <row r="278" spans="1:7" x14ac:dyDescent="0.25">
      <c r="A278" s="411" t="s">
        <v>77</v>
      </c>
      <c r="B278" s="411"/>
      <c r="C278" s="411"/>
      <c r="D278" s="411"/>
      <c r="E278" s="411"/>
      <c r="F278" s="411"/>
      <c r="G278" s="326">
        <f>IF(SUM(G252,G258,G263,G270,G276)=0,"",(ROUND(SUM(G252,G258,G263,G270,G276),0)))</f>
        <v>21710</v>
      </c>
    </row>
    <row r="279" spans="1:7" x14ac:dyDescent="0.25">
      <c r="A279" s="301"/>
      <c r="B279" s="287"/>
      <c r="C279" s="287"/>
      <c r="D279" s="287"/>
      <c r="E279" s="287"/>
      <c r="F279" s="287"/>
      <c r="G279" s="278"/>
    </row>
    <row r="280" spans="1:7" x14ac:dyDescent="0.25">
      <c r="A280" s="402" t="s">
        <v>78</v>
      </c>
      <c r="B280" s="402"/>
      <c r="C280" s="402"/>
      <c r="D280" s="402"/>
      <c r="E280" s="402"/>
      <c r="F280" s="402"/>
      <c r="G280" s="402"/>
    </row>
    <row r="281" spans="1:7" x14ac:dyDescent="0.25">
      <c r="A281" s="264"/>
      <c r="B281" s="264"/>
      <c r="C281" s="264"/>
      <c r="D281" s="264"/>
      <c r="E281" s="264"/>
      <c r="F281" s="264"/>
      <c r="G281" s="264"/>
    </row>
    <row r="282" spans="1:7" x14ac:dyDescent="0.25">
      <c r="A282" s="412" t="s">
        <v>44</v>
      </c>
      <c r="B282" s="412"/>
      <c r="C282" s="412"/>
      <c r="D282" s="412"/>
      <c r="E282" s="412"/>
      <c r="F282" s="306" t="s">
        <v>79</v>
      </c>
      <c r="G282" s="306" t="s">
        <v>48</v>
      </c>
    </row>
    <row r="283" spans="1:7" x14ac:dyDescent="0.25">
      <c r="A283" s="410" t="s">
        <v>80</v>
      </c>
      <c r="B283" s="410"/>
      <c r="C283" s="410"/>
      <c r="D283" s="410"/>
      <c r="E283" s="410"/>
      <c r="F283" s="307">
        <f ca="1">AU!$I$36</f>
        <v>0.191</v>
      </c>
      <c r="G283" s="308">
        <f ca="1">+IFERROR(G278*F283,"")</f>
        <v>4146.6099999999997</v>
      </c>
    </row>
    <row r="284" spans="1:7" x14ac:dyDescent="0.25">
      <c r="A284" s="410" t="s">
        <v>82</v>
      </c>
      <c r="B284" s="410"/>
      <c r="C284" s="410"/>
      <c r="D284" s="410"/>
      <c r="E284" s="410"/>
      <c r="F284" s="307">
        <f>IF(AU!$I$37=0,"",AU!$I$37)</f>
        <v>5.131865E-2</v>
      </c>
      <c r="G284" s="308">
        <f>+IFERROR(G278*F284,"")</f>
        <v>1114.1278915</v>
      </c>
    </row>
    <row r="285" spans="1:7" x14ac:dyDescent="0.25">
      <c r="A285" s="393" t="s">
        <v>83</v>
      </c>
      <c r="B285" s="394"/>
      <c r="C285" s="394"/>
      <c r="D285" s="394"/>
      <c r="E285" s="394"/>
      <c r="F285" s="309">
        <f ca="1">IF(SUM(F283:F284)=0,"",SUM(F283:F284))</f>
        <v>0.24231865</v>
      </c>
      <c r="G285" s="310">
        <f ca="1">IF(SUM(G283:G284)=0,"",ROUND(SUM(G283:G284),0))</f>
        <v>5261</v>
      </c>
    </row>
    <row r="286" spans="1:7" x14ac:dyDescent="0.25">
      <c r="A286" s="301"/>
      <c r="B286" s="273"/>
      <c r="C286" s="273"/>
      <c r="D286" s="273"/>
      <c r="E286" s="395"/>
      <c r="F286" s="395"/>
      <c r="G286" s="311"/>
    </row>
    <row r="287" spans="1:7" x14ac:dyDescent="0.25">
      <c r="A287" s="396" t="s">
        <v>84</v>
      </c>
      <c r="B287" s="397"/>
      <c r="C287" s="397"/>
      <c r="D287" s="397"/>
      <c r="E287" s="397"/>
      <c r="F287" s="397"/>
      <c r="G287" s="327">
        <f ca="1">+IFERROR(ROUND(G278+G285,0),"")</f>
        <v>26971</v>
      </c>
    </row>
    <row r="288" spans="1:7" x14ac:dyDescent="0.25">
      <c r="A288" s="261"/>
      <c r="B288" s="261"/>
      <c r="C288" s="261"/>
      <c r="D288" s="261"/>
      <c r="E288" s="262"/>
      <c r="F288" s="262"/>
      <c r="G288" s="263"/>
    </row>
    <row r="289" spans="1:7" x14ac:dyDescent="0.25">
      <c r="A289" s="261"/>
      <c r="B289" s="313" t="s">
        <v>784</v>
      </c>
      <c r="C289" s="262"/>
      <c r="D289" s="314"/>
      <c r="E289" s="314"/>
      <c r="F289" s="314"/>
      <c r="G289" s="262"/>
    </row>
    <row r="290" spans="1:7" x14ac:dyDescent="0.25">
      <c r="A290" s="261"/>
      <c r="B290" s="313" t="s">
        <v>785</v>
      </c>
      <c r="C290" s="263"/>
      <c r="D290" s="398" t="s">
        <v>85</v>
      </c>
      <c r="E290" s="398"/>
      <c r="F290" s="398"/>
      <c r="G290" s="263"/>
    </row>
    <row r="291" spans="1:7" ht="15" customHeight="1" x14ac:dyDescent="0.25">
      <c r="A291" s="301"/>
      <c r="B291" s="301"/>
      <c r="C291" s="301"/>
      <c r="D291" s="301"/>
      <c r="E291" s="301"/>
      <c r="F291" s="301"/>
      <c r="G291" s="301"/>
    </row>
    <row r="292" spans="1:7" ht="15" customHeight="1" x14ac:dyDescent="0.25">
      <c r="A292" s="419" t="str">
        <f>'DATOS INICIALES'!$B$1</f>
        <v>DEPARTAMENTO DE ANTIOQUIA</v>
      </c>
      <c r="B292" s="420"/>
      <c r="C292" s="420"/>
      <c r="D292" s="420"/>
      <c r="E292" s="420"/>
      <c r="F292" s="421" t="s">
        <v>51</v>
      </c>
      <c r="G292" s="421"/>
    </row>
    <row r="293" spans="1:7" ht="15" customHeight="1" x14ac:dyDescent="0.25">
      <c r="A293" s="422" t="str">
        <f>'DATOS INICIALES'!$B$2</f>
        <v>MUNICIPIO DE DABEIBA</v>
      </c>
      <c r="B293" s="423"/>
      <c r="C293" s="423"/>
      <c r="D293" s="423"/>
      <c r="E293" s="423"/>
      <c r="F293" s="421"/>
      <c r="G293" s="421"/>
    </row>
    <row r="294" spans="1:7" s="254" customFormat="1" ht="50.1" customHeight="1" x14ac:dyDescent="0.25">
      <c r="A294" s="424" t="str">
        <f>'DATOS INICIALES'!$B$3</f>
        <v>REPOSICIÓN, AMPLIACIÓN Y REPARACIÓN DE LUMINARIAS QUE HACEN PARTE DE LA RED DE ALUMBRADOPÚBLICO DEL PARQUE PRINCIPAL Y CORREGIMIENTO SAN JOSÉ DE URAMA DEL MUNICIPIO DE DABEIBA.</v>
      </c>
      <c r="B294" s="425"/>
      <c r="C294" s="425"/>
      <c r="D294" s="425"/>
      <c r="E294" s="425"/>
      <c r="F294" s="421"/>
      <c r="G294" s="421"/>
    </row>
    <row r="295" spans="1:7" ht="15" customHeight="1" x14ac:dyDescent="0.25">
      <c r="A295" s="417"/>
      <c r="B295" s="417"/>
      <c r="C295" s="417"/>
      <c r="D295" s="417"/>
      <c r="E295" s="426"/>
      <c r="F295" s="421"/>
      <c r="G295" s="421"/>
    </row>
    <row r="296" spans="1:7" ht="15" customHeight="1" x14ac:dyDescent="0.25">
      <c r="A296" s="427" t="s">
        <v>52</v>
      </c>
      <c r="B296" s="428"/>
      <c r="C296" s="428"/>
      <c r="D296" s="428"/>
      <c r="E296" s="428"/>
      <c r="F296" s="421"/>
      <c r="G296" s="421"/>
    </row>
    <row r="297" spans="1:7" ht="15" customHeight="1" x14ac:dyDescent="0.25">
      <c r="A297" s="417"/>
      <c r="B297" s="417"/>
      <c r="C297" s="417"/>
      <c r="D297" s="417"/>
      <c r="E297" s="417"/>
      <c r="F297" s="418"/>
      <c r="G297" s="418"/>
    </row>
    <row r="298" spans="1:7" ht="15" customHeight="1" x14ac:dyDescent="0.25">
      <c r="A298" s="255" t="s">
        <v>42</v>
      </c>
      <c r="B298" s="414" t="s">
        <v>44</v>
      </c>
      <c r="C298" s="415"/>
      <c r="D298" s="416"/>
      <c r="E298" s="256" t="s">
        <v>45</v>
      </c>
      <c r="F298" s="257" t="s">
        <v>46</v>
      </c>
      <c r="G298" s="257" t="s">
        <v>53</v>
      </c>
    </row>
    <row r="299" spans="1:7" ht="30" customHeight="1" x14ac:dyDescent="0.25">
      <c r="A299" s="258" t="s">
        <v>791</v>
      </c>
      <c r="B299" s="399" t="str">
        <f>+IFERROR(VLOOKUP($A299,PRESUPUESTO!$A$7:$E$15,4,0),"")</f>
        <v>SUMINISTROS, TRANSPORTE E INSTALACION DE FOTOCELDAS CON SU
RESPECTIVA BASE Y DEMAS ELEMENTOS DE FIJACION</v>
      </c>
      <c r="C299" s="400"/>
      <c r="D299" s="401"/>
      <c r="E299" s="259" t="str">
        <f>+IFERROR(VLOOKUP($A299,PRESUPUESTO!$A$7:$E$15,5,0),"")</f>
        <v>UND</v>
      </c>
      <c r="F299" s="259">
        <f>+IFERROR(VLOOKUP($A299,PRESUPUESTO!$A$7:$F$15,6,0),"")</f>
        <v>22</v>
      </c>
      <c r="G299" s="260">
        <f ca="1">IF(G350=0,"",G341)</f>
        <v>108907</v>
      </c>
    </row>
    <row r="300" spans="1:7" ht="15" customHeight="1" x14ac:dyDescent="0.25">
      <c r="A300" s="261"/>
      <c r="B300" s="261"/>
      <c r="C300" s="261"/>
      <c r="D300" s="261"/>
      <c r="E300" s="262"/>
      <c r="F300" s="262"/>
      <c r="G300" s="263"/>
    </row>
    <row r="301" spans="1:7" ht="15" customHeight="1" x14ac:dyDescent="0.25">
      <c r="A301" s="402" t="s">
        <v>54</v>
      </c>
      <c r="B301" s="402"/>
      <c r="C301" s="402"/>
      <c r="D301" s="402"/>
      <c r="E301" s="402"/>
      <c r="F301" s="402"/>
      <c r="G301" s="402"/>
    </row>
    <row r="302" spans="1:7" ht="15" customHeight="1" x14ac:dyDescent="0.25">
      <c r="A302" s="264"/>
      <c r="B302" s="264"/>
      <c r="C302" s="264"/>
      <c r="D302" s="264"/>
      <c r="E302" s="264"/>
      <c r="F302" s="264"/>
      <c r="G302" s="264"/>
    </row>
    <row r="303" spans="1:7" ht="15" customHeight="1" x14ac:dyDescent="0.25">
      <c r="A303" s="403" t="s">
        <v>55</v>
      </c>
      <c r="B303" s="403"/>
      <c r="C303" s="403"/>
      <c r="D303" s="403"/>
      <c r="E303" s="403"/>
      <c r="F303" s="403"/>
      <c r="G303" s="404"/>
    </row>
    <row r="304" spans="1:7" ht="15" customHeight="1" x14ac:dyDescent="0.25">
      <c r="A304" s="265" t="s">
        <v>56</v>
      </c>
      <c r="B304" s="405" t="s">
        <v>44</v>
      </c>
      <c r="C304" s="406"/>
      <c r="D304" s="265" t="s">
        <v>45</v>
      </c>
      <c r="E304" s="265" t="s">
        <v>57</v>
      </c>
      <c r="F304" s="265" t="s">
        <v>58</v>
      </c>
      <c r="G304" s="265" t="s">
        <v>59</v>
      </c>
    </row>
    <row r="305" spans="1:7" ht="15" customHeight="1" x14ac:dyDescent="0.25">
      <c r="A305" s="266" t="str">
        <f>IF(B305="","",INDEX(CODIGOEQUIPOS,MATCH($B305,'INSUMOS EQUIPOS'!$B$7:$B$39,0)))</f>
        <v>EQ014</v>
      </c>
      <c r="B305" s="389" t="s">
        <v>828</v>
      </c>
      <c r="C305" s="390"/>
      <c r="D305" s="267" t="str">
        <f>IF(B305="","",(VLOOKUP($A305,INSUMOSEQUIPOS,3,0)))</f>
        <v>DIA</v>
      </c>
      <c r="E305" s="268">
        <f>IF(B305="","",(VLOOKUP($A305,INSUMOSEQUIPOS,4,0)))</f>
        <v>35000</v>
      </c>
      <c r="F305" s="324">
        <v>14</v>
      </c>
      <c r="G305" s="269">
        <f>+IFERROR(E305/F305,"")</f>
        <v>2500</v>
      </c>
    </row>
    <row r="306" spans="1:7" ht="15" customHeight="1" x14ac:dyDescent="0.25">
      <c r="A306" s="266" t="str">
        <f>IF(B306="","",INDEX(CODIGOEQUIPOS,MATCH($B306,'INSUMOS EQUIPOS'!$B$7:$B$39,0)))</f>
        <v>EQ015</v>
      </c>
      <c r="B306" s="389" t="s">
        <v>829</v>
      </c>
      <c r="C306" s="390"/>
      <c r="D306" s="267" t="str">
        <f>IF(B306="","",(VLOOKUP($A306,INSUMOSEQUIPOS,3,0)))</f>
        <v>DIA</v>
      </c>
      <c r="E306" s="268">
        <f>IF(B306="","",(VLOOKUP($A306,INSUMOSEQUIPOS,4,0)))</f>
        <v>23000</v>
      </c>
      <c r="F306" s="324">
        <v>14</v>
      </c>
      <c r="G306" s="269">
        <f t="shared" ref="G306:G307" si="6">+IFERROR(E306/F306,"")</f>
        <v>1642.8571428571429</v>
      </c>
    </row>
    <row r="307" spans="1:7" ht="15" customHeight="1" x14ac:dyDescent="0.25">
      <c r="A307" s="266" t="str">
        <f>IF(B307="","",INDEX(CODIGOEQUIPOS,MATCH($B307,'INSUMOS EQUIPOS'!$B$7:$B$39,0)))</f>
        <v>EQ016</v>
      </c>
      <c r="B307" s="389" t="s">
        <v>830</v>
      </c>
      <c r="C307" s="390"/>
      <c r="D307" s="267" t="str">
        <f>IF(B307="","",(VLOOKUP($A307,INSUMOSEQUIPOS,3,0)))</f>
        <v>DIA</v>
      </c>
      <c r="E307" s="268">
        <f>IF(B307="","",(VLOOKUP($A307,INSUMOSEQUIPOS,4,0)))</f>
        <v>280000</v>
      </c>
      <c r="F307" s="324">
        <v>14</v>
      </c>
      <c r="G307" s="269">
        <f t="shared" si="6"/>
        <v>20000</v>
      </c>
    </row>
    <row r="308" spans="1:7" ht="15" customHeight="1" x14ac:dyDescent="0.25">
      <c r="A308" s="266" t="str">
        <f>IF(B308="","",INDEX(CODIGOEQUIPOS,MATCH($B308,'INSUMOS EQUIPOS'!$B$7:$B$39,0)))</f>
        <v>EQ017</v>
      </c>
      <c r="B308" s="389" t="s">
        <v>831</v>
      </c>
      <c r="C308" s="390"/>
      <c r="D308" s="267" t="str">
        <f>IF(B308="","",(VLOOKUP($A308,INSUMOSEQUIPOS,3,0)))</f>
        <v>DIA</v>
      </c>
      <c r="E308" s="268">
        <f>IF(B308="","",(VLOOKUP($A308,INSUMOSEQUIPOS,4,0)))</f>
        <v>22000</v>
      </c>
      <c r="F308" s="324">
        <v>14</v>
      </c>
      <c r="G308" s="269">
        <f>+IFERROR(E308/F308,"")</f>
        <v>1571.4285714285713</v>
      </c>
    </row>
    <row r="309" spans="1:7" ht="15" customHeight="1" x14ac:dyDescent="0.25">
      <c r="A309" s="270"/>
      <c r="B309" s="407" t="s">
        <v>827</v>
      </c>
      <c r="C309" s="408"/>
      <c r="D309" s="267" t="s">
        <v>89</v>
      </c>
      <c r="E309" s="271">
        <f>G332</f>
        <v>40213.142857142855</v>
      </c>
      <c r="F309" s="325">
        <v>0.1</v>
      </c>
      <c r="G309" s="269">
        <f>+IFERROR(E309*F309,"")</f>
        <v>4021.3142857142857</v>
      </c>
    </row>
    <row r="310" spans="1:7" ht="15" customHeight="1" x14ac:dyDescent="0.25">
      <c r="A310" s="272"/>
      <c r="B310" s="273"/>
      <c r="C310" s="264"/>
      <c r="D310" s="264"/>
      <c r="E310" s="274"/>
      <c r="F310" s="275" t="s">
        <v>62</v>
      </c>
      <c r="G310" s="276">
        <f>+IF(SUM(G305:G309)=0,"",SUM(G305:G309))</f>
        <v>29735.600000000002</v>
      </c>
    </row>
    <row r="311" spans="1:7" ht="15" customHeight="1" x14ac:dyDescent="0.25">
      <c r="A311" s="273"/>
      <c r="B311" s="264"/>
      <c r="C311" s="264"/>
      <c r="D311" s="274"/>
      <c r="E311" s="277"/>
      <c r="F311" s="278"/>
      <c r="G311" s="272"/>
    </row>
    <row r="312" spans="1:7" ht="15" customHeight="1" x14ac:dyDescent="0.25">
      <c r="A312" s="402" t="s">
        <v>63</v>
      </c>
      <c r="B312" s="402"/>
      <c r="C312" s="402"/>
      <c r="D312" s="402"/>
      <c r="E312" s="402"/>
      <c r="F312" s="402"/>
      <c r="G312" s="409"/>
    </row>
    <row r="313" spans="1:7" ht="15" customHeight="1" x14ac:dyDescent="0.25">
      <c r="A313" s="265" t="s">
        <v>56</v>
      </c>
      <c r="B313" s="279" t="s">
        <v>44</v>
      </c>
      <c r="C313" s="280" t="s">
        <v>208</v>
      </c>
      <c r="D313" s="280" t="s">
        <v>476</v>
      </c>
      <c r="E313" s="280" t="s">
        <v>64</v>
      </c>
      <c r="F313" s="280" t="s">
        <v>65</v>
      </c>
      <c r="G313" s="280" t="s">
        <v>59</v>
      </c>
    </row>
    <row r="314" spans="1:7" ht="15" customHeight="1" x14ac:dyDescent="0.25">
      <c r="A314" s="266" t="str">
        <f>IF(B314="","",INDEX(CODIGOMATERIALES,MATCH($B314,'INSUMOS MATERIALES'!$B$7:$B$51,0)))</f>
        <v>MA025</v>
      </c>
      <c r="B314" s="281" t="s">
        <v>839</v>
      </c>
      <c r="C314" s="282" t="str">
        <f t="shared" ref="C314:C319" si="7">IF(B314="","",(VLOOKUP($A314,INSUMOSMATERIALES,3,0)))</f>
        <v>UN</v>
      </c>
      <c r="D314" s="295">
        <v>8.0000000000000002E-3</v>
      </c>
      <c r="E314" s="283">
        <v>0.02</v>
      </c>
      <c r="F314" s="284">
        <f t="shared" ref="F314:F319" si="8">IF(B314="","",(VLOOKUP($A314,INSUMOSMATERIALES,4,0)))</f>
        <v>59800</v>
      </c>
      <c r="G314" s="269">
        <f t="shared" ref="G314:G315" si="9">+IFERROR(F314*D314*(1+E314),"")</f>
        <v>487.96800000000002</v>
      </c>
    </row>
    <row r="315" spans="1:7" ht="15" customHeight="1" x14ac:dyDescent="0.25">
      <c r="A315" s="266" t="str">
        <f>IF(B315="","",INDEX(CODIGOMATERIALES,MATCH($B315,'INSUMOS MATERIALES'!$B$7:$B$51,0)))</f>
        <v>MA022</v>
      </c>
      <c r="B315" s="281" t="s">
        <v>834</v>
      </c>
      <c r="C315" s="282" t="str">
        <f t="shared" si="7"/>
        <v>UN</v>
      </c>
      <c r="D315" s="295">
        <v>0.02</v>
      </c>
      <c r="E315" s="283">
        <v>0.02</v>
      </c>
      <c r="F315" s="284">
        <f t="shared" si="8"/>
        <v>27300</v>
      </c>
      <c r="G315" s="269">
        <f t="shared" si="9"/>
        <v>556.91999999999996</v>
      </c>
    </row>
    <row r="316" spans="1:7" ht="15" customHeight="1" x14ac:dyDescent="0.25">
      <c r="A316" s="266" t="str">
        <f>IF(B316="","",INDEX(CODIGOMATERIALES,MATCH($B316,'INSUMOS MATERIALES'!$B$7:$B$51,0)))</f>
        <v>MA021</v>
      </c>
      <c r="B316" s="281" t="s">
        <v>833</v>
      </c>
      <c r="C316" s="282" t="str">
        <f t="shared" si="7"/>
        <v>M</v>
      </c>
      <c r="D316" s="295">
        <v>0.2</v>
      </c>
      <c r="E316" s="283">
        <v>0.02</v>
      </c>
      <c r="F316" s="284">
        <f t="shared" si="8"/>
        <v>10860</v>
      </c>
      <c r="G316" s="269">
        <f t="shared" ref="G316:G318" si="10">+IFERROR(F316*D316*(1+E316),"")</f>
        <v>2215.44</v>
      </c>
    </row>
    <row r="317" spans="1:7" ht="15" customHeight="1" x14ac:dyDescent="0.25">
      <c r="A317" s="266" t="str">
        <f>IF(B317="","",INDEX(CODIGOMATERIALES,MATCH($B317,'INSUMOS MATERIALES'!$B$7:$B$51,0)))</f>
        <v>MA026</v>
      </c>
      <c r="B317" s="281" t="s">
        <v>840</v>
      </c>
      <c r="C317" s="282" t="str">
        <f t="shared" si="7"/>
        <v>UN</v>
      </c>
      <c r="D317" s="295">
        <v>1</v>
      </c>
      <c r="E317" s="283">
        <v>0</v>
      </c>
      <c r="F317" s="284">
        <f t="shared" si="8"/>
        <v>150</v>
      </c>
      <c r="G317" s="269">
        <f t="shared" si="10"/>
        <v>150</v>
      </c>
    </row>
    <row r="318" spans="1:7" ht="15" customHeight="1" x14ac:dyDescent="0.25">
      <c r="A318" s="266" t="str">
        <f>IF(B318="","",INDEX(CODIGOMATERIALES,MATCH($B318,'INSUMOS MATERIALES'!$B$7:$B$51,0)))</f>
        <v>MA027</v>
      </c>
      <c r="B318" s="281" t="s">
        <v>841</v>
      </c>
      <c r="C318" s="282" t="str">
        <f t="shared" si="7"/>
        <v>UN</v>
      </c>
      <c r="D318" s="295">
        <v>1</v>
      </c>
      <c r="E318" s="283">
        <v>0</v>
      </c>
      <c r="F318" s="284">
        <f t="shared" si="8"/>
        <v>14890</v>
      </c>
      <c r="G318" s="269">
        <f t="shared" si="10"/>
        <v>14890</v>
      </c>
    </row>
    <row r="319" spans="1:7" ht="15" customHeight="1" x14ac:dyDescent="0.25">
      <c r="A319" s="266" t="str">
        <f>IF(B319="","",INDEX(CODIGOMATERIALES,MATCH($B319,'INSUMOS MATERIALES'!$B$7:$B$51,0)))</f>
        <v>MA028</v>
      </c>
      <c r="B319" s="281" t="s">
        <v>842</v>
      </c>
      <c r="C319" s="282" t="str">
        <f t="shared" si="7"/>
        <v>UN</v>
      </c>
      <c r="D319" s="295">
        <v>1</v>
      </c>
      <c r="E319" s="283">
        <v>0</v>
      </c>
      <c r="F319" s="284">
        <f t="shared" si="8"/>
        <v>19650</v>
      </c>
      <c r="G319" s="269">
        <f>+IFERROR(F319*D319*(1+E319),"")</f>
        <v>19650</v>
      </c>
    </row>
    <row r="320" spans="1:7" ht="15" customHeight="1" x14ac:dyDescent="0.25">
      <c r="A320" s="272"/>
      <c r="B320" s="285"/>
      <c r="C320" s="264"/>
      <c r="D320" s="264"/>
      <c r="E320" s="274"/>
      <c r="F320" s="286" t="s">
        <v>62</v>
      </c>
      <c r="G320" s="276">
        <f>+IF(SUM(G314:G319)=0,"",SUM(G314:G319))</f>
        <v>37950.328000000001</v>
      </c>
    </row>
    <row r="321" spans="1:7" ht="15" customHeight="1" x14ac:dyDescent="0.25">
      <c r="A321" s="273"/>
      <c r="B321" s="264"/>
      <c r="C321" s="264"/>
      <c r="D321" s="274"/>
      <c r="E321" s="287"/>
      <c r="F321" s="278"/>
      <c r="G321" s="272"/>
    </row>
    <row r="322" spans="1:7" ht="15" customHeight="1" x14ac:dyDescent="0.25">
      <c r="A322" s="402" t="s">
        <v>66</v>
      </c>
      <c r="B322" s="402"/>
      <c r="C322" s="402"/>
      <c r="D322" s="402"/>
      <c r="E322" s="402"/>
      <c r="F322" s="402"/>
      <c r="G322" s="402"/>
    </row>
    <row r="323" spans="1:7" ht="15" customHeight="1" x14ac:dyDescent="0.25">
      <c r="A323" s="265" t="s">
        <v>56</v>
      </c>
      <c r="B323" s="265" t="s">
        <v>44</v>
      </c>
      <c r="C323" s="265" t="s">
        <v>67</v>
      </c>
      <c r="D323" s="265" t="s">
        <v>68</v>
      </c>
      <c r="E323" s="280" t="s">
        <v>69</v>
      </c>
      <c r="F323" s="280" t="s">
        <v>57</v>
      </c>
      <c r="G323" s="280" t="s">
        <v>59</v>
      </c>
    </row>
    <row r="324" spans="1:7" ht="15" customHeight="1" x14ac:dyDescent="0.25">
      <c r="A324" s="266" t="str">
        <f>IF(B324="","",INDEX(CODIGOTRANSPORTES,MATCH(B324,'INSUMOS TRANSPORTES'!$B$7:$B$13,0)))</f>
        <v>TR001</v>
      </c>
      <c r="B324" s="281" t="s">
        <v>467</v>
      </c>
      <c r="C324" s="288" t="s">
        <v>462</v>
      </c>
      <c r="D324" s="289">
        <v>0.01</v>
      </c>
      <c r="E324" s="290">
        <f>+IF(C324=0,"",IF(C324="INSUMOS",'DATOS INICIALES'!$B$24,IF(C324="PLAYA",'DATOS INICIALES'!$B$21,IF(C324="TIERRA",'DATOS INICIALES'!$B$19,IF(C324="ESCOMBROS",'DATOS INICIALES'!$B$20,IF(C324="ASFALTO",'DATOS INICIALES'!$B$25,IF(C324="GRANULAR",'DATOS INICIALES'!B438)))))))</f>
        <v>180</v>
      </c>
      <c r="F324" s="328">
        <f>+IF(B324="","",(VLOOKUP($A324,INSUMOSTRANSPORTES,4,0)))</f>
        <v>560</v>
      </c>
      <c r="G324" s="269">
        <f>+IFERROR(D324*E324*F324,"")</f>
        <v>1008</v>
      </c>
    </row>
    <row r="325" spans="1:7" ht="15" customHeight="1" x14ac:dyDescent="0.25">
      <c r="A325" s="272"/>
      <c r="B325" s="293"/>
      <c r="C325" s="264"/>
      <c r="D325" s="264"/>
      <c r="E325" s="274"/>
      <c r="F325" s="286" t="s">
        <v>62</v>
      </c>
      <c r="G325" s="276">
        <f>+IF(SUM(G324:G324)=0,"",SUM(G324:G324))</f>
        <v>1008</v>
      </c>
    </row>
    <row r="326" spans="1:7" ht="15" customHeight="1" x14ac:dyDescent="0.25">
      <c r="A326" s="264"/>
      <c r="B326" s="264"/>
      <c r="C326" s="264"/>
      <c r="D326" s="274"/>
      <c r="E326" s="287"/>
      <c r="F326" s="278"/>
      <c r="G326" s="272"/>
    </row>
    <row r="327" spans="1:7" ht="15" customHeight="1" x14ac:dyDescent="0.25">
      <c r="A327" s="402" t="s">
        <v>70</v>
      </c>
      <c r="B327" s="402"/>
      <c r="C327" s="402"/>
      <c r="D327" s="402"/>
      <c r="E327" s="402"/>
      <c r="F327" s="402"/>
      <c r="G327" s="409"/>
    </row>
    <row r="328" spans="1:7" ht="15" customHeight="1" x14ac:dyDescent="0.25">
      <c r="A328" s="265" t="s">
        <v>56</v>
      </c>
      <c r="B328" s="413" t="s">
        <v>71</v>
      </c>
      <c r="C328" s="413"/>
      <c r="D328" s="280" t="s">
        <v>46</v>
      </c>
      <c r="E328" s="280" t="s">
        <v>72</v>
      </c>
      <c r="F328" s="280" t="s">
        <v>58</v>
      </c>
      <c r="G328" s="280" t="s">
        <v>59</v>
      </c>
    </row>
    <row r="329" spans="1:7" ht="15" customHeight="1" x14ac:dyDescent="0.25">
      <c r="A329" s="266" t="str">
        <f>IF(B329="","",INDEX(CODIGOSMANODEOBRA,MATCH($B329,'INSUMOS MANO DE OBRA'!$B$7:$B$61,0)))</f>
        <v>MO019</v>
      </c>
      <c r="B329" s="391" t="s">
        <v>346</v>
      </c>
      <c r="C329" s="392"/>
      <c r="D329" s="289">
        <v>1</v>
      </c>
      <c r="E329" s="296">
        <f>IF(B329="","",(VLOOKUP($A329,INSUMOSMANODEOBRA,8,0)))</f>
        <v>194075</v>
      </c>
      <c r="F329" s="289">
        <v>14</v>
      </c>
      <c r="G329" s="319">
        <f>+IFERROR(D329*E329/F329,"")</f>
        <v>13862.5</v>
      </c>
    </row>
    <row r="330" spans="1:7" ht="15" customHeight="1" x14ac:dyDescent="0.25">
      <c r="A330" s="266" t="str">
        <f>IF(B330="","",INDEX(CODIGOSMANODEOBRA,MATCH($B330,'INSUMOS MANO DE OBRA'!$B$7:$B$61,0)))</f>
        <v>MO021</v>
      </c>
      <c r="B330" s="391" t="s">
        <v>348</v>
      </c>
      <c r="C330" s="392"/>
      <c r="D330" s="289">
        <v>1</v>
      </c>
      <c r="E330" s="296">
        <f>IF(B330="","",(VLOOKUP($A330,INSUMOSMANODEOBRA,8,0)))</f>
        <v>179201</v>
      </c>
      <c r="F330" s="289">
        <f>F329</f>
        <v>14</v>
      </c>
      <c r="G330" s="319">
        <f>+IFERROR(D330*E330/F330,"")</f>
        <v>12800.071428571429</v>
      </c>
    </row>
    <row r="331" spans="1:7" ht="15" customHeight="1" x14ac:dyDescent="0.25">
      <c r="A331" s="266" t="str">
        <f>IF(B331="","",INDEX(CODIGOSMANODEOBRA,MATCH($B331,'INSUMOS MANO DE OBRA'!$B$7:$B$61,0)))</f>
        <v>MO022</v>
      </c>
      <c r="B331" s="391" t="s">
        <v>349</v>
      </c>
      <c r="C331" s="392"/>
      <c r="D331" s="289">
        <v>2</v>
      </c>
      <c r="E331" s="296">
        <f>IF(B331="","",(VLOOKUP($A331,INSUMOSMANODEOBRA,8,0)))</f>
        <v>94854</v>
      </c>
      <c r="F331" s="289">
        <f>F329</f>
        <v>14</v>
      </c>
      <c r="G331" s="319">
        <f>+IFERROR(D331*E331/F331,"")</f>
        <v>13550.571428571429</v>
      </c>
    </row>
    <row r="332" spans="1:7" ht="15" customHeight="1" x14ac:dyDescent="0.25">
      <c r="A332" s="272"/>
      <c r="B332" s="273"/>
      <c r="C332" s="264"/>
      <c r="D332" s="264"/>
      <c r="E332" s="274"/>
      <c r="F332" s="275" t="s">
        <v>62</v>
      </c>
      <c r="G332" s="276">
        <f>+IF(SUM(G329:G331)=0,"",SUM(G329:G331))</f>
        <v>40213.142857142855</v>
      </c>
    </row>
    <row r="333" spans="1:7" ht="15" customHeight="1" x14ac:dyDescent="0.25">
      <c r="A333" s="299"/>
      <c r="B333" s="264"/>
      <c r="C333" s="300"/>
      <c r="D333" s="300"/>
      <c r="E333" s="300"/>
      <c r="F333" s="278"/>
      <c r="G333" s="301"/>
    </row>
    <row r="334" spans="1:7" ht="15" customHeight="1" x14ac:dyDescent="0.25">
      <c r="A334" s="402" t="s">
        <v>76</v>
      </c>
      <c r="B334" s="402"/>
      <c r="C334" s="402"/>
      <c r="D334" s="402"/>
      <c r="E334" s="402"/>
      <c r="F334" s="402"/>
      <c r="G334" s="409"/>
    </row>
    <row r="335" spans="1:7" ht="15" customHeight="1" x14ac:dyDescent="0.25">
      <c r="A335" s="265" t="s">
        <v>56</v>
      </c>
      <c r="B335" s="413" t="s">
        <v>44</v>
      </c>
      <c r="C335" s="413"/>
      <c r="D335" s="265" t="s">
        <v>45</v>
      </c>
      <c r="E335" s="265" t="s">
        <v>46</v>
      </c>
      <c r="F335" s="265" t="s">
        <v>65</v>
      </c>
      <c r="G335" s="265" t="s">
        <v>59</v>
      </c>
    </row>
    <row r="336" spans="1:7" ht="15" customHeight="1" x14ac:dyDescent="0.25">
      <c r="A336" s="266" t="str">
        <f>IF(B336="","",INDEX(CODIGOSSERVICIOS,MATCH($B336,'INSUMOS SERVICIOS'!$B$7:$B$21,0)))</f>
        <v/>
      </c>
      <c r="B336" s="391"/>
      <c r="C336" s="392"/>
      <c r="D336" s="282" t="str">
        <f>+IF(B336="","",(VLOOKUP($A336,INSUMOSSERVICIOS,3,0)))</f>
        <v/>
      </c>
      <c r="E336" s="302"/>
      <c r="F336" s="297" t="str">
        <f>IF(B336="","",(VLOOKUP($A336,INSUMOSSERVICIOS,4,0)))</f>
        <v/>
      </c>
      <c r="G336" s="303" t="str">
        <f>+IFERROR(E336*F336,"")</f>
        <v/>
      </c>
    </row>
    <row r="337" spans="1:7" ht="15" customHeight="1" x14ac:dyDescent="0.25">
      <c r="A337" s="266" t="str">
        <f>IF(B337="","",INDEX(CODIGOSSERVICIOS,MATCH($B337,'INSUMOS SERVICIOS'!$B$7:$B$21,0)))</f>
        <v/>
      </c>
      <c r="B337" s="391"/>
      <c r="C337" s="392"/>
      <c r="D337" s="282" t="str">
        <f>+IF(B337="","",(VLOOKUP($A337,INSUMOSSERVICIOS,3,0)))</f>
        <v/>
      </c>
      <c r="E337" s="302"/>
      <c r="F337" s="297" t="str">
        <f>IF(B337="","",(VLOOKUP($A337,INSUMOSSERVICIOS,4,0)))</f>
        <v/>
      </c>
      <c r="G337" s="303" t="str">
        <f>+IFERROR(E337*F337,"")</f>
        <v/>
      </c>
    </row>
    <row r="338" spans="1:7" ht="15" customHeight="1" x14ac:dyDescent="0.25">
      <c r="A338" s="266" t="str">
        <f>IF(B338="","",INDEX(CÓDIGOS_SERVICIOS,MATCH($B338,'[7]INSUMOS SERVICIOS'!$B$8:$B$51,0)))</f>
        <v/>
      </c>
      <c r="B338" s="391"/>
      <c r="C338" s="392"/>
      <c r="D338" s="282" t="str">
        <f>+IF(B338="","",(VLOOKUP($A338,INSUMOS_SERVICIOS,3,0)))</f>
        <v/>
      </c>
      <c r="E338" s="302"/>
      <c r="F338" s="297" t="str">
        <f>IF(B338="","",(VLOOKUP($A338,INSUMOS_SERVICIOS,4,0)))</f>
        <v/>
      </c>
      <c r="G338" s="303" t="str">
        <f>+IFERROR(E338*F338,"")</f>
        <v/>
      </c>
    </row>
    <row r="339" spans="1:7" ht="15" customHeight="1" x14ac:dyDescent="0.25">
      <c r="A339" s="272"/>
      <c r="B339" s="273"/>
      <c r="C339" s="264"/>
      <c r="D339" s="264"/>
      <c r="E339" s="274"/>
      <c r="F339" s="304" t="s">
        <v>62</v>
      </c>
      <c r="G339" s="298" t="str">
        <f>+IF(SUM(G336:G338)=0,"",SUM(G336:G338))</f>
        <v/>
      </c>
    </row>
    <row r="340" spans="1:7" ht="15" customHeight="1" x14ac:dyDescent="0.25">
      <c r="A340" s="299"/>
      <c r="B340" s="264"/>
      <c r="C340" s="300"/>
      <c r="D340" s="300"/>
      <c r="E340" s="300"/>
      <c r="F340" s="278"/>
      <c r="G340" s="301"/>
    </row>
    <row r="341" spans="1:7" ht="15" customHeight="1" x14ac:dyDescent="0.25">
      <c r="A341" s="411" t="s">
        <v>77</v>
      </c>
      <c r="B341" s="411"/>
      <c r="C341" s="411"/>
      <c r="D341" s="411"/>
      <c r="E341" s="411"/>
      <c r="F341" s="411"/>
      <c r="G341" s="326">
        <f>IF(SUM(G310,G320,G325,G332,G339)=0,"",(ROUND(SUM(G310,G320,G325,G332,G339),0)))</f>
        <v>108907</v>
      </c>
    </row>
    <row r="342" spans="1:7" ht="15" customHeight="1" x14ac:dyDescent="0.25">
      <c r="A342" s="301"/>
      <c r="B342" s="287"/>
      <c r="C342" s="287"/>
      <c r="D342" s="287"/>
      <c r="E342" s="287"/>
      <c r="F342" s="287"/>
      <c r="G342" s="278"/>
    </row>
    <row r="343" spans="1:7" ht="15" customHeight="1" x14ac:dyDescent="0.25">
      <c r="A343" s="402" t="s">
        <v>78</v>
      </c>
      <c r="B343" s="402"/>
      <c r="C343" s="402"/>
      <c r="D343" s="402"/>
      <c r="E343" s="402"/>
      <c r="F343" s="402"/>
      <c r="G343" s="402"/>
    </row>
    <row r="344" spans="1:7" ht="15" customHeight="1" x14ac:dyDescent="0.25">
      <c r="A344" s="264"/>
      <c r="B344" s="264"/>
      <c r="C344" s="264"/>
      <c r="D344" s="264"/>
      <c r="E344" s="264"/>
      <c r="F344" s="264"/>
      <c r="G344" s="264"/>
    </row>
    <row r="345" spans="1:7" ht="15" customHeight="1" x14ac:dyDescent="0.25">
      <c r="A345" s="412" t="s">
        <v>44</v>
      </c>
      <c r="B345" s="412"/>
      <c r="C345" s="412"/>
      <c r="D345" s="412"/>
      <c r="E345" s="412"/>
      <c r="F345" s="306" t="s">
        <v>79</v>
      </c>
      <c r="G345" s="306" t="s">
        <v>48</v>
      </c>
    </row>
    <row r="346" spans="1:7" ht="15" customHeight="1" x14ac:dyDescent="0.25">
      <c r="A346" s="410" t="s">
        <v>80</v>
      </c>
      <c r="B346" s="410"/>
      <c r="C346" s="410"/>
      <c r="D346" s="410"/>
      <c r="E346" s="410"/>
      <c r="F346" s="307">
        <f ca="1">AU!$I$36</f>
        <v>0.191</v>
      </c>
      <c r="G346" s="308">
        <f ca="1">+IFERROR(G341*F346,"")</f>
        <v>20801.237000000001</v>
      </c>
    </row>
    <row r="347" spans="1:7" ht="15" customHeight="1" x14ac:dyDescent="0.25">
      <c r="A347" s="410" t="s">
        <v>82</v>
      </c>
      <c r="B347" s="410"/>
      <c r="C347" s="410"/>
      <c r="D347" s="410"/>
      <c r="E347" s="410"/>
      <c r="F347" s="307">
        <f>IF(AU!$I$37=0,"",AU!$I$37)</f>
        <v>5.131865E-2</v>
      </c>
      <c r="G347" s="308">
        <f>+IFERROR(G341*F347,"")</f>
        <v>5588.9602155499997</v>
      </c>
    </row>
    <row r="348" spans="1:7" ht="15" customHeight="1" x14ac:dyDescent="0.25">
      <c r="A348" s="393" t="s">
        <v>83</v>
      </c>
      <c r="B348" s="394"/>
      <c r="C348" s="394"/>
      <c r="D348" s="394"/>
      <c r="E348" s="394"/>
      <c r="F348" s="309">
        <f ca="1">IF(SUM(F346:F347)=0,"",SUM(F346:F347))</f>
        <v>0.24231865</v>
      </c>
      <c r="G348" s="310">
        <f ca="1">IF(SUM(G346:G347)=0,"",ROUND(SUM(G346:G347),0))</f>
        <v>26390</v>
      </c>
    </row>
    <row r="349" spans="1:7" ht="15" customHeight="1" x14ac:dyDescent="0.25">
      <c r="A349" s="301"/>
      <c r="B349" s="273"/>
      <c r="C349" s="273"/>
      <c r="D349" s="273"/>
      <c r="E349" s="395"/>
      <c r="F349" s="395"/>
      <c r="G349" s="311"/>
    </row>
    <row r="350" spans="1:7" ht="15" customHeight="1" x14ac:dyDescent="0.25">
      <c r="A350" s="396" t="s">
        <v>84</v>
      </c>
      <c r="B350" s="397"/>
      <c r="C350" s="397"/>
      <c r="D350" s="397"/>
      <c r="E350" s="397"/>
      <c r="F350" s="397"/>
      <c r="G350" s="327">
        <f ca="1">+IFERROR(ROUND(G341+G348,0),"")</f>
        <v>135297</v>
      </c>
    </row>
    <row r="351" spans="1:7" ht="15" customHeight="1" x14ac:dyDescent="0.25">
      <c r="A351" s="261"/>
      <c r="B351" s="261"/>
      <c r="C351" s="261"/>
      <c r="D351" s="261"/>
      <c r="E351" s="262"/>
      <c r="F351" s="262"/>
      <c r="G351" s="263"/>
    </row>
    <row r="352" spans="1:7" ht="15" customHeight="1" x14ac:dyDescent="0.25">
      <c r="A352" s="261"/>
      <c r="B352" s="313" t="s">
        <v>784</v>
      </c>
      <c r="C352" s="262"/>
      <c r="D352" s="314"/>
      <c r="E352" s="314"/>
      <c r="F352" s="314"/>
      <c r="G352" s="262"/>
    </row>
    <row r="353" spans="1:7" ht="15" customHeight="1" x14ac:dyDescent="0.25">
      <c r="A353" s="261"/>
      <c r="B353" s="313" t="s">
        <v>785</v>
      </c>
      <c r="C353" s="263"/>
      <c r="D353" s="398" t="s">
        <v>85</v>
      </c>
      <c r="E353" s="398"/>
      <c r="F353" s="398"/>
      <c r="G353" s="263"/>
    </row>
    <row r="354" spans="1:7" ht="15" customHeight="1" x14ac:dyDescent="0.25">
      <c r="A354" s="301"/>
      <c r="B354" s="301"/>
      <c r="C354" s="301"/>
      <c r="D354" s="301"/>
      <c r="E354" s="301"/>
      <c r="F354" s="301"/>
      <c r="G354" s="301"/>
    </row>
    <row r="355" spans="1:7" ht="15" customHeight="1" x14ac:dyDescent="0.25">
      <c r="A355" s="419" t="str">
        <f>'DATOS INICIALES'!$B$1</f>
        <v>DEPARTAMENTO DE ANTIOQUIA</v>
      </c>
      <c r="B355" s="420"/>
      <c r="C355" s="420"/>
      <c r="D355" s="420"/>
      <c r="E355" s="420"/>
      <c r="F355" s="421" t="s">
        <v>51</v>
      </c>
      <c r="G355" s="421"/>
    </row>
    <row r="356" spans="1:7" ht="15" customHeight="1" x14ac:dyDescent="0.25">
      <c r="A356" s="422" t="str">
        <f>'DATOS INICIALES'!$B$2</f>
        <v>MUNICIPIO DE DABEIBA</v>
      </c>
      <c r="B356" s="423"/>
      <c r="C356" s="423"/>
      <c r="D356" s="423"/>
      <c r="E356" s="423"/>
      <c r="F356" s="421"/>
      <c r="G356" s="421"/>
    </row>
    <row r="357" spans="1:7" s="254" customFormat="1" ht="50.1" customHeight="1" x14ac:dyDescent="0.25">
      <c r="A357" s="424" t="str">
        <f>'DATOS INICIALES'!$B$3</f>
        <v>REPOSICIÓN, AMPLIACIÓN Y REPARACIÓN DE LUMINARIAS QUE HACEN PARTE DE LA RED DE ALUMBRADOPÚBLICO DEL PARQUE PRINCIPAL Y CORREGIMIENTO SAN JOSÉ DE URAMA DEL MUNICIPIO DE DABEIBA.</v>
      </c>
      <c r="B357" s="425"/>
      <c r="C357" s="425"/>
      <c r="D357" s="425"/>
      <c r="E357" s="425"/>
      <c r="F357" s="421"/>
      <c r="G357" s="421"/>
    </row>
    <row r="358" spans="1:7" ht="15" customHeight="1" x14ac:dyDescent="0.25">
      <c r="A358" s="417"/>
      <c r="B358" s="417"/>
      <c r="C358" s="417"/>
      <c r="D358" s="417"/>
      <c r="E358" s="426"/>
      <c r="F358" s="421"/>
      <c r="G358" s="421"/>
    </row>
    <row r="359" spans="1:7" ht="15" customHeight="1" x14ac:dyDescent="0.25">
      <c r="A359" s="427" t="s">
        <v>52</v>
      </c>
      <c r="B359" s="428"/>
      <c r="C359" s="428"/>
      <c r="D359" s="428"/>
      <c r="E359" s="428"/>
      <c r="F359" s="421"/>
      <c r="G359" s="421"/>
    </row>
    <row r="360" spans="1:7" ht="15" customHeight="1" x14ac:dyDescent="0.25">
      <c r="A360" s="417"/>
      <c r="B360" s="417"/>
      <c r="C360" s="417"/>
      <c r="D360" s="417"/>
      <c r="E360" s="417"/>
      <c r="F360" s="418"/>
      <c r="G360" s="418"/>
    </row>
    <row r="361" spans="1:7" ht="15" customHeight="1" x14ac:dyDescent="0.25">
      <c r="A361" s="255" t="s">
        <v>42</v>
      </c>
      <c r="B361" s="414" t="s">
        <v>44</v>
      </c>
      <c r="C361" s="415"/>
      <c r="D361" s="416"/>
      <c r="E361" s="256" t="s">
        <v>45</v>
      </c>
      <c r="F361" s="257" t="s">
        <v>46</v>
      </c>
      <c r="G361" s="257" t="s">
        <v>53</v>
      </c>
    </row>
    <row r="362" spans="1:7" ht="30" customHeight="1" x14ac:dyDescent="0.25">
      <c r="A362" s="258" t="s">
        <v>792</v>
      </c>
      <c r="B362" s="399" t="str">
        <f>+IFERROR(VLOOKUP($A362,PRESUPUESTO!$A$7:$E$15,4,0),"")</f>
        <v>SUMINISTRO, TRANSPORTE E INSTALACION DE CINTA BANDY, EVILLAS Y
DEMAS ELEMENTOS DE FIJACION</v>
      </c>
      <c r="C362" s="400"/>
      <c r="D362" s="401"/>
      <c r="E362" s="259" t="str">
        <f>+IFERROR(VLOOKUP($A362,PRESUPUESTO!$A$7:$E$15,5,0),"")</f>
        <v>M</v>
      </c>
      <c r="F362" s="259">
        <f>+IFERROR(VLOOKUP($A362,PRESUPUESTO!$A$7:$F$15,6,0),"")</f>
        <v>23</v>
      </c>
      <c r="G362" s="260">
        <f ca="1">IF(G408=0,"",G399)</f>
        <v>8385</v>
      </c>
    </row>
    <row r="363" spans="1:7" ht="15" customHeight="1" x14ac:dyDescent="0.25">
      <c r="A363" s="261"/>
      <c r="B363" s="261"/>
      <c r="C363" s="261"/>
      <c r="D363" s="261"/>
      <c r="E363" s="262"/>
      <c r="F363" s="262"/>
      <c r="G363" s="263"/>
    </row>
    <row r="364" spans="1:7" ht="15" customHeight="1" x14ac:dyDescent="0.25">
      <c r="A364" s="402" t="s">
        <v>54</v>
      </c>
      <c r="B364" s="402"/>
      <c r="C364" s="402"/>
      <c r="D364" s="402"/>
      <c r="E364" s="402"/>
      <c r="F364" s="402"/>
      <c r="G364" s="402"/>
    </row>
    <row r="365" spans="1:7" ht="15" customHeight="1" x14ac:dyDescent="0.25">
      <c r="A365" s="264"/>
      <c r="B365" s="264"/>
      <c r="C365" s="264"/>
      <c r="D365" s="264"/>
      <c r="E365" s="264"/>
      <c r="F365" s="264"/>
      <c r="G365" s="264"/>
    </row>
    <row r="366" spans="1:7" ht="15" customHeight="1" x14ac:dyDescent="0.25">
      <c r="A366" s="403" t="s">
        <v>55</v>
      </c>
      <c r="B366" s="403"/>
      <c r="C366" s="403"/>
      <c r="D366" s="403"/>
      <c r="E366" s="403"/>
      <c r="F366" s="403"/>
      <c r="G366" s="404"/>
    </row>
    <row r="367" spans="1:7" ht="15" customHeight="1" x14ac:dyDescent="0.25">
      <c r="A367" s="265" t="s">
        <v>56</v>
      </c>
      <c r="B367" s="405" t="s">
        <v>44</v>
      </c>
      <c r="C367" s="406"/>
      <c r="D367" s="265" t="s">
        <v>45</v>
      </c>
      <c r="E367" s="265" t="s">
        <v>57</v>
      </c>
      <c r="F367" s="265" t="s">
        <v>58</v>
      </c>
      <c r="G367" s="265" t="s">
        <v>59</v>
      </c>
    </row>
    <row r="368" spans="1:7" ht="15" customHeight="1" x14ac:dyDescent="0.25">
      <c r="A368" s="266" t="str">
        <f>IF(B368="","",INDEX(CODIGOEQUIPOS,MATCH($B368,'INSUMOS EQUIPOS'!$B$7:$B$39,0)))</f>
        <v>EQ019</v>
      </c>
      <c r="B368" s="389" t="s">
        <v>849</v>
      </c>
      <c r="C368" s="390"/>
      <c r="D368" s="267" t="str">
        <f>IF(B368="","",(VLOOKUP($A368,INSUMOSEQUIPOS,3,0)))</f>
        <v>DIA</v>
      </c>
      <c r="E368" s="268">
        <f>IF(B368="","",(VLOOKUP($A368,INSUMOSEQUIPOS,4,0)))</f>
        <v>24500</v>
      </c>
      <c r="F368" s="324">
        <v>250</v>
      </c>
      <c r="G368" s="269">
        <f>+IFERROR(E368/F368,"")</f>
        <v>98</v>
      </c>
    </row>
    <row r="369" spans="1:7" ht="15" customHeight="1" x14ac:dyDescent="0.25">
      <c r="A369" s="266" t="str">
        <f>IF(B369="","",INDEX(CODIGOEQUIPOS,MATCH($B369,'INSUMOS EQUIPOS'!$B$7:$B$39,0)))</f>
        <v>EQ015</v>
      </c>
      <c r="B369" s="389" t="s">
        <v>829</v>
      </c>
      <c r="C369" s="390"/>
      <c r="D369" s="267" t="str">
        <f>IF(B369="","",(VLOOKUP($A369,INSUMOSEQUIPOS,3,0)))</f>
        <v>DIA</v>
      </c>
      <c r="E369" s="268">
        <f>IF(B369="","",(VLOOKUP($A369,INSUMOSEQUIPOS,4,0)))</f>
        <v>23000</v>
      </c>
      <c r="F369" s="324">
        <v>250</v>
      </c>
      <c r="G369" s="269">
        <f t="shared" ref="G369:G370" si="11">+IFERROR(E369/F369,"")</f>
        <v>92</v>
      </c>
    </row>
    <row r="370" spans="1:7" ht="15" customHeight="1" x14ac:dyDescent="0.25">
      <c r="A370" s="266" t="str">
        <f>IF(B370="","",INDEX(CODIGOEQUIPOS,MATCH($B370,'INSUMOS EQUIPOS'!$B$7:$B$39,0)))</f>
        <v>EQ016</v>
      </c>
      <c r="B370" s="389" t="s">
        <v>830</v>
      </c>
      <c r="C370" s="390"/>
      <c r="D370" s="267" t="str">
        <f>IF(B370="","",(VLOOKUP($A370,INSUMOSEQUIPOS,3,0)))</f>
        <v>DIA</v>
      </c>
      <c r="E370" s="268">
        <f>IF(B370="","",(VLOOKUP($A370,INSUMOSEQUIPOS,4,0)))</f>
        <v>280000</v>
      </c>
      <c r="F370" s="324">
        <v>250</v>
      </c>
      <c r="G370" s="269">
        <f t="shared" si="11"/>
        <v>1120</v>
      </c>
    </row>
    <row r="371" spans="1:7" ht="15" customHeight="1" x14ac:dyDescent="0.25">
      <c r="A371" s="266" t="str">
        <f>IF(B371="","",INDEX(CODIGOEQUIPOS,MATCH($B371,'INSUMOS EQUIPOS'!$B$7:$B$39,0)))</f>
        <v>EQ017</v>
      </c>
      <c r="B371" s="389" t="s">
        <v>831</v>
      </c>
      <c r="C371" s="390"/>
      <c r="D371" s="267" t="str">
        <f>IF(B371="","",(VLOOKUP($A371,INSUMOSEQUIPOS,3,0)))</f>
        <v>DIA</v>
      </c>
      <c r="E371" s="268">
        <f>IF(B371="","",(VLOOKUP($A371,INSUMOSEQUIPOS,4,0)))</f>
        <v>22000</v>
      </c>
      <c r="F371" s="324">
        <v>250</v>
      </c>
      <c r="G371" s="269">
        <f>+IFERROR(E371/F371,"")</f>
        <v>88</v>
      </c>
    </row>
    <row r="372" spans="1:7" ht="15" customHeight="1" x14ac:dyDescent="0.25">
      <c r="A372" s="270"/>
      <c r="B372" s="407" t="s">
        <v>827</v>
      </c>
      <c r="C372" s="408"/>
      <c r="D372" s="267" t="s">
        <v>89</v>
      </c>
      <c r="E372" s="271">
        <f>$G$391</f>
        <v>2251.9359999999997</v>
      </c>
      <c r="F372" s="325">
        <v>0.1</v>
      </c>
      <c r="G372" s="269">
        <f>+IFERROR(E372*F372,"")</f>
        <v>225.19359999999998</v>
      </c>
    </row>
    <row r="373" spans="1:7" ht="15" customHeight="1" x14ac:dyDescent="0.25">
      <c r="A373" s="272"/>
      <c r="B373" s="273"/>
      <c r="C373" s="264"/>
      <c r="D373" s="264"/>
      <c r="E373" s="274"/>
      <c r="F373" s="275" t="s">
        <v>62</v>
      </c>
      <c r="G373" s="276">
        <f>+IF(SUM(G368:G372)=0,"",SUM(G368:G372))</f>
        <v>1623.1936000000001</v>
      </c>
    </row>
    <row r="374" spans="1:7" ht="15" customHeight="1" x14ac:dyDescent="0.25">
      <c r="A374" s="273"/>
      <c r="B374" s="264"/>
      <c r="C374" s="264"/>
      <c r="D374" s="274"/>
      <c r="E374" s="277"/>
      <c r="F374" s="278"/>
      <c r="G374" s="272"/>
    </row>
    <row r="375" spans="1:7" ht="15" customHeight="1" x14ac:dyDescent="0.25">
      <c r="A375" s="402" t="s">
        <v>63</v>
      </c>
      <c r="B375" s="402"/>
      <c r="C375" s="402"/>
      <c r="D375" s="402"/>
      <c r="E375" s="402"/>
      <c r="F375" s="402"/>
      <c r="G375" s="409"/>
    </row>
    <row r="376" spans="1:7" ht="15" customHeight="1" x14ac:dyDescent="0.25">
      <c r="A376" s="265" t="s">
        <v>56</v>
      </c>
      <c r="B376" s="279" t="s">
        <v>44</v>
      </c>
      <c r="C376" s="280" t="s">
        <v>208</v>
      </c>
      <c r="D376" s="280" t="s">
        <v>476</v>
      </c>
      <c r="E376" s="280" t="s">
        <v>64</v>
      </c>
      <c r="F376" s="280" t="s">
        <v>65</v>
      </c>
      <c r="G376" s="280" t="s">
        <v>59</v>
      </c>
    </row>
    <row r="377" spans="1:7" ht="15" customHeight="1" x14ac:dyDescent="0.25">
      <c r="A377" s="266" t="str">
        <f>IF(B377="","",INDEX(CODIGOMATERIALES,MATCH($B377,'INSUMOS MATERIALES'!$B$7:$B$73,0)))</f>
        <v>MA032</v>
      </c>
      <c r="B377" s="281" t="s">
        <v>847</v>
      </c>
      <c r="C377" s="282" t="str">
        <f>IF(B377="","",(VLOOKUP($A377,INSUMOSMATERIALES,3,0)))</f>
        <v>UN</v>
      </c>
      <c r="D377" s="295">
        <v>1</v>
      </c>
      <c r="E377" s="283">
        <v>0.04</v>
      </c>
      <c r="F377" s="296">
        <f>IF(B377="","",(VLOOKUP($A377,INSUMOSMATERIALES,4,0)))</f>
        <v>3400</v>
      </c>
      <c r="G377" s="292">
        <f>+IFERROR(F377*D377*(1+E377),"")</f>
        <v>3536</v>
      </c>
    </row>
    <row r="378" spans="1:7" ht="15" customHeight="1" x14ac:dyDescent="0.25">
      <c r="A378" s="266" t="str">
        <f>IF(B378="","",INDEX(CODIGOMATERIALES,MATCH($B378,'INSUMOS MATERIALES'!$B$7:$B$73,0)))</f>
        <v>MA033</v>
      </c>
      <c r="B378" s="281" t="s">
        <v>848</v>
      </c>
      <c r="C378" s="282" t="str">
        <f>IF(B378="","",(VLOOKUP($A378,INSUMOSMATERIALES,3,0)))</f>
        <v>UN</v>
      </c>
      <c r="D378" s="295">
        <v>0.5</v>
      </c>
      <c r="E378" s="283">
        <v>0</v>
      </c>
      <c r="F378" s="284">
        <f>IF(B378="","",(VLOOKUP($A378,INSUMOSMATERIALES,4,0)))</f>
        <v>940</v>
      </c>
      <c r="G378" s="269">
        <f t="shared" ref="G378" si="12">+IFERROR(F378*D378*(1+E378),"")</f>
        <v>470</v>
      </c>
    </row>
    <row r="379" spans="1:7" ht="15" customHeight="1" x14ac:dyDescent="0.25">
      <c r="A379" s="272"/>
      <c r="B379" s="285"/>
      <c r="C379" s="264"/>
      <c r="D379" s="264"/>
      <c r="E379" s="274"/>
      <c r="F379" s="286" t="s">
        <v>62</v>
      </c>
      <c r="G379" s="276">
        <f>+IF(SUM(G377:G378)=0,"",SUM(G377:G378))</f>
        <v>4006</v>
      </c>
    </row>
    <row r="380" spans="1:7" ht="15" customHeight="1" x14ac:dyDescent="0.25">
      <c r="A380" s="273"/>
      <c r="B380" s="264"/>
      <c r="C380" s="264"/>
      <c r="D380" s="274"/>
      <c r="E380" s="287"/>
      <c r="F380" s="278"/>
      <c r="G380" s="272"/>
    </row>
    <row r="381" spans="1:7" ht="15" customHeight="1" x14ac:dyDescent="0.25">
      <c r="A381" s="402" t="s">
        <v>66</v>
      </c>
      <c r="B381" s="402"/>
      <c r="C381" s="402"/>
      <c r="D381" s="402"/>
      <c r="E381" s="402"/>
      <c r="F381" s="402"/>
      <c r="G381" s="402"/>
    </row>
    <row r="382" spans="1:7" ht="15" customHeight="1" x14ac:dyDescent="0.25">
      <c r="A382" s="265" t="s">
        <v>56</v>
      </c>
      <c r="B382" s="265" t="s">
        <v>44</v>
      </c>
      <c r="C382" s="265" t="s">
        <v>67</v>
      </c>
      <c r="D382" s="265" t="s">
        <v>68</v>
      </c>
      <c r="E382" s="280" t="s">
        <v>69</v>
      </c>
      <c r="F382" s="280" t="s">
        <v>57</v>
      </c>
      <c r="G382" s="280" t="s">
        <v>59</v>
      </c>
    </row>
    <row r="383" spans="1:7" ht="15" customHeight="1" x14ac:dyDescent="0.25">
      <c r="A383" s="266" t="str">
        <f>IF(B383="","",INDEX(CODIGOTRANSPORTES,MATCH(B383,'INSUMOS TRANSPORTES'!$B$7:$B$13,0)))</f>
        <v>TR001</v>
      </c>
      <c r="B383" s="281" t="s">
        <v>467</v>
      </c>
      <c r="C383" s="288" t="s">
        <v>462</v>
      </c>
      <c r="D383" s="295">
        <v>5.0000000000000001E-3</v>
      </c>
      <c r="E383" s="290">
        <f>+IF(C383=0,"",IF(C383="INSUMOS",'DATOS INICIALES'!$B$24,IF(C383="PLAYA",'DATOS INICIALES'!$B$21,IF(C383="TIERRA",'DATOS INICIALES'!$B$19,IF(C383="ESCOMBROS",'DATOS INICIALES'!$B$20,IF(C383="ASFALTO",'DATOS INICIALES'!$B$25,IF(C383="GRANULAR",'DATOS INICIALES'!B502)))))))</f>
        <v>180</v>
      </c>
      <c r="F383" s="291">
        <f>+IF(B383="","",(VLOOKUP($A383,INSUMOSTRANSPORTES,4,0)))</f>
        <v>560</v>
      </c>
      <c r="G383" s="292">
        <f>+IFERROR(D383*E383*F383,"")</f>
        <v>504</v>
      </c>
    </row>
    <row r="384" spans="1:7" ht="15" customHeight="1" x14ac:dyDescent="0.25">
      <c r="A384" s="272"/>
      <c r="B384" s="293"/>
      <c r="C384" s="264"/>
      <c r="D384" s="264"/>
      <c r="E384" s="274"/>
      <c r="F384" s="318" t="s">
        <v>62</v>
      </c>
      <c r="G384" s="294">
        <f>+IF(SUM(G383:G383)=0,"",SUM(G383:G383))</f>
        <v>504</v>
      </c>
    </row>
    <row r="385" spans="1:7" ht="15" customHeight="1" x14ac:dyDescent="0.25">
      <c r="A385" s="264"/>
      <c r="B385" s="264"/>
      <c r="C385" s="264"/>
      <c r="D385" s="274"/>
      <c r="E385" s="287"/>
      <c r="F385" s="278"/>
      <c r="G385" s="272"/>
    </row>
    <row r="386" spans="1:7" ht="15" customHeight="1" x14ac:dyDescent="0.25">
      <c r="A386" s="402" t="s">
        <v>70</v>
      </c>
      <c r="B386" s="402"/>
      <c r="C386" s="402"/>
      <c r="D386" s="402"/>
      <c r="E386" s="402"/>
      <c r="F386" s="402"/>
      <c r="G386" s="409"/>
    </row>
    <row r="387" spans="1:7" ht="15" customHeight="1" x14ac:dyDescent="0.25">
      <c r="A387" s="265" t="s">
        <v>56</v>
      </c>
      <c r="B387" s="413" t="s">
        <v>71</v>
      </c>
      <c r="C387" s="413"/>
      <c r="D387" s="280" t="s">
        <v>46</v>
      </c>
      <c r="E387" s="280" t="s">
        <v>72</v>
      </c>
      <c r="F387" s="280" t="s">
        <v>58</v>
      </c>
      <c r="G387" s="280" t="s">
        <v>59</v>
      </c>
    </row>
    <row r="388" spans="1:7" ht="15" customHeight="1" x14ac:dyDescent="0.25">
      <c r="A388" s="266" t="str">
        <f>IF(B388="","",INDEX(CODIGOSMANODEOBRA,MATCH($B388,'INSUMOS MANO DE OBRA'!$B$7:$B$61,0)))</f>
        <v>MO019</v>
      </c>
      <c r="B388" s="391" t="s">
        <v>346</v>
      </c>
      <c r="C388" s="392"/>
      <c r="D388" s="295">
        <v>1</v>
      </c>
      <c r="E388" s="296">
        <f>IF(B388="","",(VLOOKUP($A388,INSUMOSMANODEOBRA,8,0)))</f>
        <v>194075</v>
      </c>
      <c r="F388" s="289">
        <v>250</v>
      </c>
      <c r="G388" s="319">
        <f>+IFERROR(D388*E388/F388,"")</f>
        <v>776.3</v>
      </c>
    </row>
    <row r="389" spans="1:7" ht="15" customHeight="1" x14ac:dyDescent="0.25">
      <c r="A389" s="266" t="str">
        <f>IF(B389="","",INDEX(CODIGOSMANODEOBRA,MATCH($B389,'INSUMOS MANO DE OBRA'!$B$7:$B$61,0)))</f>
        <v>MO021</v>
      </c>
      <c r="B389" s="391" t="s">
        <v>348</v>
      </c>
      <c r="C389" s="392"/>
      <c r="D389" s="295">
        <v>1</v>
      </c>
      <c r="E389" s="296">
        <f>IF(B389="","",(VLOOKUP($A389,INSUMOSMANODEOBRA,8,0)))</f>
        <v>179201</v>
      </c>
      <c r="F389" s="289">
        <f>F388</f>
        <v>250</v>
      </c>
      <c r="G389" s="319">
        <f>+IFERROR(D389*E389/F389,"")</f>
        <v>716.80399999999997</v>
      </c>
    </row>
    <row r="390" spans="1:7" ht="15" customHeight="1" x14ac:dyDescent="0.25">
      <c r="A390" s="266" t="str">
        <f>IF(B390="","",INDEX(CODIGOSMANODEOBRA,MATCH($B390,'INSUMOS MANO DE OBRA'!$B$7:$B$61,0)))</f>
        <v>MO022</v>
      </c>
      <c r="B390" s="391" t="s">
        <v>349</v>
      </c>
      <c r="C390" s="392"/>
      <c r="D390" s="295">
        <v>2</v>
      </c>
      <c r="E390" s="296">
        <f>IF(B390="","",(VLOOKUP($A390,INSUMOSMANODEOBRA,8,0)))</f>
        <v>94854</v>
      </c>
      <c r="F390" s="289">
        <f>F388</f>
        <v>250</v>
      </c>
      <c r="G390" s="319">
        <f>+IFERROR(D390*E390/F390,"")</f>
        <v>758.83199999999999</v>
      </c>
    </row>
    <row r="391" spans="1:7" ht="15" customHeight="1" x14ac:dyDescent="0.25">
      <c r="A391" s="272"/>
      <c r="B391" s="273"/>
      <c r="C391" s="264"/>
      <c r="D391" s="264"/>
      <c r="E391" s="274"/>
      <c r="F391" s="275" t="s">
        <v>62</v>
      </c>
      <c r="G391" s="294">
        <f>+IF(SUM(G388:G390)=0,"",SUM(G388:G390))</f>
        <v>2251.9359999999997</v>
      </c>
    </row>
    <row r="392" spans="1:7" ht="15" customHeight="1" x14ac:dyDescent="0.25">
      <c r="A392" s="299"/>
      <c r="B392" s="264"/>
      <c r="C392" s="300"/>
      <c r="D392" s="300"/>
      <c r="E392" s="300"/>
      <c r="F392" s="278"/>
      <c r="G392" s="301"/>
    </row>
    <row r="393" spans="1:7" ht="15" customHeight="1" x14ac:dyDescent="0.25">
      <c r="A393" s="402" t="s">
        <v>76</v>
      </c>
      <c r="B393" s="402"/>
      <c r="C393" s="402"/>
      <c r="D393" s="402"/>
      <c r="E393" s="402"/>
      <c r="F393" s="402"/>
      <c r="G393" s="409"/>
    </row>
    <row r="394" spans="1:7" ht="15" customHeight="1" x14ac:dyDescent="0.25">
      <c r="A394" s="265" t="s">
        <v>56</v>
      </c>
      <c r="B394" s="413" t="s">
        <v>44</v>
      </c>
      <c r="C394" s="413"/>
      <c r="D394" s="265" t="s">
        <v>45</v>
      </c>
      <c r="E394" s="265" t="s">
        <v>46</v>
      </c>
      <c r="F394" s="265" t="s">
        <v>65</v>
      </c>
      <c r="G394" s="265" t="s">
        <v>59</v>
      </c>
    </row>
    <row r="395" spans="1:7" ht="15" customHeight="1" x14ac:dyDescent="0.25">
      <c r="A395" s="266" t="str">
        <f>IF(B395="","",INDEX(CODIGOSSERVICIOS,MATCH($B395,'INSUMOS SERVICIOS'!$B$7:$B$21,0)))</f>
        <v/>
      </c>
      <c r="B395" s="391"/>
      <c r="C395" s="392"/>
      <c r="D395" s="282" t="str">
        <f>+IF(B395="","",(VLOOKUP($A395,INSUMOSSERVICIOS,3,0)))</f>
        <v/>
      </c>
      <c r="E395" s="302"/>
      <c r="F395" s="297" t="str">
        <f>IF(B395="","",(VLOOKUP($A395,INSUMOSSERVICIOS,4,0)))</f>
        <v/>
      </c>
      <c r="G395" s="303" t="str">
        <f>+IFERROR(E395*F395,"")</f>
        <v/>
      </c>
    </row>
    <row r="396" spans="1:7" ht="15" customHeight="1" x14ac:dyDescent="0.25">
      <c r="A396" s="266" t="str">
        <f>IF(B396="","",INDEX(CÓDIGOS_SERVICIOS,MATCH($B396,'[7]INSUMOS SERVICIOS'!$B$8:$B$51,0)))</f>
        <v/>
      </c>
      <c r="B396" s="391"/>
      <c r="C396" s="392"/>
      <c r="D396" s="282" t="str">
        <f>+IF(B396="","",(VLOOKUP($A396,INSUMOS_SERVICIOS,3,0)))</f>
        <v/>
      </c>
      <c r="E396" s="302"/>
      <c r="F396" s="297" t="str">
        <f>IF(B396="","",(VLOOKUP($A396,INSUMOS_SERVICIOS,4,0)))</f>
        <v/>
      </c>
      <c r="G396" s="303" t="str">
        <f>+IFERROR(E396*F396,"")</f>
        <v/>
      </c>
    </row>
    <row r="397" spans="1:7" ht="15" customHeight="1" x14ac:dyDescent="0.25">
      <c r="A397" s="272"/>
      <c r="B397" s="273"/>
      <c r="C397" s="264"/>
      <c r="D397" s="264"/>
      <c r="E397" s="274"/>
      <c r="F397" s="304" t="s">
        <v>62</v>
      </c>
      <c r="G397" s="298" t="str">
        <f>+IF(SUM(G395:G396)=0,"",SUM(G395:G396))</f>
        <v/>
      </c>
    </row>
    <row r="398" spans="1:7" ht="15" customHeight="1" x14ac:dyDescent="0.25">
      <c r="A398" s="299"/>
      <c r="B398" s="264"/>
      <c r="C398" s="300"/>
      <c r="D398" s="300"/>
      <c r="E398" s="300"/>
      <c r="F398" s="278"/>
      <c r="G398" s="301"/>
    </row>
    <row r="399" spans="1:7" ht="15" customHeight="1" x14ac:dyDescent="0.25">
      <c r="A399" s="411" t="s">
        <v>77</v>
      </c>
      <c r="B399" s="411"/>
      <c r="C399" s="411"/>
      <c r="D399" s="411"/>
      <c r="E399" s="411"/>
      <c r="F399" s="411"/>
      <c r="G399" s="326">
        <f>IF(SUM(G373,G379,G384,G391,G397)=0,"",(ROUND(SUM(G373,G379,G384,G391,G397),0)))</f>
        <v>8385</v>
      </c>
    </row>
    <row r="400" spans="1:7" ht="15" customHeight="1" x14ac:dyDescent="0.25">
      <c r="A400" s="301"/>
      <c r="B400" s="287"/>
      <c r="C400" s="287"/>
      <c r="D400" s="287"/>
      <c r="E400" s="287"/>
      <c r="F400" s="287"/>
      <c r="G400" s="278"/>
    </row>
    <row r="401" spans="1:7" ht="15" customHeight="1" x14ac:dyDescent="0.25">
      <c r="A401" s="402" t="s">
        <v>78</v>
      </c>
      <c r="B401" s="402"/>
      <c r="C401" s="402"/>
      <c r="D401" s="402"/>
      <c r="E401" s="402"/>
      <c r="F401" s="402"/>
      <c r="G401" s="402"/>
    </row>
    <row r="402" spans="1:7" ht="15" customHeight="1" x14ac:dyDescent="0.25">
      <c r="A402" s="264"/>
      <c r="B402" s="264"/>
      <c r="C402" s="264"/>
      <c r="D402" s="264"/>
      <c r="E402" s="264"/>
      <c r="F402" s="264"/>
      <c r="G402" s="264"/>
    </row>
    <row r="403" spans="1:7" ht="15" customHeight="1" x14ac:dyDescent="0.25">
      <c r="A403" s="412" t="s">
        <v>44</v>
      </c>
      <c r="B403" s="412"/>
      <c r="C403" s="412"/>
      <c r="D403" s="412"/>
      <c r="E403" s="412"/>
      <c r="F403" s="306" t="s">
        <v>79</v>
      </c>
      <c r="G403" s="306" t="s">
        <v>48</v>
      </c>
    </row>
    <row r="404" spans="1:7" ht="15" customHeight="1" x14ac:dyDescent="0.25">
      <c r="A404" s="410" t="s">
        <v>80</v>
      </c>
      <c r="B404" s="410"/>
      <c r="C404" s="410"/>
      <c r="D404" s="410"/>
      <c r="E404" s="410"/>
      <c r="F404" s="307">
        <f ca="1">AU!$I$36</f>
        <v>0.191</v>
      </c>
      <c r="G404" s="308">
        <f ca="1">+IFERROR(G399*F404,"")</f>
        <v>1601.5350000000001</v>
      </c>
    </row>
    <row r="405" spans="1:7" ht="15" customHeight="1" x14ac:dyDescent="0.25">
      <c r="A405" s="410" t="s">
        <v>82</v>
      </c>
      <c r="B405" s="410"/>
      <c r="C405" s="410"/>
      <c r="D405" s="410"/>
      <c r="E405" s="410"/>
      <c r="F405" s="307">
        <f>IF(AU!$I$37=0,"",AU!$I$37)</f>
        <v>5.131865E-2</v>
      </c>
      <c r="G405" s="308">
        <f>+IFERROR(G399*F405,"")</f>
        <v>430.30688025000001</v>
      </c>
    </row>
    <row r="406" spans="1:7" ht="15" customHeight="1" x14ac:dyDescent="0.25">
      <c r="A406" s="393" t="s">
        <v>83</v>
      </c>
      <c r="B406" s="394"/>
      <c r="C406" s="394"/>
      <c r="D406" s="394"/>
      <c r="E406" s="394"/>
      <c r="F406" s="309">
        <f ca="1">IF(SUM(F404:F405)=0,"",SUM(F404:F405))</f>
        <v>0.24231865</v>
      </c>
      <c r="G406" s="310">
        <f ca="1">IF(SUM(G404:G405)=0,"",ROUND(SUM(G404:G405),0))</f>
        <v>2032</v>
      </c>
    </row>
    <row r="407" spans="1:7" ht="15" customHeight="1" x14ac:dyDescent="0.25">
      <c r="A407" s="301"/>
      <c r="B407" s="273"/>
      <c r="C407" s="273"/>
      <c r="D407" s="273"/>
      <c r="E407" s="395"/>
      <c r="F407" s="395"/>
      <c r="G407" s="311"/>
    </row>
    <row r="408" spans="1:7" ht="15" customHeight="1" x14ac:dyDescent="0.25">
      <c r="A408" s="396" t="s">
        <v>84</v>
      </c>
      <c r="B408" s="397"/>
      <c r="C408" s="397"/>
      <c r="D408" s="397"/>
      <c r="E408" s="397"/>
      <c r="F408" s="397"/>
      <c r="G408" s="312">
        <f ca="1">+IFERROR(ROUND(G399+G406,0),"")</f>
        <v>10417</v>
      </c>
    </row>
    <row r="409" spans="1:7" ht="15" customHeight="1" x14ac:dyDescent="0.25">
      <c r="A409" s="261"/>
      <c r="B409" s="261"/>
      <c r="C409" s="261"/>
      <c r="D409" s="261"/>
      <c r="E409" s="262"/>
      <c r="F409" s="262"/>
      <c r="G409" s="263"/>
    </row>
    <row r="410" spans="1:7" ht="15" customHeight="1" x14ac:dyDescent="0.25">
      <c r="A410" s="261"/>
      <c r="B410" s="313" t="s">
        <v>784</v>
      </c>
      <c r="C410" s="262"/>
      <c r="D410" s="314"/>
      <c r="E410" s="314"/>
      <c r="F410" s="314"/>
      <c r="G410" s="262"/>
    </row>
    <row r="411" spans="1:7" ht="15" customHeight="1" x14ac:dyDescent="0.25">
      <c r="A411" s="261"/>
      <c r="B411" s="313" t="s">
        <v>785</v>
      </c>
      <c r="C411" s="263"/>
      <c r="D411" s="398" t="s">
        <v>85</v>
      </c>
      <c r="E411" s="398"/>
      <c r="F411" s="398"/>
      <c r="G411" s="263"/>
    </row>
  </sheetData>
  <protectedRanges>
    <protectedRange sqref="B43:C44 E43:E44 B102:C103 A8 B23:B26 A68 A127 B83:B85 B368:C371 A187 A240 F246:F250 B256:B257 A299 E336:E338 B90:D90 B336:C338 E162:E163 A362 F388:F390 B150:D150 B142:B145 B205:D205 D200:E200 B193:C194 B377:B378 E102:E103 D142:E145 B215:C216 E215:E216 B329:D331 B274:C275 B383:D383 B246:C250 E274:E275 F14:F17 D83:E85 B388:D390 B162:C163 B324:D324 B395:C396 E395:E396 B14:C17 D377:E378 D23:E26 B31:D31 F36:F38 B36:D38 B74:C77 B133:C136 F193:F194 F74:F77 F133:F136 D256:E257 B262:D262 F95:F97 B95:D97 F155:F157 B155:D157 B210:D210 B200 F267:F269 B267:D269 F368:F371 B305:C308 F305:F308 D314:E319 B314:B319 F329:F331 F210" name="Rango1"/>
  </protectedRanges>
  <mergeCells count="264">
    <mergeCell ref="A381:G381"/>
    <mergeCell ref="A386:G386"/>
    <mergeCell ref="B387:C387"/>
    <mergeCell ref="B388:C388"/>
    <mergeCell ref="B390:C390"/>
    <mergeCell ref="A393:G393"/>
    <mergeCell ref="B394:C394"/>
    <mergeCell ref="B395:C395"/>
    <mergeCell ref="E407:F407"/>
    <mergeCell ref="A408:F408"/>
    <mergeCell ref="D411:F411"/>
    <mergeCell ref="B396:C396"/>
    <mergeCell ref="A399:F399"/>
    <mergeCell ref="A401:G401"/>
    <mergeCell ref="A403:E403"/>
    <mergeCell ref="A404:E404"/>
    <mergeCell ref="A405:E405"/>
    <mergeCell ref="A406:E406"/>
    <mergeCell ref="A225:E225"/>
    <mergeCell ref="A226:E226"/>
    <mergeCell ref="E227:F227"/>
    <mergeCell ref="A228:F228"/>
    <mergeCell ref="D231:F231"/>
    <mergeCell ref="B214:C214"/>
    <mergeCell ref="B215:C215"/>
    <mergeCell ref="B216:C216"/>
    <mergeCell ref="A219:F219"/>
    <mergeCell ref="A221:G221"/>
    <mergeCell ref="A355:E355"/>
    <mergeCell ref="F355:G359"/>
    <mergeCell ref="A356:E356"/>
    <mergeCell ref="A357:E357"/>
    <mergeCell ref="A358:E358"/>
    <mergeCell ref="A359:E359"/>
    <mergeCell ref="A360:E360"/>
    <mergeCell ref="F360:G360"/>
    <mergeCell ref="B361:D361"/>
    <mergeCell ref="A12:G12"/>
    <mergeCell ref="B13:C13"/>
    <mergeCell ref="B14:C14"/>
    <mergeCell ref="A6:E6"/>
    <mergeCell ref="F6:G6"/>
    <mergeCell ref="B7:D7"/>
    <mergeCell ref="B8:D8"/>
    <mergeCell ref="A10:G10"/>
    <mergeCell ref="A1:E1"/>
    <mergeCell ref="F1:G5"/>
    <mergeCell ref="A2:E2"/>
    <mergeCell ref="A3:E3"/>
    <mergeCell ref="A4:E4"/>
    <mergeCell ref="A5:E5"/>
    <mergeCell ref="A70:G70"/>
    <mergeCell ref="A61:E61"/>
    <mergeCell ref="F61:G65"/>
    <mergeCell ref="A62:E62"/>
    <mergeCell ref="A63:E63"/>
    <mergeCell ref="A64:E64"/>
    <mergeCell ref="A65:E65"/>
    <mergeCell ref="A233:E233"/>
    <mergeCell ref="B17:C17"/>
    <mergeCell ref="B18:C18"/>
    <mergeCell ref="A21:G21"/>
    <mergeCell ref="A29:G29"/>
    <mergeCell ref="A34:G34"/>
    <mergeCell ref="A53:E53"/>
    <mergeCell ref="A54:E54"/>
    <mergeCell ref="E55:F55"/>
    <mergeCell ref="A56:F56"/>
    <mergeCell ref="D59:F59"/>
    <mergeCell ref="A47:F47"/>
    <mergeCell ref="A49:G49"/>
    <mergeCell ref="A51:E51"/>
    <mergeCell ref="A52:E52"/>
    <mergeCell ref="A41:G41"/>
    <mergeCell ref="B42:C42"/>
    <mergeCell ref="A100:G100"/>
    <mergeCell ref="B101:C101"/>
    <mergeCell ref="B102:C102"/>
    <mergeCell ref="B103:C103"/>
    <mergeCell ref="B43:C43"/>
    <mergeCell ref="B44:C44"/>
    <mergeCell ref="B35:C35"/>
    <mergeCell ref="B36:C36"/>
    <mergeCell ref="B38:C38"/>
    <mergeCell ref="B94:C94"/>
    <mergeCell ref="B95:C95"/>
    <mergeCell ref="B97:C97"/>
    <mergeCell ref="B77:C77"/>
    <mergeCell ref="B78:C78"/>
    <mergeCell ref="A81:G81"/>
    <mergeCell ref="A88:G88"/>
    <mergeCell ref="A93:G93"/>
    <mergeCell ref="A72:G72"/>
    <mergeCell ref="B73:C73"/>
    <mergeCell ref="B74:C74"/>
    <mergeCell ref="A66:E66"/>
    <mergeCell ref="F66:G66"/>
    <mergeCell ref="B67:D67"/>
    <mergeCell ref="B68:D68"/>
    <mergeCell ref="A112:E112"/>
    <mergeCell ref="A113:E113"/>
    <mergeCell ref="E114:F114"/>
    <mergeCell ref="A115:F115"/>
    <mergeCell ref="D118:F118"/>
    <mergeCell ref="A106:F106"/>
    <mergeCell ref="A108:G108"/>
    <mergeCell ref="A110:E110"/>
    <mergeCell ref="A111:E111"/>
    <mergeCell ref="A125:E125"/>
    <mergeCell ref="F125:G125"/>
    <mergeCell ref="B126:D126"/>
    <mergeCell ref="B127:D127"/>
    <mergeCell ref="A129:G129"/>
    <mergeCell ref="A120:E120"/>
    <mergeCell ref="F120:G124"/>
    <mergeCell ref="A121:E121"/>
    <mergeCell ref="A122:E122"/>
    <mergeCell ref="A123:E123"/>
    <mergeCell ref="A124:E124"/>
    <mergeCell ref="B157:C157"/>
    <mergeCell ref="B137:C137"/>
    <mergeCell ref="A140:G140"/>
    <mergeCell ref="A148:G148"/>
    <mergeCell ref="A153:G153"/>
    <mergeCell ref="A131:G131"/>
    <mergeCell ref="B132:C132"/>
    <mergeCell ref="B133:C133"/>
    <mergeCell ref="B136:C136"/>
    <mergeCell ref="A223:E223"/>
    <mergeCell ref="A224:E224"/>
    <mergeCell ref="A180:E180"/>
    <mergeCell ref="F180:G184"/>
    <mergeCell ref="A181:E181"/>
    <mergeCell ref="A182:E182"/>
    <mergeCell ref="A183:E183"/>
    <mergeCell ref="A184:E184"/>
    <mergeCell ref="A185:E185"/>
    <mergeCell ref="F185:G185"/>
    <mergeCell ref="B186:D186"/>
    <mergeCell ref="B187:D187"/>
    <mergeCell ref="A189:G189"/>
    <mergeCell ref="A191:G191"/>
    <mergeCell ref="B192:C192"/>
    <mergeCell ref="B195:C195"/>
    <mergeCell ref="A198:G198"/>
    <mergeCell ref="A203:G203"/>
    <mergeCell ref="A208:G208"/>
    <mergeCell ref="B209:C209"/>
    <mergeCell ref="A213:G213"/>
    <mergeCell ref="A296:E296"/>
    <mergeCell ref="A234:E234"/>
    <mergeCell ref="A235:E235"/>
    <mergeCell ref="A236:E236"/>
    <mergeCell ref="A237:E237"/>
    <mergeCell ref="A238:E238"/>
    <mergeCell ref="F238:G238"/>
    <mergeCell ref="B239:D239"/>
    <mergeCell ref="B249:C249"/>
    <mergeCell ref="F233:G237"/>
    <mergeCell ref="B240:D240"/>
    <mergeCell ref="A242:G242"/>
    <mergeCell ref="A244:G244"/>
    <mergeCell ref="B245:C245"/>
    <mergeCell ref="B246:C246"/>
    <mergeCell ref="B251:C251"/>
    <mergeCell ref="A254:G254"/>
    <mergeCell ref="A260:G260"/>
    <mergeCell ref="E286:F286"/>
    <mergeCell ref="A327:G327"/>
    <mergeCell ref="B328:C328"/>
    <mergeCell ref="B329:C329"/>
    <mergeCell ref="B298:D298"/>
    <mergeCell ref="B299:D299"/>
    <mergeCell ref="A301:G301"/>
    <mergeCell ref="A303:G303"/>
    <mergeCell ref="B304:C304"/>
    <mergeCell ref="A265:G265"/>
    <mergeCell ref="B266:C266"/>
    <mergeCell ref="B267:C267"/>
    <mergeCell ref="B269:C269"/>
    <mergeCell ref="A272:G272"/>
    <mergeCell ref="B273:C273"/>
    <mergeCell ref="B274:C274"/>
    <mergeCell ref="A297:E297"/>
    <mergeCell ref="F297:G297"/>
    <mergeCell ref="A287:F287"/>
    <mergeCell ref="D290:F290"/>
    <mergeCell ref="A292:E292"/>
    <mergeCell ref="F292:G296"/>
    <mergeCell ref="A293:E293"/>
    <mergeCell ref="A294:E294"/>
    <mergeCell ref="A295:E295"/>
    <mergeCell ref="B368:C368"/>
    <mergeCell ref="B372:C372"/>
    <mergeCell ref="A375:G375"/>
    <mergeCell ref="B389:C389"/>
    <mergeCell ref="A347:E347"/>
    <mergeCell ref="B275:C275"/>
    <mergeCell ref="A278:F278"/>
    <mergeCell ref="A280:G280"/>
    <mergeCell ref="A282:E282"/>
    <mergeCell ref="A283:E283"/>
    <mergeCell ref="A284:E284"/>
    <mergeCell ref="A285:E285"/>
    <mergeCell ref="A334:G334"/>
    <mergeCell ref="B335:C335"/>
    <mergeCell ref="B336:C336"/>
    <mergeCell ref="B337:C337"/>
    <mergeCell ref="B338:C338"/>
    <mergeCell ref="A341:F341"/>
    <mergeCell ref="A343:G343"/>
    <mergeCell ref="A345:E345"/>
    <mergeCell ref="A346:E346"/>
    <mergeCell ref="B309:C309"/>
    <mergeCell ref="A312:G312"/>
    <mergeCell ref="A322:G322"/>
    <mergeCell ref="B247:C247"/>
    <mergeCell ref="B248:C248"/>
    <mergeCell ref="B305:C305"/>
    <mergeCell ref="B308:C308"/>
    <mergeCell ref="B369:C369"/>
    <mergeCell ref="B370:C370"/>
    <mergeCell ref="B371:C371"/>
    <mergeCell ref="B96:C96"/>
    <mergeCell ref="B156:C156"/>
    <mergeCell ref="B210:C210"/>
    <mergeCell ref="B268:C268"/>
    <mergeCell ref="B331:C331"/>
    <mergeCell ref="B250:C250"/>
    <mergeCell ref="B306:C306"/>
    <mergeCell ref="B307:C307"/>
    <mergeCell ref="B330:C330"/>
    <mergeCell ref="A348:E348"/>
    <mergeCell ref="E349:F349"/>
    <mergeCell ref="A350:F350"/>
    <mergeCell ref="D353:F353"/>
    <mergeCell ref="B362:D362"/>
    <mergeCell ref="A364:G364"/>
    <mergeCell ref="A366:G366"/>
    <mergeCell ref="B367:C367"/>
    <mergeCell ref="B15:C15"/>
    <mergeCell ref="B16:C16"/>
    <mergeCell ref="B37:C37"/>
    <mergeCell ref="B75:C75"/>
    <mergeCell ref="B76:C76"/>
    <mergeCell ref="B134:C134"/>
    <mergeCell ref="B135:C135"/>
    <mergeCell ref="B193:C193"/>
    <mergeCell ref="B194:C194"/>
    <mergeCell ref="A172:E172"/>
    <mergeCell ref="A173:E173"/>
    <mergeCell ref="E174:F174"/>
    <mergeCell ref="A175:F175"/>
    <mergeCell ref="D178:F178"/>
    <mergeCell ref="A166:F166"/>
    <mergeCell ref="A168:G168"/>
    <mergeCell ref="A170:E170"/>
    <mergeCell ref="A171:E171"/>
    <mergeCell ref="A160:G160"/>
    <mergeCell ref="B161:C161"/>
    <mergeCell ref="B162:C162"/>
    <mergeCell ref="B163:C163"/>
    <mergeCell ref="B154:C154"/>
    <mergeCell ref="B155:C155"/>
  </mergeCells>
  <phoneticPr fontId="35" type="noConversion"/>
  <dataValidations count="1">
    <dataValidation type="list" allowBlank="1" showInputMessage="1" showErrorMessage="1" sqref="C150 C262 C324 C31 C90 C205 C383" xr:uid="{00000000-0002-0000-0400-000000000000}">
      <formula1>"INSUMOS,TIERRA,ESCOMBROS,PLAYA,GRANULAR,ASFALTO"</formula1>
    </dataValidation>
  </dataValidations>
  <pageMargins left="0.7" right="0.7" top="0.75" bottom="0.75" header="0.3" footer="0.3"/>
  <pageSetup scale="76" fitToHeight="0" orientation="portrait" horizontalDpi="4294967292" r:id="rId1"/>
  <rowBreaks count="6" manualBreakCount="6">
    <brk id="60" max="16383" man="1"/>
    <brk id="119" max="6" man="1"/>
    <brk id="179" max="16383" man="1"/>
    <brk id="232" max="16383" man="1"/>
    <brk id="291" max="16383" man="1"/>
    <brk id="354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400-000009000000}">
          <x14:formula1>
            <xm:f>'INSUMOS EQUIPOS'!$B$8:$B$39</xm:f>
          </x14:formula1>
          <xm:sqref>B14:C17 B133:C136 B74:C77 B368:C371 B246:C250 B305:C308 B193:C194</xm:sqref>
        </x14:dataValidation>
        <x14:dataValidation type="list" allowBlank="1" showInputMessage="1" showErrorMessage="1" xr:uid="{00000000-0002-0000-0400-00000A000000}">
          <x14:formula1>
            <xm:f>'INSUMOS TRANSPORTES'!$B$8:$B$13</xm:f>
          </x14:formula1>
          <xm:sqref>B31 B90 B150 B205 B262 B324 B383</xm:sqref>
        </x14:dataValidation>
        <x14:dataValidation type="list" allowBlank="1" showInputMessage="1" showErrorMessage="1" xr:uid="{00000000-0002-0000-0400-00000B000000}">
          <x14:formula1>
            <xm:f>'INSUMOS MANO DE OBRA'!$B$8:$B$61</xm:f>
          </x14:formula1>
          <xm:sqref>B36:C38 B95:C97 B155:C157 B267:C269 B388:C390 B329:C331 B210:C210</xm:sqref>
        </x14:dataValidation>
        <x14:dataValidation type="list" allowBlank="1" showInputMessage="1" showErrorMessage="1" xr:uid="{00000000-0002-0000-0400-00000C000000}">
          <x14:formula1>
            <xm:f>'INSUMOS SERVICIOS'!$B$8:$B$21</xm:f>
          </x14:formula1>
          <xm:sqref>B43:C43 B102:C102 B162:C162 B215:C215 B274:C274 B336:C337 B395:C395</xm:sqref>
        </x14:dataValidation>
        <x14:dataValidation type="list" allowBlank="1" showInputMessage="1" showErrorMessage="1" xr:uid="{00000000-0002-0000-0400-00000F000000}">
          <x14:formula1>
            <xm:f>'INSUMOS MATERIALES'!$B$9:$B$51</xm:f>
          </x14:formula1>
          <xm:sqref>B142:B145 B256 B83 B200 B314:B319</xm:sqref>
        </x14:dataValidation>
        <x14:dataValidation type="list" allowBlank="1" showInputMessage="1" showErrorMessage="1" xr:uid="{00000000-0002-0000-0400-000010000000}">
          <x14:formula1>
            <xm:f>'INSUMOS MATERIALES'!$B$30:$B$52</xm:f>
          </x14:formula1>
          <xm:sqref>B257 B84:B85</xm:sqref>
        </x14:dataValidation>
        <x14:dataValidation type="list" allowBlank="1" showInputMessage="1" showErrorMessage="1" xr:uid="{00000000-0002-0000-0400-000018000000}">
          <x14:formula1>
            <xm:f>'INSUMOS MATERIALES'!$B$7:$B$82</xm:f>
          </x14:formula1>
          <xm:sqref>B377:B378</xm:sqref>
        </x14:dataValidation>
        <x14:dataValidation type="list" allowBlank="1" showInputMessage="1" showErrorMessage="1" xr:uid="{00000000-0002-0000-0400-00001F000000}">
          <x14:formula1>
            <xm:f>'INSUMOS MATERIALES'!$B$9:$B$58</xm:f>
          </x14:formula1>
          <xm:sqref>B23:B26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55"/>
  <sheetViews>
    <sheetView view="pageBreakPreview" zoomScale="85" zoomScaleNormal="60" zoomScaleSheetLayoutView="85" workbookViewId="0">
      <pane ySplit="7" topLeftCell="A26" activePane="bottomLeft" state="frozen"/>
      <selection pane="bottomLeft" activeCell="G41" sqref="G41"/>
    </sheetView>
  </sheetViews>
  <sheetFormatPr baseColWidth="10" defaultRowHeight="15" x14ac:dyDescent="0.25"/>
  <cols>
    <col min="2" max="2" width="15.7109375" customWidth="1"/>
    <col min="3" max="3" width="39.28515625" customWidth="1"/>
    <col min="4" max="4" width="10.5703125" customWidth="1"/>
    <col min="5" max="5" width="18.28515625" style="118" customWidth="1"/>
    <col min="6" max="6" width="16.5703125" style="118" bestFit="1" customWidth="1"/>
    <col min="9" max="9" width="17" customWidth="1"/>
    <col min="12" max="12" width="15.42578125" bestFit="1" customWidth="1"/>
  </cols>
  <sheetData>
    <row r="1" spans="1:12" ht="26.25" x14ac:dyDescent="0.25">
      <c r="A1" s="437" t="s">
        <v>0</v>
      </c>
      <c r="B1" s="437"/>
      <c r="C1" s="437"/>
      <c r="D1" s="437"/>
      <c r="E1" s="437"/>
      <c r="F1" s="437"/>
      <c r="G1" s="438" t="s">
        <v>51</v>
      </c>
      <c r="H1" s="438"/>
      <c r="I1" s="439"/>
    </row>
    <row r="2" spans="1:12" ht="21" x14ac:dyDescent="0.25">
      <c r="A2" s="444" t="str">
        <f>'DATOS INICIALES'!B2</f>
        <v>MUNICIPIO DE DABEIBA</v>
      </c>
      <c r="B2" s="444"/>
      <c r="C2" s="444"/>
      <c r="D2" s="444"/>
      <c r="E2" s="444"/>
      <c r="F2" s="444"/>
      <c r="G2" s="440"/>
      <c r="H2" s="440"/>
      <c r="I2" s="441"/>
    </row>
    <row r="3" spans="1:12" ht="46.15" customHeight="1" x14ac:dyDescent="0.25">
      <c r="A3" s="445" t="str">
        <f>'DATOS INICIALES'!B3</f>
        <v>REPOSICIÓN, AMPLIACIÓN Y REPARACIÓN DE LUMINARIAS QUE HACEN PARTE DE LA RED DE ALUMBRADOPÚBLICO DEL PARQUE PRINCIPAL Y CORREGIMIENTO SAN JOSÉ DE URAMA DEL MUNICIPIO DE DABEIBA.</v>
      </c>
      <c r="B3" s="445"/>
      <c r="C3" s="445"/>
      <c r="D3" s="445"/>
      <c r="E3" s="445"/>
      <c r="F3" s="445"/>
      <c r="G3" s="440"/>
      <c r="H3" s="440"/>
      <c r="I3" s="441"/>
    </row>
    <row r="4" spans="1:12" ht="9" customHeight="1" x14ac:dyDescent="0.25">
      <c r="A4" s="16"/>
      <c r="B4" s="4"/>
      <c r="C4" s="4"/>
      <c r="D4" s="4"/>
      <c r="E4" s="145"/>
      <c r="F4" s="145"/>
      <c r="G4" s="440"/>
      <c r="H4" s="440"/>
      <c r="I4" s="441"/>
    </row>
    <row r="5" spans="1:12" x14ac:dyDescent="0.25">
      <c r="A5" s="449" t="s">
        <v>483</v>
      </c>
      <c r="B5" s="449"/>
      <c r="C5" s="449"/>
      <c r="D5" s="449"/>
      <c r="E5" s="449"/>
      <c r="F5" s="449"/>
      <c r="G5" s="442"/>
      <c r="H5" s="442"/>
      <c r="I5" s="443"/>
    </row>
    <row r="6" spans="1:12" ht="7.15" customHeight="1" x14ac:dyDescent="0.25"/>
    <row r="7" spans="1:12" x14ac:dyDescent="0.25">
      <c r="A7" s="81" t="s">
        <v>42</v>
      </c>
      <c r="B7" s="81" t="s">
        <v>56</v>
      </c>
      <c r="C7" s="81" t="s">
        <v>44</v>
      </c>
      <c r="D7" s="81" t="s">
        <v>476</v>
      </c>
      <c r="E7" s="158" t="s">
        <v>477</v>
      </c>
      <c r="F7" s="158" t="s">
        <v>478</v>
      </c>
      <c r="G7" s="81" t="s">
        <v>479</v>
      </c>
      <c r="H7" s="81" t="s">
        <v>480</v>
      </c>
      <c r="I7" s="154" t="s">
        <v>481</v>
      </c>
      <c r="J7" s="157"/>
    </row>
    <row r="8" spans="1:12" x14ac:dyDescent="0.25">
      <c r="A8" s="22">
        <v>1</v>
      </c>
      <c r="B8" s="155" t="s">
        <v>482</v>
      </c>
      <c r="C8" s="155"/>
      <c r="D8" s="155"/>
      <c r="E8" s="159"/>
      <c r="F8" s="159"/>
      <c r="G8" s="155"/>
      <c r="H8" s="155"/>
      <c r="I8" s="156">
        <f>IF(SUM(I9:I10)=0,"",SUM(I9:I10))</f>
        <v>234000</v>
      </c>
      <c r="J8" s="157"/>
    </row>
    <row r="9" spans="1:12" x14ac:dyDescent="0.25">
      <c r="A9" s="127" t="s">
        <v>50</v>
      </c>
      <c r="B9" s="127" t="str">
        <f>IF(C9="","",INDEX(CODIGOSMANODEOBRA,MATCH($C9,'INSUMOS MANO DE OBRA'!$B$7:$B$61,0)))</f>
        <v>MO003</v>
      </c>
      <c r="C9" s="161" t="s">
        <v>333</v>
      </c>
      <c r="D9" s="167">
        <v>1</v>
      </c>
      <c r="E9" s="130">
        <f>IF(C9="","",IFERROR(VLOOKUP($B9,INSUMOSMANODEOBRA,4,0),""))</f>
        <v>5200000</v>
      </c>
      <c r="F9" s="163">
        <f>IF(C9="","",IFERROR(ROUND((VLOOKUP($B9,INSUMOSMANODEOBRA,5,0)-1)*E9,0),""))</f>
        <v>2600000</v>
      </c>
      <c r="G9" s="232">
        <v>0.01</v>
      </c>
      <c r="H9" s="167">
        <v>3</v>
      </c>
      <c r="I9" s="130">
        <f>+IF(D9=0,"",IFERROR(D9*(E9+F9)*G9*H9,""))</f>
        <v>234000</v>
      </c>
      <c r="J9" s="157"/>
    </row>
    <row r="10" spans="1:12" x14ac:dyDescent="0.25">
      <c r="A10" s="127" t="s">
        <v>484</v>
      </c>
      <c r="B10" s="127" t="str">
        <f>IF(C10="","",INDEX(CODIGOSMANODEOBRA,MATCH($C10,'INSUMOS MANO DE OBRA'!$B$7:$B$61,0)))</f>
        <v/>
      </c>
      <c r="C10" s="161"/>
      <c r="D10" s="167"/>
      <c r="E10" s="130" t="str">
        <f>IF(C10="","",IFERROR(VLOOKUP($B10,INSUMOSMANODEOBRA,4,0),""))</f>
        <v/>
      </c>
      <c r="F10" s="163" t="str">
        <f>IF(C10="","",IFERROR(ROUND((VLOOKUP($B10,INSUMOSMANODEOBRA,5,0)-1)*E10,0),""))</f>
        <v/>
      </c>
      <c r="G10" s="166"/>
      <c r="H10" s="167"/>
      <c r="I10" s="130" t="str">
        <f>+IF(D10=0,"",IFERROR(D10*(E10+F10)*G10*H10,""))</f>
        <v/>
      </c>
      <c r="J10" s="157"/>
    </row>
    <row r="11" spans="1:12" x14ac:dyDescent="0.25">
      <c r="A11" s="22">
        <v>2</v>
      </c>
      <c r="B11" s="435" t="s">
        <v>485</v>
      </c>
      <c r="C11" s="435"/>
      <c r="D11" s="435"/>
      <c r="E11" s="435"/>
      <c r="F11" s="435"/>
      <c r="G11" s="435"/>
      <c r="H11" s="436"/>
      <c r="I11" s="156" t="str">
        <f>IF(SUM(I12:I12)=0,"",SUM(I12:I12))</f>
        <v/>
      </c>
      <c r="J11" s="157"/>
      <c r="L11" s="209"/>
    </row>
    <row r="12" spans="1:12" x14ac:dyDescent="0.25">
      <c r="A12" s="127" t="s">
        <v>486</v>
      </c>
      <c r="B12" s="160"/>
      <c r="C12" s="161"/>
      <c r="D12" s="168">
        <f>+IF(SUM(D9:D10)=0,"",SUM(D9:D10))</f>
        <v>1</v>
      </c>
      <c r="E12" s="164"/>
      <c r="F12" s="130"/>
      <c r="G12" s="160"/>
      <c r="H12" s="167"/>
      <c r="I12" s="130">
        <f>+IFERROR(D12*E12*H12,"")</f>
        <v>0</v>
      </c>
      <c r="J12" s="157"/>
    </row>
    <row r="13" spans="1:12" x14ac:dyDescent="0.25">
      <c r="A13" s="22">
        <v>3</v>
      </c>
      <c r="B13" s="435" t="s">
        <v>487</v>
      </c>
      <c r="C13" s="435"/>
      <c r="D13" s="435"/>
      <c r="E13" s="435"/>
      <c r="F13" s="435"/>
      <c r="G13" s="435"/>
      <c r="H13" s="436"/>
      <c r="I13" s="156">
        <f>IF(SUM(I14:I17)=0,"",SUM(I14:I17))</f>
        <v>168870</v>
      </c>
      <c r="J13" s="157"/>
    </row>
    <row r="14" spans="1:12" x14ac:dyDescent="0.25">
      <c r="A14" s="127" t="s">
        <v>488</v>
      </c>
      <c r="B14" s="127" t="str">
        <f>IF(C14="","",INDEX(CODIGOSMANODEOBRA,MATCH($C14,'INSUMOS MANO DE OBRA'!$B$7:$B$61,0)))</f>
        <v>MO010</v>
      </c>
      <c r="C14" s="161" t="s">
        <v>340</v>
      </c>
      <c r="D14" s="167">
        <v>1</v>
      </c>
      <c r="E14" s="130">
        <f>IF(C14="","",IFERROR(VLOOKUP($B14,INSUMOSMANODEOBRA,4,0),""))</f>
        <v>5980000</v>
      </c>
      <c r="F14" s="130">
        <f>IF(C14="","",IFERROR(ROUND((VLOOKUP($B14,INSUMOSMANODEOBRA,5,0)-1)*E14,0),""))</f>
        <v>2990000</v>
      </c>
      <c r="G14" s="232">
        <v>5.0000000000000001E-3</v>
      </c>
      <c r="H14" s="85">
        <v>3</v>
      </c>
      <c r="I14" s="331">
        <f>+IF(D14=0,"",IFERROR(D14*(E14+F14)*G14*H14,""))</f>
        <v>134550</v>
      </c>
      <c r="J14" s="157"/>
    </row>
    <row r="15" spans="1:12" x14ac:dyDescent="0.25">
      <c r="A15" s="127">
        <v>3.2</v>
      </c>
      <c r="B15" s="127" t="str">
        <f>IF(C15="","",INDEX(CODIGOSMANODEOBRA,MATCH($C15,'INSUMOS MANO DE OBRA'!$B$7:$B$61,0)))</f>
        <v>MO013</v>
      </c>
      <c r="C15" s="161" t="s">
        <v>343</v>
      </c>
      <c r="D15" s="167">
        <v>1</v>
      </c>
      <c r="E15" s="130">
        <f>IF(C15="","",IFERROR(VLOOKUP($B15,INSUMOSMANODEOBRA,4,0),""))</f>
        <v>1300000</v>
      </c>
      <c r="F15" s="130">
        <f>IF(C15="","",IFERROR(ROUND((VLOOKUP($B15,INSUMOSMANODEOBRA,5,0)-1)*E15,0),""))</f>
        <v>988000</v>
      </c>
      <c r="G15" s="232">
        <v>5.0000000000000001E-3</v>
      </c>
      <c r="H15" s="85">
        <v>3</v>
      </c>
      <c r="I15" s="331">
        <f>+IF(D15=0,"",IFERROR(D15*(E15+F15)*G15*H15,""))</f>
        <v>34320</v>
      </c>
      <c r="J15" s="157"/>
    </row>
    <row r="16" spans="1:12" x14ac:dyDescent="0.25">
      <c r="A16" s="127">
        <v>3.3</v>
      </c>
      <c r="B16" s="160"/>
      <c r="C16" s="160"/>
      <c r="D16" s="165"/>
      <c r="E16" s="164"/>
      <c r="F16" s="130"/>
      <c r="G16" s="166"/>
      <c r="H16" s="165"/>
      <c r="I16" s="128" t="str">
        <f>+IF(D16=0,"",IFERROR(D16*(E16+F16)*G16*H16,""))</f>
        <v/>
      </c>
      <c r="J16" s="157"/>
    </row>
    <row r="17" spans="1:10" x14ac:dyDescent="0.25">
      <c r="A17" s="127">
        <v>3.4</v>
      </c>
      <c r="B17" s="160"/>
      <c r="C17" s="160"/>
      <c r="D17" s="165"/>
      <c r="E17" s="164"/>
      <c r="F17" s="130"/>
      <c r="G17" s="166"/>
      <c r="H17" s="165"/>
      <c r="I17" s="128" t="str">
        <f>+IF(D17=0,"",IFERROR(D17*(E17+F17)*G17*H17,""))</f>
        <v/>
      </c>
      <c r="J17" s="157"/>
    </row>
    <row r="18" spans="1:10" x14ac:dyDescent="0.25">
      <c r="A18" s="22">
        <v>4</v>
      </c>
      <c r="B18" s="446" t="s">
        <v>494</v>
      </c>
      <c r="C18" s="447"/>
      <c r="D18" s="447"/>
      <c r="E18" s="447"/>
      <c r="F18" s="447"/>
      <c r="G18" s="447"/>
      <c r="H18" s="448"/>
      <c r="I18" s="156" t="str">
        <f>IF(SUM(I19:I20)=0,"",SUM(I19:I20))</f>
        <v/>
      </c>
      <c r="J18" s="157"/>
    </row>
    <row r="19" spans="1:10" x14ac:dyDescent="0.25">
      <c r="A19" s="169" t="s">
        <v>489</v>
      </c>
      <c r="B19" s="169" t="str">
        <f>IF(C19="","",INDEX(CODIGOSSERVICIOS,MATCH($C19,'INSUMOS SERVICIOS'!$B$7:$B$21,0)))</f>
        <v/>
      </c>
      <c r="C19" s="172"/>
      <c r="D19" s="170"/>
      <c r="E19" s="171"/>
      <c r="F19" s="171"/>
      <c r="G19" s="173"/>
      <c r="H19" s="173"/>
      <c r="I19" s="171" t="str">
        <f>IF(D19=0,"",IFERROR(D19*E19,""))</f>
        <v/>
      </c>
      <c r="J19" s="157"/>
    </row>
    <row r="20" spans="1:10" x14ac:dyDescent="0.25">
      <c r="A20" s="169" t="s">
        <v>490</v>
      </c>
      <c r="B20" s="169" t="str">
        <f>IF(C20="","",INDEX(CODIGOSSERVICIOS,MATCH($C20,'INSUMOS SERVICIOS'!$B$7:$B$21,0)))</f>
        <v/>
      </c>
      <c r="C20" s="172"/>
      <c r="D20" s="170"/>
      <c r="E20" s="171"/>
      <c r="F20" s="171"/>
      <c r="G20" s="173"/>
      <c r="H20" s="173"/>
      <c r="I20" s="171" t="str">
        <f>IF(D20=0,"",IFERROR(D20*E20,""))</f>
        <v/>
      </c>
      <c r="J20" s="157"/>
    </row>
    <row r="21" spans="1:10" x14ac:dyDescent="0.25">
      <c r="A21" s="22">
        <v>5</v>
      </c>
      <c r="B21" s="435" t="s">
        <v>495</v>
      </c>
      <c r="C21" s="435"/>
      <c r="D21" s="435"/>
      <c r="E21" s="435"/>
      <c r="F21" s="435"/>
      <c r="G21" s="435"/>
      <c r="H21" s="436"/>
      <c r="I21" s="156" t="str">
        <f>IF(SUM(I22)=0,"",SUM(I22))</f>
        <v/>
      </c>
      <c r="J21" s="157"/>
    </row>
    <row r="22" spans="1:10" x14ac:dyDescent="0.25">
      <c r="A22" s="127" t="s">
        <v>491</v>
      </c>
      <c r="B22" s="127" t="str">
        <f>IF(C22="","",INDEX(CODIGOMATERIALES,MATCH($C22,'INSUMOS MATERIALES'!$B$7:$B$51,0)))</f>
        <v/>
      </c>
      <c r="C22" s="161"/>
      <c r="D22" s="167"/>
      <c r="E22" s="128" t="str">
        <f>IF(C22="","",(VLOOKUP($B22,INSUMOSMATERIALES,4,0)))</f>
        <v/>
      </c>
      <c r="F22" s="130"/>
      <c r="G22" s="160"/>
      <c r="H22" s="160"/>
      <c r="I22" s="130" t="str">
        <f>IF(D22=0,"",IFERROR(D22*E22,""))</f>
        <v/>
      </c>
      <c r="J22" s="157"/>
    </row>
    <row r="23" spans="1:10" x14ac:dyDescent="0.25">
      <c r="A23" s="22">
        <v>6</v>
      </c>
      <c r="B23" s="435" t="s">
        <v>496</v>
      </c>
      <c r="C23" s="435"/>
      <c r="D23" s="435"/>
      <c r="E23" s="435"/>
      <c r="F23" s="435"/>
      <c r="G23" s="435"/>
      <c r="H23" s="436"/>
      <c r="I23" s="156">
        <f ca="1">IF(SUM(I24:I31)=0,"",SUM(I24:I31))</f>
        <v>5029751.8948043091</v>
      </c>
      <c r="J23" s="157"/>
    </row>
    <row r="24" spans="1:10" x14ac:dyDescent="0.25">
      <c r="A24" s="127" t="s">
        <v>492</v>
      </c>
      <c r="B24" s="160"/>
      <c r="C24" s="160" t="s">
        <v>497</v>
      </c>
      <c r="D24" s="160"/>
      <c r="E24" s="130"/>
      <c r="F24" s="130"/>
      <c r="G24" s="160"/>
      <c r="H24" s="160"/>
      <c r="I24" s="202">
        <f ca="1">IF('POLIZAS OBRA'!$G$21=0,"",'POLIZAS OBRA'!$G$21)</f>
        <v>478287.5748043083</v>
      </c>
      <c r="J24" s="157"/>
    </row>
    <row r="25" spans="1:10" x14ac:dyDescent="0.25">
      <c r="A25" s="127" t="s">
        <v>493</v>
      </c>
      <c r="B25" s="160"/>
      <c r="C25" s="160" t="s">
        <v>498</v>
      </c>
      <c r="D25" s="177">
        <v>0.05</v>
      </c>
      <c r="E25" s="130">
        <f ca="1">IF(PRESUPUESTO!$H$16=0,"",PRESUPUESTO!$H$16)</f>
        <v>28446652</v>
      </c>
      <c r="F25" s="130"/>
      <c r="G25" s="160"/>
      <c r="H25" s="160"/>
      <c r="I25" s="202">
        <f ca="1">IFERROR(IF(D25*E25=0,"",D25*E25),"")</f>
        <v>1422332.6</v>
      </c>
      <c r="J25" s="157"/>
    </row>
    <row r="26" spans="1:10" x14ac:dyDescent="0.25">
      <c r="A26" s="127" t="s">
        <v>759</v>
      </c>
      <c r="B26" s="160"/>
      <c r="C26" s="160" t="s">
        <v>499</v>
      </c>
      <c r="D26" s="160"/>
      <c r="E26" s="130"/>
      <c r="F26" s="130"/>
      <c r="G26" s="160"/>
      <c r="H26" s="160"/>
      <c r="I26" s="203"/>
      <c r="J26" s="157"/>
    </row>
    <row r="27" spans="1:10" x14ac:dyDescent="0.25">
      <c r="A27" s="127" t="s">
        <v>760</v>
      </c>
      <c r="B27" s="160"/>
      <c r="C27" s="161" t="s">
        <v>500</v>
      </c>
      <c r="D27" s="166">
        <v>0.01</v>
      </c>
      <c r="E27" s="130">
        <f ca="1">IF(PRESUPUESTO!$H$16=0,"",PRESUPUESTO!$H$16)</f>
        <v>28446652</v>
      </c>
      <c r="F27" s="130"/>
      <c r="G27" s="160"/>
      <c r="H27" s="160"/>
      <c r="I27" s="202">
        <f ca="1">IFERROR(IF(D27*E27=0,"",D27*E27),"")</f>
        <v>284466.52</v>
      </c>
      <c r="J27" s="157"/>
    </row>
    <row r="28" spans="1:10" x14ac:dyDescent="0.25">
      <c r="A28" s="127" t="s">
        <v>761</v>
      </c>
      <c r="B28" s="160"/>
      <c r="C28" s="161" t="s">
        <v>501</v>
      </c>
      <c r="D28" s="166">
        <v>0.02</v>
      </c>
      <c r="E28" s="130">
        <f ca="1">IF(PRESUPUESTO!$H$16=0,"",PRESUPUESTO!$H$16)</f>
        <v>28446652</v>
      </c>
      <c r="F28" s="130"/>
      <c r="G28" s="160"/>
      <c r="H28" s="160"/>
      <c r="I28" s="202">
        <f ca="1">IFERROR(IF(D28*E28=0,"",D28*E28),"")</f>
        <v>568933.04</v>
      </c>
      <c r="J28" s="157"/>
    </row>
    <row r="29" spans="1:10" x14ac:dyDescent="0.25">
      <c r="A29" s="127" t="s">
        <v>762</v>
      </c>
      <c r="B29" s="160"/>
      <c r="C29" s="161" t="s">
        <v>502</v>
      </c>
      <c r="D29" s="166">
        <v>0.04</v>
      </c>
      <c r="E29" s="130">
        <f ca="1">IF(PRESUPUESTO!$H$16=0,"",PRESUPUESTO!$H$16)</f>
        <v>28446652</v>
      </c>
      <c r="F29" s="130"/>
      <c r="G29" s="160"/>
      <c r="H29" s="160"/>
      <c r="I29" s="202">
        <f ca="1">IFERROR(IF(D29*E29=0,"",D29*E29),"")</f>
        <v>1137866.08</v>
      </c>
      <c r="J29" s="157"/>
    </row>
    <row r="30" spans="1:10" x14ac:dyDescent="0.25">
      <c r="A30" s="127" t="s">
        <v>763</v>
      </c>
      <c r="B30" s="160"/>
      <c r="C30" s="161" t="s">
        <v>503</v>
      </c>
      <c r="D30" s="166">
        <v>0.02</v>
      </c>
      <c r="E30" s="130">
        <f ca="1">IF(PRESUPUESTO!$H$16=0,"",PRESUPUESTO!$H$16)</f>
        <v>28446652</v>
      </c>
      <c r="F30" s="130"/>
      <c r="G30" s="160"/>
      <c r="H30" s="160"/>
      <c r="I30" s="202">
        <f ca="1">IFERROR(IF(D30*E30=0,"",D30*E30),"")</f>
        <v>568933.04</v>
      </c>
      <c r="J30" s="157"/>
    </row>
    <row r="31" spans="1:10" x14ac:dyDescent="0.25">
      <c r="A31" s="127" t="s">
        <v>836</v>
      </c>
      <c r="B31" s="160"/>
      <c r="C31" s="161" t="s">
        <v>837</v>
      </c>
      <c r="D31" s="166">
        <v>0.02</v>
      </c>
      <c r="E31" s="130">
        <f ca="1">IF(PRESUPUESTO!$H$16=0,"",PRESUPUESTO!$H$16)</f>
        <v>28446652</v>
      </c>
      <c r="F31" s="321"/>
      <c r="G31" s="320"/>
      <c r="H31" s="322"/>
      <c r="I31" s="202">
        <f ca="1">IFERROR(IF(D31*E31=0,"",D31*E31),"")</f>
        <v>568933.04</v>
      </c>
      <c r="J31" s="157"/>
    </row>
    <row r="32" spans="1:10" x14ac:dyDescent="0.25">
      <c r="A32" s="432" t="s">
        <v>504</v>
      </c>
      <c r="B32" s="433"/>
      <c r="C32" s="433"/>
      <c r="D32" s="433"/>
      <c r="E32" s="433"/>
      <c r="F32" s="433"/>
      <c r="G32" s="433"/>
      <c r="H32" s="434"/>
      <c r="I32" s="204">
        <f ca="1">IF(SUM(I8,I11,I13,I18,I21,I23)=0,"",SUM(I8,I11,I13,I18,I21,I23))</f>
        <v>5432621.8948043091</v>
      </c>
      <c r="J32" s="157"/>
    </row>
    <row r="33" spans="1:11" x14ac:dyDescent="0.25">
      <c r="A33" s="432" t="s">
        <v>505</v>
      </c>
      <c r="B33" s="433"/>
      <c r="C33" s="433"/>
      <c r="D33" s="433"/>
      <c r="E33" s="433"/>
      <c r="F33" s="433"/>
      <c r="G33" s="433"/>
      <c r="H33" s="434"/>
      <c r="I33" s="204" t="str">
        <f ca="1">IFERROR(#REF!-AU!I32,"")</f>
        <v/>
      </c>
      <c r="J33" s="157"/>
    </row>
    <row r="34" spans="1:11" x14ac:dyDescent="0.25">
      <c r="A34" s="432" t="s">
        <v>506</v>
      </c>
      <c r="B34" s="433"/>
      <c r="C34" s="433"/>
      <c r="D34" s="433"/>
      <c r="E34" s="433"/>
      <c r="F34" s="433"/>
      <c r="G34" s="433"/>
      <c r="H34" s="434"/>
      <c r="I34" s="204" t="str">
        <f ca="1">IFERROR(I32+I33,"")</f>
        <v/>
      </c>
      <c r="J34" s="157"/>
    </row>
    <row r="35" spans="1:11" x14ac:dyDescent="0.25">
      <c r="A35" s="432" t="s">
        <v>507</v>
      </c>
      <c r="B35" s="433"/>
      <c r="C35" s="433"/>
      <c r="D35" s="433"/>
      <c r="E35" s="433"/>
      <c r="F35" s="433"/>
      <c r="G35" s="433"/>
      <c r="H35" s="434"/>
      <c r="I35" s="204">
        <f ca="1">+PRESUPUESTO!H17</f>
        <v>28446652</v>
      </c>
      <c r="J35" s="157"/>
      <c r="K35" s="330">
        <f ca="1">K36-I36</f>
        <v>5.1318632971033395E-2</v>
      </c>
    </row>
    <row r="36" spans="1:11" x14ac:dyDescent="0.25">
      <c r="A36" s="432" t="s">
        <v>508</v>
      </c>
      <c r="B36" s="433"/>
      <c r="C36" s="433"/>
      <c r="D36" s="433"/>
      <c r="E36" s="433"/>
      <c r="F36" s="433"/>
      <c r="G36" s="433"/>
      <c r="H36" s="434"/>
      <c r="I36" s="231">
        <f ca="1">IFERROR(ROUND(I32/I35,4),"")</f>
        <v>0.191</v>
      </c>
      <c r="J36" s="157"/>
      <c r="K36">
        <v>0.2423186329710334</v>
      </c>
    </row>
    <row r="37" spans="1:11" x14ac:dyDescent="0.25">
      <c r="A37" s="432" t="s">
        <v>509</v>
      </c>
      <c r="B37" s="433"/>
      <c r="C37" s="433"/>
      <c r="D37" s="433"/>
      <c r="E37" s="433"/>
      <c r="F37" s="433"/>
      <c r="G37" s="433"/>
      <c r="H37" s="434"/>
      <c r="I37" s="232">
        <v>5.131865E-2</v>
      </c>
      <c r="J37" s="157"/>
    </row>
    <row r="38" spans="1:11" x14ac:dyDescent="0.25">
      <c r="A38" s="432" t="s">
        <v>510</v>
      </c>
      <c r="B38" s="433"/>
      <c r="C38" s="433"/>
      <c r="D38" s="433"/>
      <c r="E38" s="433"/>
      <c r="F38" s="433"/>
      <c r="G38" s="433"/>
      <c r="H38" s="434"/>
      <c r="I38" s="231">
        <f ca="1">IF(SUM(I36:I37)=0,"",SUM(I36:I37))</f>
        <v>0.24231865</v>
      </c>
      <c r="J38" s="157"/>
    </row>
    <row r="39" spans="1:11" x14ac:dyDescent="0.25">
      <c r="A39" s="157"/>
      <c r="B39" s="157"/>
      <c r="C39" s="157"/>
      <c r="D39" s="157"/>
      <c r="E39" s="162"/>
      <c r="F39" s="162"/>
      <c r="G39" s="157"/>
      <c r="H39" s="157"/>
      <c r="I39" s="157"/>
      <c r="J39" s="157"/>
    </row>
    <row r="40" spans="1:11" x14ac:dyDescent="0.25">
      <c r="A40" s="157"/>
      <c r="B40" s="157"/>
      <c r="C40" s="157"/>
      <c r="D40" s="157"/>
      <c r="E40" s="162"/>
      <c r="F40" s="162"/>
      <c r="G40" s="157"/>
      <c r="H40" s="157"/>
      <c r="I40" s="157"/>
      <c r="J40" s="157"/>
    </row>
    <row r="41" spans="1:11" x14ac:dyDescent="0.25">
      <c r="A41" s="157"/>
      <c r="B41" s="157"/>
      <c r="C41" s="157"/>
      <c r="D41" s="157"/>
      <c r="E41" s="162"/>
      <c r="F41" s="162"/>
      <c r="G41" s="157"/>
      <c r="H41" s="157"/>
      <c r="I41" s="157"/>
      <c r="J41" s="157"/>
    </row>
    <row r="42" spans="1:11" x14ac:dyDescent="0.25">
      <c r="A42" s="157"/>
      <c r="B42" s="157"/>
      <c r="C42" s="157"/>
      <c r="D42" s="157"/>
      <c r="E42" s="162"/>
      <c r="F42" s="162"/>
      <c r="G42" s="157"/>
      <c r="H42" s="157"/>
      <c r="I42" s="157"/>
      <c r="J42" s="157"/>
    </row>
    <row r="43" spans="1:11" x14ac:dyDescent="0.25">
      <c r="A43" s="157"/>
      <c r="B43" s="157"/>
      <c r="C43" s="157"/>
      <c r="D43" s="157"/>
      <c r="E43" s="162"/>
      <c r="F43" s="162"/>
      <c r="G43" s="157"/>
      <c r="H43" s="157"/>
      <c r="I43" s="157"/>
      <c r="J43" s="157"/>
    </row>
    <row r="44" spans="1:11" x14ac:dyDescent="0.25">
      <c r="A44" s="157"/>
      <c r="B44" s="157"/>
      <c r="C44" s="157"/>
      <c r="D44" s="157"/>
      <c r="E44" s="162"/>
      <c r="F44" s="162"/>
      <c r="G44" s="157"/>
      <c r="H44" s="157"/>
      <c r="I44" s="157"/>
      <c r="J44" s="157"/>
    </row>
    <row r="45" spans="1:11" x14ac:dyDescent="0.25">
      <c r="A45" s="157"/>
      <c r="B45" s="157"/>
      <c r="C45" s="157" t="s">
        <v>511</v>
      </c>
      <c r="D45" s="157"/>
      <c r="E45" s="162"/>
      <c r="F45" s="162"/>
      <c r="G45" s="157"/>
      <c r="H45" s="157"/>
      <c r="I45" s="157"/>
      <c r="J45" s="157"/>
    </row>
    <row r="46" spans="1:11" x14ac:dyDescent="0.25">
      <c r="A46" s="157"/>
      <c r="B46" s="157"/>
      <c r="C46" s="178" t="s">
        <v>787</v>
      </c>
      <c r="D46" s="157"/>
      <c r="E46" s="162"/>
      <c r="F46" s="162"/>
      <c r="G46" s="157"/>
      <c r="H46" s="157"/>
      <c r="I46" s="157"/>
      <c r="J46" s="157"/>
    </row>
    <row r="47" spans="1:11" x14ac:dyDescent="0.25">
      <c r="A47" s="157"/>
      <c r="B47" s="157"/>
      <c r="C47" s="157" t="s">
        <v>599</v>
      </c>
      <c r="D47" s="157"/>
      <c r="E47" s="162"/>
      <c r="F47" s="162"/>
      <c r="G47" s="157"/>
      <c r="H47" s="157"/>
      <c r="I47" s="157"/>
      <c r="J47" s="157"/>
    </row>
    <row r="48" spans="1:11" x14ac:dyDescent="0.25">
      <c r="A48" s="157"/>
      <c r="B48" s="157"/>
      <c r="C48" s="157"/>
      <c r="D48" s="157"/>
      <c r="E48" s="162"/>
      <c r="F48" s="162"/>
      <c r="G48" s="157"/>
      <c r="H48" s="157"/>
      <c r="I48" s="157"/>
      <c r="J48" s="157"/>
    </row>
    <row r="49" spans="1:10" x14ac:dyDescent="0.25">
      <c r="A49" s="157"/>
      <c r="B49" s="157"/>
      <c r="C49" s="157"/>
      <c r="D49" s="157"/>
      <c r="E49" s="162"/>
      <c r="F49" s="162"/>
      <c r="G49" s="157"/>
      <c r="H49" s="157"/>
      <c r="I49" s="157"/>
      <c r="J49" s="157"/>
    </row>
    <row r="50" spans="1:10" x14ac:dyDescent="0.25">
      <c r="A50" s="157"/>
      <c r="B50" s="157"/>
      <c r="C50" s="157"/>
      <c r="D50" s="157"/>
      <c r="E50" s="162"/>
      <c r="F50" s="162"/>
      <c r="G50" s="157"/>
      <c r="H50" s="157"/>
      <c r="I50" s="157"/>
      <c r="J50" s="157"/>
    </row>
    <row r="51" spans="1:10" x14ac:dyDescent="0.25">
      <c r="A51" s="157"/>
      <c r="B51" s="157"/>
      <c r="C51" s="157"/>
      <c r="D51" s="157"/>
      <c r="E51" s="162"/>
      <c r="F51" s="162"/>
      <c r="G51" s="157"/>
      <c r="H51" s="157"/>
      <c r="I51" s="157"/>
      <c r="J51" s="157"/>
    </row>
    <row r="52" spans="1:10" x14ac:dyDescent="0.25">
      <c r="A52" s="157"/>
      <c r="B52" s="157"/>
      <c r="C52" s="157"/>
      <c r="D52" s="157"/>
      <c r="E52" s="162"/>
      <c r="F52" s="162"/>
      <c r="G52" s="157"/>
      <c r="H52" s="157"/>
      <c r="I52" s="157"/>
      <c r="J52" s="157"/>
    </row>
    <row r="53" spans="1:10" x14ac:dyDescent="0.25">
      <c r="A53" s="157"/>
      <c r="B53" s="157"/>
      <c r="C53" s="157"/>
      <c r="D53" s="157"/>
      <c r="E53" s="162"/>
      <c r="F53" s="162"/>
      <c r="G53" s="157"/>
      <c r="H53" s="157"/>
      <c r="I53" s="157"/>
      <c r="J53" s="157"/>
    </row>
    <row r="54" spans="1:10" x14ac:dyDescent="0.25">
      <c r="A54" s="157"/>
      <c r="B54" s="157"/>
      <c r="C54" s="157"/>
      <c r="D54" s="157"/>
      <c r="E54" s="162"/>
      <c r="F54" s="162"/>
      <c r="G54" s="157"/>
      <c r="H54" s="157"/>
      <c r="I54" s="157"/>
      <c r="J54" s="157"/>
    </row>
    <row r="55" spans="1:10" x14ac:dyDescent="0.25">
      <c r="A55" s="157"/>
      <c r="B55" s="157"/>
      <c r="C55" s="157"/>
      <c r="D55" s="157"/>
      <c r="E55" s="162"/>
      <c r="F55" s="162"/>
      <c r="G55" s="157"/>
      <c r="H55" s="157"/>
      <c r="I55" s="157"/>
      <c r="J55" s="157"/>
    </row>
  </sheetData>
  <mergeCells count="17">
    <mergeCell ref="A1:F1"/>
    <mergeCell ref="G1:I5"/>
    <mergeCell ref="A2:F2"/>
    <mergeCell ref="A3:F3"/>
    <mergeCell ref="B21:H21"/>
    <mergeCell ref="B18:H18"/>
    <mergeCell ref="A5:F5"/>
    <mergeCell ref="B11:H11"/>
    <mergeCell ref="B13:H13"/>
    <mergeCell ref="A36:H36"/>
    <mergeCell ref="A37:H37"/>
    <mergeCell ref="A38:H38"/>
    <mergeCell ref="B23:H23"/>
    <mergeCell ref="A32:H32"/>
    <mergeCell ref="A33:H33"/>
    <mergeCell ref="A34:H34"/>
    <mergeCell ref="A35:H35"/>
  </mergeCells>
  <phoneticPr fontId="35" type="noConversion"/>
  <pageMargins left="0.7" right="0.7" top="0.75" bottom="0.75" header="0.3" footer="0.3"/>
  <pageSetup scale="60" orientation="portrait" horizontalDpi="4294967292" r:id="rId1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00000000-0002-0000-0700-000000000000}">
          <x14:formula1>
            <xm:f>'INSUMOS MANO DE OBRA'!$B$8:$B$61</xm:f>
          </x14:formula1>
          <xm:sqref>C9:C10 C14:C15</xm:sqref>
        </x14:dataValidation>
        <x14:dataValidation type="list" allowBlank="1" showInputMessage="1" showErrorMessage="1" xr:uid="{00000000-0002-0000-0700-000001000000}">
          <x14:formula1>
            <xm:f>'INSUMOS SERVICIOS'!$B$7:$B$21</xm:f>
          </x14:formula1>
          <xm:sqref>C19:C21 C23</xm:sqref>
        </x14:dataValidation>
        <x14:dataValidation type="list" allowBlank="1" showInputMessage="1" showErrorMessage="1" xr:uid="{00000000-0002-0000-0700-000002000000}">
          <x14:formula1>
            <xm:f>'INSUMOS MATERIALES'!$B$7:$B$51</xm:f>
          </x14:formula1>
          <xm:sqref>C22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54"/>
  <sheetViews>
    <sheetView view="pageBreakPreview" zoomScale="85" zoomScaleNormal="90" zoomScaleSheetLayoutView="85" workbookViewId="0">
      <pane ySplit="7" topLeftCell="A36" activePane="bottomLeft" state="frozen"/>
      <selection pane="bottomLeft" activeCell="D41" sqref="D41:D42"/>
    </sheetView>
  </sheetViews>
  <sheetFormatPr baseColWidth="10" defaultRowHeight="15" x14ac:dyDescent="0.25"/>
  <cols>
    <col min="2" max="2" width="65.28515625" customWidth="1"/>
    <col min="4" max="5" width="13.7109375" bestFit="1" customWidth="1"/>
  </cols>
  <sheetData>
    <row r="1" spans="1:4" ht="26.25" x14ac:dyDescent="0.25">
      <c r="A1" s="437" t="s">
        <v>0</v>
      </c>
      <c r="B1" s="334"/>
      <c r="C1" s="451" t="s">
        <v>51</v>
      </c>
      <c r="D1" s="451"/>
    </row>
    <row r="2" spans="1:4" ht="21" customHeight="1" x14ac:dyDescent="0.25">
      <c r="A2" s="444" t="str">
        <f>'DATOS INICIALES'!B6</f>
        <v>MUNICIPIO DE DABEIBA</v>
      </c>
      <c r="B2" s="345"/>
      <c r="C2" s="451"/>
      <c r="D2" s="451"/>
    </row>
    <row r="3" spans="1:4" ht="52.15" customHeight="1" x14ac:dyDescent="0.25">
      <c r="A3" s="452" t="str">
        <f>'DATOS INICIALES'!B3</f>
        <v>REPOSICIÓN, AMPLIACIÓN Y REPARACIÓN DE LUMINARIAS QUE HACEN PARTE DE LA RED DE ALUMBRADOPÚBLICO DEL PARQUE PRINCIPAL Y CORREGIMIENTO SAN JOSÉ DE URAMA DEL MUNICIPIO DE DABEIBA.</v>
      </c>
      <c r="B3" s="453"/>
      <c r="C3" s="451"/>
      <c r="D3" s="451"/>
    </row>
    <row r="4" spans="1:4" ht="14.45" customHeight="1" x14ac:dyDescent="0.25">
      <c r="A4" s="68"/>
      <c r="B4" s="4"/>
      <c r="C4" s="451"/>
      <c r="D4" s="451"/>
    </row>
    <row r="5" spans="1:4" ht="15.6" customHeight="1" x14ac:dyDescent="0.25">
      <c r="A5" s="454" t="s">
        <v>150</v>
      </c>
      <c r="B5" s="455"/>
      <c r="C5" s="451"/>
      <c r="D5" s="451"/>
    </row>
    <row r="7" spans="1:4" ht="25.5" x14ac:dyDescent="0.25">
      <c r="A7" s="83" t="s">
        <v>56</v>
      </c>
      <c r="B7" s="83" t="s">
        <v>44</v>
      </c>
      <c r="C7" s="83" t="s">
        <v>45</v>
      </c>
      <c r="D7" s="84" t="s">
        <v>87</v>
      </c>
    </row>
    <row r="8" spans="1:4" ht="14.45" customHeight="1" x14ac:dyDescent="0.25">
      <c r="B8" s="174" t="s">
        <v>151</v>
      </c>
      <c r="C8" s="175"/>
      <c r="D8" s="176"/>
    </row>
    <row r="9" spans="1:4" x14ac:dyDescent="0.25">
      <c r="A9" s="73" t="s">
        <v>152</v>
      </c>
      <c r="B9" s="74" t="s">
        <v>153</v>
      </c>
      <c r="C9" s="85" t="s">
        <v>154</v>
      </c>
      <c r="D9" s="86">
        <f t="shared" ref="D9:D21" ca="1" si="0">IFERROR(VLOOKUP(A9,APUAUXILIARES,7,0),"")</f>
        <v>644741</v>
      </c>
    </row>
    <row r="10" spans="1:4" x14ac:dyDescent="0.25">
      <c r="A10" s="73" t="s">
        <v>155</v>
      </c>
      <c r="B10" s="74" t="s">
        <v>156</v>
      </c>
      <c r="C10" s="85" t="s">
        <v>154</v>
      </c>
      <c r="D10" s="86">
        <f t="shared" ca="1" si="0"/>
        <v>543815</v>
      </c>
    </row>
    <row r="11" spans="1:4" x14ac:dyDescent="0.25">
      <c r="A11" s="73" t="s">
        <v>157</v>
      </c>
      <c r="B11" s="74" t="s">
        <v>158</v>
      </c>
      <c r="C11" s="85" t="s">
        <v>154</v>
      </c>
      <c r="D11" s="86">
        <f t="shared" ca="1" si="0"/>
        <v>590939</v>
      </c>
    </row>
    <row r="12" spans="1:4" x14ac:dyDescent="0.25">
      <c r="A12" s="73" t="s">
        <v>159</v>
      </c>
      <c r="B12" s="74" t="s">
        <v>160</v>
      </c>
      <c r="C12" s="85" t="s">
        <v>154</v>
      </c>
      <c r="D12" s="86">
        <f t="shared" ca="1" si="0"/>
        <v>612107</v>
      </c>
    </row>
    <row r="13" spans="1:4" x14ac:dyDescent="0.25">
      <c r="A13" s="73" t="s">
        <v>161</v>
      </c>
      <c r="B13" s="74" t="s">
        <v>162</v>
      </c>
      <c r="C13" s="85" t="s">
        <v>154</v>
      </c>
      <c r="D13" s="86">
        <f t="shared" ca="1" si="0"/>
        <v>665909</v>
      </c>
    </row>
    <row r="14" spans="1:4" x14ac:dyDescent="0.25">
      <c r="A14" s="73" t="s">
        <v>163</v>
      </c>
      <c r="B14" s="74" t="s">
        <v>164</v>
      </c>
      <c r="C14" s="85" t="s">
        <v>154</v>
      </c>
      <c r="D14" s="86">
        <f t="shared" ca="1" si="0"/>
        <v>760071</v>
      </c>
    </row>
    <row r="15" spans="1:4" x14ac:dyDescent="0.25">
      <c r="A15" s="73" t="s">
        <v>165</v>
      </c>
      <c r="B15" s="74" t="s">
        <v>166</v>
      </c>
      <c r="C15" s="85" t="s">
        <v>154</v>
      </c>
      <c r="D15" s="86">
        <f t="shared" ca="1" si="0"/>
        <v>1150221</v>
      </c>
    </row>
    <row r="16" spans="1:4" x14ac:dyDescent="0.25">
      <c r="A16" s="73" t="s">
        <v>167</v>
      </c>
      <c r="B16" s="74" t="s">
        <v>168</v>
      </c>
      <c r="C16" s="85" t="s">
        <v>154</v>
      </c>
      <c r="D16" s="86">
        <f t="shared" ca="1" si="0"/>
        <v>1235115</v>
      </c>
    </row>
    <row r="17" spans="1:4" x14ac:dyDescent="0.25">
      <c r="A17" s="73" t="s">
        <v>169</v>
      </c>
      <c r="B17" s="74" t="s">
        <v>170</v>
      </c>
      <c r="C17" s="85" t="s">
        <v>154</v>
      </c>
      <c r="D17" s="86">
        <f t="shared" ca="1" si="0"/>
        <v>1235115</v>
      </c>
    </row>
    <row r="18" spans="1:4" x14ac:dyDescent="0.25">
      <c r="A18" s="73" t="s">
        <v>171</v>
      </c>
      <c r="B18" s="74" t="s">
        <v>172</v>
      </c>
      <c r="C18" s="85" t="s">
        <v>154</v>
      </c>
      <c r="D18" s="86">
        <f t="shared" ca="1" si="0"/>
        <v>1235115</v>
      </c>
    </row>
    <row r="19" spans="1:4" x14ac:dyDescent="0.25">
      <c r="A19" s="73" t="s">
        <v>173</v>
      </c>
      <c r="B19" s="74" t="s">
        <v>174</v>
      </c>
      <c r="C19" s="85" t="s">
        <v>154</v>
      </c>
      <c r="D19" s="86">
        <f t="shared" ca="1" si="0"/>
        <v>1220067</v>
      </c>
    </row>
    <row r="20" spans="1:4" x14ac:dyDescent="0.25">
      <c r="A20" s="73" t="s">
        <v>175</v>
      </c>
      <c r="B20" s="74" t="s">
        <v>176</v>
      </c>
      <c r="C20" s="85" t="s">
        <v>154</v>
      </c>
      <c r="D20" s="86">
        <f t="shared" ca="1" si="0"/>
        <v>1220067</v>
      </c>
    </row>
    <row r="21" spans="1:4" x14ac:dyDescent="0.25">
      <c r="A21" s="73" t="s">
        <v>177</v>
      </c>
      <c r="B21" s="74" t="s">
        <v>178</v>
      </c>
      <c r="C21" s="85" t="s">
        <v>154</v>
      </c>
      <c r="D21" s="86">
        <f t="shared" ca="1" si="0"/>
        <v>1220067</v>
      </c>
    </row>
    <row r="22" spans="1:4" x14ac:dyDescent="0.25">
      <c r="A22" s="73" t="s">
        <v>179</v>
      </c>
      <c r="B22" s="74" t="s">
        <v>180</v>
      </c>
      <c r="C22" s="85" t="s">
        <v>154</v>
      </c>
      <c r="D22" s="86" t="str">
        <f>+IFERROR(VLOOKUP(A22,APU_AUXILIARES,7,0),"")</f>
        <v/>
      </c>
    </row>
    <row r="23" spans="1:4" x14ac:dyDescent="0.25">
      <c r="A23" s="73" t="s">
        <v>181</v>
      </c>
      <c r="B23" s="74" t="s">
        <v>182</v>
      </c>
      <c r="C23" s="85" t="s">
        <v>154</v>
      </c>
      <c r="D23" s="86" t="str">
        <f>+IFERROR(VLOOKUP(A23,APU_AUXILIARES,7,0),"")</f>
        <v/>
      </c>
    </row>
    <row r="24" spans="1:4" x14ac:dyDescent="0.25">
      <c r="A24" s="73" t="s">
        <v>183</v>
      </c>
      <c r="B24" s="74" t="s">
        <v>184</v>
      </c>
      <c r="C24" s="85" t="s">
        <v>154</v>
      </c>
      <c r="D24" s="86" t="str">
        <f>+IFERROR(VLOOKUP(A24,APU_AUXILIARES,7,0),"")</f>
        <v/>
      </c>
    </row>
    <row r="25" spans="1:4" x14ac:dyDescent="0.25">
      <c r="A25" s="73" t="s">
        <v>185</v>
      </c>
      <c r="B25" s="74" t="s">
        <v>186</v>
      </c>
      <c r="C25" s="85" t="s">
        <v>187</v>
      </c>
      <c r="D25" s="86" t="str">
        <f>+IFERROR(VLOOKUP(A25,APU_AUXILIARES,7,0),"")</f>
        <v/>
      </c>
    </row>
    <row r="26" spans="1:4" x14ac:dyDescent="0.25">
      <c r="A26" s="73" t="s">
        <v>188</v>
      </c>
      <c r="B26" s="76"/>
      <c r="C26" s="87"/>
      <c r="D26" s="86" t="str">
        <f>+IFERROR(VLOOKUP(A26,APU_AUXILIARES,7,0),"")</f>
        <v/>
      </c>
    </row>
    <row r="27" spans="1:4" x14ac:dyDescent="0.25">
      <c r="A27" s="73" t="s">
        <v>189</v>
      </c>
      <c r="B27" s="88"/>
      <c r="C27" s="87"/>
      <c r="D27" s="86" t="str">
        <f>+IFERROR(VLOOKUP(A27,APU_AUXILIARES,7,0),"")</f>
        <v/>
      </c>
    </row>
    <row r="28" spans="1:4" x14ac:dyDescent="0.25">
      <c r="A28" s="89"/>
      <c r="B28" s="89" t="s">
        <v>190</v>
      </c>
      <c r="C28" s="90"/>
      <c r="D28" s="91"/>
    </row>
    <row r="29" spans="1:4" x14ac:dyDescent="0.25">
      <c r="A29" s="73" t="s">
        <v>191</v>
      </c>
      <c r="B29" s="76" t="s">
        <v>832</v>
      </c>
      <c r="C29" s="87" t="s">
        <v>208</v>
      </c>
      <c r="D29" s="249">
        <v>389630</v>
      </c>
    </row>
    <row r="30" spans="1:4" x14ac:dyDescent="0.25">
      <c r="A30" s="73" t="s">
        <v>193</v>
      </c>
      <c r="B30" s="76" t="s">
        <v>833</v>
      </c>
      <c r="C30" s="87" t="s">
        <v>819</v>
      </c>
      <c r="D30" s="249">
        <v>10860</v>
      </c>
    </row>
    <row r="31" spans="1:4" x14ac:dyDescent="0.25">
      <c r="A31" s="73" t="s">
        <v>195</v>
      </c>
      <c r="B31" s="76" t="s">
        <v>834</v>
      </c>
      <c r="C31" s="87" t="s">
        <v>208</v>
      </c>
      <c r="D31" s="249">
        <v>27300</v>
      </c>
    </row>
    <row r="32" spans="1:4" x14ac:dyDescent="0.25">
      <c r="A32" s="73" t="s">
        <v>197</v>
      </c>
      <c r="B32" s="76" t="s">
        <v>835</v>
      </c>
      <c r="C32" s="87" t="s">
        <v>208</v>
      </c>
      <c r="D32" s="249">
        <v>6800</v>
      </c>
    </row>
    <row r="33" spans="1:6" x14ac:dyDescent="0.25">
      <c r="A33" s="73" t="s">
        <v>199</v>
      </c>
      <c r="B33" s="76" t="s">
        <v>838</v>
      </c>
      <c r="C33" s="87" t="s">
        <v>208</v>
      </c>
      <c r="D33" s="249">
        <v>111250</v>
      </c>
    </row>
    <row r="34" spans="1:6" x14ac:dyDescent="0.25">
      <c r="A34" s="73" t="s">
        <v>200</v>
      </c>
      <c r="B34" s="76" t="s">
        <v>839</v>
      </c>
      <c r="C34" s="87" t="s">
        <v>208</v>
      </c>
      <c r="D34" s="249">
        <v>59800</v>
      </c>
    </row>
    <row r="35" spans="1:6" x14ac:dyDescent="0.25">
      <c r="A35" s="73" t="s">
        <v>202</v>
      </c>
      <c r="B35" s="76" t="s">
        <v>840</v>
      </c>
      <c r="C35" s="87" t="s">
        <v>208</v>
      </c>
      <c r="D35" s="249">
        <v>150</v>
      </c>
    </row>
    <row r="36" spans="1:6" x14ac:dyDescent="0.25">
      <c r="A36" s="73" t="s">
        <v>203</v>
      </c>
      <c r="B36" s="76" t="s">
        <v>841</v>
      </c>
      <c r="C36" s="87" t="s">
        <v>208</v>
      </c>
      <c r="D36" s="249">
        <v>14890</v>
      </c>
    </row>
    <row r="37" spans="1:6" x14ac:dyDescent="0.25">
      <c r="A37" s="73" t="s">
        <v>204</v>
      </c>
      <c r="B37" s="76" t="s">
        <v>842</v>
      </c>
      <c r="C37" s="87" t="s">
        <v>208</v>
      </c>
      <c r="D37" s="249">
        <v>19650</v>
      </c>
    </row>
    <row r="38" spans="1:6" x14ac:dyDescent="0.25">
      <c r="A38" s="73" t="s">
        <v>206</v>
      </c>
      <c r="B38" s="76" t="s">
        <v>844</v>
      </c>
      <c r="C38" s="87" t="s">
        <v>208</v>
      </c>
      <c r="D38" s="249">
        <v>4900</v>
      </c>
    </row>
    <row r="39" spans="1:6" x14ac:dyDescent="0.25">
      <c r="A39" s="73" t="s">
        <v>207</v>
      </c>
      <c r="B39" s="76" t="s">
        <v>845</v>
      </c>
      <c r="C39" s="87" t="s">
        <v>208</v>
      </c>
      <c r="D39" s="249">
        <v>410</v>
      </c>
    </row>
    <row r="40" spans="1:6" x14ac:dyDescent="0.25">
      <c r="A40" s="73" t="s">
        <v>209</v>
      </c>
      <c r="B40" s="76" t="s">
        <v>846</v>
      </c>
      <c r="C40" s="87" t="s">
        <v>208</v>
      </c>
      <c r="D40" s="249">
        <v>6400</v>
      </c>
    </row>
    <row r="41" spans="1:6" x14ac:dyDescent="0.25">
      <c r="A41" s="73" t="s">
        <v>210</v>
      </c>
      <c r="B41" s="76" t="s">
        <v>847</v>
      </c>
      <c r="C41" s="87" t="s">
        <v>208</v>
      </c>
      <c r="D41" s="249">
        <v>3400</v>
      </c>
      <c r="F41" s="223"/>
    </row>
    <row r="42" spans="1:6" x14ac:dyDescent="0.25">
      <c r="A42" s="73" t="s">
        <v>211</v>
      </c>
      <c r="B42" s="76" t="s">
        <v>848</v>
      </c>
      <c r="C42" s="87" t="s">
        <v>208</v>
      </c>
      <c r="D42" s="249">
        <v>940</v>
      </c>
    </row>
    <row r="43" spans="1:6" x14ac:dyDescent="0.25">
      <c r="A43" s="73" t="s">
        <v>212</v>
      </c>
      <c r="B43" s="76" t="s">
        <v>794</v>
      </c>
      <c r="C43" s="87" t="s">
        <v>208</v>
      </c>
      <c r="D43" s="249">
        <v>8643</v>
      </c>
    </row>
    <row r="44" spans="1:6" ht="15" customHeight="1" x14ac:dyDescent="0.25">
      <c r="A44" s="73" t="s">
        <v>213</v>
      </c>
      <c r="B44" s="76" t="s">
        <v>795</v>
      </c>
      <c r="C44" s="87" t="s">
        <v>208</v>
      </c>
      <c r="D44" s="249">
        <v>192900</v>
      </c>
    </row>
    <row r="45" spans="1:6" ht="15" customHeight="1" x14ac:dyDescent="0.25">
      <c r="A45" s="73" t="s">
        <v>214</v>
      </c>
      <c r="B45" s="76" t="s">
        <v>796</v>
      </c>
      <c r="C45" s="87" t="s">
        <v>208</v>
      </c>
      <c r="D45" s="249">
        <v>17900</v>
      </c>
    </row>
    <row r="46" spans="1:6" ht="15" customHeight="1" x14ac:dyDescent="0.25">
      <c r="A46" s="73" t="s">
        <v>215</v>
      </c>
      <c r="B46" s="76" t="s">
        <v>797</v>
      </c>
      <c r="C46" s="87" t="s">
        <v>208</v>
      </c>
      <c r="D46" s="249">
        <v>511895</v>
      </c>
    </row>
    <row r="47" spans="1:6" ht="15" customHeight="1" x14ac:dyDescent="0.25">
      <c r="A47" s="73" t="s">
        <v>216</v>
      </c>
      <c r="B47" s="76" t="s">
        <v>798</v>
      </c>
      <c r="C47" s="87" t="s">
        <v>187</v>
      </c>
      <c r="D47" s="249">
        <v>2748</v>
      </c>
      <c r="E47" s="250"/>
    </row>
    <row r="48" spans="1:6" ht="15" customHeight="1" x14ac:dyDescent="0.25">
      <c r="A48" s="73" t="s">
        <v>217</v>
      </c>
      <c r="B48" s="76" t="s">
        <v>799</v>
      </c>
      <c r="C48" s="87" t="s">
        <v>208</v>
      </c>
      <c r="D48" s="249">
        <v>461800</v>
      </c>
    </row>
    <row r="49" spans="1:5" ht="15" customHeight="1" x14ac:dyDescent="0.25">
      <c r="A49" s="73" t="s">
        <v>218</v>
      </c>
      <c r="B49" s="76" t="s">
        <v>800</v>
      </c>
      <c r="C49" s="87" t="s">
        <v>208</v>
      </c>
      <c r="D49" s="249">
        <v>16251</v>
      </c>
    </row>
    <row r="50" spans="1:5" ht="15" customHeight="1" x14ac:dyDescent="0.25">
      <c r="A50" s="73" t="s">
        <v>219</v>
      </c>
      <c r="B50" s="76" t="s">
        <v>801</v>
      </c>
      <c r="C50" s="87" t="s">
        <v>208</v>
      </c>
      <c r="D50" s="249">
        <v>49900</v>
      </c>
      <c r="E50" s="250"/>
    </row>
    <row r="51" spans="1:5" ht="15" customHeight="1" x14ac:dyDescent="0.25">
      <c r="A51" s="73" t="s">
        <v>220</v>
      </c>
      <c r="B51" s="76" t="s">
        <v>802</v>
      </c>
      <c r="C51" s="87" t="s">
        <v>208</v>
      </c>
      <c r="D51" s="249">
        <v>355866.10000000003</v>
      </c>
    </row>
    <row r="52" spans="1:5" ht="15" customHeight="1" x14ac:dyDescent="0.25">
      <c r="A52" s="73" t="s">
        <v>541</v>
      </c>
      <c r="B52" s="76" t="s">
        <v>803</v>
      </c>
      <c r="C52" s="87" t="s">
        <v>208</v>
      </c>
      <c r="D52" s="249">
        <v>105257.20000000001</v>
      </c>
    </row>
    <row r="53" spans="1:5" ht="15" customHeight="1" x14ac:dyDescent="0.25">
      <c r="A53" s="73" t="s">
        <v>544</v>
      </c>
      <c r="B53" s="76" t="s">
        <v>804</v>
      </c>
      <c r="C53" s="87" t="s">
        <v>208</v>
      </c>
      <c r="D53" s="249">
        <v>237804.5</v>
      </c>
    </row>
    <row r="54" spans="1:5" ht="15" customHeight="1" x14ac:dyDescent="0.25">
      <c r="A54" s="73" t="s">
        <v>545</v>
      </c>
      <c r="B54" s="76" t="s">
        <v>805</v>
      </c>
      <c r="C54" s="87" t="s">
        <v>208</v>
      </c>
      <c r="D54" s="249">
        <v>219900</v>
      </c>
    </row>
    <row r="55" spans="1:5" ht="15" customHeight="1" x14ac:dyDescent="0.25">
      <c r="A55" s="73" t="s">
        <v>546</v>
      </c>
      <c r="B55" s="76" t="s">
        <v>806</v>
      </c>
      <c r="C55" s="87" t="s">
        <v>208</v>
      </c>
      <c r="D55" s="249">
        <v>1150000</v>
      </c>
    </row>
    <row r="56" spans="1:5" ht="15" customHeight="1" x14ac:dyDescent="0.25">
      <c r="A56" s="73" t="s">
        <v>548</v>
      </c>
      <c r="B56" s="76" t="s">
        <v>807</v>
      </c>
      <c r="C56" s="87" t="s">
        <v>208</v>
      </c>
      <c r="D56" s="249">
        <v>636000</v>
      </c>
    </row>
    <row r="57" spans="1:5" ht="15" customHeight="1" x14ac:dyDescent="0.25">
      <c r="A57" s="73" t="s">
        <v>549</v>
      </c>
      <c r="B57" s="76" t="s">
        <v>808</v>
      </c>
      <c r="C57" s="87" t="s">
        <v>208</v>
      </c>
      <c r="D57" s="249">
        <v>48372</v>
      </c>
    </row>
    <row r="58" spans="1:5" ht="15" customHeight="1" x14ac:dyDescent="0.25">
      <c r="A58" s="73" t="s">
        <v>550</v>
      </c>
      <c r="B58" s="76" t="s">
        <v>809</v>
      </c>
      <c r="C58" s="87" t="s">
        <v>208</v>
      </c>
      <c r="D58" s="249">
        <v>5571</v>
      </c>
    </row>
    <row r="59" spans="1:5" ht="15" customHeight="1" x14ac:dyDescent="0.25">
      <c r="A59" s="73"/>
      <c r="B59" s="76"/>
      <c r="C59" s="87"/>
      <c r="D59" s="249"/>
    </row>
    <row r="60" spans="1:5" ht="15" customHeight="1" x14ac:dyDescent="0.25">
      <c r="A60" s="73" t="s">
        <v>551</v>
      </c>
      <c r="B60" s="76" t="s">
        <v>810</v>
      </c>
      <c r="C60" s="87" t="s">
        <v>208</v>
      </c>
      <c r="D60" s="249">
        <v>8900</v>
      </c>
    </row>
    <row r="61" spans="1:5" ht="15" customHeight="1" x14ac:dyDescent="0.25">
      <c r="A61" s="73" t="s">
        <v>557</v>
      </c>
      <c r="B61" s="76" t="s">
        <v>811</v>
      </c>
      <c r="C61" s="87" t="s">
        <v>208</v>
      </c>
      <c r="D61" s="249">
        <v>23900</v>
      </c>
    </row>
    <row r="62" spans="1:5" ht="15" customHeight="1" x14ac:dyDescent="0.25">
      <c r="A62" s="73" t="s">
        <v>558</v>
      </c>
      <c r="B62" s="76" t="s">
        <v>812</v>
      </c>
      <c r="C62" s="87" t="s">
        <v>208</v>
      </c>
      <c r="D62" s="249">
        <v>2900</v>
      </c>
      <c r="E62" s="251"/>
    </row>
    <row r="63" spans="1:5" ht="15" customHeight="1" x14ac:dyDescent="0.25">
      <c r="A63" s="73" t="s">
        <v>559</v>
      </c>
      <c r="B63" s="76"/>
      <c r="C63" s="87"/>
      <c r="D63" s="249"/>
    </row>
    <row r="64" spans="1:5" ht="15" customHeight="1" x14ac:dyDescent="0.25">
      <c r="A64" s="73" t="s">
        <v>560</v>
      </c>
      <c r="B64" s="76" t="s">
        <v>609</v>
      </c>
      <c r="C64" s="87" t="s">
        <v>205</v>
      </c>
      <c r="D64" s="249">
        <v>5500</v>
      </c>
    </row>
    <row r="65" spans="1:5" ht="15" customHeight="1" x14ac:dyDescent="0.25">
      <c r="A65" s="73" t="s">
        <v>561</v>
      </c>
      <c r="B65" s="76" t="s">
        <v>610</v>
      </c>
      <c r="C65" s="87" t="s">
        <v>205</v>
      </c>
      <c r="D65" s="78">
        <v>7500</v>
      </c>
    </row>
    <row r="66" spans="1:5" ht="15" customHeight="1" x14ac:dyDescent="0.25">
      <c r="A66" s="73" t="s">
        <v>562</v>
      </c>
      <c r="B66" s="76" t="s">
        <v>611</v>
      </c>
      <c r="C66" s="87" t="s">
        <v>49</v>
      </c>
      <c r="D66" s="78">
        <v>30000</v>
      </c>
    </row>
    <row r="67" spans="1:5" ht="15" customHeight="1" x14ac:dyDescent="0.25">
      <c r="A67" s="73" t="s">
        <v>563</v>
      </c>
      <c r="B67" s="76" t="s">
        <v>612</v>
      </c>
      <c r="C67" s="87" t="s">
        <v>596</v>
      </c>
      <c r="D67" s="78">
        <v>330000</v>
      </c>
    </row>
    <row r="68" spans="1:5" ht="15" customHeight="1" x14ac:dyDescent="0.25">
      <c r="A68" s="73" t="s">
        <v>564</v>
      </c>
      <c r="B68" s="76" t="s">
        <v>613</v>
      </c>
      <c r="C68" s="87" t="s">
        <v>614</v>
      </c>
      <c r="D68" s="78">
        <v>74800</v>
      </c>
    </row>
    <row r="69" spans="1:5" ht="15" customHeight="1" x14ac:dyDescent="0.25">
      <c r="A69" s="73" t="s">
        <v>565</v>
      </c>
      <c r="B69" s="76" t="s">
        <v>615</v>
      </c>
      <c r="C69" s="87" t="s">
        <v>616</v>
      </c>
      <c r="D69" s="78">
        <v>15000</v>
      </c>
    </row>
    <row r="70" spans="1:5" ht="15" customHeight="1" x14ac:dyDescent="0.25">
      <c r="A70" s="73" t="s">
        <v>566</v>
      </c>
      <c r="B70" s="76" t="s">
        <v>617</v>
      </c>
      <c r="C70" s="87" t="s">
        <v>618</v>
      </c>
      <c r="D70" s="78">
        <v>2200</v>
      </c>
      <c r="E70" s="118"/>
    </row>
    <row r="71" spans="1:5" ht="15" customHeight="1" x14ac:dyDescent="0.25">
      <c r="A71" s="73" t="s">
        <v>568</v>
      </c>
      <c r="B71" s="76" t="s">
        <v>619</v>
      </c>
      <c r="C71" s="87" t="s">
        <v>620</v>
      </c>
      <c r="D71" s="78">
        <v>2750</v>
      </c>
      <c r="E71" s="118"/>
    </row>
    <row r="72" spans="1:5" ht="15" customHeight="1" x14ac:dyDescent="0.25">
      <c r="A72" s="73" t="s">
        <v>570</v>
      </c>
      <c r="B72" s="76" t="s">
        <v>624</v>
      </c>
      <c r="C72" s="87" t="s">
        <v>49</v>
      </c>
      <c r="D72" s="78">
        <v>190000</v>
      </c>
    </row>
    <row r="73" spans="1:5" ht="15" customHeight="1" x14ac:dyDescent="0.25">
      <c r="A73" s="73" t="s">
        <v>571</v>
      </c>
      <c r="B73" s="76" t="s">
        <v>623</v>
      </c>
      <c r="C73" s="87" t="s">
        <v>49</v>
      </c>
      <c r="D73" s="78">
        <v>25000</v>
      </c>
    </row>
    <row r="74" spans="1:5" ht="15" customHeight="1" x14ac:dyDescent="0.25">
      <c r="A74" s="73" t="s">
        <v>572</v>
      </c>
      <c r="B74" s="76" t="s">
        <v>635</v>
      </c>
      <c r="C74" s="87" t="s">
        <v>512</v>
      </c>
      <c r="D74" s="78">
        <v>5800</v>
      </c>
    </row>
    <row r="75" spans="1:5" ht="15" customHeight="1" x14ac:dyDescent="0.25">
      <c r="A75" s="73" t="s">
        <v>573</v>
      </c>
      <c r="B75" s="76" t="s">
        <v>636</v>
      </c>
      <c r="C75" s="87" t="s">
        <v>596</v>
      </c>
      <c r="D75" s="78">
        <v>63000</v>
      </c>
    </row>
    <row r="76" spans="1:5" ht="15" customHeight="1" x14ac:dyDescent="0.25">
      <c r="A76" s="73" t="s">
        <v>574</v>
      </c>
      <c r="B76" s="76" t="s">
        <v>637</v>
      </c>
      <c r="C76" s="87" t="s">
        <v>596</v>
      </c>
      <c r="D76" s="78">
        <v>9000</v>
      </c>
    </row>
    <row r="77" spans="1:5" ht="15" customHeight="1" x14ac:dyDescent="0.25">
      <c r="A77" s="73" t="s">
        <v>575</v>
      </c>
      <c r="B77" s="76" t="s">
        <v>638</v>
      </c>
      <c r="C77" s="87" t="s">
        <v>596</v>
      </c>
      <c r="D77" s="78">
        <v>14000</v>
      </c>
    </row>
    <row r="78" spans="1:5" ht="15" customHeight="1" x14ac:dyDescent="0.25">
      <c r="A78" s="73" t="s">
        <v>583</v>
      </c>
      <c r="B78" s="76" t="s">
        <v>639</v>
      </c>
      <c r="C78" s="87" t="s">
        <v>596</v>
      </c>
      <c r="D78" s="78">
        <v>7000</v>
      </c>
    </row>
    <row r="79" spans="1:5" ht="15" customHeight="1" x14ac:dyDescent="0.25">
      <c r="A79" s="73" t="s">
        <v>584</v>
      </c>
      <c r="B79" s="76" t="s">
        <v>640</v>
      </c>
      <c r="C79" s="87" t="s">
        <v>641</v>
      </c>
      <c r="D79" s="78">
        <v>65000</v>
      </c>
    </row>
    <row r="80" spans="1:5" ht="15" customHeight="1" x14ac:dyDescent="0.25">
      <c r="A80" s="73" t="s">
        <v>585</v>
      </c>
      <c r="B80" s="76" t="s">
        <v>642</v>
      </c>
      <c r="C80" s="87" t="s">
        <v>596</v>
      </c>
      <c r="D80" s="78">
        <v>40000</v>
      </c>
    </row>
    <row r="81" spans="1:5" ht="15" customHeight="1" x14ac:dyDescent="0.25">
      <c r="A81" s="73" t="s">
        <v>586</v>
      </c>
      <c r="B81" s="76" t="s">
        <v>643</v>
      </c>
      <c r="C81" s="87" t="s">
        <v>596</v>
      </c>
      <c r="D81" s="78">
        <v>20000</v>
      </c>
    </row>
    <row r="82" spans="1:5" ht="15" customHeight="1" x14ac:dyDescent="0.25">
      <c r="A82" s="73" t="s">
        <v>587</v>
      </c>
      <c r="B82" s="76" t="s">
        <v>644</v>
      </c>
      <c r="C82" s="87" t="s">
        <v>512</v>
      </c>
      <c r="D82" s="78">
        <v>3000</v>
      </c>
    </row>
    <row r="83" spans="1:5" ht="15" customHeight="1" x14ac:dyDescent="0.25">
      <c r="A83" s="73" t="s">
        <v>588</v>
      </c>
      <c r="B83" s="76" t="s">
        <v>645</v>
      </c>
      <c r="C83" s="87" t="s">
        <v>646</v>
      </c>
      <c r="D83" s="78">
        <v>1200</v>
      </c>
      <c r="E83" s="220"/>
    </row>
    <row r="84" spans="1:5" ht="15" customHeight="1" x14ac:dyDescent="0.25">
      <c r="A84" s="73" t="s">
        <v>589</v>
      </c>
      <c r="B84" s="76" t="s">
        <v>647</v>
      </c>
      <c r="C84" s="87" t="s">
        <v>641</v>
      </c>
      <c r="D84" s="78">
        <v>38000</v>
      </c>
    </row>
    <row r="85" spans="1:5" ht="15" customHeight="1" x14ac:dyDescent="0.25">
      <c r="A85" s="73" t="s">
        <v>590</v>
      </c>
      <c r="B85" s="76" t="s">
        <v>648</v>
      </c>
      <c r="C85" s="87" t="s">
        <v>596</v>
      </c>
      <c r="D85" s="78">
        <v>39000</v>
      </c>
    </row>
    <row r="86" spans="1:5" ht="15" customHeight="1" x14ac:dyDescent="0.25">
      <c r="A86" s="73" t="s">
        <v>591</v>
      </c>
      <c r="B86" s="76" t="s">
        <v>649</v>
      </c>
      <c r="C86" s="87" t="s">
        <v>512</v>
      </c>
      <c r="D86" s="78">
        <v>9000</v>
      </c>
    </row>
    <row r="87" spans="1:5" ht="15" customHeight="1" x14ac:dyDescent="0.25">
      <c r="A87" s="73" t="s">
        <v>592</v>
      </c>
      <c r="B87" s="76" t="s">
        <v>650</v>
      </c>
      <c r="C87" s="87" t="s">
        <v>646</v>
      </c>
      <c r="D87" s="78">
        <v>5700</v>
      </c>
    </row>
    <row r="88" spans="1:5" ht="15" customHeight="1" x14ac:dyDescent="0.25">
      <c r="A88" s="73" t="s">
        <v>593</v>
      </c>
      <c r="B88" s="76" t="s">
        <v>651</v>
      </c>
      <c r="C88" s="87" t="s">
        <v>596</v>
      </c>
      <c r="D88" s="78">
        <v>3000</v>
      </c>
    </row>
    <row r="89" spans="1:5" ht="15" customHeight="1" x14ac:dyDescent="0.25">
      <c r="A89" s="73" t="s">
        <v>594</v>
      </c>
      <c r="B89" s="76" t="s">
        <v>652</v>
      </c>
      <c r="C89" s="87" t="s">
        <v>512</v>
      </c>
      <c r="D89" s="78">
        <v>16800</v>
      </c>
    </row>
    <row r="90" spans="1:5" ht="15" customHeight="1" x14ac:dyDescent="0.25">
      <c r="A90" s="73" t="s">
        <v>656</v>
      </c>
      <c r="B90" s="76" t="s">
        <v>653</v>
      </c>
      <c r="C90" s="87" t="s">
        <v>596</v>
      </c>
      <c r="D90" s="78">
        <v>9700</v>
      </c>
    </row>
    <row r="91" spans="1:5" ht="15" customHeight="1" x14ac:dyDescent="0.25">
      <c r="A91" s="73" t="s">
        <v>657</v>
      </c>
      <c r="B91" s="76" t="s">
        <v>654</v>
      </c>
      <c r="C91" s="87" t="s">
        <v>596</v>
      </c>
      <c r="D91" s="78">
        <v>6000</v>
      </c>
    </row>
    <row r="92" spans="1:5" ht="15" customHeight="1" x14ac:dyDescent="0.25">
      <c r="A92" s="73" t="s">
        <v>658</v>
      </c>
      <c r="B92" s="76" t="s">
        <v>655</v>
      </c>
      <c r="C92" s="87" t="s">
        <v>596</v>
      </c>
      <c r="D92" s="78">
        <v>14900</v>
      </c>
    </row>
    <row r="93" spans="1:5" ht="15" customHeight="1" x14ac:dyDescent="0.25">
      <c r="A93" s="73" t="s">
        <v>659</v>
      </c>
      <c r="B93" s="76" t="s">
        <v>660</v>
      </c>
      <c r="C93" s="87" t="s">
        <v>596</v>
      </c>
      <c r="D93" s="78">
        <v>12000</v>
      </c>
    </row>
    <row r="94" spans="1:5" ht="15" customHeight="1" x14ac:dyDescent="0.25">
      <c r="A94" s="73" t="s">
        <v>662</v>
      </c>
      <c r="B94" s="76" t="s">
        <v>661</v>
      </c>
      <c r="C94" s="87" t="s">
        <v>596</v>
      </c>
      <c r="D94" s="78">
        <v>5700</v>
      </c>
    </row>
    <row r="95" spans="1:5" ht="15" customHeight="1" x14ac:dyDescent="0.25">
      <c r="A95" s="73" t="s">
        <v>664</v>
      </c>
      <c r="B95" s="76" t="s">
        <v>663</v>
      </c>
      <c r="C95" s="87" t="s">
        <v>596</v>
      </c>
      <c r="D95" s="78">
        <v>7200</v>
      </c>
    </row>
    <row r="96" spans="1:5" ht="15" customHeight="1" x14ac:dyDescent="0.25">
      <c r="A96" s="73" t="s">
        <v>666</v>
      </c>
      <c r="B96" s="76" t="s">
        <v>665</v>
      </c>
      <c r="C96" s="87" t="s">
        <v>596</v>
      </c>
      <c r="D96" s="78">
        <v>14000</v>
      </c>
    </row>
    <row r="97" spans="1:4" ht="15" customHeight="1" x14ac:dyDescent="0.25">
      <c r="A97" s="73" t="s">
        <v>669</v>
      </c>
      <c r="B97" s="76" t="s">
        <v>667</v>
      </c>
      <c r="C97" s="87" t="s">
        <v>596</v>
      </c>
      <c r="D97" s="78">
        <v>6900</v>
      </c>
    </row>
    <row r="98" spans="1:4" ht="15" customHeight="1" x14ac:dyDescent="0.25">
      <c r="A98" s="73" t="s">
        <v>670</v>
      </c>
      <c r="B98" s="76" t="s">
        <v>668</v>
      </c>
      <c r="C98" s="87" t="s">
        <v>597</v>
      </c>
      <c r="D98" s="78">
        <v>3500</v>
      </c>
    </row>
    <row r="99" spans="1:4" ht="15" customHeight="1" x14ac:dyDescent="0.25">
      <c r="A99" s="73" t="s">
        <v>673</v>
      </c>
      <c r="B99" s="76" t="s">
        <v>671</v>
      </c>
      <c r="C99" s="87" t="s">
        <v>512</v>
      </c>
      <c r="D99" s="78">
        <v>13250</v>
      </c>
    </row>
    <row r="100" spans="1:4" ht="15" customHeight="1" x14ac:dyDescent="0.25">
      <c r="A100" s="73" t="s">
        <v>674</v>
      </c>
      <c r="B100" s="76" t="s">
        <v>672</v>
      </c>
      <c r="C100" s="87" t="s">
        <v>596</v>
      </c>
      <c r="D100" s="78">
        <v>4500</v>
      </c>
    </row>
    <row r="101" spans="1:4" ht="15" customHeight="1" x14ac:dyDescent="0.25">
      <c r="A101" s="73" t="s">
        <v>676</v>
      </c>
      <c r="B101" s="76" t="s">
        <v>675</v>
      </c>
      <c r="C101" s="87" t="s">
        <v>596</v>
      </c>
      <c r="D101" s="78">
        <v>62000</v>
      </c>
    </row>
    <row r="102" spans="1:4" ht="15" customHeight="1" x14ac:dyDescent="0.25">
      <c r="A102" s="73" t="s">
        <v>681</v>
      </c>
      <c r="B102" s="76" t="s">
        <v>677</v>
      </c>
      <c r="C102" s="87" t="s">
        <v>596</v>
      </c>
      <c r="D102" s="78">
        <v>135000</v>
      </c>
    </row>
    <row r="103" spans="1:4" ht="15" customHeight="1" x14ac:dyDescent="0.25">
      <c r="A103" s="73" t="s">
        <v>682</v>
      </c>
      <c r="B103" s="76" t="s">
        <v>678</v>
      </c>
      <c r="C103" s="87" t="s">
        <v>596</v>
      </c>
      <c r="D103" s="78">
        <v>25500</v>
      </c>
    </row>
    <row r="104" spans="1:4" ht="15" customHeight="1" x14ac:dyDescent="0.25">
      <c r="A104" s="73" t="s">
        <v>683</v>
      </c>
      <c r="B104" s="76" t="s">
        <v>679</v>
      </c>
      <c r="C104" s="87" t="s">
        <v>596</v>
      </c>
      <c r="D104" s="78">
        <v>23200</v>
      </c>
    </row>
    <row r="105" spans="1:4" ht="15" customHeight="1" x14ac:dyDescent="0.25">
      <c r="A105" s="73" t="s">
        <v>684</v>
      </c>
      <c r="B105" s="76" t="s">
        <v>680</v>
      </c>
      <c r="C105" s="87" t="s">
        <v>596</v>
      </c>
      <c r="D105" s="78">
        <v>115000</v>
      </c>
    </row>
    <row r="106" spans="1:4" ht="15" customHeight="1" x14ac:dyDescent="0.25">
      <c r="A106" s="73" t="s">
        <v>692</v>
      </c>
      <c r="B106" s="76" t="s">
        <v>685</v>
      </c>
      <c r="C106" s="87" t="s">
        <v>512</v>
      </c>
      <c r="D106" s="78">
        <v>1800</v>
      </c>
    </row>
    <row r="107" spans="1:4" ht="15" customHeight="1" x14ac:dyDescent="0.25">
      <c r="A107" s="73" t="s">
        <v>693</v>
      </c>
      <c r="B107" s="76" t="s">
        <v>686</v>
      </c>
      <c r="C107" s="87" t="s">
        <v>596</v>
      </c>
      <c r="D107" s="78">
        <v>1600</v>
      </c>
    </row>
    <row r="108" spans="1:4" ht="15" customHeight="1" x14ac:dyDescent="0.25">
      <c r="A108" s="73" t="s">
        <v>694</v>
      </c>
      <c r="B108" s="76" t="s">
        <v>687</v>
      </c>
      <c r="C108" s="87" t="s">
        <v>596</v>
      </c>
      <c r="D108" s="78">
        <v>800</v>
      </c>
    </row>
    <row r="109" spans="1:4" ht="15" customHeight="1" x14ac:dyDescent="0.25">
      <c r="A109" s="73" t="s">
        <v>695</v>
      </c>
      <c r="B109" s="76" t="s">
        <v>688</v>
      </c>
      <c r="C109" s="87" t="s">
        <v>596</v>
      </c>
      <c r="D109" s="78">
        <v>800</v>
      </c>
    </row>
    <row r="110" spans="1:4" ht="15" customHeight="1" x14ac:dyDescent="0.25">
      <c r="A110" s="73" t="s">
        <v>696</v>
      </c>
      <c r="B110" s="76" t="s">
        <v>689</v>
      </c>
      <c r="C110" s="87" t="s">
        <v>596</v>
      </c>
      <c r="D110" s="78">
        <v>12200</v>
      </c>
    </row>
    <row r="111" spans="1:4" ht="15" customHeight="1" x14ac:dyDescent="0.25">
      <c r="A111" s="73" t="s">
        <v>697</v>
      </c>
      <c r="B111" s="76" t="s">
        <v>690</v>
      </c>
      <c r="C111" s="87" t="s">
        <v>596</v>
      </c>
      <c r="D111" s="78">
        <v>3500</v>
      </c>
    </row>
    <row r="112" spans="1:4" ht="15" customHeight="1" x14ac:dyDescent="0.25">
      <c r="A112" s="73" t="s">
        <v>698</v>
      </c>
      <c r="B112" s="76" t="s">
        <v>691</v>
      </c>
      <c r="C112" s="87" t="s">
        <v>596</v>
      </c>
      <c r="D112" s="78">
        <v>800</v>
      </c>
    </row>
    <row r="113" spans="1:4" ht="15" customHeight="1" x14ac:dyDescent="0.25">
      <c r="A113" s="73" t="s">
        <v>700</v>
      </c>
      <c r="B113" s="76" t="s">
        <v>699</v>
      </c>
      <c r="C113" s="87" t="s">
        <v>596</v>
      </c>
      <c r="D113" s="78">
        <v>12200</v>
      </c>
    </row>
    <row r="114" spans="1:4" ht="15" customHeight="1" x14ac:dyDescent="0.25">
      <c r="A114" s="73" t="s">
        <v>702</v>
      </c>
      <c r="B114" s="76" t="s">
        <v>701</v>
      </c>
      <c r="C114" s="87" t="s">
        <v>596</v>
      </c>
      <c r="D114" s="78">
        <v>45000</v>
      </c>
    </row>
    <row r="115" spans="1:4" ht="15" customHeight="1" x14ac:dyDescent="0.25">
      <c r="A115" s="73" t="s">
        <v>709</v>
      </c>
      <c r="B115" s="76" t="s">
        <v>703</v>
      </c>
      <c r="C115" s="87" t="s">
        <v>512</v>
      </c>
      <c r="D115" s="78">
        <v>4000</v>
      </c>
    </row>
    <row r="116" spans="1:4" ht="15" customHeight="1" x14ac:dyDescent="0.25">
      <c r="A116" s="73" t="s">
        <v>710</v>
      </c>
      <c r="B116" s="76" t="s">
        <v>704</v>
      </c>
      <c r="C116" s="87" t="s">
        <v>596</v>
      </c>
      <c r="D116" s="78">
        <v>80000</v>
      </c>
    </row>
    <row r="117" spans="1:4" ht="15" customHeight="1" x14ac:dyDescent="0.25">
      <c r="A117" s="73" t="s">
        <v>711</v>
      </c>
      <c r="B117" s="76" t="s">
        <v>705</v>
      </c>
      <c r="C117" s="87" t="s">
        <v>596</v>
      </c>
      <c r="D117" s="78">
        <v>20000</v>
      </c>
    </row>
    <row r="118" spans="1:4" ht="15" customHeight="1" x14ac:dyDescent="0.25">
      <c r="A118" s="73" t="s">
        <v>712</v>
      </c>
      <c r="B118" s="76" t="s">
        <v>706</v>
      </c>
      <c r="C118" s="87" t="s">
        <v>620</v>
      </c>
      <c r="D118" s="78">
        <v>8200</v>
      </c>
    </row>
    <row r="119" spans="1:4" ht="15" customHeight="1" x14ac:dyDescent="0.25">
      <c r="A119" s="73" t="s">
        <v>713</v>
      </c>
      <c r="B119" s="76" t="s">
        <v>707</v>
      </c>
      <c r="C119" s="87" t="s">
        <v>596</v>
      </c>
      <c r="D119" s="78">
        <v>190000</v>
      </c>
    </row>
    <row r="120" spans="1:4" ht="15" customHeight="1" x14ac:dyDescent="0.25">
      <c r="A120" s="73" t="s">
        <v>714</v>
      </c>
      <c r="B120" s="76" t="s">
        <v>708</v>
      </c>
      <c r="C120" s="87" t="s">
        <v>596</v>
      </c>
      <c r="D120" s="78">
        <v>4200</v>
      </c>
    </row>
    <row r="121" spans="1:4" ht="15" customHeight="1" x14ac:dyDescent="0.25">
      <c r="A121" s="73" t="s">
        <v>720</v>
      </c>
      <c r="B121" s="76" t="s">
        <v>715</v>
      </c>
      <c r="C121" s="87" t="s">
        <v>646</v>
      </c>
      <c r="D121" s="78">
        <v>310000</v>
      </c>
    </row>
    <row r="122" spans="1:4" ht="15" customHeight="1" x14ac:dyDescent="0.25">
      <c r="A122" s="73" t="s">
        <v>721</v>
      </c>
      <c r="B122" s="76" t="s">
        <v>716</v>
      </c>
      <c r="C122" s="87" t="s">
        <v>596</v>
      </c>
      <c r="D122" s="78">
        <v>47000</v>
      </c>
    </row>
    <row r="123" spans="1:4" ht="15" customHeight="1" x14ac:dyDescent="0.25">
      <c r="A123" s="73" t="s">
        <v>722</v>
      </c>
      <c r="B123" s="76" t="s">
        <v>726</v>
      </c>
      <c r="C123" s="87" t="s">
        <v>596</v>
      </c>
      <c r="D123" s="78">
        <v>12000</v>
      </c>
    </row>
    <row r="124" spans="1:4" ht="15" customHeight="1" x14ac:dyDescent="0.25">
      <c r="A124" s="73" t="s">
        <v>723</v>
      </c>
      <c r="B124" s="76" t="s">
        <v>717</v>
      </c>
      <c r="C124" s="87" t="s">
        <v>596</v>
      </c>
      <c r="D124" s="78">
        <v>4800</v>
      </c>
    </row>
    <row r="125" spans="1:4" ht="15" customHeight="1" x14ac:dyDescent="0.25">
      <c r="A125" s="73" t="s">
        <v>724</v>
      </c>
      <c r="B125" s="76" t="s">
        <v>718</v>
      </c>
      <c r="C125" s="87" t="s">
        <v>620</v>
      </c>
      <c r="D125" s="78">
        <v>2400</v>
      </c>
    </row>
    <row r="126" spans="1:4" ht="15" customHeight="1" x14ac:dyDescent="0.25">
      <c r="A126" s="73" t="s">
        <v>725</v>
      </c>
      <c r="B126" s="76" t="s">
        <v>719</v>
      </c>
      <c r="C126" s="87" t="s">
        <v>596</v>
      </c>
      <c r="D126" s="78">
        <v>3300</v>
      </c>
    </row>
    <row r="127" spans="1:4" ht="15" customHeight="1" x14ac:dyDescent="0.25">
      <c r="A127" s="73" t="s">
        <v>730</v>
      </c>
      <c r="B127" s="76" t="s">
        <v>727</v>
      </c>
      <c r="C127" s="87" t="s">
        <v>596</v>
      </c>
      <c r="D127" s="78">
        <v>560000</v>
      </c>
    </row>
    <row r="128" spans="1:4" ht="15" customHeight="1" x14ac:dyDescent="0.25">
      <c r="A128" s="73" t="s">
        <v>731</v>
      </c>
      <c r="B128" s="76" t="s">
        <v>728</v>
      </c>
      <c r="C128" s="87" t="s">
        <v>646</v>
      </c>
      <c r="D128" s="78">
        <v>22000</v>
      </c>
    </row>
    <row r="129" spans="1:4" ht="15" customHeight="1" x14ac:dyDescent="0.25">
      <c r="A129" s="73" t="s">
        <v>732</v>
      </c>
      <c r="B129" s="76" t="s">
        <v>729</v>
      </c>
      <c r="C129" s="87" t="s">
        <v>596</v>
      </c>
      <c r="D129" s="78">
        <v>28000</v>
      </c>
    </row>
    <row r="130" spans="1:4" ht="15" customHeight="1" x14ac:dyDescent="0.25">
      <c r="A130" s="73" t="s">
        <v>736</v>
      </c>
      <c r="B130" s="76" t="s">
        <v>733</v>
      </c>
      <c r="C130" s="87" t="s">
        <v>596</v>
      </c>
      <c r="D130" s="78">
        <v>250000</v>
      </c>
    </row>
    <row r="131" spans="1:4" ht="15" customHeight="1" x14ac:dyDescent="0.25">
      <c r="A131" s="73" t="s">
        <v>737</v>
      </c>
      <c r="B131" s="76" t="s">
        <v>734</v>
      </c>
      <c r="C131" s="87" t="s">
        <v>646</v>
      </c>
      <c r="D131" s="78">
        <v>25000</v>
      </c>
    </row>
    <row r="132" spans="1:4" ht="15" customHeight="1" x14ac:dyDescent="0.25">
      <c r="A132" s="73" t="s">
        <v>738</v>
      </c>
      <c r="B132" s="76" t="s">
        <v>735</v>
      </c>
      <c r="C132" s="87" t="s">
        <v>596</v>
      </c>
      <c r="D132" s="78">
        <v>16000</v>
      </c>
    </row>
    <row r="133" spans="1:4" ht="15" customHeight="1" x14ac:dyDescent="0.25">
      <c r="A133" s="73" t="s">
        <v>740</v>
      </c>
      <c r="B133" s="76" t="s">
        <v>739</v>
      </c>
      <c r="C133" s="87" t="s">
        <v>596</v>
      </c>
      <c r="D133" s="78">
        <v>45000</v>
      </c>
    </row>
    <row r="134" spans="1:4" ht="15" customHeight="1" x14ac:dyDescent="0.25">
      <c r="A134" s="73" t="s">
        <v>747</v>
      </c>
      <c r="B134" s="76" t="s">
        <v>743</v>
      </c>
      <c r="C134" s="87" t="s">
        <v>596</v>
      </c>
      <c r="D134" s="78">
        <v>2600</v>
      </c>
    </row>
    <row r="135" spans="1:4" ht="15" customHeight="1" x14ac:dyDescent="0.25">
      <c r="A135" s="73" t="s">
        <v>748</v>
      </c>
      <c r="B135" s="76" t="s">
        <v>744</v>
      </c>
      <c r="C135" s="87" t="s">
        <v>49</v>
      </c>
      <c r="D135" s="78">
        <v>30000</v>
      </c>
    </row>
    <row r="136" spans="1:4" ht="15" customHeight="1" x14ac:dyDescent="0.25">
      <c r="A136" s="73" t="s">
        <v>749</v>
      </c>
      <c r="B136" s="76" t="s">
        <v>745</v>
      </c>
      <c r="C136" s="87" t="s">
        <v>596</v>
      </c>
      <c r="D136" s="78">
        <v>38000</v>
      </c>
    </row>
    <row r="137" spans="1:4" ht="15" customHeight="1" x14ac:dyDescent="0.25">
      <c r="A137" s="73" t="s">
        <v>750</v>
      </c>
      <c r="B137" s="76" t="s">
        <v>752</v>
      </c>
      <c r="C137" s="87" t="s">
        <v>596</v>
      </c>
      <c r="D137" s="78">
        <v>62500</v>
      </c>
    </row>
    <row r="138" spans="1:4" ht="15" customHeight="1" x14ac:dyDescent="0.25">
      <c r="A138" s="73" t="s">
        <v>751</v>
      </c>
      <c r="B138" s="76" t="s">
        <v>746</v>
      </c>
      <c r="C138" s="87" t="s">
        <v>596</v>
      </c>
      <c r="D138" s="78">
        <v>500</v>
      </c>
    </row>
    <row r="139" spans="1:4" ht="15" customHeight="1" x14ac:dyDescent="0.25">
      <c r="A139" s="73" t="s">
        <v>758</v>
      </c>
      <c r="B139" s="76" t="s">
        <v>757</v>
      </c>
      <c r="C139" s="87" t="s">
        <v>596</v>
      </c>
      <c r="D139" s="78">
        <v>300000</v>
      </c>
    </row>
    <row r="140" spans="1:4" ht="15" customHeight="1" x14ac:dyDescent="0.25">
      <c r="A140" s="73" t="s">
        <v>764</v>
      </c>
      <c r="B140" s="76" t="s">
        <v>766</v>
      </c>
      <c r="C140" s="87" t="s">
        <v>595</v>
      </c>
      <c r="D140" s="78">
        <v>1300</v>
      </c>
    </row>
    <row r="141" spans="1:4" ht="15" customHeight="1" x14ac:dyDescent="0.25">
      <c r="A141" s="73" t="s">
        <v>765</v>
      </c>
      <c r="B141" s="76" t="s">
        <v>767</v>
      </c>
      <c r="C141" s="87" t="s">
        <v>49</v>
      </c>
      <c r="D141" s="78">
        <v>2800</v>
      </c>
    </row>
    <row r="142" spans="1:4" ht="15" customHeight="1" x14ac:dyDescent="0.25">
      <c r="A142" s="73" t="s">
        <v>768</v>
      </c>
      <c r="B142" s="76" t="s">
        <v>769</v>
      </c>
      <c r="C142" s="87" t="s">
        <v>49</v>
      </c>
      <c r="D142" s="78">
        <v>32000</v>
      </c>
    </row>
    <row r="143" spans="1:4" ht="15" customHeight="1" x14ac:dyDescent="0.25">
      <c r="A143" s="73" t="s">
        <v>770</v>
      </c>
      <c r="B143" s="76" t="s">
        <v>780</v>
      </c>
      <c r="C143" s="87" t="s">
        <v>595</v>
      </c>
      <c r="D143" s="78">
        <v>1500</v>
      </c>
    </row>
    <row r="144" spans="1:4" x14ac:dyDescent="0.25">
      <c r="A144" s="73"/>
      <c r="B144" s="76"/>
      <c r="C144" s="87"/>
      <c r="D144" s="78"/>
    </row>
    <row r="145" spans="1:5" x14ac:dyDescent="0.25">
      <c r="A145" s="73"/>
      <c r="B145" s="76"/>
      <c r="C145" s="87"/>
      <c r="D145" s="78"/>
    </row>
    <row r="146" spans="1:5" x14ac:dyDescent="0.25">
      <c r="A146" s="73"/>
      <c r="B146" s="76"/>
      <c r="C146" s="87"/>
      <c r="D146" s="78"/>
    </row>
    <row r="153" spans="1:5" x14ac:dyDescent="0.25">
      <c r="B153" s="450" t="s">
        <v>787</v>
      </c>
      <c r="C153" s="450"/>
      <c r="D153" s="450"/>
    </row>
    <row r="154" spans="1:5" x14ac:dyDescent="0.25">
      <c r="B154" s="450" t="s">
        <v>599</v>
      </c>
      <c r="C154" s="450"/>
      <c r="D154" s="450"/>
      <c r="E154" s="450"/>
    </row>
  </sheetData>
  <protectedRanges>
    <protectedRange sqref="B9:C27 B41:B46 B29:D40 C41:D51" name="Rango1"/>
  </protectedRanges>
  <autoFilter ref="A7:D78" xr:uid="{00000000-0009-0000-0000-00000C000000}"/>
  <mergeCells count="7">
    <mergeCell ref="B153:D153"/>
    <mergeCell ref="B154:E154"/>
    <mergeCell ref="A1:B1"/>
    <mergeCell ref="C1:D5"/>
    <mergeCell ref="A2:B2"/>
    <mergeCell ref="A3:B3"/>
    <mergeCell ref="A5:B5"/>
  </mergeCells>
  <phoneticPr fontId="35" type="noConversion"/>
  <dataValidations disablePrompts="1" count="1">
    <dataValidation allowBlank="1" showErrorMessage="1" sqref="B153:B154" xr:uid="{00000000-0002-0000-0C00-000000000000}"/>
  </dataValidations>
  <pageMargins left="0.7" right="0.7" top="0.75" bottom="0.75" header="0.3" footer="0.3"/>
  <pageSetup scale="86" orientation="portrait" r:id="rId1"/>
  <rowBreaks count="2" manualBreakCount="2">
    <brk id="47" max="3" man="1"/>
    <brk id="98" max="3" man="1"/>
  </rowBreaks>
  <colBreaks count="1" manualBreakCount="1">
    <brk id="4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815"/>
  <sheetViews>
    <sheetView view="pageBreakPreview" zoomScale="90" zoomScaleNormal="100" zoomScaleSheetLayoutView="90" workbookViewId="0">
      <selection activeCell="B812" sqref="B812:B813"/>
    </sheetView>
  </sheetViews>
  <sheetFormatPr baseColWidth="10" defaultRowHeight="15" x14ac:dyDescent="0.25"/>
  <cols>
    <col min="2" max="2" width="24.7109375" customWidth="1"/>
    <col min="6" max="6" width="13.28515625" customWidth="1"/>
    <col min="7" max="7" width="13.7109375" customWidth="1"/>
  </cols>
  <sheetData>
    <row r="1" spans="1:7" ht="18.75" x14ac:dyDescent="0.25">
      <c r="A1" s="376" t="str">
        <f>'DATOS INICIALES'!$B$1</f>
        <v>DEPARTAMENTO DE ANTIOQUIA</v>
      </c>
      <c r="B1" s="377"/>
      <c r="C1" s="377"/>
      <c r="D1" s="377"/>
      <c r="E1" s="377"/>
      <c r="F1" s="378" t="s">
        <v>51</v>
      </c>
      <c r="G1" s="378"/>
    </row>
    <row r="2" spans="1:7" ht="15.75" x14ac:dyDescent="0.25">
      <c r="A2" s="379" t="str">
        <f>'DATOS INICIALES'!$B$2</f>
        <v>MUNICIPIO DE DABEIBA</v>
      </c>
      <c r="B2" s="380"/>
      <c r="C2" s="380"/>
      <c r="D2" s="380"/>
      <c r="E2" s="380"/>
      <c r="F2" s="378"/>
      <c r="G2" s="378"/>
    </row>
    <row r="3" spans="1:7" ht="42.6" customHeight="1" x14ac:dyDescent="0.25">
      <c r="A3" s="481" t="str">
        <f>'DATOS INICIALES'!$B$3</f>
        <v>REPOSICIÓN, AMPLIACIÓN Y REPARACIÓN DE LUMINARIAS QUE HACEN PARTE DE LA RED DE ALUMBRADOPÚBLICO DEL PARQUE PRINCIPAL Y CORREGIMIENTO SAN JOSÉ DE URAMA DEL MUNICIPIO DE DABEIBA.</v>
      </c>
      <c r="B3" s="482"/>
      <c r="C3" s="482"/>
      <c r="D3" s="482"/>
      <c r="E3" s="482"/>
      <c r="F3" s="378"/>
      <c r="G3" s="378"/>
    </row>
    <row r="4" spans="1:7" ht="8.4499999999999993" customHeight="1" x14ac:dyDescent="0.25">
      <c r="A4" s="383"/>
      <c r="B4" s="383"/>
      <c r="C4" s="383"/>
      <c r="D4" s="383"/>
      <c r="E4" s="388"/>
      <c r="F4" s="378"/>
      <c r="G4" s="378"/>
    </row>
    <row r="5" spans="1:7" x14ac:dyDescent="0.25">
      <c r="A5" s="384" t="s">
        <v>52</v>
      </c>
      <c r="B5" s="385"/>
      <c r="C5" s="385"/>
      <c r="D5" s="385"/>
      <c r="E5" s="385"/>
      <c r="F5" s="378"/>
      <c r="G5" s="378"/>
    </row>
    <row r="6" spans="1:7" ht="8.4499999999999993" customHeight="1" x14ac:dyDescent="0.25">
      <c r="A6" s="383"/>
      <c r="B6" s="383"/>
      <c r="C6" s="383"/>
      <c r="D6" s="383"/>
      <c r="E6" s="383"/>
      <c r="F6" s="477"/>
      <c r="G6" s="477"/>
    </row>
    <row r="7" spans="1:7" x14ac:dyDescent="0.25">
      <c r="A7" s="21" t="s">
        <v>42</v>
      </c>
      <c r="B7" s="372" t="s">
        <v>44</v>
      </c>
      <c r="C7" s="373"/>
      <c r="D7" s="374"/>
      <c r="E7" s="22" t="s">
        <v>45</v>
      </c>
      <c r="F7" s="23" t="s">
        <v>46</v>
      </c>
      <c r="G7" s="23" t="s">
        <v>53</v>
      </c>
    </row>
    <row r="8" spans="1:7" ht="22.9" customHeight="1" x14ac:dyDescent="0.25">
      <c r="A8" s="24" t="s">
        <v>152</v>
      </c>
      <c r="B8" s="478" t="str">
        <f>+IFERROR(VLOOKUP($A8,INSUMOSMATERIALES,2,0),"")</f>
        <v>CONCRETO 2000 PSI (140 MPA) EN OBRA</v>
      </c>
      <c r="C8" s="479"/>
      <c r="D8" s="480"/>
      <c r="E8" s="82" t="str">
        <f>+IFERROR(VLOOKUP($A8,INSUMOSMATERIALES,3,0),"")</f>
        <v>M3</v>
      </c>
      <c r="F8" s="82" t="s">
        <v>460</v>
      </c>
      <c r="G8" s="153">
        <f ca="1">IF(G58=0,"",G48)</f>
        <v>644741</v>
      </c>
    </row>
    <row r="9" spans="1:7" ht="4.9000000000000004" customHeight="1" x14ac:dyDescent="0.25">
      <c r="A9" s="19"/>
      <c r="B9" s="19"/>
      <c r="C9" s="19"/>
      <c r="D9" s="19"/>
      <c r="E9" s="18"/>
      <c r="F9" s="18"/>
      <c r="G9" s="20"/>
    </row>
    <row r="10" spans="1:7" x14ac:dyDescent="0.25">
      <c r="A10" s="465" t="s">
        <v>54</v>
      </c>
      <c r="B10" s="465"/>
      <c r="C10" s="465"/>
      <c r="D10" s="465"/>
      <c r="E10" s="465"/>
      <c r="F10" s="465"/>
      <c r="G10" s="465"/>
    </row>
    <row r="11" spans="1:7" ht="4.9000000000000004" customHeight="1" x14ac:dyDescent="0.25">
      <c r="A11" s="119"/>
      <c r="B11" s="119"/>
      <c r="C11" s="119"/>
      <c r="D11" s="119"/>
      <c r="E11" s="119"/>
      <c r="F11" s="119"/>
      <c r="G11" s="119"/>
    </row>
    <row r="12" spans="1:7" x14ac:dyDescent="0.25">
      <c r="A12" s="469" t="s">
        <v>55</v>
      </c>
      <c r="B12" s="469"/>
      <c r="C12" s="469"/>
      <c r="D12" s="469"/>
      <c r="E12" s="469"/>
      <c r="F12" s="469"/>
      <c r="G12" s="470"/>
    </row>
    <row r="13" spans="1:7" x14ac:dyDescent="0.25">
      <c r="A13" s="120" t="s">
        <v>56</v>
      </c>
      <c r="B13" s="471" t="s">
        <v>44</v>
      </c>
      <c r="C13" s="472"/>
      <c r="D13" s="120" t="s">
        <v>45</v>
      </c>
      <c r="E13" s="120" t="s">
        <v>57</v>
      </c>
      <c r="F13" s="120" t="s">
        <v>58</v>
      </c>
      <c r="G13" s="120" t="s">
        <v>59</v>
      </c>
    </row>
    <row r="14" spans="1:7" x14ac:dyDescent="0.25">
      <c r="A14" s="25" t="str">
        <f>IF(B14="","",INDEX(CODIGOEQUIPOS,MATCH($B14,'INSUMOS EQUIPOS'!$B$7:$B$39,0)))</f>
        <v>EQ004</v>
      </c>
      <c r="B14" s="473" t="s">
        <v>94</v>
      </c>
      <c r="C14" s="474"/>
      <c r="D14" s="26" t="str">
        <f>IF(B14="","",(VLOOKUP($A14,INSUMOSEQUIPOS,3,0)))</f>
        <v>DÍA</v>
      </c>
      <c r="E14" s="27">
        <f>IF(B14="","",(VLOOKUP($A14,INSUMOSEQUIPOS,4,0)))</f>
        <v>62000</v>
      </c>
      <c r="F14" s="28">
        <v>8</v>
      </c>
      <c r="G14" s="29">
        <f>+IFERROR(E14/F14,"")</f>
        <v>7750</v>
      </c>
    </row>
    <row r="15" spans="1:7" x14ac:dyDescent="0.25">
      <c r="A15" s="30" t="str">
        <f>+IF(G39="","","EQ001")</f>
        <v>EQ001</v>
      </c>
      <c r="B15" s="475" t="str">
        <f>+IF($A15="","",IFERROR(VLOOKUP($A15,INSUMOSEQUIPOS,2,0),""))</f>
        <v>HERRAMIENTA MENOR (5% DE LA MANO DE OBRA)</v>
      </c>
      <c r="C15" s="476"/>
      <c r="D15" s="26" t="str">
        <f>+IF($A15="","",IFERROR(VLOOKUP($A15,INSUMOSEQUIPOS,3,0),""))</f>
        <v>%</v>
      </c>
      <c r="E15" s="31">
        <f>+IF($A15="","",IFERROR(VLOOKUP($A15,INSUMOSEQUIPOS,4,0),""))</f>
        <v>0.05</v>
      </c>
      <c r="F15" s="32">
        <f>+IF(G39=0,"",G39)</f>
        <v>49737.75</v>
      </c>
      <c r="G15" s="29">
        <f>+IFERROR(E15*F15,"")</f>
        <v>2486.8875000000003</v>
      </c>
    </row>
    <row r="16" spans="1:7" x14ac:dyDescent="0.25">
      <c r="A16" s="33"/>
      <c r="B16" s="34"/>
      <c r="C16" s="119"/>
      <c r="D16" s="119"/>
      <c r="E16" s="35"/>
      <c r="F16" s="36" t="s">
        <v>62</v>
      </c>
      <c r="G16" s="37">
        <f>+IF(SUM(G14:G15)=0,"",SUM(G14:G15))</f>
        <v>10236.887500000001</v>
      </c>
    </row>
    <row r="17" spans="1:7" ht="4.9000000000000004" customHeight="1" x14ac:dyDescent="0.25">
      <c r="A17" s="34"/>
      <c r="B17" s="119"/>
      <c r="C17" s="119"/>
      <c r="D17" s="35"/>
      <c r="E17" s="38"/>
      <c r="F17" s="39"/>
      <c r="G17" s="33"/>
    </row>
    <row r="18" spans="1:7" x14ac:dyDescent="0.25">
      <c r="A18" s="465" t="s">
        <v>63</v>
      </c>
      <c r="B18" s="465"/>
      <c r="C18" s="465"/>
      <c r="D18" s="465"/>
      <c r="E18" s="465"/>
      <c r="F18" s="465"/>
      <c r="G18" s="467"/>
    </row>
    <row r="19" spans="1:7" x14ac:dyDescent="0.25">
      <c r="A19" s="120" t="s">
        <v>56</v>
      </c>
      <c r="B19" s="40" t="s">
        <v>44</v>
      </c>
      <c r="C19" s="41" t="s">
        <v>45</v>
      </c>
      <c r="D19" s="41" t="s">
        <v>46</v>
      </c>
      <c r="E19" s="41" t="s">
        <v>64</v>
      </c>
      <c r="F19" s="41" t="s">
        <v>65</v>
      </c>
      <c r="G19" s="41" t="s">
        <v>59</v>
      </c>
    </row>
    <row r="20" spans="1:7" ht="22.5" x14ac:dyDescent="0.25">
      <c r="A20" s="25" t="e">
        <f>IF(B20="","",INDEX(CODIGOMATERIALES,MATCH($B20,'INSUMOS MATERIALES'!$B$7:$B$51,0)))</f>
        <v>#N/A</v>
      </c>
      <c r="B20" s="42" t="s">
        <v>192</v>
      </c>
      <c r="C20" s="43" t="e">
        <f>IF(B20="","",(VLOOKUP($A20,INSUMOSMATERIALES,3,0)))</f>
        <v>#N/A</v>
      </c>
      <c r="D20" s="44">
        <v>5.2</v>
      </c>
      <c r="E20" s="45">
        <v>0.05</v>
      </c>
      <c r="F20" s="46" t="e">
        <f>IF(B20="","",(VLOOKUP($A20,INSUMOSMATERIALES,4,0)))</f>
        <v>#N/A</v>
      </c>
      <c r="G20" s="29" t="str">
        <f>+IFERROR(F20*D20*(1+E20),"")</f>
        <v/>
      </c>
    </row>
    <row r="21" spans="1:7" ht="19.149999999999999" customHeight="1" x14ac:dyDescent="0.25">
      <c r="A21" s="25" t="e">
        <f>IF(B21="","",INDEX(CODIGOMATERIALES,MATCH($B21,'INSUMOS MATERIALES'!$B$7:$B$51,0)))</f>
        <v>#N/A</v>
      </c>
      <c r="B21" s="42" t="s">
        <v>198</v>
      </c>
      <c r="C21" s="43" t="e">
        <f>IF(B21="","",(VLOOKUP($A21,INSUMOSMATERIALES,3,0)))</f>
        <v>#N/A</v>
      </c>
      <c r="D21" s="44">
        <v>0.63</v>
      </c>
      <c r="E21" s="45">
        <v>0.05</v>
      </c>
      <c r="F21" s="46" t="e">
        <f>IF(B21="","",(VLOOKUP($A21,INSUMOSMATERIALES,4,0)))</f>
        <v>#N/A</v>
      </c>
      <c r="G21" s="29" t="str">
        <f>+IFERROR(F21*D21*(1+E21),"")</f>
        <v/>
      </c>
    </row>
    <row r="22" spans="1:7" ht="22.9" customHeight="1" x14ac:dyDescent="0.25">
      <c r="A22" s="25" t="e">
        <f>IF(B22="","",INDEX(CODIGOMATERIALES,MATCH($B22,'INSUMOS MATERIALES'!$B$7:$B$51,0)))</f>
        <v>#N/A</v>
      </c>
      <c r="B22" s="42" t="s">
        <v>540</v>
      </c>
      <c r="C22" s="43" t="e">
        <f>IF(B22="","",(VLOOKUP($A22,INSUMOSMATERIALES,3,0)))</f>
        <v>#N/A</v>
      </c>
      <c r="D22" s="44">
        <v>0.84</v>
      </c>
      <c r="E22" s="45">
        <v>0.05</v>
      </c>
      <c r="F22" s="46" t="e">
        <f>IF(B22="","",(VLOOKUP($A22,INSUMOSMATERIALES,4,0)))</f>
        <v>#N/A</v>
      </c>
      <c r="G22" s="29" t="str">
        <f>+IFERROR(F22*D22*(1+E22),"")</f>
        <v/>
      </c>
    </row>
    <row r="23" spans="1:7" x14ac:dyDescent="0.25">
      <c r="A23" s="25" t="e">
        <f>IF(B23="","",INDEX(CODIGOMATERIALES,MATCH($B23,'INSUMOS MATERIALES'!$B$7:$B$51,0)))</f>
        <v>#N/A</v>
      </c>
      <c r="B23" s="42" t="s">
        <v>201</v>
      </c>
      <c r="C23" s="43" t="e">
        <f>IF(B23="","",(VLOOKUP($A23,INSUMOSMATERIALES,3,0)))</f>
        <v>#N/A</v>
      </c>
      <c r="D23" s="44">
        <v>170</v>
      </c>
      <c r="E23" s="45">
        <v>0.1</v>
      </c>
      <c r="F23" s="46" t="e">
        <f>IF(B23="","",(VLOOKUP($A23,INSUMOSMATERIALES,4,0)))</f>
        <v>#N/A</v>
      </c>
      <c r="G23" s="29" t="str">
        <f>+IFERROR(F23*D23*(1+E23),"")</f>
        <v/>
      </c>
    </row>
    <row r="24" spans="1:7" x14ac:dyDescent="0.25">
      <c r="A24" s="33"/>
      <c r="B24" s="47"/>
      <c r="C24" s="119"/>
      <c r="D24" s="119"/>
      <c r="E24" s="35"/>
      <c r="F24" s="36" t="s">
        <v>62</v>
      </c>
      <c r="G24" s="37" t="str">
        <f>+IF(SUM(G20:G23)=0,"",SUM(G20:G23))</f>
        <v/>
      </c>
    </row>
    <row r="25" spans="1:7" ht="4.9000000000000004" customHeight="1" x14ac:dyDescent="0.25">
      <c r="A25" s="34"/>
      <c r="B25" s="119"/>
      <c r="C25" s="119"/>
      <c r="D25" s="35"/>
      <c r="E25" s="48"/>
      <c r="F25" s="39"/>
      <c r="G25" s="33"/>
    </row>
    <row r="26" spans="1:7" x14ac:dyDescent="0.25">
      <c r="A26" s="465" t="s">
        <v>66</v>
      </c>
      <c r="B26" s="465"/>
      <c r="C26" s="465"/>
      <c r="D26" s="465"/>
      <c r="E26" s="465"/>
      <c r="F26" s="465"/>
      <c r="G26" s="465"/>
    </row>
    <row r="27" spans="1:7" x14ac:dyDescent="0.25">
      <c r="A27" s="120" t="s">
        <v>56</v>
      </c>
      <c r="B27" s="120" t="s">
        <v>44</v>
      </c>
      <c r="C27" s="120" t="s">
        <v>67</v>
      </c>
      <c r="D27" s="120" t="s">
        <v>68</v>
      </c>
      <c r="E27" s="41" t="s">
        <v>69</v>
      </c>
      <c r="F27" s="41" t="s">
        <v>57</v>
      </c>
      <c r="G27" s="41" t="s">
        <v>59</v>
      </c>
    </row>
    <row r="28" spans="1:7" ht="35.450000000000003" customHeight="1" x14ac:dyDescent="0.25">
      <c r="A28" s="25" t="str">
        <f>IF(B28="","",INDEX(CODIGOTRANSPORTES,MATCH(B28,'INSUMOS TRANSPORTES'!$B$7:$B$122,0)))</f>
        <v>TR020</v>
      </c>
      <c r="B28" s="42" t="s">
        <v>554</v>
      </c>
      <c r="C28" s="49" t="s">
        <v>553</v>
      </c>
      <c r="D28" s="44">
        <f>D22*1.05</f>
        <v>0.88200000000000001</v>
      </c>
      <c r="E28" s="50">
        <f>+IF(C28=0,"",IF(C28="INSUMOS",'DATOS INICIALES'!$B$24,IF(C28="PLAYA",'DATOS INICIALES'!$B$21,IF(C28="TIERRA",'DATOS INICIALES'!$B$19,IF(C28="ESCOMBROS",'DATOS INICIALES'!$B$20,IF(C28="ASFALTO",'DATOS INICIALES'!$B$25,IF(C28="GRANULAR",'DATOS INICIALES'!$B$23,IF(C28="PLAYATRITURADO",'DATOS INICIALES'!$B$22,0))))))))</f>
        <v>120</v>
      </c>
      <c r="F28" s="27">
        <f>+IF(B28="","",(VLOOKUP($A28,INSUMOSTRANSPORTES,4,0)))</f>
        <v>950</v>
      </c>
      <c r="G28" s="29">
        <f>+IFERROR(D28*E28*F28,"")</f>
        <v>100548</v>
      </c>
    </row>
    <row r="29" spans="1:7" ht="36" customHeight="1" x14ac:dyDescent="0.25">
      <c r="A29" s="25" t="str">
        <f>IF(B29="","",INDEX(CODIGOTRANSPORTES,MATCH(B29,'INSUMOS TRANSPORTES'!$B$7:$B$13,0)))</f>
        <v>TR002</v>
      </c>
      <c r="B29" s="42" t="s">
        <v>555</v>
      </c>
      <c r="C29" s="49" t="s">
        <v>461</v>
      </c>
      <c r="D29" s="44">
        <f>D21*1.05</f>
        <v>0.66150000000000009</v>
      </c>
      <c r="E29" s="50">
        <f>+IF(C29=0,"",IF(C29="INSUMOS",'DATOS INICIALES'!$B$24,IF(C29="PLAYA",'DATOS INICIALES'!$B$21,IF(C29="TIERRA",'DATOS INICIALES'!$B$19,IF(C29="ESCOMBROS",'DATOS INICIALES'!$B$20,IF(C29="ASFALTO",'DATOS INICIALES'!$B$25,IF(C29="GRANULAR",'DATOS INICIALES'!$B$23,IF(C29="PLAYATRITURADO",'DATOS INICIALES'!$B$22,0))))))))</f>
        <v>120</v>
      </c>
      <c r="F29" s="27">
        <f>+IF(B29="","",(VLOOKUP($A29,INSUMOSTRANSPORTES,4,0)))</f>
        <v>6100</v>
      </c>
      <c r="G29" s="29">
        <f>+IFERROR(D29*E29*F29,"")</f>
        <v>484218.00000000006</v>
      </c>
    </row>
    <row r="30" spans="1:7" ht="22.9" customHeight="1" x14ac:dyDescent="0.25">
      <c r="A30" s="25" t="e">
        <f>IF(B30="","",INDEX(CODIGOTRANSPORTES,MATCH(B30,'INSUMOS TRANSPORTES'!$B$7:$B$26,0)))</f>
        <v>#N/A</v>
      </c>
      <c r="B30" s="42" t="s">
        <v>556</v>
      </c>
      <c r="C30" s="49" t="s">
        <v>462</v>
      </c>
      <c r="D30" s="44">
        <f>(50*D20)/1000</f>
        <v>0.26</v>
      </c>
      <c r="E30" s="50">
        <f>+IF(C30=0,"",IF(C30="INSUMOS",'DATOS INICIALES'!$B$24,IF(C30="PLAYA",'DATOS INICIALES'!$B$21,IF(C30="TIERRA",'DATOS INICIALES'!$B$19,IF(C30="ESCOMBROS",'DATOS INICIALES'!$B$20,IF(C30="ASFALTO",'DATOS INICIALES'!$B$25,IF(C30="GRANULAR",'DATOS INICIALES'!B23)))))))</f>
        <v>180</v>
      </c>
      <c r="F30" s="27" t="e">
        <f>+IF(B30="","",(VLOOKUP($A30,INSUMOSTRANSPORTES,4,0)))</f>
        <v>#N/A</v>
      </c>
      <c r="G30" s="29" t="str">
        <f>+IFERROR(D30*E30*F30,"")</f>
        <v/>
      </c>
    </row>
    <row r="31" spans="1:7" x14ac:dyDescent="0.25">
      <c r="A31" s="33"/>
      <c r="B31" s="119"/>
      <c r="C31" s="119"/>
      <c r="D31" s="119"/>
      <c r="E31" s="35"/>
      <c r="F31" s="58" t="s">
        <v>62</v>
      </c>
      <c r="G31" s="211">
        <f>+IF(SUM(G28:G29)=0,"",SUM(G28:G29))</f>
        <v>584766</v>
      </c>
    </row>
    <row r="32" spans="1:7" ht="4.9000000000000004" customHeight="1" x14ac:dyDescent="0.25">
      <c r="A32" s="119"/>
      <c r="B32" s="119"/>
      <c r="C32" s="119"/>
      <c r="D32" s="35"/>
      <c r="E32" s="48"/>
      <c r="F32" s="39"/>
      <c r="G32" s="33"/>
    </row>
    <row r="33" spans="1:7" x14ac:dyDescent="0.25">
      <c r="A33" s="465" t="s">
        <v>70</v>
      </c>
      <c r="B33" s="465"/>
      <c r="C33" s="465"/>
      <c r="D33" s="465"/>
      <c r="E33" s="465"/>
      <c r="F33" s="465"/>
      <c r="G33" s="467"/>
    </row>
    <row r="34" spans="1:7" x14ac:dyDescent="0.25">
      <c r="A34" s="120" t="s">
        <v>56</v>
      </c>
      <c r="B34" s="468" t="s">
        <v>71</v>
      </c>
      <c r="C34" s="468"/>
      <c r="D34" s="41" t="s">
        <v>46</v>
      </c>
      <c r="E34" s="41" t="s">
        <v>72</v>
      </c>
      <c r="F34" s="41" t="s">
        <v>58</v>
      </c>
      <c r="G34" s="41" t="s">
        <v>59</v>
      </c>
    </row>
    <row r="35" spans="1:7" x14ac:dyDescent="0.25">
      <c r="A35" s="25" t="str">
        <f>IF(B35="","",INDEX(CODIGOSMANODEOBRA,MATCH($B35,'INSUMOS MANO DE OBRA'!$B$7:$B$61,0)))</f>
        <v>MO033</v>
      </c>
      <c r="B35" s="462" t="s">
        <v>360</v>
      </c>
      <c r="C35" s="463"/>
      <c r="D35" s="52">
        <v>1</v>
      </c>
      <c r="E35" s="46">
        <f>IF(B35="","",(VLOOKUP($A35,INSUMOSMANODEOBRA,8,0)))</f>
        <v>94854</v>
      </c>
      <c r="F35" s="44">
        <v>8</v>
      </c>
      <c r="G35" s="53">
        <f>+IFERROR(D35*E35/F35,"")</f>
        <v>11856.75</v>
      </c>
    </row>
    <row r="36" spans="1:7" x14ac:dyDescent="0.25">
      <c r="A36" s="25" t="str">
        <f>IF(B36="","",INDEX(CODIGOSMANODEOBRA,MATCH($B36,'INSUMOS MANO DE OBRA'!$B$7:$B$61,0)))</f>
        <v>MO032</v>
      </c>
      <c r="B36" s="462" t="s">
        <v>359</v>
      </c>
      <c r="C36" s="463"/>
      <c r="D36" s="52">
        <v>4</v>
      </c>
      <c r="E36" s="46">
        <f>IF(B36="","",(VLOOKUP($A36,INSUMOSMANODEOBRA,8,0)))</f>
        <v>75762</v>
      </c>
      <c r="F36" s="44">
        <v>8</v>
      </c>
      <c r="G36" s="53">
        <f>+IFERROR(D36*E36/F36,"")</f>
        <v>37881</v>
      </c>
    </row>
    <row r="37" spans="1:7" x14ac:dyDescent="0.25">
      <c r="A37" s="25"/>
      <c r="B37" s="462"/>
      <c r="C37" s="463"/>
      <c r="D37" s="52"/>
      <c r="E37" s="46"/>
      <c r="F37" s="54"/>
      <c r="G37" s="53" t="str">
        <f>+IFERROR(D37*E37/F37,"")</f>
        <v/>
      </c>
    </row>
    <row r="38" spans="1:7" x14ac:dyDescent="0.25">
      <c r="A38" s="25" t="str">
        <f>IF(B38="","",INDEX(CÓDIGOS_MANO_DE_OBRA,MATCH($B38,'[7]INSUMOS MANO DE OBRA'!$B$8:$B$63,0)))</f>
        <v/>
      </c>
      <c r="B38" s="462"/>
      <c r="C38" s="463"/>
      <c r="D38" s="52"/>
      <c r="E38" s="46" t="str">
        <f>+IF(B38="","",(VLOOKUP($A38,INSUMOS_MANO_DE_OBRA,8,0)))</f>
        <v/>
      </c>
      <c r="F38" s="54" t="str">
        <f>+IF(A38="","",IF(A38=0,"",IF(F37="","",F37)))</f>
        <v/>
      </c>
      <c r="G38" s="53" t="str">
        <f>+IFERROR(D38*E38/F38,"")</f>
        <v/>
      </c>
    </row>
    <row r="39" spans="1:7" x14ac:dyDescent="0.25">
      <c r="A39" s="33"/>
      <c r="B39" s="34"/>
      <c r="C39" s="119"/>
      <c r="D39" s="119"/>
      <c r="E39" s="35"/>
      <c r="F39" s="36" t="s">
        <v>62</v>
      </c>
      <c r="G39" s="37">
        <f>+IF(SUM(G35:G38)=0,"",SUM(G35:G38))</f>
        <v>49737.75</v>
      </c>
    </row>
    <row r="40" spans="1:7" ht="4.9000000000000004" customHeight="1" x14ac:dyDescent="0.25">
      <c r="A40" s="121"/>
      <c r="B40" s="119"/>
      <c r="C40" s="55"/>
      <c r="D40" s="55"/>
      <c r="E40" s="55"/>
      <c r="F40" s="39"/>
      <c r="G40" s="56"/>
    </row>
    <row r="41" spans="1:7" x14ac:dyDescent="0.25">
      <c r="A41" s="465" t="s">
        <v>76</v>
      </c>
      <c r="B41" s="465"/>
      <c r="C41" s="465"/>
      <c r="D41" s="465"/>
      <c r="E41" s="465"/>
      <c r="F41" s="465"/>
      <c r="G41" s="467"/>
    </row>
    <row r="42" spans="1:7" x14ac:dyDescent="0.25">
      <c r="A42" s="120" t="s">
        <v>56</v>
      </c>
      <c r="B42" s="468" t="s">
        <v>44</v>
      </c>
      <c r="C42" s="468"/>
      <c r="D42" s="120" t="s">
        <v>45</v>
      </c>
      <c r="E42" s="120" t="s">
        <v>46</v>
      </c>
      <c r="F42" s="120" t="s">
        <v>65</v>
      </c>
      <c r="G42" s="120" t="s">
        <v>59</v>
      </c>
    </row>
    <row r="43" spans="1:7" x14ac:dyDescent="0.25">
      <c r="A43" s="25" t="str">
        <f>IF(B43="","",INDEX(CODIGOSSERVICIOS,MATCH($B43,'INSUMOS SERVICIOS'!$B$7:$B$21,0)))</f>
        <v/>
      </c>
      <c r="B43" s="462"/>
      <c r="C43" s="463"/>
      <c r="D43" s="43" t="str">
        <f>+IF(B43="","",(VLOOKUP($A43,INSUMOSSERVICIOS,3,0)))</f>
        <v/>
      </c>
      <c r="E43" s="57">
        <v>1</v>
      </c>
      <c r="F43" s="46" t="str">
        <f>IF(B43="","",(VLOOKUP($A43,INSUMOSSERVICIOS,4,0)))</f>
        <v/>
      </c>
      <c r="G43" s="29" t="str">
        <f>+IFERROR(E43*F43,"")</f>
        <v/>
      </c>
    </row>
    <row r="44" spans="1:7" x14ac:dyDescent="0.25">
      <c r="A44" s="25" t="str">
        <f>IF(B44="","",INDEX(CODIGOSSERVICIOS,MATCH($B44,'INSUMOS SERVICIOS'!$B$7:$B$21,0)))</f>
        <v/>
      </c>
      <c r="B44" s="462"/>
      <c r="C44" s="463"/>
      <c r="D44" s="43" t="str">
        <f>+IF(B44="","",(VLOOKUP($A44,INSUMOSSERVICIOS,3,0)))</f>
        <v/>
      </c>
      <c r="E44" s="57">
        <v>1</v>
      </c>
      <c r="F44" s="46" t="str">
        <f>IF(B44="","",(VLOOKUP($A44,INSUMOSSERVICIOS,4,0)))</f>
        <v/>
      </c>
      <c r="G44" s="29" t="str">
        <f>+IFERROR(E44*F44,"")</f>
        <v/>
      </c>
    </row>
    <row r="45" spans="1:7" x14ac:dyDescent="0.25">
      <c r="A45" s="25" t="str">
        <f>IF(B45="","",INDEX(CÓDIGOS_SERVICIOS,MATCH($B45,'[7]INSUMOS SERVICIOS'!$B$8:$B$51,0)))</f>
        <v/>
      </c>
      <c r="B45" s="462"/>
      <c r="C45" s="463"/>
      <c r="D45" s="43" t="str">
        <f>+IF(B45="","",(VLOOKUP($A45,INSUMOS_SERVICIOS,3,0)))</f>
        <v/>
      </c>
      <c r="E45" s="57"/>
      <c r="F45" s="46" t="str">
        <f>IF(B45="","",(VLOOKUP($A45,INSUMOS_SERVICIOS,4,0)))</f>
        <v/>
      </c>
      <c r="G45" s="29" t="str">
        <f>+IFERROR(E45*F45,"")</f>
        <v/>
      </c>
    </row>
    <row r="46" spans="1:7" x14ac:dyDescent="0.25">
      <c r="A46" s="33"/>
      <c r="B46" s="34"/>
      <c r="C46" s="119"/>
      <c r="D46" s="119"/>
      <c r="E46" s="35"/>
      <c r="F46" s="58" t="s">
        <v>62</v>
      </c>
      <c r="G46" s="37" t="str">
        <f>+IF(SUM(G43:G45)=0,"",SUM(G43:G45))</f>
        <v/>
      </c>
    </row>
    <row r="47" spans="1:7" ht="4.9000000000000004" customHeight="1" x14ac:dyDescent="0.25">
      <c r="A47" s="121"/>
      <c r="B47" s="119"/>
      <c r="C47" s="55"/>
      <c r="D47" s="55"/>
      <c r="E47" s="55"/>
      <c r="F47" s="39"/>
      <c r="G47" s="56"/>
    </row>
    <row r="48" spans="1:7" x14ac:dyDescent="0.25">
      <c r="A48" s="464" t="s">
        <v>77</v>
      </c>
      <c r="B48" s="464"/>
      <c r="C48" s="464"/>
      <c r="D48" s="464"/>
      <c r="E48" s="464"/>
      <c r="F48" s="464"/>
      <c r="G48" s="59">
        <f>IF(SUM(G16,G24,G31,G39,G46)=0,"",(ROUND(SUM(G16,G24,G31,G39,G46),0)))</f>
        <v>644741</v>
      </c>
    </row>
    <row r="49" spans="1:7" ht="4.9000000000000004" customHeight="1" x14ac:dyDescent="0.25">
      <c r="A49" s="56"/>
      <c r="B49" s="48"/>
      <c r="C49" s="48"/>
      <c r="D49" s="48"/>
      <c r="E49" s="48"/>
      <c r="F49" s="48"/>
      <c r="G49" s="39"/>
    </row>
    <row r="50" spans="1:7" x14ac:dyDescent="0.25">
      <c r="A50" s="465" t="s">
        <v>78</v>
      </c>
      <c r="B50" s="465"/>
      <c r="C50" s="465"/>
      <c r="D50" s="465"/>
      <c r="E50" s="465"/>
      <c r="F50" s="465"/>
      <c r="G50" s="465"/>
    </row>
    <row r="51" spans="1:7" ht="4.9000000000000004" customHeight="1" x14ac:dyDescent="0.25">
      <c r="A51" s="119"/>
      <c r="B51" s="119"/>
      <c r="C51" s="119"/>
      <c r="D51" s="119"/>
      <c r="E51" s="119"/>
      <c r="F51" s="119"/>
      <c r="G51" s="119"/>
    </row>
    <row r="52" spans="1:7" x14ac:dyDescent="0.25">
      <c r="A52" s="466" t="s">
        <v>44</v>
      </c>
      <c r="B52" s="466"/>
      <c r="C52" s="466"/>
      <c r="D52" s="466"/>
      <c r="E52" s="466"/>
      <c r="F52" s="60" t="s">
        <v>79</v>
      </c>
      <c r="G52" s="60" t="s">
        <v>48</v>
      </c>
    </row>
    <row r="53" spans="1:7" x14ac:dyDescent="0.25">
      <c r="A53" s="458" t="s">
        <v>80</v>
      </c>
      <c r="B53" s="458"/>
      <c r="C53" s="458"/>
      <c r="D53" s="458"/>
      <c r="E53" s="458"/>
      <c r="F53" s="61">
        <f ca="1">AU!$I$36</f>
        <v>0.191</v>
      </c>
      <c r="G53" s="62">
        <f ca="1">+IFERROR(G48*F53,"")</f>
        <v>123145.531</v>
      </c>
    </row>
    <row r="54" spans="1:7" x14ac:dyDescent="0.25">
      <c r="A54" s="458" t="s">
        <v>81</v>
      </c>
      <c r="B54" s="458"/>
      <c r="C54" s="458"/>
      <c r="D54" s="458"/>
      <c r="E54" s="458"/>
      <c r="F54" s="61" t="e">
        <f>IF(AU!#REF!=0,"",AU!#REF!)</f>
        <v>#REF!</v>
      </c>
      <c r="G54" s="62" t="str">
        <f>+IFERROR(G48*F54,"")</f>
        <v/>
      </c>
    </row>
    <row r="55" spans="1:7" x14ac:dyDescent="0.25">
      <c r="A55" s="458" t="s">
        <v>82</v>
      </c>
      <c r="B55" s="458"/>
      <c r="C55" s="458"/>
      <c r="D55" s="458"/>
      <c r="E55" s="458"/>
      <c r="F55" s="61">
        <f>IF(AU!$I$37=0,"",AU!$I37)</f>
        <v>5.131865E-2</v>
      </c>
      <c r="G55" s="62">
        <f>+IFERROR(G48*F55,"")</f>
        <v>33087.237719650002</v>
      </c>
    </row>
    <row r="56" spans="1:7" x14ac:dyDescent="0.25">
      <c r="A56" s="459" t="s">
        <v>83</v>
      </c>
      <c r="B56" s="460"/>
      <c r="C56" s="460"/>
      <c r="D56" s="460"/>
      <c r="E56" s="460"/>
      <c r="F56" s="63" t="e">
        <f ca="1">IF(SUM(F53:F55)=0,"",SUM(F53:F55))</f>
        <v>#REF!</v>
      </c>
      <c r="G56" s="64">
        <f ca="1">IF(SUM(G53:G55)=0,"",ROUND(SUM(G53:G55),0))</f>
        <v>156233</v>
      </c>
    </row>
    <row r="57" spans="1:7" ht="4.9000000000000004" customHeight="1" x14ac:dyDescent="0.25">
      <c r="A57" s="56"/>
      <c r="B57" s="34"/>
      <c r="C57" s="34"/>
      <c r="D57" s="34"/>
      <c r="E57" s="461"/>
      <c r="F57" s="461"/>
      <c r="G57" s="65"/>
    </row>
    <row r="58" spans="1:7" x14ac:dyDescent="0.25">
      <c r="A58" s="456" t="s">
        <v>84</v>
      </c>
      <c r="B58" s="457"/>
      <c r="C58" s="457"/>
      <c r="D58" s="457"/>
      <c r="E58" s="457"/>
      <c r="F58" s="457"/>
      <c r="G58" s="66">
        <f ca="1">+IFERROR(ROUND(G48+G56,0),"")</f>
        <v>800974</v>
      </c>
    </row>
    <row r="59" spans="1:7" ht="6.6" customHeight="1" x14ac:dyDescent="0.25">
      <c r="A59" s="19"/>
      <c r="B59" s="19"/>
      <c r="C59" s="19"/>
      <c r="D59" s="19"/>
      <c r="E59" s="18"/>
      <c r="F59" s="18"/>
      <c r="G59" s="20"/>
    </row>
    <row r="60" spans="1:7" ht="12.6" customHeight="1" x14ac:dyDescent="0.25">
      <c r="A60" s="19"/>
      <c r="B60" s="185" t="s">
        <v>787</v>
      </c>
      <c r="C60" s="18"/>
      <c r="D60" s="18"/>
      <c r="E60" s="18"/>
      <c r="F60" s="18"/>
      <c r="G60" s="18"/>
    </row>
    <row r="61" spans="1:7" x14ac:dyDescent="0.25">
      <c r="A61" s="19"/>
      <c r="B61" s="185" t="s">
        <v>599</v>
      </c>
      <c r="C61" s="18"/>
      <c r="D61" s="18"/>
      <c r="E61" s="18"/>
      <c r="F61" s="18"/>
      <c r="G61" s="18"/>
    </row>
    <row r="62" spans="1:7" x14ac:dyDescent="0.25">
      <c r="A62" s="19"/>
      <c r="B62" s="185"/>
      <c r="C62" s="18"/>
      <c r="D62" s="67"/>
      <c r="E62" s="67"/>
      <c r="F62" s="67"/>
      <c r="G62" s="18"/>
    </row>
    <row r="63" spans="1:7" x14ac:dyDescent="0.25">
      <c r="A63" s="19"/>
      <c r="B63" s="185"/>
      <c r="C63" s="20"/>
      <c r="D63" s="365" t="s">
        <v>85</v>
      </c>
      <c r="E63" s="365"/>
      <c r="F63" s="365"/>
      <c r="G63" s="20"/>
    </row>
    <row r="65" spans="1:7" ht="18.75" x14ac:dyDescent="0.25">
      <c r="A65" s="376" t="str">
        <f>'DATOS INICIALES'!$B$1</f>
        <v>DEPARTAMENTO DE ANTIOQUIA</v>
      </c>
      <c r="B65" s="377"/>
      <c r="C65" s="377"/>
      <c r="D65" s="377"/>
      <c r="E65" s="377"/>
      <c r="F65" s="378" t="s">
        <v>51</v>
      </c>
      <c r="G65" s="378"/>
    </row>
    <row r="66" spans="1:7" ht="15.6" customHeight="1" x14ac:dyDescent="0.25">
      <c r="A66" s="379" t="str">
        <f>'DATOS INICIALES'!$B$2</f>
        <v>MUNICIPIO DE DABEIBA</v>
      </c>
      <c r="B66" s="380"/>
      <c r="C66" s="380"/>
      <c r="D66" s="380"/>
      <c r="E66" s="380"/>
      <c r="F66" s="378"/>
      <c r="G66" s="378"/>
    </row>
    <row r="67" spans="1:7" ht="14.45" customHeight="1" x14ac:dyDescent="0.25">
      <c r="A67" s="481" t="str">
        <f>'DATOS INICIALES'!$B$3</f>
        <v>REPOSICIÓN, AMPLIACIÓN Y REPARACIÓN DE LUMINARIAS QUE HACEN PARTE DE LA RED DE ALUMBRADOPÚBLICO DEL PARQUE PRINCIPAL Y CORREGIMIENTO SAN JOSÉ DE URAMA DEL MUNICIPIO DE DABEIBA.</v>
      </c>
      <c r="B67" s="482"/>
      <c r="C67" s="482"/>
      <c r="D67" s="482"/>
      <c r="E67" s="482"/>
      <c r="F67" s="378"/>
      <c r="G67" s="378"/>
    </row>
    <row r="68" spans="1:7" x14ac:dyDescent="0.25">
      <c r="A68" s="383"/>
      <c r="B68" s="383"/>
      <c r="C68" s="383"/>
      <c r="D68" s="383"/>
      <c r="E68" s="388"/>
      <c r="F68" s="378"/>
      <c r="G68" s="378"/>
    </row>
    <row r="69" spans="1:7" x14ac:dyDescent="0.25">
      <c r="A69" s="384" t="s">
        <v>52</v>
      </c>
      <c r="B69" s="385"/>
      <c r="C69" s="385"/>
      <c r="D69" s="385"/>
      <c r="E69" s="385"/>
      <c r="F69" s="378"/>
      <c r="G69" s="378"/>
    </row>
    <row r="70" spans="1:7" x14ac:dyDescent="0.25">
      <c r="A70" s="383"/>
      <c r="B70" s="383"/>
      <c r="C70" s="383"/>
      <c r="D70" s="383"/>
      <c r="E70" s="383"/>
      <c r="F70" s="477"/>
      <c r="G70" s="477"/>
    </row>
    <row r="71" spans="1:7" x14ac:dyDescent="0.25">
      <c r="A71" s="21" t="s">
        <v>42</v>
      </c>
      <c r="B71" s="372" t="s">
        <v>44</v>
      </c>
      <c r="C71" s="373"/>
      <c r="D71" s="374"/>
      <c r="E71" s="22" t="s">
        <v>45</v>
      </c>
      <c r="F71" s="23" t="s">
        <v>46</v>
      </c>
      <c r="G71" s="23" t="s">
        <v>53</v>
      </c>
    </row>
    <row r="72" spans="1:7" ht="14.45" customHeight="1" x14ac:dyDescent="0.25">
      <c r="A72" s="24" t="s">
        <v>155</v>
      </c>
      <c r="B72" s="478" t="str">
        <f>+IFERROR(VLOOKUP($A72,INSUMOSMATERIALES,2,0),"")</f>
        <v>CONCRETO 2500 PSI (175 MPA) EN OBRA</v>
      </c>
      <c r="C72" s="479"/>
      <c r="D72" s="480"/>
      <c r="E72" s="82" t="str">
        <f>+IFERROR(VLOOKUP($A72,INSUMOSMATERIALES,3,0),"")</f>
        <v>M3</v>
      </c>
      <c r="F72" s="82" t="s">
        <v>460</v>
      </c>
      <c r="G72" s="153">
        <f ca="1">IF(G122=0,"",G112)</f>
        <v>543815</v>
      </c>
    </row>
    <row r="73" spans="1:7" x14ac:dyDescent="0.25">
      <c r="A73" s="19"/>
      <c r="B73" s="19"/>
      <c r="C73" s="19"/>
      <c r="D73" s="19"/>
      <c r="E73" s="18"/>
      <c r="F73" s="18"/>
      <c r="G73" s="20"/>
    </row>
    <row r="74" spans="1:7" x14ac:dyDescent="0.25">
      <c r="A74" s="465" t="s">
        <v>54</v>
      </c>
      <c r="B74" s="465"/>
      <c r="C74" s="465"/>
      <c r="D74" s="465"/>
      <c r="E74" s="465"/>
      <c r="F74" s="465"/>
      <c r="G74" s="465"/>
    </row>
    <row r="75" spans="1:7" x14ac:dyDescent="0.25">
      <c r="A75" s="119"/>
      <c r="B75" s="119"/>
      <c r="C75" s="119"/>
      <c r="D75" s="119"/>
      <c r="E75" s="119"/>
      <c r="F75" s="119"/>
      <c r="G75" s="119"/>
    </row>
    <row r="76" spans="1:7" x14ac:dyDescent="0.25">
      <c r="A76" s="469" t="s">
        <v>55</v>
      </c>
      <c r="B76" s="469"/>
      <c r="C76" s="469"/>
      <c r="D76" s="469"/>
      <c r="E76" s="469"/>
      <c r="F76" s="469"/>
      <c r="G76" s="470"/>
    </row>
    <row r="77" spans="1:7" x14ac:dyDescent="0.25">
      <c r="A77" s="120" t="s">
        <v>56</v>
      </c>
      <c r="B77" s="471" t="s">
        <v>44</v>
      </c>
      <c r="C77" s="472"/>
      <c r="D77" s="120" t="s">
        <v>45</v>
      </c>
      <c r="E77" s="120" t="s">
        <v>57</v>
      </c>
      <c r="F77" s="120" t="s">
        <v>58</v>
      </c>
      <c r="G77" s="120" t="s">
        <v>59</v>
      </c>
    </row>
    <row r="78" spans="1:7" x14ac:dyDescent="0.25">
      <c r="A78" s="25" t="str">
        <f>IF(B78="","",INDEX(CODIGOEQUIPOS,MATCH($B78,'INSUMOS EQUIPOS'!$B$7:$B$39,0)))</f>
        <v>EQ004</v>
      </c>
      <c r="B78" s="473" t="s">
        <v>94</v>
      </c>
      <c r="C78" s="474"/>
      <c r="D78" s="26" t="str">
        <f>IF(B78="","",(VLOOKUP($A78,INSUMOSEQUIPOS,3,0)))</f>
        <v>DÍA</v>
      </c>
      <c r="E78" s="27">
        <f>IF(B78="","",(VLOOKUP($A78,INSUMOSEQUIPOS,4,0)))</f>
        <v>62000</v>
      </c>
      <c r="F78" s="28">
        <v>8</v>
      </c>
      <c r="G78" s="29">
        <f>+IFERROR(E78/F78,"")</f>
        <v>7750</v>
      </c>
    </row>
    <row r="79" spans="1:7" x14ac:dyDescent="0.25">
      <c r="A79" s="30" t="str">
        <f>+IF(G103="","","EQ001")</f>
        <v>EQ001</v>
      </c>
      <c r="B79" s="475" t="str">
        <f>+IF($A79="","",IFERROR(VLOOKUP($A79,INSUMOSEQUIPOS,2,0),""))</f>
        <v>HERRAMIENTA MENOR (5% DE LA MANO DE OBRA)</v>
      </c>
      <c r="C79" s="476"/>
      <c r="D79" s="26" t="str">
        <f>+IF($A79="","",IFERROR(VLOOKUP($A79,INSUMOSEQUIPOS,3,0),""))</f>
        <v>%</v>
      </c>
      <c r="E79" s="31">
        <f>+IF($A79="","",IFERROR(VLOOKUP($A79,INSUMOSEQUIPOS,4,0),""))</f>
        <v>0.05</v>
      </c>
      <c r="F79" s="32">
        <f>+IF(G103=0,"",G103)</f>
        <v>49737.75</v>
      </c>
      <c r="G79" s="29">
        <f>+IFERROR(E79*F79,"")</f>
        <v>2486.8875000000003</v>
      </c>
    </row>
    <row r="80" spans="1:7" x14ac:dyDescent="0.25">
      <c r="A80" s="33"/>
      <c r="B80" s="34"/>
      <c r="C80" s="119"/>
      <c r="D80" s="119"/>
      <c r="E80" s="35"/>
      <c r="F80" s="36" t="s">
        <v>62</v>
      </c>
      <c r="G80" s="37">
        <f>+IF(SUM(G78:G79)=0,"",SUM(G78:G79))</f>
        <v>10236.887500000001</v>
      </c>
    </row>
    <row r="81" spans="1:7" x14ac:dyDescent="0.25">
      <c r="A81" s="34"/>
      <c r="B81" s="119"/>
      <c r="C81" s="119"/>
      <c r="D81" s="35"/>
      <c r="E81" s="38"/>
      <c r="F81" s="39"/>
      <c r="G81" s="33"/>
    </row>
    <row r="82" spans="1:7" x14ac:dyDescent="0.25">
      <c r="A82" s="465" t="s">
        <v>63</v>
      </c>
      <c r="B82" s="465"/>
      <c r="C82" s="465"/>
      <c r="D82" s="465"/>
      <c r="E82" s="465"/>
      <c r="F82" s="465"/>
      <c r="G82" s="467"/>
    </row>
    <row r="83" spans="1:7" x14ac:dyDescent="0.25">
      <c r="A83" s="120" t="s">
        <v>56</v>
      </c>
      <c r="B83" s="40" t="s">
        <v>44</v>
      </c>
      <c r="C83" s="41" t="s">
        <v>45</v>
      </c>
      <c r="D83" s="41" t="s">
        <v>46</v>
      </c>
      <c r="E83" s="41" t="s">
        <v>64</v>
      </c>
      <c r="F83" s="41" t="s">
        <v>65</v>
      </c>
      <c r="G83" s="41" t="s">
        <v>59</v>
      </c>
    </row>
    <row r="84" spans="1:7" ht="22.5" x14ac:dyDescent="0.25">
      <c r="A84" s="25" t="e">
        <f>IF(B84="","",INDEX(CODIGOMATERIALES,MATCH($B84,'INSUMOS MATERIALES'!$B$7:$B$51,0)))</f>
        <v>#N/A</v>
      </c>
      <c r="B84" s="42" t="s">
        <v>192</v>
      </c>
      <c r="C84" s="43" t="e">
        <f>IF(B84="","",(VLOOKUP($A84,INSUMOSMATERIALES,3,0)))</f>
        <v>#N/A</v>
      </c>
      <c r="D84" s="44">
        <v>6</v>
      </c>
      <c r="E84" s="45">
        <v>0.05</v>
      </c>
      <c r="F84" s="46" t="e">
        <f>IF(B84="","",(VLOOKUP($A84,INSUMOSMATERIALES,4,0)))</f>
        <v>#N/A</v>
      </c>
      <c r="G84" s="29" t="str">
        <f>+IFERROR(F84*D84*(1+E84),"")</f>
        <v/>
      </c>
    </row>
    <row r="85" spans="1:7" x14ac:dyDescent="0.25">
      <c r="A85" s="25" t="e">
        <f>IF(B85="","",INDEX(CODIGOMATERIALES,MATCH($B85,'INSUMOS MATERIALES'!$B$7:$B$51,0)))</f>
        <v>#N/A</v>
      </c>
      <c r="B85" s="42" t="s">
        <v>198</v>
      </c>
      <c r="C85" s="43" t="e">
        <f>IF(B85="","",(VLOOKUP($A85,INSUMOSMATERIALES,3,0)))</f>
        <v>#N/A</v>
      </c>
      <c r="D85" s="44">
        <v>0.48</v>
      </c>
      <c r="E85" s="45">
        <v>0.05</v>
      </c>
      <c r="F85" s="46" t="e">
        <f>IF(B85="","",(VLOOKUP($A85,INSUMOSMATERIALES,4,0)))</f>
        <v>#N/A</v>
      </c>
      <c r="G85" s="29" t="str">
        <f>+IFERROR(F85*D85*(1+E85),"")</f>
        <v/>
      </c>
    </row>
    <row r="86" spans="1:7" x14ac:dyDescent="0.25">
      <c r="A86" s="25" t="e">
        <f>IF(B86="","",INDEX(CODIGOMATERIALES,MATCH($B86,'INSUMOS MATERIALES'!$B$7:$B$51,0)))</f>
        <v>#N/A</v>
      </c>
      <c r="B86" s="42" t="s">
        <v>540</v>
      </c>
      <c r="C86" s="43" t="e">
        <f>IF(B86="","",(VLOOKUP($A86,INSUMOSMATERIALES,3,0)))</f>
        <v>#N/A</v>
      </c>
      <c r="D86" s="44">
        <v>0.96</v>
      </c>
      <c r="E86" s="45">
        <v>0.05</v>
      </c>
      <c r="F86" s="46" t="e">
        <f>IF(B86="","",(VLOOKUP($A86,INSUMOSMATERIALES,4,0)))</f>
        <v>#N/A</v>
      </c>
      <c r="G86" s="29" t="str">
        <f>+IFERROR(F86*D86*(1+E86),"")</f>
        <v/>
      </c>
    </row>
    <row r="87" spans="1:7" x14ac:dyDescent="0.25">
      <c r="A87" s="25" t="e">
        <f>IF(B87="","",INDEX(CODIGOMATERIALES,MATCH($B87,'INSUMOS MATERIALES'!$B$7:$B$51,0)))</f>
        <v>#N/A</v>
      </c>
      <c r="B87" s="42" t="s">
        <v>201</v>
      </c>
      <c r="C87" s="43" t="e">
        <f>IF(B87="","",(VLOOKUP($A87,INSUMOSMATERIALES,3,0)))</f>
        <v>#N/A</v>
      </c>
      <c r="D87" s="44">
        <v>170</v>
      </c>
      <c r="E87" s="45">
        <v>0.1</v>
      </c>
      <c r="F87" s="46" t="e">
        <f>IF(B87="","",(VLOOKUP($A87,INSUMOSMATERIALES,4,0)))</f>
        <v>#N/A</v>
      </c>
      <c r="G87" s="29" t="str">
        <f>+IFERROR(F87*D87*(1+E87),"")</f>
        <v/>
      </c>
    </row>
    <row r="88" spans="1:7" x14ac:dyDescent="0.25">
      <c r="A88" s="33"/>
      <c r="B88" s="47"/>
      <c r="C88" s="119"/>
      <c r="D88" s="119"/>
      <c r="E88" s="35"/>
      <c r="F88" s="36" t="s">
        <v>62</v>
      </c>
      <c r="G88" s="37" t="str">
        <f>+IF(SUM(G84:G87)=0,"",SUM(G84:G87))</f>
        <v/>
      </c>
    </row>
    <row r="89" spans="1:7" x14ac:dyDescent="0.25">
      <c r="A89" s="34"/>
      <c r="B89" s="119"/>
      <c r="C89" s="119"/>
      <c r="D89" s="35"/>
      <c r="E89" s="48"/>
      <c r="F89" s="39"/>
      <c r="G89" s="33"/>
    </row>
    <row r="90" spans="1:7" x14ac:dyDescent="0.25">
      <c r="A90" s="465" t="s">
        <v>66</v>
      </c>
      <c r="B90" s="465"/>
      <c r="C90" s="465"/>
      <c r="D90" s="465"/>
      <c r="E90" s="465"/>
      <c r="F90" s="465"/>
      <c r="G90" s="465"/>
    </row>
    <row r="91" spans="1:7" x14ac:dyDescent="0.25">
      <c r="A91" s="120" t="s">
        <v>56</v>
      </c>
      <c r="B91" s="120" t="s">
        <v>44</v>
      </c>
      <c r="C91" s="120" t="s">
        <v>67</v>
      </c>
      <c r="D91" s="120" t="s">
        <v>68</v>
      </c>
      <c r="E91" s="41" t="s">
        <v>69</v>
      </c>
      <c r="F91" s="41" t="s">
        <v>57</v>
      </c>
      <c r="G91" s="41" t="s">
        <v>59</v>
      </c>
    </row>
    <row r="92" spans="1:7" ht="19.899999999999999" customHeight="1" x14ac:dyDescent="0.25">
      <c r="A92" s="25" t="str">
        <f>IF(B92="","",INDEX(CODIGOTRANSPORTES,MATCH(B92,'INSUMOS TRANSPORTES'!$B$7:$B$122,0)))</f>
        <v>TR020</v>
      </c>
      <c r="B92" s="42" t="s">
        <v>554</v>
      </c>
      <c r="C92" s="49" t="s">
        <v>553</v>
      </c>
      <c r="D92" s="44">
        <f>D86*1.05</f>
        <v>1.008</v>
      </c>
      <c r="E92" s="50">
        <f>+IF(C92=0,"",IF(C92="INSUMOS",'DATOS INICIALES'!$B$24,IF(C92="PLAYA",'DATOS INICIALES'!$B$21,IF(C92="TIERRA",'DATOS INICIALES'!$B$19,IF(C92="ESCOMBROS",'DATOS INICIALES'!$B$20,IF(C92="ASFALTO",'DATOS INICIALES'!$B$25,IF(C92="GRANULAR",'DATOS INICIALES'!$B$23,IF(C92="PLAYATRITURADO",'DATOS INICIALES'!$B$22,0))))))))</f>
        <v>120</v>
      </c>
      <c r="F92" s="27">
        <f>+IF(B92="","",(VLOOKUP($A92,INSUMOSTRANSPORTES,4,0)))</f>
        <v>950</v>
      </c>
      <c r="G92" s="29">
        <f>+IFERROR(D92*E92*F92,"")</f>
        <v>114912.00000000001</v>
      </c>
    </row>
    <row r="93" spans="1:7" ht="33.75" x14ac:dyDescent="0.25">
      <c r="A93" s="25" t="str">
        <f>IF(B93="","",INDEX(CODIGOTRANSPORTES,MATCH(B93,'INSUMOS TRANSPORTES'!$B$7:$B$13,0)))</f>
        <v>TR002</v>
      </c>
      <c r="B93" s="42" t="s">
        <v>555</v>
      </c>
      <c r="C93" s="49" t="s">
        <v>461</v>
      </c>
      <c r="D93" s="44">
        <f>D85*1.05</f>
        <v>0.504</v>
      </c>
      <c r="E93" s="50">
        <f>+IF(C93=0,"",IF(C93="INSUMOS",'DATOS INICIALES'!$B$24,IF(C93="PLAYA",'DATOS INICIALES'!$B$21,IF(C93="TIERRA",'DATOS INICIALES'!$B$19,IF(C93="ESCOMBROS",'DATOS INICIALES'!$B$20,IF(C93="ASFALTO",'DATOS INICIALES'!$B$25,IF(C93="GRANULAR",'DATOS INICIALES'!$B$23,IF(C93="PLAYATRITURADO",'DATOS INICIALES'!$B$22,0))))))))</f>
        <v>120</v>
      </c>
      <c r="F93" s="27">
        <f>+IF(B93="","",(VLOOKUP($A93,INSUMOSTRANSPORTES,4,0)))</f>
        <v>6100</v>
      </c>
      <c r="G93" s="29">
        <f>+IFERROR(D93*E93*F93,"")</f>
        <v>368928</v>
      </c>
    </row>
    <row r="94" spans="1:7" ht="22.5" x14ac:dyDescent="0.25">
      <c r="A94" s="25" t="e">
        <f>IF(B94="","",INDEX(CODIGOTRANSPORTES,MATCH(B94,'INSUMOS TRANSPORTES'!$B$7:$B$26,0)))</f>
        <v>#N/A</v>
      </c>
      <c r="B94" s="42" t="s">
        <v>556</v>
      </c>
      <c r="C94" s="49" t="s">
        <v>462</v>
      </c>
      <c r="D94" s="44">
        <f>(50*D84)/1000</f>
        <v>0.3</v>
      </c>
      <c r="E94" s="50">
        <f>+IF(C94=0,"",IF(C94="INSUMOS",'DATOS INICIALES'!$B$24,IF(C94="PLAYA",'DATOS INICIALES'!$B$21,IF(C94="TIERRA",'DATOS INICIALES'!$B$19,IF(C94="ESCOMBROS",'DATOS INICIALES'!$B$20,IF(C94="ASFALTO",'DATOS INICIALES'!$B$25,IF(C94="GRANULAR",'DATOS INICIALES'!B104)))))))</f>
        <v>180</v>
      </c>
      <c r="F94" s="27" t="e">
        <f>+IF(B94="","",(VLOOKUP($A94,INSUMOSTRANSPORTES,4,0)))</f>
        <v>#N/A</v>
      </c>
      <c r="G94" s="29" t="str">
        <f>+IFERROR(D94*E94*F94,"")</f>
        <v/>
      </c>
    </row>
    <row r="95" spans="1:7" x14ac:dyDescent="0.25">
      <c r="A95" s="33"/>
      <c r="B95" s="51"/>
      <c r="C95" s="119"/>
      <c r="D95" s="119"/>
      <c r="E95" s="35"/>
      <c r="F95" s="36" t="s">
        <v>62</v>
      </c>
      <c r="G95" s="37">
        <f>+IF(SUM(G92:G93)=0,"",SUM(G92:G93))</f>
        <v>483840</v>
      </c>
    </row>
    <row r="96" spans="1:7" x14ac:dyDescent="0.25">
      <c r="A96" s="119"/>
      <c r="B96" s="119"/>
      <c r="C96" s="119"/>
      <c r="D96" s="35"/>
      <c r="E96" s="48"/>
      <c r="F96" s="39"/>
      <c r="G96" s="33"/>
    </row>
    <row r="97" spans="1:7" x14ac:dyDescent="0.25">
      <c r="A97" s="465" t="s">
        <v>70</v>
      </c>
      <c r="B97" s="465"/>
      <c r="C97" s="465"/>
      <c r="D97" s="465"/>
      <c r="E97" s="465"/>
      <c r="F97" s="465"/>
      <c r="G97" s="467"/>
    </row>
    <row r="98" spans="1:7" x14ac:dyDescent="0.25">
      <c r="A98" s="120" t="s">
        <v>56</v>
      </c>
      <c r="B98" s="468" t="s">
        <v>71</v>
      </c>
      <c r="C98" s="468"/>
      <c r="D98" s="41" t="s">
        <v>46</v>
      </c>
      <c r="E98" s="41" t="s">
        <v>72</v>
      </c>
      <c r="F98" s="41" t="s">
        <v>58</v>
      </c>
      <c r="G98" s="41" t="s">
        <v>59</v>
      </c>
    </row>
    <row r="99" spans="1:7" x14ac:dyDescent="0.25">
      <c r="A99" s="25" t="str">
        <f>IF(B99="","",INDEX(CODIGOSMANODEOBRA,MATCH($B99,'INSUMOS MANO DE OBRA'!$B$7:$B$61,0)))</f>
        <v>MO033</v>
      </c>
      <c r="B99" s="462" t="s">
        <v>360</v>
      </c>
      <c r="C99" s="463"/>
      <c r="D99" s="52">
        <v>1</v>
      </c>
      <c r="E99" s="46">
        <f>IF(B99="","",(VLOOKUP($A99,INSUMOSMANODEOBRA,8,0)))</f>
        <v>94854</v>
      </c>
      <c r="F99" s="44">
        <v>8</v>
      </c>
      <c r="G99" s="53">
        <f>+IFERROR(D99*E99/F99,"")</f>
        <v>11856.75</v>
      </c>
    </row>
    <row r="100" spans="1:7" x14ac:dyDescent="0.25">
      <c r="A100" s="25" t="str">
        <f>IF(B100="","",INDEX(CODIGOSMANODEOBRA,MATCH($B100,'INSUMOS MANO DE OBRA'!$B$7:$B$61,0)))</f>
        <v>MO032</v>
      </c>
      <c r="B100" s="462" t="s">
        <v>359</v>
      </c>
      <c r="C100" s="463"/>
      <c r="D100" s="52">
        <v>4</v>
      </c>
      <c r="E100" s="46">
        <f>IF(B100="","",(VLOOKUP($A100,INSUMOSMANODEOBRA,8,0)))</f>
        <v>75762</v>
      </c>
      <c r="F100" s="44">
        <v>8</v>
      </c>
      <c r="G100" s="53">
        <f>+IFERROR(D100*E100/F100,"")</f>
        <v>37881</v>
      </c>
    </row>
    <row r="101" spans="1:7" x14ac:dyDescent="0.25">
      <c r="A101" s="25"/>
      <c r="B101" s="462"/>
      <c r="C101" s="463"/>
      <c r="D101" s="52"/>
      <c r="E101" s="46"/>
      <c r="F101" s="54"/>
      <c r="G101" s="53" t="str">
        <f>+IFERROR(D101*E101/F101,"")</f>
        <v/>
      </c>
    </row>
    <row r="102" spans="1:7" x14ac:dyDescent="0.25">
      <c r="A102" s="25" t="str">
        <f>IF(B102="","",INDEX(CÓDIGOS_MANO_DE_OBRA,MATCH($B102,'[7]INSUMOS MANO DE OBRA'!$B$8:$B$63,0)))</f>
        <v/>
      </c>
      <c r="B102" s="462"/>
      <c r="C102" s="463"/>
      <c r="D102" s="52"/>
      <c r="E102" s="46" t="str">
        <f>+IF(B102="","",(VLOOKUP($A102,INSUMOS_MANO_DE_OBRA,8,0)))</f>
        <v/>
      </c>
      <c r="F102" s="54" t="str">
        <f>+IF(A102="","",IF(A102=0,"",IF(F101="","",F101)))</f>
        <v/>
      </c>
      <c r="G102" s="53" t="str">
        <f>+IFERROR(D102*E102/F102,"")</f>
        <v/>
      </c>
    </row>
    <row r="103" spans="1:7" x14ac:dyDescent="0.25">
      <c r="A103" s="33"/>
      <c r="B103" s="34"/>
      <c r="C103" s="119"/>
      <c r="D103" s="119"/>
      <c r="E103" s="35"/>
      <c r="F103" s="36" t="s">
        <v>62</v>
      </c>
      <c r="G103" s="37">
        <f>+IF(SUM(G99:G102)=0,"",SUM(G99:G102))</f>
        <v>49737.75</v>
      </c>
    </row>
    <row r="104" spans="1:7" x14ac:dyDescent="0.25">
      <c r="A104" s="121"/>
      <c r="B104" s="119"/>
      <c r="C104" s="55"/>
      <c r="D104" s="55"/>
      <c r="E104" s="55"/>
      <c r="F104" s="39"/>
      <c r="G104" s="56"/>
    </row>
    <row r="105" spans="1:7" x14ac:dyDescent="0.25">
      <c r="A105" s="465" t="s">
        <v>76</v>
      </c>
      <c r="B105" s="465"/>
      <c r="C105" s="465"/>
      <c r="D105" s="465"/>
      <c r="E105" s="465"/>
      <c r="F105" s="465"/>
      <c r="G105" s="467"/>
    </row>
    <row r="106" spans="1:7" x14ac:dyDescent="0.25">
      <c r="A106" s="120" t="s">
        <v>56</v>
      </c>
      <c r="B106" s="468" t="s">
        <v>44</v>
      </c>
      <c r="C106" s="468"/>
      <c r="D106" s="120" t="s">
        <v>45</v>
      </c>
      <c r="E106" s="120" t="s">
        <v>46</v>
      </c>
      <c r="F106" s="120" t="s">
        <v>65</v>
      </c>
      <c r="G106" s="120" t="s">
        <v>59</v>
      </c>
    </row>
    <row r="107" spans="1:7" x14ac:dyDescent="0.25">
      <c r="A107" s="25" t="str">
        <f>IF(B107="","",INDEX(CODIGOSSERVICIOS,MATCH($B107,'INSUMOS SERVICIOS'!$B$7:$B$21,0)))</f>
        <v/>
      </c>
      <c r="B107" s="462"/>
      <c r="C107" s="463"/>
      <c r="D107" s="43" t="str">
        <f>+IF(B107="","",(VLOOKUP($A107,INSUMOSSERVICIOS,3,0)))</f>
        <v/>
      </c>
      <c r="E107" s="57">
        <v>1</v>
      </c>
      <c r="F107" s="46" t="str">
        <f>IF(B107="","",(VLOOKUP($A107,INSUMOSSERVICIOS,4,0)))</f>
        <v/>
      </c>
      <c r="G107" s="29" t="str">
        <f>+IFERROR(E107*F107,"")</f>
        <v/>
      </c>
    </row>
    <row r="108" spans="1:7" x14ac:dyDescent="0.25">
      <c r="A108" s="25" t="str">
        <f>IF(B108="","",INDEX(CODIGOSSERVICIOS,MATCH($B108,'INSUMOS SERVICIOS'!$B$7:$B$21,0)))</f>
        <v/>
      </c>
      <c r="B108" s="462"/>
      <c r="C108" s="463"/>
      <c r="D108" s="43" t="str">
        <f>+IF(B108="","",(VLOOKUP($A108,INSUMOSSERVICIOS,3,0)))</f>
        <v/>
      </c>
      <c r="E108" s="57">
        <v>1</v>
      </c>
      <c r="F108" s="46" t="str">
        <f>IF(B108="","",(VLOOKUP($A108,INSUMOSSERVICIOS,4,0)))</f>
        <v/>
      </c>
      <c r="G108" s="29" t="str">
        <f>+IFERROR(E108*F108,"")</f>
        <v/>
      </c>
    </row>
    <row r="109" spans="1:7" x14ac:dyDescent="0.25">
      <c r="A109" s="25" t="str">
        <f>IF(B109="","",INDEX(CÓDIGOS_SERVICIOS,MATCH($B109,'[7]INSUMOS SERVICIOS'!$B$8:$B$51,0)))</f>
        <v/>
      </c>
      <c r="B109" s="462"/>
      <c r="C109" s="463"/>
      <c r="D109" s="43" t="str">
        <f>+IF(B109="","",(VLOOKUP($A109,INSUMOS_SERVICIOS,3,0)))</f>
        <v/>
      </c>
      <c r="E109" s="57"/>
      <c r="F109" s="46" t="str">
        <f>IF(B109="","",(VLOOKUP($A109,INSUMOS_SERVICIOS,4,0)))</f>
        <v/>
      </c>
      <c r="G109" s="29" t="str">
        <f>+IFERROR(E109*F109,"")</f>
        <v/>
      </c>
    </row>
    <row r="110" spans="1:7" x14ac:dyDescent="0.25">
      <c r="A110" s="33"/>
      <c r="B110" s="34"/>
      <c r="C110" s="119"/>
      <c r="D110" s="119"/>
      <c r="E110" s="35"/>
      <c r="F110" s="58" t="s">
        <v>62</v>
      </c>
      <c r="G110" s="37" t="str">
        <f>+IF(SUM(G107:G109)=0,"",SUM(G107:G109))</f>
        <v/>
      </c>
    </row>
    <row r="111" spans="1:7" x14ac:dyDescent="0.25">
      <c r="A111" s="121"/>
      <c r="B111" s="119"/>
      <c r="C111" s="55"/>
      <c r="D111" s="55"/>
      <c r="E111" s="55"/>
      <c r="F111" s="39"/>
      <c r="G111" s="56"/>
    </row>
    <row r="112" spans="1:7" x14ac:dyDescent="0.25">
      <c r="A112" s="464" t="s">
        <v>77</v>
      </c>
      <c r="B112" s="464"/>
      <c r="C112" s="464"/>
      <c r="D112" s="464"/>
      <c r="E112" s="464"/>
      <c r="F112" s="464"/>
      <c r="G112" s="59">
        <f>IF(SUM(G80,G88,G95,G103,G110)=0,"",(ROUND(SUM(G80,G88,G95,G103,G110),0)))</f>
        <v>543815</v>
      </c>
    </row>
    <row r="113" spans="1:7" x14ac:dyDescent="0.25">
      <c r="A113" s="56"/>
      <c r="B113" s="48"/>
      <c r="C113" s="48"/>
      <c r="D113" s="48"/>
      <c r="E113" s="48"/>
      <c r="F113" s="48"/>
      <c r="G113" s="39"/>
    </row>
    <row r="114" spans="1:7" x14ac:dyDescent="0.25">
      <c r="A114" s="465" t="s">
        <v>78</v>
      </c>
      <c r="B114" s="465"/>
      <c r="C114" s="465"/>
      <c r="D114" s="465"/>
      <c r="E114" s="465"/>
      <c r="F114" s="465"/>
      <c r="G114" s="465"/>
    </row>
    <row r="115" spans="1:7" x14ac:dyDescent="0.25">
      <c r="A115" s="119"/>
      <c r="B115" s="119"/>
      <c r="C115" s="119"/>
      <c r="D115" s="119"/>
      <c r="E115" s="119"/>
      <c r="F115" s="119"/>
      <c r="G115" s="119"/>
    </row>
    <row r="116" spans="1:7" x14ac:dyDescent="0.25">
      <c r="A116" s="466" t="s">
        <v>44</v>
      </c>
      <c r="B116" s="466"/>
      <c r="C116" s="466"/>
      <c r="D116" s="466"/>
      <c r="E116" s="466"/>
      <c r="F116" s="60" t="s">
        <v>79</v>
      </c>
      <c r="G116" s="60" t="s">
        <v>48</v>
      </c>
    </row>
    <row r="117" spans="1:7" x14ac:dyDescent="0.25">
      <c r="A117" s="458" t="s">
        <v>80</v>
      </c>
      <c r="B117" s="458"/>
      <c r="C117" s="458"/>
      <c r="D117" s="458"/>
      <c r="E117" s="458"/>
      <c r="F117" s="61">
        <f ca="1">AU!$I$36</f>
        <v>0.191</v>
      </c>
      <c r="G117" s="62">
        <f ca="1">+IFERROR(G112*F117,"")</f>
        <v>103868.66500000001</v>
      </c>
    </row>
    <row r="118" spans="1:7" x14ac:dyDescent="0.25">
      <c r="A118" s="458" t="s">
        <v>81</v>
      </c>
      <c r="B118" s="458"/>
      <c r="C118" s="458"/>
      <c r="D118" s="458"/>
      <c r="E118" s="458"/>
      <c r="F118" s="61" t="e">
        <f>IF(AU!#REF!=0,"",AU!#REF!)</f>
        <v>#REF!</v>
      </c>
      <c r="G118" s="62" t="str">
        <f>+IFERROR(G112*F118,"")</f>
        <v/>
      </c>
    </row>
    <row r="119" spans="1:7" x14ac:dyDescent="0.25">
      <c r="A119" s="458" t="s">
        <v>82</v>
      </c>
      <c r="B119" s="458"/>
      <c r="C119" s="458"/>
      <c r="D119" s="458"/>
      <c r="E119" s="458"/>
      <c r="F119" s="61">
        <f>IF(AU!$I$37=0,"",AU!$I$37)</f>
        <v>5.131865E-2</v>
      </c>
      <c r="G119" s="62">
        <f>+IFERROR(G112*F119,"")</f>
        <v>27907.851649749999</v>
      </c>
    </row>
    <row r="120" spans="1:7" x14ac:dyDescent="0.25">
      <c r="A120" s="459" t="s">
        <v>83</v>
      </c>
      <c r="B120" s="460"/>
      <c r="C120" s="460"/>
      <c r="D120" s="460"/>
      <c r="E120" s="460"/>
      <c r="F120" s="63" t="e">
        <f ca="1">IF(SUM(F117:F119)=0,"",SUM(F117:F119))</f>
        <v>#REF!</v>
      </c>
      <c r="G120" s="64">
        <f ca="1">IF(SUM(G117:G119)=0,"",ROUND(SUM(G117:G119),0))</f>
        <v>131777</v>
      </c>
    </row>
    <row r="121" spans="1:7" x14ac:dyDescent="0.25">
      <c r="A121" s="56"/>
      <c r="B121" s="34"/>
      <c r="C121" s="34"/>
      <c r="D121" s="34"/>
      <c r="E121" s="461"/>
      <c r="F121" s="461"/>
      <c r="G121" s="65"/>
    </row>
    <row r="122" spans="1:7" x14ac:dyDescent="0.25">
      <c r="A122" s="456" t="s">
        <v>84</v>
      </c>
      <c r="B122" s="457"/>
      <c r="C122" s="457"/>
      <c r="D122" s="457"/>
      <c r="E122" s="457"/>
      <c r="F122" s="457"/>
      <c r="G122" s="66">
        <f ca="1">+IFERROR(ROUND(G112+G120,0),"")</f>
        <v>675592</v>
      </c>
    </row>
    <row r="123" spans="1:7" x14ac:dyDescent="0.25">
      <c r="A123" s="19"/>
      <c r="B123" s="19"/>
      <c r="C123" s="19"/>
      <c r="D123" s="19"/>
      <c r="E123" s="18"/>
      <c r="F123" s="18"/>
      <c r="G123" s="20"/>
    </row>
    <row r="124" spans="1:7" x14ac:dyDescent="0.25">
      <c r="A124" s="19"/>
      <c r="B124" s="185" t="s">
        <v>787</v>
      </c>
      <c r="C124" s="18"/>
      <c r="D124" s="18"/>
      <c r="E124" s="18"/>
      <c r="F124" s="18"/>
      <c r="G124" s="18"/>
    </row>
    <row r="125" spans="1:7" x14ac:dyDescent="0.25">
      <c r="A125" s="19"/>
      <c r="B125" s="185" t="s">
        <v>599</v>
      </c>
      <c r="C125" s="18"/>
      <c r="D125" s="18"/>
      <c r="E125" s="18"/>
      <c r="F125" s="18"/>
      <c r="G125" s="18"/>
    </row>
    <row r="126" spans="1:7" x14ac:dyDescent="0.25">
      <c r="A126" s="19"/>
      <c r="B126" s="185"/>
      <c r="C126" s="18"/>
      <c r="D126" s="67"/>
      <c r="E126" s="67"/>
      <c r="F126" s="67"/>
      <c r="G126" s="18"/>
    </row>
    <row r="127" spans="1:7" x14ac:dyDescent="0.25">
      <c r="A127" s="19"/>
      <c r="B127" s="185"/>
      <c r="C127" s="20"/>
      <c r="D127" s="365" t="s">
        <v>85</v>
      </c>
      <c r="E127" s="365"/>
      <c r="F127" s="365"/>
      <c r="G127" s="20"/>
    </row>
    <row r="128" spans="1:7" x14ac:dyDescent="0.25">
      <c r="A128" s="56"/>
      <c r="B128" s="34"/>
      <c r="C128" s="34"/>
      <c r="D128" s="34"/>
      <c r="E128" s="461"/>
      <c r="F128" s="461"/>
      <c r="G128" s="65"/>
    </row>
    <row r="129" spans="1:7" ht="18.75" x14ac:dyDescent="0.25">
      <c r="A129" s="376" t="str">
        <f>'DATOS INICIALES'!$B$1</f>
        <v>DEPARTAMENTO DE ANTIOQUIA</v>
      </c>
      <c r="B129" s="377"/>
      <c r="C129" s="377"/>
      <c r="D129" s="377"/>
      <c r="E129" s="377"/>
      <c r="F129" s="378" t="s">
        <v>51</v>
      </c>
      <c r="G129" s="378"/>
    </row>
    <row r="130" spans="1:7" ht="15.75" x14ac:dyDescent="0.25">
      <c r="A130" s="379" t="str">
        <f>'DATOS INICIALES'!$B$2</f>
        <v>MUNICIPIO DE DABEIBA</v>
      </c>
      <c r="B130" s="380"/>
      <c r="C130" s="380"/>
      <c r="D130" s="380"/>
      <c r="E130" s="380"/>
      <c r="F130" s="378"/>
      <c r="G130" s="378"/>
    </row>
    <row r="131" spans="1:7" x14ac:dyDescent="0.25">
      <c r="A131" s="481" t="str">
        <f>'DATOS INICIALES'!$B$3</f>
        <v>REPOSICIÓN, AMPLIACIÓN Y REPARACIÓN DE LUMINARIAS QUE HACEN PARTE DE LA RED DE ALUMBRADOPÚBLICO DEL PARQUE PRINCIPAL Y CORREGIMIENTO SAN JOSÉ DE URAMA DEL MUNICIPIO DE DABEIBA.</v>
      </c>
      <c r="B131" s="482"/>
      <c r="C131" s="482"/>
      <c r="D131" s="482"/>
      <c r="E131" s="482"/>
      <c r="F131" s="378"/>
      <c r="G131" s="378"/>
    </row>
    <row r="132" spans="1:7" x14ac:dyDescent="0.25">
      <c r="A132" s="383"/>
      <c r="B132" s="383"/>
      <c r="C132" s="383"/>
      <c r="D132" s="383"/>
      <c r="E132" s="388"/>
      <c r="F132" s="378"/>
      <c r="G132" s="378"/>
    </row>
    <row r="133" spans="1:7" x14ac:dyDescent="0.25">
      <c r="A133" s="384" t="s">
        <v>52</v>
      </c>
      <c r="B133" s="385"/>
      <c r="C133" s="385"/>
      <c r="D133" s="385"/>
      <c r="E133" s="385"/>
      <c r="F133" s="378"/>
      <c r="G133" s="378"/>
    </row>
    <row r="134" spans="1:7" x14ac:dyDescent="0.25">
      <c r="A134" s="383"/>
      <c r="B134" s="383"/>
      <c r="C134" s="383"/>
      <c r="D134" s="383"/>
      <c r="E134" s="383"/>
      <c r="F134" s="477"/>
      <c r="G134" s="477"/>
    </row>
    <row r="135" spans="1:7" x14ac:dyDescent="0.25">
      <c r="A135" s="21" t="s">
        <v>42</v>
      </c>
      <c r="B135" s="372" t="s">
        <v>44</v>
      </c>
      <c r="C135" s="373"/>
      <c r="D135" s="374"/>
      <c r="E135" s="22" t="s">
        <v>45</v>
      </c>
      <c r="F135" s="23" t="s">
        <v>46</v>
      </c>
      <c r="G135" s="23" t="s">
        <v>53</v>
      </c>
    </row>
    <row r="136" spans="1:7" x14ac:dyDescent="0.25">
      <c r="A136" s="24" t="s">
        <v>157</v>
      </c>
      <c r="B136" s="478" t="str">
        <f>+IFERROR(VLOOKUP($A136,INSUMOSMATERIALES,2,0),"")</f>
        <v>CONCRETO 3000 PSI (210 MPA) EN OBRA</v>
      </c>
      <c r="C136" s="479"/>
      <c r="D136" s="480"/>
      <c r="E136" s="82" t="str">
        <f>+IFERROR(VLOOKUP($A136,INSUMOSMATERIALES,3,0),"")</f>
        <v>M3</v>
      </c>
      <c r="F136" s="82" t="s">
        <v>460</v>
      </c>
      <c r="G136" s="153">
        <f ca="1">IF(G186=0,"",G176)</f>
        <v>590939</v>
      </c>
    </row>
    <row r="137" spans="1:7" x14ac:dyDescent="0.25">
      <c r="A137" s="19"/>
      <c r="B137" s="19"/>
      <c r="C137" s="19"/>
      <c r="D137" s="19"/>
      <c r="E137" s="18"/>
      <c r="F137" s="18"/>
      <c r="G137" s="20"/>
    </row>
    <row r="138" spans="1:7" x14ac:dyDescent="0.25">
      <c r="A138" s="465" t="s">
        <v>54</v>
      </c>
      <c r="B138" s="465"/>
      <c r="C138" s="465"/>
      <c r="D138" s="465"/>
      <c r="E138" s="465"/>
      <c r="F138" s="465"/>
      <c r="G138" s="465"/>
    </row>
    <row r="139" spans="1:7" x14ac:dyDescent="0.25">
      <c r="A139" s="119"/>
      <c r="B139" s="119"/>
      <c r="C139" s="119"/>
      <c r="D139" s="119"/>
      <c r="E139" s="119"/>
      <c r="F139" s="119"/>
      <c r="G139" s="119"/>
    </row>
    <row r="140" spans="1:7" x14ac:dyDescent="0.25">
      <c r="A140" s="469" t="s">
        <v>55</v>
      </c>
      <c r="B140" s="469"/>
      <c r="C140" s="469"/>
      <c r="D140" s="469"/>
      <c r="E140" s="469"/>
      <c r="F140" s="469"/>
      <c r="G140" s="470"/>
    </row>
    <row r="141" spans="1:7" x14ac:dyDescent="0.25">
      <c r="A141" s="120" t="s">
        <v>56</v>
      </c>
      <c r="B141" s="471" t="s">
        <v>44</v>
      </c>
      <c r="C141" s="472"/>
      <c r="D141" s="120" t="s">
        <v>45</v>
      </c>
      <c r="E141" s="120" t="s">
        <v>57</v>
      </c>
      <c r="F141" s="120" t="s">
        <v>58</v>
      </c>
      <c r="G141" s="120" t="s">
        <v>59</v>
      </c>
    </row>
    <row r="142" spans="1:7" x14ac:dyDescent="0.25">
      <c r="A142" s="25" t="str">
        <f>IF(B142="","",INDEX(CODIGOEQUIPOS,MATCH($B142,'INSUMOS EQUIPOS'!$B$7:$B$39,0)))</f>
        <v>EQ004</v>
      </c>
      <c r="B142" s="473" t="s">
        <v>94</v>
      </c>
      <c r="C142" s="474"/>
      <c r="D142" s="26" t="str">
        <f>IF(B142="","",(VLOOKUP($A142,INSUMOSEQUIPOS,3,0)))</f>
        <v>DÍA</v>
      </c>
      <c r="E142" s="27">
        <f>IF(B142="","",(VLOOKUP($A142,INSUMOSEQUIPOS,4,0)))</f>
        <v>62000</v>
      </c>
      <c r="F142" s="28">
        <v>8</v>
      </c>
      <c r="G142" s="29">
        <f>+IFERROR(E142/F142,"")</f>
        <v>7750</v>
      </c>
    </row>
    <row r="143" spans="1:7" x14ac:dyDescent="0.25">
      <c r="A143" s="30" t="str">
        <f>+IF(G167="","","EQ001")</f>
        <v>EQ001</v>
      </c>
      <c r="B143" s="475" t="str">
        <f>+IF($A143="","",IFERROR(VLOOKUP($A143,INSUMOSEQUIPOS,2,0),""))</f>
        <v>HERRAMIENTA MENOR (5% DE LA MANO DE OBRA)</v>
      </c>
      <c r="C143" s="476"/>
      <c r="D143" s="26" t="str">
        <f>+IF($A143="","",IFERROR(VLOOKUP($A143,INSUMOSEQUIPOS,3,0),""))</f>
        <v>%</v>
      </c>
      <c r="E143" s="31">
        <f>+IF($A143="","",IFERROR(VLOOKUP($A143,INSUMOSEQUIPOS,4,0),""))</f>
        <v>0.05</v>
      </c>
      <c r="F143" s="32">
        <f>+IF(G167=0,"",G167)</f>
        <v>49737.75</v>
      </c>
      <c r="G143" s="29">
        <f>+IFERROR(E143*F143,"")</f>
        <v>2486.8875000000003</v>
      </c>
    </row>
    <row r="144" spans="1:7" x14ac:dyDescent="0.25">
      <c r="A144" s="33"/>
      <c r="B144" s="34"/>
      <c r="C144" s="119"/>
      <c r="D144" s="119"/>
      <c r="E144" s="35"/>
      <c r="F144" s="36" t="s">
        <v>62</v>
      </c>
      <c r="G144" s="37">
        <f>+IF(SUM(G142:G143)=0,"",SUM(G142:G143))</f>
        <v>10236.887500000001</v>
      </c>
    </row>
    <row r="145" spans="1:9" x14ac:dyDescent="0.25">
      <c r="A145" s="34"/>
      <c r="B145" s="119"/>
      <c r="C145" s="119"/>
      <c r="D145" s="35"/>
      <c r="E145" s="38"/>
      <c r="F145" s="39"/>
      <c r="G145" s="33"/>
    </row>
    <row r="146" spans="1:9" x14ac:dyDescent="0.25">
      <c r="A146" s="465" t="s">
        <v>63</v>
      </c>
      <c r="B146" s="465"/>
      <c r="C146" s="465"/>
      <c r="D146" s="465"/>
      <c r="E146" s="465"/>
      <c r="F146" s="465"/>
      <c r="G146" s="467"/>
    </row>
    <row r="147" spans="1:9" x14ac:dyDescent="0.25">
      <c r="A147" s="120" t="s">
        <v>56</v>
      </c>
      <c r="B147" s="40" t="s">
        <v>44</v>
      </c>
      <c r="C147" s="41" t="s">
        <v>45</v>
      </c>
      <c r="D147" s="41" t="s">
        <v>46</v>
      </c>
      <c r="E147" s="41" t="s">
        <v>64</v>
      </c>
      <c r="F147" s="41" t="s">
        <v>65</v>
      </c>
      <c r="G147" s="41" t="s">
        <v>59</v>
      </c>
    </row>
    <row r="148" spans="1:9" ht="22.5" x14ac:dyDescent="0.25">
      <c r="A148" s="25" t="e">
        <f>IF(B148="","",INDEX(CODIGOMATERIALES,MATCH($B148,'INSUMOS MATERIALES'!$B$7:$B$51,0)))</f>
        <v>#N/A</v>
      </c>
      <c r="B148" s="42" t="s">
        <v>192</v>
      </c>
      <c r="C148" s="43" t="e">
        <f>IF(B148="","",(VLOOKUP($A148,INSUMOSMATERIALES,3,0)))</f>
        <v>#N/A</v>
      </c>
      <c r="D148" s="44">
        <v>7</v>
      </c>
      <c r="E148" s="45">
        <v>0.05</v>
      </c>
      <c r="F148" s="46" t="e">
        <f>IF(B148="","",(VLOOKUP($A148,INSUMOSMATERIALES,4,0)))</f>
        <v>#N/A</v>
      </c>
      <c r="G148" s="29" t="str">
        <f>+IFERROR(F148*D148*(1+E148),"")</f>
        <v/>
      </c>
    </row>
    <row r="149" spans="1:9" x14ac:dyDescent="0.25">
      <c r="A149" s="25" t="e">
        <f>IF(B149="","",INDEX(CODIGOMATERIALES,MATCH($B149,'INSUMOS MATERIALES'!$B$7:$B$51,0)))</f>
        <v>#N/A</v>
      </c>
      <c r="B149" s="42" t="s">
        <v>198</v>
      </c>
      <c r="C149" s="43" t="e">
        <f>IF(B149="","",(VLOOKUP($A149,INSUMOSMATERIALES,3,0)))</f>
        <v>#N/A</v>
      </c>
      <c r="D149" s="44">
        <v>0.56000000000000005</v>
      </c>
      <c r="E149" s="45">
        <v>0.05</v>
      </c>
      <c r="F149" s="46" t="e">
        <f>IF(B149="","",(VLOOKUP($A149,INSUMOSMATERIALES,4,0)))</f>
        <v>#N/A</v>
      </c>
      <c r="G149" s="29" t="str">
        <f>+IFERROR(F149*D149*(1+E149),"")</f>
        <v/>
      </c>
    </row>
    <row r="150" spans="1:9" x14ac:dyDescent="0.25">
      <c r="A150" s="25" t="e">
        <f>IF(B150="","",INDEX(CODIGOMATERIALES,MATCH($B150,'INSUMOS MATERIALES'!$B$7:$B$51,0)))</f>
        <v>#N/A</v>
      </c>
      <c r="B150" s="42" t="s">
        <v>540</v>
      </c>
      <c r="C150" s="43" t="e">
        <f>IF(B150="","",(VLOOKUP($A150,INSUMOSMATERIALES,3,0)))</f>
        <v>#N/A</v>
      </c>
      <c r="D150" s="44">
        <v>0.84</v>
      </c>
      <c r="E150" s="45">
        <v>0.05</v>
      </c>
      <c r="F150" s="46" t="e">
        <f>IF(B150="","",(VLOOKUP($A150,INSUMOSMATERIALES,4,0)))</f>
        <v>#N/A</v>
      </c>
      <c r="G150" s="29" t="str">
        <f>+IFERROR(F150*D150*(1+E150),"")</f>
        <v/>
      </c>
      <c r="I150" s="208"/>
    </row>
    <row r="151" spans="1:9" x14ac:dyDescent="0.25">
      <c r="A151" s="25" t="e">
        <f>IF(B151="","",INDEX(CODIGOMATERIALES,MATCH($B151,'INSUMOS MATERIALES'!$B$7:$B$51,0)))</f>
        <v>#N/A</v>
      </c>
      <c r="B151" s="42" t="s">
        <v>201</v>
      </c>
      <c r="C151" s="43" t="e">
        <f>IF(B151="","",(VLOOKUP($A151,INSUMOSMATERIALES,3,0)))</f>
        <v>#N/A</v>
      </c>
      <c r="D151" s="44">
        <v>180</v>
      </c>
      <c r="E151" s="45">
        <v>0.1</v>
      </c>
      <c r="F151" s="46" t="e">
        <f>IF(B151="","",(VLOOKUP($A151,INSUMOSMATERIALES,4,0)))</f>
        <v>#N/A</v>
      </c>
      <c r="G151" s="29" t="str">
        <f>+IFERROR(F151*D151*(1+E151),"")</f>
        <v/>
      </c>
    </row>
    <row r="152" spans="1:9" x14ac:dyDescent="0.25">
      <c r="A152" s="33"/>
      <c r="B152" s="47"/>
      <c r="C152" s="119"/>
      <c r="D152" s="119"/>
      <c r="E152" s="35"/>
      <c r="F152" s="36" t="s">
        <v>62</v>
      </c>
      <c r="G152" s="37" t="str">
        <f>+IF(SUM(G148:G151)=0,"",SUM(G148:G151))</f>
        <v/>
      </c>
    </row>
    <row r="153" spans="1:9" x14ac:dyDescent="0.25">
      <c r="A153" s="34"/>
      <c r="B153" s="119"/>
      <c r="C153" s="119"/>
      <c r="D153" s="35"/>
      <c r="E153" s="48"/>
      <c r="F153" s="39"/>
      <c r="G153" s="33"/>
    </row>
    <row r="154" spans="1:9" x14ac:dyDescent="0.25">
      <c r="A154" s="465" t="s">
        <v>66</v>
      </c>
      <c r="B154" s="465"/>
      <c r="C154" s="465"/>
      <c r="D154" s="465"/>
      <c r="E154" s="465"/>
      <c r="F154" s="465"/>
      <c r="G154" s="465"/>
    </row>
    <row r="155" spans="1:9" x14ac:dyDescent="0.25">
      <c r="A155" s="120" t="s">
        <v>56</v>
      </c>
      <c r="B155" s="120" t="s">
        <v>44</v>
      </c>
      <c r="C155" s="120" t="s">
        <v>67</v>
      </c>
      <c r="D155" s="120" t="s">
        <v>68</v>
      </c>
      <c r="E155" s="41" t="s">
        <v>69</v>
      </c>
      <c r="F155" s="41" t="s">
        <v>57</v>
      </c>
      <c r="G155" s="41" t="s">
        <v>59</v>
      </c>
    </row>
    <row r="156" spans="1:9" ht="22.9" customHeight="1" x14ac:dyDescent="0.25">
      <c r="A156" s="25" t="str">
        <f>IF(B156="","",INDEX(CODIGOTRANSPORTES,MATCH(B156,'INSUMOS TRANSPORTES'!$B$7:$B$122,0)))</f>
        <v>TR020</v>
      </c>
      <c r="B156" s="42" t="s">
        <v>554</v>
      </c>
      <c r="C156" s="49" t="s">
        <v>553</v>
      </c>
      <c r="D156" s="44">
        <f>D150*1.05</f>
        <v>0.88200000000000001</v>
      </c>
      <c r="E156" s="50">
        <f>+IF(C156=0,"",IF(C156="INSUMOS",'DATOS INICIALES'!$B$24,IF(C156="PLAYA",'DATOS INICIALES'!$B$21,IF(C156="TIERRA",'DATOS INICIALES'!$B$19,IF(C156="ESCOMBROS",'DATOS INICIALES'!$B$20,IF(C156="ASFALTO",'DATOS INICIALES'!$B$25,IF(C156="GRANULAR",'DATOS INICIALES'!$B$23,IF(C156="PLAYATRITURADO",'DATOS INICIALES'!$B$22,0))))))))</f>
        <v>120</v>
      </c>
      <c r="F156" s="27">
        <f>+IF(B156="","",(VLOOKUP($A156,INSUMOSTRANSPORTES,4,0)))</f>
        <v>950</v>
      </c>
      <c r="G156" s="29">
        <f>+IFERROR(D156*E156*F156,"")</f>
        <v>100548</v>
      </c>
    </row>
    <row r="157" spans="1:9" ht="29.45" customHeight="1" x14ac:dyDescent="0.25">
      <c r="A157" s="25" t="str">
        <f>IF(B157="","",INDEX(CODIGOTRANSPORTES,MATCH(B157,'INSUMOS TRANSPORTES'!$B$7:$B$13,0)))</f>
        <v>TR002</v>
      </c>
      <c r="B157" s="42" t="s">
        <v>555</v>
      </c>
      <c r="C157" s="49" t="s">
        <v>461</v>
      </c>
      <c r="D157" s="44">
        <f>D149*1.05</f>
        <v>0.58800000000000008</v>
      </c>
      <c r="E157" s="50">
        <f>+IF(C157=0,"",IF(C157="INSUMOS",'DATOS INICIALES'!$B$24,IF(C157="PLAYA",'DATOS INICIALES'!$B$21,IF(C157="TIERRA",'DATOS INICIALES'!$B$19,IF(C157="ESCOMBROS",'DATOS INICIALES'!$B$20,IF(C157="ASFALTO",'DATOS INICIALES'!$B$25,IF(C157="GRANULAR",'DATOS INICIALES'!$B$23,IF(C157="PLAYATRITURADO",'DATOS INICIALES'!$B$22,0))))))))</f>
        <v>120</v>
      </c>
      <c r="F157" s="27">
        <f>+IF(B157="","",(VLOOKUP($A157,INSUMOSTRANSPORTES,4,0)))</f>
        <v>6100</v>
      </c>
      <c r="G157" s="29">
        <f>+IFERROR(D157*E157*F157,"")</f>
        <v>430416</v>
      </c>
    </row>
    <row r="158" spans="1:9" ht="25.9" customHeight="1" x14ac:dyDescent="0.25">
      <c r="A158" s="25" t="e">
        <f>IF(B158="","",INDEX(CODIGOTRANSPORTES,MATCH(B158,'INSUMOS TRANSPORTES'!$B$7:$B$26,0)))</f>
        <v>#N/A</v>
      </c>
      <c r="B158" s="42" t="s">
        <v>556</v>
      </c>
      <c r="C158" s="49" t="s">
        <v>462</v>
      </c>
      <c r="D158" s="44">
        <f>(50*D148)/1000</f>
        <v>0.35</v>
      </c>
      <c r="E158" s="50">
        <f>+IF(C158=0,"",IF(C158="INSUMOS",'DATOS INICIALES'!$B$24,IF(C158="PLAYA",'DATOS INICIALES'!$B$21,IF(C158="TIERRA",'DATOS INICIALES'!$B$19,IF(C158="ESCOMBROS",'DATOS INICIALES'!$B$20,IF(C158="ASFALTO",'DATOS INICIALES'!$B$25,IF(C158="GRANULAR",'DATOS INICIALES'!B168)))))))</f>
        <v>180</v>
      </c>
      <c r="F158" s="27" t="e">
        <f>+IF(B158="","",(VLOOKUP($A158,INSUMOSTRANSPORTES,4,0)))</f>
        <v>#N/A</v>
      </c>
      <c r="G158" s="29" t="str">
        <f>+IFERROR(D158*E158*F158,"")</f>
        <v/>
      </c>
    </row>
    <row r="159" spans="1:9" x14ac:dyDescent="0.25">
      <c r="A159" s="33"/>
      <c r="B159" s="51"/>
      <c r="C159" s="119"/>
      <c r="D159" s="119"/>
      <c r="E159" s="35"/>
      <c r="F159" s="36" t="s">
        <v>62</v>
      </c>
      <c r="G159" s="37">
        <f>+IF(SUM(G156:G158)=0,"",SUM(G156:G158))</f>
        <v>530964</v>
      </c>
    </row>
    <row r="160" spans="1:9" x14ac:dyDescent="0.25">
      <c r="A160" s="119"/>
      <c r="B160" s="119"/>
      <c r="C160" s="119"/>
      <c r="D160" s="35"/>
      <c r="E160" s="48"/>
      <c r="F160" s="39"/>
      <c r="G160" s="33"/>
    </row>
    <row r="161" spans="1:7" x14ac:dyDescent="0.25">
      <c r="A161" s="465" t="s">
        <v>70</v>
      </c>
      <c r="B161" s="465"/>
      <c r="C161" s="465"/>
      <c r="D161" s="465"/>
      <c r="E161" s="465"/>
      <c r="F161" s="465"/>
      <c r="G161" s="467"/>
    </row>
    <row r="162" spans="1:7" x14ac:dyDescent="0.25">
      <c r="A162" s="120" t="s">
        <v>56</v>
      </c>
      <c r="B162" s="468" t="s">
        <v>71</v>
      </c>
      <c r="C162" s="468"/>
      <c r="D162" s="41" t="s">
        <v>46</v>
      </c>
      <c r="E162" s="41" t="s">
        <v>72</v>
      </c>
      <c r="F162" s="41" t="s">
        <v>58</v>
      </c>
      <c r="G162" s="41" t="s">
        <v>59</v>
      </c>
    </row>
    <row r="163" spans="1:7" x14ac:dyDescent="0.25">
      <c r="A163" s="25" t="str">
        <f>IF(B163="","",INDEX(CODIGOSMANODEOBRA,MATCH($B163,'INSUMOS MANO DE OBRA'!$B$7:$B$61,0)))</f>
        <v>MO033</v>
      </c>
      <c r="B163" s="462" t="s">
        <v>360</v>
      </c>
      <c r="C163" s="463"/>
      <c r="D163" s="52">
        <v>1</v>
      </c>
      <c r="E163" s="46">
        <f>IF(B163="","",(VLOOKUP($A163,INSUMOSMANODEOBRA,8,0)))</f>
        <v>94854</v>
      </c>
      <c r="F163" s="44">
        <v>8</v>
      </c>
      <c r="G163" s="53">
        <f>+IFERROR(D163*E163/F163,"")</f>
        <v>11856.75</v>
      </c>
    </row>
    <row r="164" spans="1:7" x14ac:dyDescent="0.25">
      <c r="A164" s="25" t="str">
        <f>IF(B164="","",INDEX(CODIGOSMANODEOBRA,MATCH($B164,'INSUMOS MANO DE OBRA'!$B$7:$B$61,0)))</f>
        <v>MO032</v>
      </c>
      <c r="B164" s="462" t="s">
        <v>359</v>
      </c>
      <c r="C164" s="463"/>
      <c r="D164" s="52">
        <v>4</v>
      </c>
      <c r="E164" s="46">
        <f>IF(B164="","",(VLOOKUP($A164,INSUMOSMANODEOBRA,8,0)))</f>
        <v>75762</v>
      </c>
      <c r="F164" s="44">
        <v>8</v>
      </c>
      <c r="G164" s="53">
        <f>+IFERROR(D164*E164/F164,"")</f>
        <v>37881</v>
      </c>
    </row>
    <row r="165" spans="1:7" x14ac:dyDescent="0.25">
      <c r="A165" s="25"/>
      <c r="B165" s="462"/>
      <c r="C165" s="463"/>
      <c r="D165" s="52"/>
      <c r="E165" s="46"/>
      <c r="F165" s="54"/>
      <c r="G165" s="53" t="str">
        <f>+IFERROR(D165*E165/F165,"")</f>
        <v/>
      </c>
    </row>
    <row r="166" spans="1:7" x14ac:dyDescent="0.25">
      <c r="A166" s="25" t="str">
        <f>IF(B166="","",INDEX(CÓDIGOS_MANO_DE_OBRA,MATCH($B166,'[7]INSUMOS MANO DE OBRA'!$B$8:$B$63,0)))</f>
        <v/>
      </c>
      <c r="B166" s="462"/>
      <c r="C166" s="463"/>
      <c r="D166" s="52"/>
      <c r="E166" s="46" t="str">
        <f>+IF(B166="","",(VLOOKUP($A166,INSUMOS_MANO_DE_OBRA,8,0)))</f>
        <v/>
      </c>
      <c r="F166" s="54" t="str">
        <f>+IF(A166="","",IF(A166=0,"",IF(F165="","",F165)))</f>
        <v/>
      </c>
      <c r="G166" s="53" t="str">
        <f>+IFERROR(D166*E166/F166,"")</f>
        <v/>
      </c>
    </row>
    <row r="167" spans="1:7" x14ac:dyDescent="0.25">
      <c r="A167" s="33"/>
      <c r="B167" s="34"/>
      <c r="C167" s="119"/>
      <c r="D167" s="119"/>
      <c r="E167" s="35"/>
      <c r="F167" s="36" t="s">
        <v>62</v>
      </c>
      <c r="G167" s="37">
        <f>+IF(SUM(G163:G166)=0,"",SUM(G163:G166))</f>
        <v>49737.75</v>
      </c>
    </row>
    <row r="168" spans="1:7" x14ac:dyDescent="0.25">
      <c r="A168" s="121"/>
      <c r="B168" s="119"/>
      <c r="C168" s="55"/>
      <c r="D168" s="55"/>
      <c r="E168" s="55"/>
      <c r="F168" s="39"/>
      <c r="G168" s="56"/>
    </row>
    <row r="169" spans="1:7" x14ac:dyDescent="0.25">
      <c r="A169" s="465" t="s">
        <v>76</v>
      </c>
      <c r="B169" s="465"/>
      <c r="C169" s="465"/>
      <c r="D169" s="465"/>
      <c r="E169" s="465"/>
      <c r="F169" s="465"/>
      <c r="G169" s="467"/>
    </row>
    <row r="170" spans="1:7" x14ac:dyDescent="0.25">
      <c r="A170" s="120" t="s">
        <v>56</v>
      </c>
      <c r="B170" s="468" t="s">
        <v>44</v>
      </c>
      <c r="C170" s="468"/>
      <c r="D170" s="120" t="s">
        <v>45</v>
      </c>
      <c r="E170" s="120" t="s">
        <v>46</v>
      </c>
      <c r="F170" s="120" t="s">
        <v>65</v>
      </c>
      <c r="G170" s="120" t="s">
        <v>59</v>
      </c>
    </row>
    <row r="171" spans="1:7" x14ac:dyDescent="0.25">
      <c r="A171" s="25" t="str">
        <f>IF(B171="","",INDEX(CODIGOSSERVICIOS,MATCH($B171,'INSUMOS SERVICIOS'!$B$7:$B$21,0)))</f>
        <v/>
      </c>
      <c r="B171" s="462"/>
      <c r="C171" s="463"/>
      <c r="D171" s="43" t="str">
        <f>+IF(B171="","",(VLOOKUP($A171,INSUMOSSERVICIOS,3,0)))</f>
        <v/>
      </c>
      <c r="E171" s="57">
        <v>1</v>
      </c>
      <c r="F171" s="46" t="str">
        <f>IF(B171="","",(VLOOKUP($A171,INSUMOSSERVICIOS,4,0)))</f>
        <v/>
      </c>
      <c r="G171" s="29" t="str">
        <f>+IFERROR(E171*F171,"")</f>
        <v/>
      </c>
    </row>
    <row r="172" spans="1:7" x14ac:dyDescent="0.25">
      <c r="A172" s="25" t="str">
        <f>IF(B172="","",INDEX(CODIGOSSERVICIOS,MATCH($B172,'INSUMOS SERVICIOS'!$B$7:$B$21,0)))</f>
        <v/>
      </c>
      <c r="B172" s="462"/>
      <c r="C172" s="463"/>
      <c r="D172" s="43" t="str">
        <f>+IF(B172="","",(VLOOKUP($A172,INSUMOSSERVICIOS,3,0)))</f>
        <v/>
      </c>
      <c r="E172" s="57">
        <v>1</v>
      </c>
      <c r="F172" s="46" t="str">
        <f>IF(B172="","",(VLOOKUP($A172,INSUMOSSERVICIOS,4,0)))</f>
        <v/>
      </c>
      <c r="G172" s="29" t="str">
        <f>+IFERROR(E172*F172,"")</f>
        <v/>
      </c>
    </row>
    <row r="173" spans="1:7" x14ac:dyDescent="0.25">
      <c r="A173" s="25" t="str">
        <f>IF(B173="","",INDEX(CÓDIGOS_SERVICIOS,MATCH($B173,'[7]INSUMOS SERVICIOS'!$B$8:$B$51,0)))</f>
        <v/>
      </c>
      <c r="B173" s="462"/>
      <c r="C173" s="463"/>
      <c r="D173" s="43" t="str">
        <f>+IF(B173="","",(VLOOKUP($A173,INSUMOS_SERVICIOS,3,0)))</f>
        <v/>
      </c>
      <c r="E173" s="57"/>
      <c r="F173" s="46" t="str">
        <f>IF(B173="","",(VLOOKUP($A173,INSUMOS_SERVICIOS,4,0)))</f>
        <v/>
      </c>
      <c r="G173" s="29" t="str">
        <f>+IFERROR(E173*F173,"")</f>
        <v/>
      </c>
    </row>
    <row r="174" spans="1:7" x14ac:dyDescent="0.25">
      <c r="A174" s="33"/>
      <c r="B174" s="34"/>
      <c r="C174" s="119"/>
      <c r="D174" s="119"/>
      <c r="E174" s="35"/>
      <c r="F174" s="58" t="s">
        <v>62</v>
      </c>
      <c r="G174" s="37" t="str">
        <f>+IF(SUM(G171:G173)=0,"",SUM(G171:G173))</f>
        <v/>
      </c>
    </row>
    <row r="175" spans="1:7" x14ac:dyDescent="0.25">
      <c r="A175" s="121"/>
      <c r="B175" s="119"/>
      <c r="C175" s="55"/>
      <c r="D175" s="55"/>
      <c r="E175" s="55"/>
      <c r="F175" s="39"/>
      <c r="G175" s="56"/>
    </row>
    <row r="176" spans="1:7" x14ac:dyDescent="0.25">
      <c r="A176" s="464" t="s">
        <v>77</v>
      </c>
      <c r="B176" s="464"/>
      <c r="C176" s="464"/>
      <c r="D176" s="464"/>
      <c r="E176" s="464"/>
      <c r="F176" s="464"/>
      <c r="G176" s="59">
        <f>IF(SUM(G144,G152,G159,G167,G174)=0,"",(ROUND(SUM(G144,G152,G159,G167,G174),0)))</f>
        <v>590939</v>
      </c>
    </row>
    <row r="177" spans="1:7" x14ac:dyDescent="0.25">
      <c r="A177" s="56"/>
      <c r="B177" s="48"/>
      <c r="C177" s="48"/>
      <c r="D177" s="48"/>
      <c r="E177" s="48"/>
      <c r="F177" s="48"/>
      <c r="G177" s="39"/>
    </row>
    <row r="178" spans="1:7" x14ac:dyDescent="0.25">
      <c r="A178" s="465" t="s">
        <v>78</v>
      </c>
      <c r="B178" s="465"/>
      <c r="C178" s="465"/>
      <c r="D178" s="465"/>
      <c r="E178" s="465"/>
      <c r="F178" s="465"/>
      <c r="G178" s="465"/>
    </row>
    <row r="179" spans="1:7" x14ac:dyDescent="0.25">
      <c r="A179" s="119"/>
      <c r="B179" s="119"/>
      <c r="C179" s="119"/>
      <c r="D179" s="119"/>
      <c r="E179" s="119"/>
      <c r="F179" s="119"/>
      <c r="G179" s="119"/>
    </row>
    <row r="180" spans="1:7" x14ac:dyDescent="0.25">
      <c r="A180" s="466" t="s">
        <v>44</v>
      </c>
      <c r="B180" s="466"/>
      <c r="C180" s="466"/>
      <c r="D180" s="466"/>
      <c r="E180" s="466"/>
      <c r="F180" s="60" t="s">
        <v>79</v>
      </c>
      <c r="G180" s="60" t="s">
        <v>48</v>
      </c>
    </row>
    <row r="181" spans="1:7" x14ac:dyDescent="0.25">
      <c r="A181" s="458" t="s">
        <v>80</v>
      </c>
      <c r="B181" s="458"/>
      <c r="C181" s="458"/>
      <c r="D181" s="458"/>
      <c r="E181" s="458"/>
      <c r="F181" s="61">
        <f ca="1">AU!$I$36</f>
        <v>0.191</v>
      </c>
      <c r="G181" s="62">
        <f ca="1">+IFERROR(G176*F181,"")</f>
        <v>112869.349</v>
      </c>
    </row>
    <row r="182" spans="1:7" x14ac:dyDescent="0.25">
      <c r="A182" s="458" t="s">
        <v>81</v>
      </c>
      <c r="B182" s="458"/>
      <c r="C182" s="458"/>
      <c r="D182" s="458"/>
      <c r="E182" s="458"/>
      <c r="F182" s="61" t="e">
        <f>IF(AU!#REF!=0,"",AU!#REF!)</f>
        <v>#REF!</v>
      </c>
      <c r="G182" s="62" t="str">
        <f>+IFERROR(G176*F182,"")</f>
        <v/>
      </c>
    </row>
    <row r="183" spans="1:7" x14ac:dyDescent="0.25">
      <c r="A183" s="458" t="s">
        <v>82</v>
      </c>
      <c r="B183" s="458"/>
      <c r="C183" s="458"/>
      <c r="D183" s="458"/>
      <c r="E183" s="458"/>
      <c r="F183" s="61">
        <f>IF(AU!$I$37=0,"",AU!$I$37)</f>
        <v>5.131865E-2</v>
      </c>
      <c r="G183" s="62">
        <f>+IFERROR(G176*F183,"")</f>
        <v>30326.191712349999</v>
      </c>
    </row>
    <row r="184" spans="1:7" x14ac:dyDescent="0.25">
      <c r="A184" s="459" t="s">
        <v>83</v>
      </c>
      <c r="B184" s="460"/>
      <c r="C184" s="460"/>
      <c r="D184" s="460"/>
      <c r="E184" s="460"/>
      <c r="F184" s="63" t="e">
        <f ca="1">IF(SUM(F181:F183)=0,"",SUM(F181:F183))</f>
        <v>#REF!</v>
      </c>
      <c r="G184" s="64">
        <f ca="1">IF(SUM(G181:G183)=0,"",ROUND(SUM(G181:G183),0))</f>
        <v>143196</v>
      </c>
    </row>
    <row r="185" spans="1:7" x14ac:dyDescent="0.25">
      <c r="A185" s="56"/>
      <c r="B185" s="34"/>
      <c r="C185" s="34"/>
      <c r="D185" s="34"/>
      <c r="E185" s="461"/>
      <c r="F185" s="461"/>
      <c r="G185" s="65"/>
    </row>
    <row r="186" spans="1:7" x14ac:dyDescent="0.25">
      <c r="A186" s="456" t="s">
        <v>84</v>
      </c>
      <c r="B186" s="457"/>
      <c r="C186" s="457"/>
      <c r="D186" s="457"/>
      <c r="E186" s="457"/>
      <c r="F186" s="457"/>
      <c r="G186" s="66">
        <f ca="1">+IFERROR(ROUND(G176+G184,0),"")</f>
        <v>734135</v>
      </c>
    </row>
    <row r="187" spans="1:7" x14ac:dyDescent="0.25">
      <c r="A187" s="19"/>
      <c r="B187" s="19"/>
      <c r="C187" s="19"/>
      <c r="D187" s="19"/>
      <c r="E187" s="18"/>
      <c r="F187" s="18"/>
      <c r="G187" s="20"/>
    </row>
    <row r="188" spans="1:7" x14ac:dyDescent="0.25">
      <c r="A188" s="19"/>
      <c r="B188" s="185" t="s">
        <v>787</v>
      </c>
      <c r="C188" s="18"/>
      <c r="D188" s="18"/>
      <c r="E188" s="18"/>
      <c r="F188" s="18"/>
      <c r="G188" s="18"/>
    </row>
    <row r="189" spans="1:7" x14ac:dyDescent="0.25">
      <c r="A189" s="19"/>
      <c r="B189" s="185" t="s">
        <v>599</v>
      </c>
      <c r="C189" s="18"/>
      <c r="D189" s="18"/>
      <c r="E189" s="18"/>
      <c r="F189" s="18"/>
      <c r="G189" s="18"/>
    </row>
    <row r="190" spans="1:7" x14ac:dyDescent="0.25">
      <c r="A190" s="19"/>
      <c r="B190" s="185"/>
      <c r="C190" s="18"/>
      <c r="D190" s="67"/>
      <c r="E190" s="67"/>
      <c r="F190" s="67"/>
      <c r="G190" s="18"/>
    </row>
    <row r="191" spans="1:7" x14ac:dyDescent="0.25">
      <c r="A191" s="19"/>
      <c r="B191" s="185"/>
      <c r="C191" s="20"/>
      <c r="D191" s="365" t="s">
        <v>85</v>
      </c>
      <c r="E191" s="365"/>
      <c r="F191" s="365"/>
      <c r="G191" s="20"/>
    </row>
    <row r="193" spans="1:7" ht="18.75" x14ac:dyDescent="0.25">
      <c r="A193" s="376" t="str">
        <f>'DATOS INICIALES'!$B$1</f>
        <v>DEPARTAMENTO DE ANTIOQUIA</v>
      </c>
      <c r="B193" s="377"/>
      <c r="C193" s="377"/>
      <c r="D193" s="377"/>
      <c r="E193" s="377"/>
      <c r="F193" s="378" t="s">
        <v>51</v>
      </c>
      <c r="G193" s="378"/>
    </row>
    <row r="194" spans="1:7" ht="15.75" x14ac:dyDescent="0.25">
      <c r="A194" s="379" t="str">
        <f>'DATOS INICIALES'!$B$2</f>
        <v>MUNICIPIO DE DABEIBA</v>
      </c>
      <c r="B194" s="380"/>
      <c r="C194" s="380"/>
      <c r="D194" s="380"/>
      <c r="E194" s="380"/>
      <c r="F194" s="378"/>
      <c r="G194" s="378"/>
    </row>
    <row r="195" spans="1:7" x14ac:dyDescent="0.25">
      <c r="A195" s="481" t="str">
        <f>'DATOS INICIALES'!$B$3</f>
        <v>REPOSICIÓN, AMPLIACIÓN Y REPARACIÓN DE LUMINARIAS QUE HACEN PARTE DE LA RED DE ALUMBRADOPÚBLICO DEL PARQUE PRINCIPAL Y CORREGIMIENTO SAN JOSÉ DE URAMA DEL MUNICIPIO DE DABEIBA.</v>
      </c>
      <c r="B195" s="482"/>
      <c r="C195" s="482"/>
      <c r="D195" s="482"/>
      <c r="E195" s="482"/>
      <c r="F195" s="378"/>
      <c r="G195" s="378"/>
    </row>
    <row r="196" spans="1:7" x14ac:dyDescent="0.25">
      <c r="A196" s="383"/>
      <c r="B196" s="383"/>
      <c r="C196" s="383"/>
      <c r="D196" s="383"/>
      <c r="E196" s="388"/>
      <c r="F196" s="378"/>
      <c r="G196" s="378"/>
    </row>
    <row r="197" spans="1:7" x14ac:dyDescent="0.25">
      <c r="A197" s="384" t="s">
        <v>52</v>
      </c>
      <c r="B197" s="385"/>
      <c r="C197" s="385"/>
      <c r="D197" s="385"/>
      <c r="E197" s="385"/>
      <c r="F197" s="378"/>
      <c r="G197" s="378"/>
    </row>
    <row r="198" spans="1:7" x14ac:dyDescent="0.25">
      <c r="A198" s="383"/>
      <c r="B198" s="383"/>
      <c r="C198" s="383"/>
      <c r="D198" s="383"/>
      <c r="E198" s="383"/>
      <c r="F198" s="477"/>
      <c r="G198" s="477"/>
    </row>
    <row r="199" spans="1:7" x14ac:dyDescent="0.25">
      <c r="A199" s="21" t="s">
        <v>42</v>
      </c>
      <c r="B199" s="372" t="s">
        <v>44</v>
      </c>
      <c r="C199" s="373"/>
      <c r="D199" s="374"/>
      <c r="E199" s="22" t="s">
        <v>45</v>
      </c>
      <c r="F199" s="23" t="s">
        <v>46</v>
      </c>
      <c r="G199" s="23" t="s">
        <v>53</v>
      </c>
    </row>
    <row r="200" spans="1:7" x14ac:dyDescent="0.25">
      <c r="A200" s="24" t="s">
        <v>159</v>
      </c>
      <c r="B200" s="478" t="str">
        <f>+IFERROR(VLOOKUP($A200,INSUMOSMATERIALES,2,0),"")</f>
        <v>CONCRETO 3500 PSI (245 MPA) EN OBRA</v>
      </c>
      <c r="C200" s="479"/>
      <c r="D200" s="480"/>
      <c r="E200" s="82" t="str">
        <f>+IFERROR(VLOOKUP($A200,INSUMOSMATERIALES,3,0),"")</f>
        <v>M3</v>
      </c>
      <c r="F200" s="82" t="s">
        <v>460</v>
      </c>
      <c r="G200" s="153">
        <f ca="1">IF(G250=0,"",G240)</f>
        <v>612107</v>
      </c>
    </row>
    <row r="201" spans="1:7" x14ac:dyDescent="0.25">
      <c r="A201" s="19"/>
      <c r="B201" s="19"/>
      <c r="C201" s="19"/>
      <c r="D201" s="19"/>
      <c r="E201" s="18"/>
      <c r="F201" s="18"/>
      <c r="G201" s="20"/>
    </row>
    <row r="202" spans="1:7" x14ac:dyDescent="0.25">
      <c r="A202" s="465" t="s">
        <v>54</v>
      </c>
      <c r="B202" s="465"/>
      <c r="C202" s="465"/>
      <c r="D202" s="465"/>
      <c r="E202" s="465"/>
      <c r="F202" s="465"/>
      <c r="G202" s="465"/>
    </row>
    <row r="203" spans="1:7" x14ac:dyDescent="0.25">
      <c r="A203" s="119"/>
      <c r="B203" s="119"/>
      <c r="C203" s="119"/>
      <c r="D203" s="119"/>
      <c r="E203" s="119"/>
      <c r="F203" s="119"/>
      <c r="G203" s="119"/>
    </row>
    <row r="204" spans="1:7" x14ac:dyDescent="0.25">
      <c r="A204" s="469" t="s">
        <v>55</v>
      </c>
      <c r="B204" s="469"/>
      <c r="C204" s="469"/>
      <c r="D204" s="469"/>
      <c r="E204" s="469"/>
      <c r="F204" s="469"/>
      <c r="G204" s="470"/>
    </row>
    <row r="205" spans="1:7" x14ac:dyDescent="0.25">
      <c r="A205" s="120" t="s">
        <v>56</v>
      </c>
      <c r="B205" s="471" t="s">
        <v>44</v>
      </c>
      <c r="C205" s="472"/>
      <c r="D205" s="120" t="s">
        <v>45</v>
      </c>
      <c r="E205" s="120" t="s">
        <v>57</v>
      </c>
      <c r="F205" s="120" t="s">
        <v>58</v>
      </c>
      <c r="G205" s="120" t="s">
        <v>59</v>
      </c>
    </row>
    <row r="206" spans="1:7" x14ac:dyDescent="0.25">
      <c r="A206" s="25" t="str">
        <f>IF(B206="","",INDEX(CODIGOEQUIPOS,MATCH($B206,'INSUMOS EQUIPOS'!$B$7:$B$39,0)))</f>
        <v>EQ004</v>
      </c>
      <c r="B206" s="473" t="s">
        <v>94</v>
      </c>
      <c r="C206" s="474"/>
      <c r="D206" s="26" t="str">
        <f>IF(B206="","",(VLOOKUP($A206,INSUMOSEQUIPOS,3,0)))</f>
        <v>DÍA</v>
      </c>
      <c r="E206" s="27">
        <f>IF(B206="","",(VLOOKUP($A206,INSUMOSEQUIPOS,4,0)))</f>
        <v>62000</v>
      </c>
      <c r="F206" s="28">
        <v>8</v>
      </c>
      <c r="G206" s="29">
        <f>+IFERROR(E206/F206,"")</f>
        <v>7750</v>
      </c>
    </row>
    <row r="207" spans="1:7" x14ac:dyDescent="0.25">
      <c r="A207" s="30" t="str">
        <f>+IF(G231="","","EQ001")</f>
        <v>EQ001</v>
      </c>
      <c r="B207" s="475" t="str">
        <f>+IF($A207="","",IFERROR(VLOOKUP($A207,INSUMOSEQUIPOS,2,0),""))</f>
        <v>HERRAMIENTA MENOR (5% DE LA MANO DE OBRA)</v>
      </c>
      <c r="C207" s="476"/>
      <c r="D207" s="26" t="str">
        <f>+IF($A207="","",IFERROR(VLOOKUP($A207,INSUMOSEQUIPOS,3,0),""))</f>
        <v>%</v>
      </c>
      <c r="E207" s="31">
        <f>+IF($A207="","",IFERROR(VLOOKUP($A207,INSUMOSEQUIPOS,4,0),""))</f>
        <v>0.05</v>
      </c>
      <c r="F207" s="32">
        <f>+IF(G231=0,"",G231)</f>
        <v>49737.75</v>
      </c>
      <c r="G207" s="29">
        <f>+IFERROR(E207*F207,"")</f>
        <v>2486.8875000000003</v>
      </c>
    </row>
    <row r="208" spans="1:7" x14ac:dyDescent="0.25">
      <c r="A208" s="33"/>
      <c r="B208" s="34"/>
      <c r="C208" s="119"/>
      <c r="D208" s="119"/>
      <c r="E208" s="35"/>
      <c r="F208" s="36" t="s">
        <v>62</v>
      </c>
      <c r="G208" s="37">
        <f>+IF(SUM(G206:G207)=0,"",SUM(G206:G207))</f>
        <v>10236.887500000001</v>
      </c>
    </row>
    <row r="209" spans="1:7" x14ac:dyDescent="0.25">
      <c r="A209" s="34"/>
      <c r="B209" s="119"/>
      <c r="C209" s="119"/>
      <c r="D209" s="35"/>
      <c r="E209" s="38"/>
      <c r="F209" s="39"/>
      <c r="G209" s="33"/>
    </row>
    <row r="210" spans="1:7" x14ac:dyDescent="0.25">
      <c r="A210" s="465" t="s">
        <v>63</v>
      </c>
      <c r="B210" s="465"/>
      <c r="C210" s="465"/>
      <c r="D210" s="465"/>
      <c r="E210" s="465"/>
      <c r="F210" s="465"/>
      <c r="G210" s="467"/>
    </row>
    <row r="211" spans="1:7" x14ac:dyDescent="0.25">
      <c r="A211" s="120" t="s">
        <v>56</v>
      </c>
      <c r="B211" s="40" t="s">
        <v>44</v>
      </c>
      <c r="C211" s="41" t="s">
        <v>45</v>
      </c>
      <c r="D211" s="41" t="s">
        <v>46</v>
      </c>
      <c r="E211" s="41" t="s">
        <v>64</v>
      </c>
      <c r="F211" s="41" t="s">
        <v>65</v>
      </c>
      <c r="G211" s="41" t="s">
        <v>59</v>
      </c>
    </row>
    <row r="212" spans="1:7" ht="22.5" x14ac:dyDescent="0.25">
      <c r="A212" s="25" t="e">
        <f>IF(B212="","",INDEX(CODIGOMATERIALES,MATCH($B212,'INSUMOS MATERIALES'!$B$7:$B$51,0)))</f>
        <v>#N/A</v>
      </c>
      <c r="B212" s="42" t="s">
        <v>192</v>
      </c>
      <c r="C212" s="43" t="e">
        <f>IF(B212="","",(VLOOKUP($A212,INSUMOSMATERIALES,3,0)))</f>
        <v>#N/A</v>
      </c>
      <c r="D212" s="44">
        <v>7.6</v>
      </c>
      <c r="E212" s="45">
        <v>0.05</v>
      </c>
      <c r="F212" s="46" t="e">
        <f>IF(B212="","",(VLOOKUP($A212,INSUMOSMATERIALES,4,0)))</f>
        <v>#N/A</v>
      </c>
      <c r="G212" s="29" t="str">
        <f>+IFERROR(F212*D212*(1+E212),"")</f>
        <v/>
      </c>
    </row>
    <row r="213" spans="1:7" x14ac:dyDescent="0.25">
      <c r="A213" s="25" t="e">
        <f>IF(B213="","",INDEX(CODIGOMATERIALES,MATCH($B213,'INSUMOS MATERIALES'!$B$7:$B$51,0)))</f>
        <v>#N/A</v>
      </c>
      <c r="B213" s="42" t="s">
        <v>198</v>
      </c>
      <c r="C213" s="43" t="e">
        <f>IF(B213="","",(VLOOKUP($A213,INSUMOSMATERIALES,3,0)))</f>
        <v>#N/A</v>
      </c>
      <c r="D213" s="44">
        <v>0.6</v>
      </c>
      <c r="E213" s="45">
        <v>0.05</v>
      </c>
      <c r="F213" s="46" t="e">
        <f>IF(B213="","",(VLOOKUP($A213,INSUMOSMATERIALES,4,0)))</f>
        <v>#N/A</v>
      </c>
      <c r="G213" s="29" t="str">
        <f>+IFERROR(F213*D213*(1+E213),"")</f>
        <v/>
      </c>
    </row>
    <row r="214" spans="1:7" x14ac:dyDescent="0.25">
      <c r="A214" s="25" t="e">
        <f>IF(B214="","",INDEX(CODIGOMATERIALES,MATCH($B214,'INSUMOS MATERIALES'!$B$7:$B$51,0)))</f>
        <v>#N/A</v>
      </c>
      <c r="B214" s="42" t="s">
        <v>540</v>
      </c>
      <c r="C214" s="43" t="e">
        <f>IF(B214="","",(VLOOKUP($A214,INSUMOSMATERIALES,3,0)))</f>
        <v>#N/A</v>
      </c>
      <c r="D214" s="44">
        <v>0.76</v>
      </c>
      <c r="E214" s="45">
        <v>0.05</v>
      </c>
      <c r="F214" s="46" t="e">
        <f>IF(B214="","",(VLOOKUP($A214,INSUMOSMATERIALES,4,0)))</f>
        <v>#N/A</v>
      </c>
      <c r="G214" s="29" t="str">
        <f>+IFERROR(F214*D214*(1+E214),"")</f>
        <v/>
      </c>
    </row>
    <row r="215" spans="1:7" x14ac:dyDescent="0.25">
      <c r="A215" s="25" t="e">
        <f>IF(B215="","",INDEX(CODIGOMATERIALES,MATCH($B215,'INSUMOS MATERIALES'!$B$7:$B$51,0)))</f>
        <v>#N/A</v>
      </c>
      <c r="B215" s="42" t="s">
        <v>201</v>
      </c>
      <c r="C215" s="43" t="e">
        <f>IF(B215="","",(VLOOKUP($A215,INSUMOSMATERIALES,3,0)))</f>
        <v>#N/A</v>
      </c>
      <c r="D215" s="44">
        <v>180</v>
      </c>
      <c r="E215" s="45">
        <v>0.1</v>
      </c>
      <c r="F215" s="46" t="e">
        <f>IF(B215="","",(VLOOKUP($A215,INSUMOSMATERIALES,4,0)))</f>
        <v>#N/A</v>
      </c>
      <c r="G215" s="29" t="str">
        <f>+IFERROR(F215*D215*(1+E215),"")</f>
        <v/>
      </c>
    </row>
    <row r="216" spans="1:7" x14ac:dyDescent="0.25">
      <c r="A216" s="33"/>
      <c r="B216" s="47"/>
      <c r="C216" s="119"/>
      <c r="D216" s="119"/>
      <c r="E216" s="35"/>
      <c r="F216" s="36" t="s">
        <v>62</v>
      </c>
      <c r="G216" s="37" t="str">
        <f>+IF(SUM(G212:G215)=0,"",SUM(G212:G215))</f>
        <v/>
      </c>
    </row>
    <row r="217" spans="1:7" x14ac:dyDescent="0.25">
      <c r="A217" s="34"/>
      <c r="B217" s="119"/>
      <c r="C217" s="119"/>
      <c r="D217" s="35"/>
      <c r="E217" s="48"/>
      <c r="F217" s="39"/>
      <c r="G217" s="33"/>
    </row>
    <row r="218" spans="1:7" x14ac:dyDescent="0.25">
      <c r="A218" s="465" t="s">
        <v>66</v>
      </c>
      <c r="B218" s="465"/>
      <c r="C218" s="465"/>
      <c r="D218" s="465"/>
      <c r="E218" s="465"/>
      <c r="F218" s="465"/>
      <c r="G218" s="465"/>
    </row>
    <row r="219" spans="1:7" x14ac:dyDescent="0.25">
      <c r="A219" s="120" t="s">
        <v>56</v>
      </c>
      <c r="B219" s="120" t="s">
        <v>44</v>
      </c>
      <c r="C219" s="120" t="s">
        <v>67</v>
      </c>
      <c r="D219" s="120" t="s">
        <v>68</v>
      </c>
      <c r="E219" s="41" t="s">
        <v>69</v>
      </c>
      <c r="F219" s="41" t="s">
        <v>57</v>
      </c>
      <c r="G219" s="41" t="s">
        <v>59</v>
      </c>
    </row>
    <row r="220" spans="1:7" ht="19.899999999999999" customHeight="1" x14ac:dyDescent="0.25">
      <c r="A220" s="25" t="str">
        <f>IF(B220="","",INDEX(CODIGOTRANSPORTES,MATCH(B220,'INSUMOS TRANSPORTES'!$B$7:$B$122,0)))</f>
        <v>TR020</v>
      </c>
      <c r="B220" s="42" t="s">
        <v>554</v>
      </c>
      <c r="C220" s="49" t="s">
        <v>553</v>
      </c>
      <c r="D220" s="44">
        <f>D214*1.05</f>
        <v>0.79800000000000004</v>
      </c>
      <c r="E220" s="50">
        <f>+IF(C220=0,"",IF(C220="INSUMOS",'DATOS INICIALES'!$B$24,IF(C220="PLAYA",'DATOS INICIALES'!$B$21,IF(C220="TIERRA",'DATOS INICIALES'!$B$19,IF(C220="ESCOMBROS",'DATOS INICIALES'!$B$20,IF(C220="ASFALTO",'DATOS INICIALES'!$B$25,IF(C220="GRANULAR",'DATOS INICIALES'!$B$23,IF(C220="PLAYATRITURADO",'DATOS INICIALES'!$B$22,0))))))))</f>
        <v>120</v>
      </c>
      <c r="F220" s="27">
        <f>+IF(B220="","",(VLOOKUP($A220,INSUMOSTRANSPORTES,4,0)))</f>
        <v>950</v>
      </c>
      <c r="G220" s="29">
        <f>+IFERROR(D220*E220*F220,"")</f>
        <v>90972</v>
      </c>
    </row>
    <row r="221" spans="1:7" ht="33.75" x14ac:dyDescent="0.25">
      <c r="A221" s="25" t="str">
        <f>IF(B221="","",INDEX(CODIGOTRANSPORTES,MATCH(B221,'INSUMOS TRANSPORTES'!$B$7:$B$13,0)))</f>
        <v>TR002</v>
      </c>
      <c r="B221" s="42" t="s">
        <v>555</v>
      </c>
      <c r="C221" s="49" t="s">
        <v>461</v>
      </c>
      <c r="D221" s="44">
        <f>D213*1.05</f>
        <v>0.63</v>
      </c>
      <c r="E221" s="50">
        <f>+IF(C221=0,"",IF(C221="INSUMOS",'DATOS INICIALES'!$B$24,IF(C221="PLAYA",'DATOS INICIALES'!$B$21,IF(C221="TIERRA",'DATOS INICIALES'!$B$19,IF(C221="ESCOMBROS",'DATOS INICIALES'!$B$20,IF(C221="ASFALTO",'DATOS INICIALES'!$B$25,IF(C221="GRANULAR",'DATOS INICIALES'!$B$23,IF(C221="PLAYATRITURADO",'DATOS INICIALES'!$B$22,0))))))))</f>
        <v>120</v>
      </c>
      <c r="F221" s="27">
        <f>+IF(B221="","",(VLOOKUP($A221,INSUMOSTRANSPORTES,4,0)))</f>
        <v>6100</v>
      </c>
      <c r="G221" s="29">
        <f>+IFERROR(D221*E221*F221,"")</f>
        <v>461159.99999999994</v>
      </c>
    </row>
    <row r="222" spans="1:7" ht="22.5" x14ac:dyDescent="0.25">
      <c r="A222" s="25" t="e">
        <f>IF(B222="","",INDEX(CODIGOTRANSPORTES,MATCH(B222,'INSUMOS TRANSPORTES'!$B$7:$B$26,0)))</f>
        <v>#N/A</v>
      </c>
      <c r="B222" s="42" t="s">
        <v>556</v>
      </c>
      <c r="C222" s="49" t="s">
        <v>462</v>
      </c>
      <c r="D222" s="44">
        <f>(50*D212)/1000</f>
        <v>0.38</v>
      </c>
      <c r="E222" s="50">
        <f>+IF(C222=0,"",IF(C222="INSUMOS",'DATOS INICIALES'!$B$24,IF(C222="PLAYA",'DATOS INICIALES'!$B$21,IF(C222="TIERRA",'DATOS INICIALES'!$B$19,IF(C222="ESCOMBROS",'DATOS INICIALES'!$B$20,IF(C222="ASFALTO",'DATOS INICIALES'!$B$25,IF(C222="GRANULAR",'DATOS INICIALES'!B233)))))))</f>
        <v>180</v>
      </c>
      <c r="F222" s="27" t="e">
        <f>+IF(B222="","",(VLOOKUP($A222,INSUMOSTRANSPORTES,4,0)))</f>
        <v>#N/A</v>
      </c>
      <c r="G222" s="29" t="str">
        <f>+IFERROR(D222*E222*F222,"")</f>
        <v/>
      </c>
    </row>
    <row r="223" spans="1:7" x14ac:dyDescent="0.25">
      <c r="A223" s="33"/>
      <c r="B223" s="51"/>
      <c r="C223" s="119"/>
      <c r="D223" s="119"/>
      <c r="E223" s="35"/>
      <c r="F223" s="36" t="s">
        <v>62</v>
      </c>
      <c r="G223" s="37">
        <f>+IF(SUM(G220:G221)=0,"",SUM(G220:G221))</f>
        <v>552132</v>
      </c>
    </row>
    <row r="224" spans="1:7" x14ac:dyDescent="0.25">
      <c r="A224" s="119"/>
      <c r="B224" s="119"/>
      <c r="C224" s="119"/>
      <c r="D224" s="35"/>
      <c r="E224" s="48"/>
      <c r="F224" s="39"/>
      <c r="G224" s="33"/>
    </row>
    <row r="225" spans="1:7" x14ac:dyDescent="0.25">
      <c r="A225" s="465" t="s">
        <v>70</v>
      </c>
      <c r="B225" s="465"/>
      <c r="C225" s="465"/>
      <c r="D225" s="465"/>
      <c r="E225" s="465"/>
      <c r="F225" s="465"/>
      <c r="G225" s="467"/>
    </row>
    <row r="226" spans="1:7" x14ac:dyDescent="0.25">
      <c r="A226" s="120" t="s">
        <v>56</v>
      </c>
      <c r="B226" s="468" t="s">
        <v>71</v>
      </c>
      <c r="C226" s="468"/>
      <c r="D226" s="41" t="s">
        <v>46</v>
      </c>
      <c r="E226" s="41" t="s">
        <v>72</v>
      </c>
      <c r="F226" s="41" t="s">
        <v>58</v>
      </c>
      <c r="G226" s="41" t="s">
        <v>59</v>
      </c>
    </row>
    <row r="227" spans="1:7" x14ac:dyDescent="0.25">
      <c r="A227" s="25" t="str">
        <f>IF(B227="","",INDEX(CODIGOSMANODEOBRA,MATCH($B227,'INSUMOS MANO DE OBRA'!$B$7:$B$61,0)))</f>
        <v>MO033</v>
      </c>
      <c r="B227" s="462" t="s">
        <v>360</v>
      </c>
      <c r="C227" s="463"/>
      <c r="D227" s="52">
        <v>1</v>
      </c>
      <c r="E227" s="46">
        <f>IF(B227="","",(VLOOKUP($A227,INSUMOSMANODEOBRA,8,0)))</f>
        <v>94854</v>
      </c>
      <c r="F227" s="44">
        <v>8</v>
      </c>
      <c r="G227" s="53">
        <f>+IFERROR(D227*E227/F227,"")</f>
        <v>11856.75</v>
      </c>
    </row>
    <row r="228" spans="1:7" x14ac:dyDescent="0.25">
      <c r="A228" s="25" t="str">
        <f>IF(B228="","",INDEX(CODIGOSMANODEOBRA,MATCH($B228,'INSUMOS MANO DE OBRA'!$B$7:$B$61,0)))</f>
        <v>MO032</v>
      </c>
      <c r="B228" s="462" t="s">
        <v>359</v>
      </c>
      <c r="C228" s="463"/>
      <c r="D228" s="52">
        <v>4</v>
      </c>
      <c r="E228" s="46">
        <f>IF(B228="","",(VLOOKUP($A228,INSUMOSMANODEOBRA,8,0)))</f>
        <v>75762</v>
      </c>
      <c r="F228" s="44">
        <v>8</v>
      </c>
      <c r="G228" s="53">
        <f>+IFERROR(D228*E228/F228,"")</f>
        <v>37881</v>
      </c>
    </row>
    <row r="229" spans="1:7" x14ac:dyDescent="0.25">
      <c r="A229" s="25"/>
      <c r="B229" s="462"/>
      <c r="C229" s="463"/>
      <c r="D229" s="52"/>
      <c r="E229" s="46"/>
      <c r="F229" s="54"/>
      <c r="G229" s="53" t="str">
        <f>+IFERROR(D229*E229/F229,"")</f>
        <v/>
      </c>
    </row>
    <row r="230" spans="1:7" x14ac:dyDescent="0.25">
      <c r="A230" s="25" t="str">
        <f>IF(B230="","",INDEX(CÓDIGOS_MANO_DE_OBRA,MATCH($B230,'[7]INSUMOS MANO DE OBRA'!$B$8:$B$63,0)))</f>
        <v/>
      </c>
      <c r="B230" s="462"/>
      <c r="C230" s="463"/>
      <c r="D230" s="52"/>
      <c r="E230" s="46" t="str">
        <f>+IF(B230="","",(VLOOKUP($A230,INSUMOS_MANO_DE_OBRA,8,0)))</f>
        <v/>
      </c>
      <c r="F230" s="54" t="str">
        <f>+IF(A230="","",IF(A230=0,"",IF(F229="","",F229)))</f>
        <v/>
      </c>
      <c r="G230" s="53" t="str">
        <f>+IFERROR(D230*E230/F230,"")</f>
        <v/>
      </c>
    </row>
    <row r="231" spans="1:7" x14ac:dyDescent="0.25">
      <c r="A231" s="33"/>
      <c r="B231" s="34"/>
      <c r="C231" s="119"/>
      <c r="D231" s="119"/>
      <c r="E231" s="35"/>
      <c r="F231" s="36" t="s">
        <v>62</v>
      </c>
      <c r="G231" s="37">
        <f>+IF(SUM(G227:G230)=0,"",SUM(G227:G230))</f>
        <v>49737.75</v>
      </c>
    </row>
    <row r="232" spans="1:7" x14ac:dyDescent="0.25">
      <c r="A232" s="121"/>
      <c r="B232" s="119"/>
      <c r="C232" s="55"/>
      <c r="D232" s="55"/>
      <c r="E232" s="55"/>
      <c r="F232" s="39"/>
      <c r="G232" s="56"/>
    </row>
    <row r="233" spans="1:7" x14ac:dyDescent="0.25">
      <c r="A233" s="465" t="s">
        <v>76</v>
      </c>
      <c r="B233" s="465"/>
      <c r="C233" s="465"/>
      <c r="D233" s="465"/>
      <c r="E233" s="465"/>
      <c r="F233" s="465"/>
      <c r="G233" s="467"/>
    </row>
    <row r="234" spans="1:7" x14ac:dyDescent="0.25">
      <c r="A234" s="120" t="s">
        <v>56</v>
      </c>
      <c r="B234" s="468" t="s">
        <v>44</v>
      </c>
      <c r="C234" s="468"/>
      <c r="D234" s="120" t="s">
        <v>45</v>
      </c>
      <c r="E234" s="120" t="s">
        <v>46</v>
      </c>
      <c r="F234" s="120" t="s">
        <v>65</v>
      </c>
      <c r="G234" s="120" t="s">
        <v>59</v>
      </c>
    </row>
    <row r="235" spans="1:7" x14ac:dyDescent="0.25">
      <c r="A235" s="25" t="str">
        <f>IF(B235="","",INDEX(CODIGOSSERVICIOS,MATCH($B235,'INSUMOS SERVICIOS'!$B$7:$B$21,0)))</f>
        <v/>
      </c>
      <c r="B235" s="462"/>
      <c r="C235" s="463"/>
      <c r="D235" s="43" t="str">
        <f>+IF(B235="","",(VLOOKUP($A235,INSUMOSSERVICIOS,3,0)))</f>
        <v/>
      </c>
      <c r="E235" s="57">
        <v>1</v>
      </c>
      <c r="F235" s="46" t="str">
        <f>IF(B235="","",(VLOOKUP($A235,INSUMOSSERVICIOS,4,0)))</f>
        <v/>
      </c>
      <c r="G235" s="29" t="str">
        <f>+IFERROR(E235*F235,"")</f>
        <v/>
      </c>
    </row>
    <row r="236" spans="1:7" x14ac:dyDescent="0.25">
      <c r="A236" s="25" t="str">
        <f>IF(B236="","",INDEX(CODIGOSSERVICIOS,MATCH($B236,'INSUMOS SERVICIOS'!$B$7:$B$21,0)))</f>
        <v/>
      </c>
      <c r="B236" s="462"/>
      <c r="C236" s="463"/>
      <c r="D236" s="43" t="str">
        <f>+IF(B236="","",(VLOOKUP($A236,INSUMOSSERVICIOS,3,0)))</f>
        <v/>
      </c>
      <c r="E236" s="57">
        <v>1</v>
      </c>
      <c r="F236" s="46" t="str">
        <f>IF(B236="","",(VLOOKUP($A236,INSUMOSSERVICIOS,4,0)))</f>
        <v/>
      </c>
      <c r="G236" s="29" t="str">
        <f>+IFERROR(E236*F236,"")</f>
        <v/>
      </c>
    </row>
    <row r="237" spans="1:7" x14ac:dyDescent="0.25">
      <c r="A237" s="25" t="str">
        <f>IF(B237="","",INDEX(CÓDIGOS_SERVICIOS,MATCH($B237,'[7]INSUMOS SERVICIOS'!$B$8:$B$51,0)))</f>
        <v/>
      </c>
      <c r="B237" s="462"/>
      <c r="C237" s="463"/>
      <c r="D237" s="43" t="str">
        <f>+IF(B237="","",(VLOOKUP($A237,INSUMOS_SERVICIOS,3,0)))</f>
        <v/>
      </c>
      <c r="E237" s="57"/>
      <c r="F237" s="46" t="str">
        <f>IF(B237="","",(VLOOKUP($A237,INSUMOS_SERVICIOS,4,0)))</f>
        <v/>
      </c>
      <c r="G237" s="29" t="str">
        <f>+IFERROR(E237*F237,"")</f>
        <v/>
      </c>
    </row>
    <row r="238" spans="1:7" x14ac:dyDescent="0.25">
      <c r="A238" s="33"/>
      <c r="B238" s="34"/>
      <c r="C238" s="119"/>
      <c r="D238" s="119"/>
      <c r="E238" s="35"/>
      <c r="F238" s="58" t="s">
        <v>62</v>
      </c>
      <c r="G238" s="37" t="str">
        <f>+IF(SUM(G235:G237)=0,"",SUM(G235:G237))</f>
        <v/>
      </c>
    </row>
    <row r="239" spans="1:7" x14ac:dyDescent="0.25">
      <c r="A239" s="121"/>
      <c r="B239" s="119"/>
      <c r="C239" s="55"/>
      <c r="D239" s="55"/>
      <c r="E239" s="55"/>
      <c r="F239" s="39"/>
      <c r="G239" s="56"/>
    </row>
    <row r="240" spans="1:7" x14ac:dyDescent="0.25">
      <c r="A240" s="464" t="s">
        <v>77</v>
      </c>
      <c r="B240" s="464"/>
      <c r="C240" s="464"/>
      <c r="D240" s="464"/>
      <c r="E240" s="464"/>
      <c r="F240" s="464"/>
      <c r="G240" s="59">
        <f>IF(SUM(G208,G216,G223,G231,G238)=0,"",(ROUND(SUM(G208,G216,G223,G231,G238),0)))</f>
        <v>612107</v>
      </c>
    </row>
    <row r="241" spans="1:7" x14ac:dyDescent="0.25">
      <c r="A241" s="56"/>
      <c r="B241" s="48"/>
      <c r="C241" s="48"/>
      <c r="D241" s="48"/>
      <c r="E241" s="48"/>
      <c r="F241" s="48"/>
      <c r="G241" s="39"/>
    </row>
    <row r="242" spans="1:7" x14ac:dyDescent="0.25">
      <c r="A242" s="465" t="s">
        <v>78</v>
      </c>
      <c r="B242" s="465"/>
      <c r="C242" s="465"/>
      <c r="D242" s="465"/>
      <c r="E242" s="465"/>
      <c r="F242" s="465"/>
      <c r="G242" s="465"/>
    </row>
    <row r="243" spans="1:7" x14ac:dyDescent="0.25">
      <c r="A243" s="119"/>
      <c r="B243" s="119"/>
      <c r="C243" s="119"/>
      <c r="D243" s="119"/>
      <c r="E243" s="119"/>
      <c r="F243" s="119"/>
      <c r="G243" s="119"/>
    </row>
    <row r="244" spans="1:7" x14ac:dyDescent="0.25">
      <c r="A244" s="466" t="s">
        <v>44</v>
      </c>
      <c r="B244" s="466"/>
      <c r="C244" s="466"/>
      <c r="D244" s="466"/>
      <c r="E244" s="466"/>
      <c r="F244" s="60" t="s">
        <v>79</v>
      </c>
      <c r="G244" s="60" t="s">
        <v>48</v>
      </c>
    </row>
    <row r="245" spans="1:7" x14ac:dyDescent="0.25">
      <c r="A245" s="458" t="s">
        <v>80</v>
      </c>
      <c r="B245" s="458"/>
      <c r="C245" s="458"/>
      <c r="D245" s="458"/>
      <c r="E245" s="458"/>
      <c r="F245" s="61">
        <f ca="1">AU!$I$36</f>
        <v>0.191</v>
      </c>
      <c r="G245" s="62">
        <f ca="1">+IFERROR(G240*F245,"")</f>
        <v>116912.43700000001</v>
      </c>
    </row>
    <row r="246" spans="1:7" x14ac:dyDescent="0.25">
      <c r="A246" s="458" t="s">
        <v>81</v>
      </c>
      <c r="B246" s="458"/>
      <c r="C246" s="458"/>
      <c r="D246" s="458"/>
      <c r="E246" s="458"/>
      <c r="F246" s="61" t="e">
        <f>IF(AU!#REF!=0,"",AU!#REF!)</f>
        <v>#REF!</v>
      </c>
      <c r="G246" s="62" t="str">
        <f>+IFERROR(G240*F246,"")</f>
        <v/>
      </c>
    </row>
    <row r="247" spans="1:7" x14ac:dyDescent="0.25">
      <c r="A247" s="458" t="s">
        <v>82</v>
      </c>
      <c r="B247" s="458"/>
      <c r="C247" s="458"/>
      <c r="D247" s="458"/>
      <c r="E247" s="458"/>
      <c r="F247" s="61">
        <f>IF(AU!$I$37=0,"",AU!$I$37)</f>
        <v>5.131865E-2</v>
      </c>
      <c r="G247" s="62">
        <f>+IFERROR(G240*F247,"")</f>
        <v>31412.504895549999</v>
      </c>
    </row>
    <row r="248" spans="1:7" x14ac:dyDescent="0.25">
      <c r="A248" s="459" t="s">
        <v>83</v>
      </c>
      <c r="B248" s="460"/>
      <c r="C248" s="460"/>
      <c r="D248" s="460"/>
      <c r="E248" s="460"/>
      <c r="F248" s="63" t="e">
        <f ca="1">IF(SUM(F245:F247)=0,"",SUM(F245:F247))</f>
        <v>#REF!</v>
      </c>
      <c r="G248" s="64">
        <f ca="1">IF(SUM(G245:G247)=0,"",ROUND(SUM(G245:G247),0))</f>
        <v>148325</v>
      </c>
    </row>
    <row r="249" spans="1:7" x14ac:dyDescent="0.25">
      <c r="A249" s="56"/>
      <c r="B249" s="34"/>
      <c r="C249" s="34"/>
      <c r="D249" s="34"/>
      <c r="E249" s="461"/>
      <c r="F249" s="461"/>
      <c r="G249" s="65"/>
    </row>
    <row r="250" spans="1:7" x14ac:dyDescent="0.25">
      <c r="A250" s="456" t="s">
        <v>84</v>
      </c>
      <c r="B250" s="457"/>
      <c r="C250" s="457"/>
      <c r="D250" s="457"/>
      <c r="E250" s="457"/>
      <c r="F250" s="457"/>
      <c r="G250" s="66">
        <f ca="1">+IFERROR(ROUND(G240+G248,0),"")</f>
        <v>760432</v>
      </c>
    </row>
    <row r="251" spans="1:7" x14ac:dyDescent="0.25">
      <c r="A251" s="19"/>
      <c r="B251" s="19"/>
      <c r="C251" s="19"/>
      <c r="D251" s="19"/>
      <c r="E251" s="18"/>
      <c r="F251" s="18"/>
      <c r="G251" s="20"/>
    </row>
    <row r="252" spans="1:7" x14ac:dyDescent="0.25">
      <c r="A252" s="19"/>
      <c r="B252" s="185" t="s">
        <v>787</v>
      </c>
      <c r="C252" s="18"/>
      <c r="D252" s="18"/>
      <c r="E252" s="18"/>
      <c r="F252" s="18"/>
      <c r="G252" s="18"/>
    </row>
    <row r="253" spans="1:7" x14ac:dyDescent="0.25">
      <c r="A253" s="19"/>
      <c r="B253" s="185" t="s">
        <v>599</v>
      </c>
      <c r="C253" s="18"/>
      <c r="D253" s="18"/>
      <c r="E253" s="18"/>
      <c r="F253" s="18"/>
      <c r="G253" s="18"/>
    </row>
    <row r="254" spans="1:7" x14ac:dyDescent="0.25">
      <c r="A254" s="19"/>
      <c r="B254" s="185"/>
      <c r="C254" s="18"/>
      <c r="D254" s="67"/>
      <c r="E254" s="67"/>
      <c r="F254" s="67"/>
      <c r="G254" s="18"/>
    </row>
    <row r="255" spans="1:7" x14ac:dyDescent="0.25">
      <c r="A255" s="19"/>
      <c r="B255" s="185"/>
      <c r="C255" s="20"/>
      <c r="D255" s="365" t="s">
        <v>85</v>
      </c>
      <c r="E255" s="365"/>
      <c r="F255" s="365"/>
      <c r="G255" s="20"/>
    </row>
    <row r="257" spans="1:7" ht="18.75" x14ac:dyDescent="0.25">
      <c r="A257" s="376" t="str">
        <f>'DATOS INICIALES'!$B$1</f>
        <v>DEPARTAMENTO DE ANTIOQUIA</v>
      </c>
      <c r="B257" s="377"/>
      <c r="C257" s="377"/>
      <c r="D257" s="377"/>
      <c r="E257" s="377"/>
      <c r="F257" s="378" t="s">
        <v>51</v>
      </c>
      <c r="G257" s="378"/>
    </row>
    <row r="258" spans="1:7" ht="15.75" x14ac:dyDescent="0.25">
      <c r="A258" s="379" t="str">
        <f>'DATOS INICIALES'!$B$2</f>
        <v>MUNICIPIO DE DABEIBA</v>
      </c>
      <c r="B258" s="380"/>
      <c r="C258" s="380"/>
      <c r="D258" s="380"/>
      <c r="E258" s="380"/>
      <c r="F258" s="378"/>
      <c r="G258" s="378"/>
    </row>
    <row r="259" spans="1:7" x14ac:dyDescent="0.25">
      <c r="A259" s="481" t="str">
        <f>'DATOS INICIALES'!$B$3</f>
        <v>REPOSICIÓN, AMPLIACIÓN Y REPARACIÓN DE LUMINARIAS QUE HACEN PARTE DE LA RED DE ALUMBRADOPÚBLICO DEL PARQUE PRINCIPAL Y CORREGIMIENTO SAN JOSÉ DE URAMA DEL MUNICIPIO DE DABEIBA.</v>
      </c>
      <c r="B259" s="482"/>
      <c r="C259" s="482"/>
      <c r="D259" s="482"/>
      <c r="E259" s="482"/>
      <c r="F259" s="378"/>
      <c r="G259" s="378"/>
    </row>
    <row r="260" spans="1:7" x14ac:dyDescent="0.25">
      <c r="A260" s="383"/>
      <c r="B260" s="383"/>
      <c r="C260" s="383"/>
      <c r="D260" s="383"/>
      <c r="E260" s="388"/>
      <c r="F260" s="378"/>
      <c r="G260" s="378"/>
    </row>
    <row r="261" spans="1:7" x14ac:dyDescent="0.25">
      <c r="A261" s="384" t="s">
        <v>52</v>
      </c>
      <c r="B261" s="385"/>
      <c r="C261" s="385"/>
      <c r="D261" s="385"/>
      <c r="E261" s="385"/>
      <c r="F261" s="378"/>
      <c r="G261" s="378"/>
    </row>
    <row r="262" spans="1:7" x14ac:dyDescent="0.25">
      <c r="A262" s="383"/>
      <c r="B262" s="383"/>
      <c r="C262" s="383"/>
      <c r="D262" s="383"/>
      <c r="E262" s="383"/>
      <c r="F262" s="477"/>
      <c r="G262" s="477"/>
    </row>
    <row r="263" spans="1:7" x14ac:dyDescent="0.25">
      <c r="A263" s="21" t="s">
        <v>42</v>
      </c>
      <c r="B263" s="372" t="s">
        <v>44</v>
      </c>
      <c r="C263" s="373"/>
      <c r="D263" s="374"/>
      <c r="E263" s="22" t="s">
        <v>45</v>
      </c>
      <c r="F263" s="23" t="s">
        <v>46</v>
      </c>
      <c r="G263" s="23" t="s">
        <v>53</v>
      </c>
    </row>
    <row r="264" spans="1:7" x14ac:dyDescent="0.25">
      <c r="A264" s="24" t="s">
        <v>161</v>
      </c>
      <c r="B264" s="478" t="str">
        <f>+IFERROR(VLOOKUP($A264,INSUMOSMATERIALES,2,0),"")</f>
        <v>CONCRETO 4000 PSI (280 MPA) EN OBRA</v>
      </c>
      <c r="C264" s="479"/>
      <c r="D264" s="480"/>
      <c r="E264" s="82" t="str">
        <f>+IFERROR(VLOOKUP($A264,INSUMOSMATERIALES,3,0),"")</f>
        <v>M3</v>
      </c>
      <c r="F264" s="82" t="s">
        <v>460</v>
      </c>
      <c r="G264" s="153">
        <f ca="1">IF(G314=0,"",G304)</f>
        <v>665909</v>
      </c>
    </row>
    <row r="265" spans="1:7" x14ac:dyDescent="0.25">
      <c r="A265" s="19"/>
      <c r="B265" s="19"/>
      <c r="C265" s="19"/>
      <c r="D265" s="19"/>
      <c r="E265" s="18"/>
      <c r="F265" s="18"/>
      <c r="G265" s="20"/>
    </row>
    <row r="266" spans="1:7" x14ac:dyDescent="0.25">
      <c r="A266" s="465" t="s">
        <v>54</v>
      </c>
      <c r="B266" s="465"/>
      <c r="C266" s="465"/>
      <c r="D266" s="465"/>
      <c r="E266" s="465"/>
      <c r="F266" s="465"/>
      <c r="G266" s="465"/>
    </row>
    <row r="267" spans="1:7" x14ac:dyDescent="0.25">
      <c r="A267" s="119"/>
      <c r="B267" s="119"/>
      <c r="C267" s="119"/>
      <c r="D267" s="119"/>
      <c r="E267" s="119"/>
      <c r="F267" s="119"/>
      <c r="G267" s="119"/>
    </row>
    <row r="268" spans="1:7" x14ac:dyDescent="0.25">
      <c r="A268" s="469" t="s">
        <v>55</v>
      </c>
      <c r="B268" s="469"/>
      <c r="C268" s="469"/>
      <c r="D268" s="469"/>
      <c r="E268" s="469"/>
      <c r="F268" s="469"/>
      <c r="G268" s="470"/>
    </row>
    <row r="269" spans="1:7" x14ac:dyDescent="0.25">
      <c r="A269" s="120" t="s">
        <v>56</v>
      </c>
      <c r="B269" s="471" t="s">
        <v>44</v>
      </c>
      <c r="C269" s="472"/>
      <c r="D269" s="120" t="s">
        <v>45</v>
      </c>
      <c r="E269" s="120" t="s">
        <v>57</v>
      </c>
      <c r="F269" s="120" t="s">
        <v>58</v>
      </c>
      <c r="G269" s="120" t="s">
        <v>59</v>
      </c>
    </row>
    <row r="270" spans="1:7" x14ac:dyDescent="0.25">
      <c r="A270" s="25" t="str">
        <f>IF(B270="","",INDEX(CODIGOEQUIPOS,MATCH($B270,'INSUMOS EQUIPOS'!$B$7:$B$39,0)))</f>
        <v>EQ004</v>
      </c>
      <c r="B270" s="473" t="s">
        <v>94</v>
      </c>
      <c r="C270" s="474"/>
      <c r="D270" s="26" t="str">
        <f>IF(B270="","",(VLOOKUP($A270,INSUMOSEQUIPOS,3,0)))</f>
        <v>DÍA</v>
      </c>
      <c r="E270" s="27">
        <f>IF(B270="","",(VLOOKUP($A270,INSUMOSEQUIPOS,4,0)))</f>
        <v>62000</v>
      </c>
      <c r="F270" s="28">
        <v>8</v>
      </c>
      <c r="G270" s="29">
        <f>+IFERROR(E270/F270,"")</f>
        <v>7750</v>
      </c>
    </row>
    <row r="271" spans="1:7" x14ac:dyDescent="0.25">
      <c r="A271" s="30" t="str">
        <f>+IF(G295="","","EQ001")</f>
        <v>EQ001</v>
      </c>
      <c r="B271" s="475" t="str">
        <f>+IF($A271="","",IFERROR(VLOOKUP($A271,INSUMOSEQUIPOS,2,0),""))</f>
        <v>HERRAMIENTA MENOR (5% DE LA MANO DE OBRA)</v>
      </c>
      <c r="C271" s="476"/>
      <c r="D271" s="26" t="str">
        <f>+IF($A271="","",IFERROR(VLOOKUP($A271,INSUMOSEQUIPOS,3,0),""))</f>
        <v>%</v>
      </c>
      <c r="E271" s="31">
        <f>+IF($A271="","",IFERROR(VLOOKUP($A271,INSUMOSEQUIPOS,4,0),""))</f>
        <v>0.05</v>
      </c>
      <c r="F271" s="32">
        <f>+IF(G295=0,"",G295)</f>
        <v>49737.75</v>
      </c>
      <c r="G271" s="29">
        <f>+IFERROR(E271*F271,"")</f>
        <v>2486.8875000000003</v>
      </c>
    </row>
    <row r="272" spans="1:7" x14ac:dyDescent="0.25">
      <c r="A272" s="33"/>
      <c r="B272" s="34"/>
      <c r="C272" s="119"/>
      <c r="D272" s="119"/>
      <c r="E272" s="35"/>
      <c r="F272" s="36" t="s">
        <v>62</v>
      </c>
      <c r="G272" s="37">
        <f>+IF(SUM(G270:G271)=0,"",SUM(G270:G271))</f>
        <v>10236.887500000001</v>
      </c>
    </row>
    <row r="273" spans="1:8" x14ac:dyDescent="0.25">
      <c r="A273" s="34"/>
      <c r="B273" s="119"/>
      <c r="C273" s="119"/>
      <c r="D273" s="35"/>
      <c r="E273" s="38"/>
      <c r="F273" s="39"/>
      <c r="G273" s="33"/>
    </row>
    <row r="274" spans="1:8" x14ac:dyDescent="0.25">
      <c r="A274" s="465" t="s">
        <v>63</v>
      </c>
      <c r="B274" s="465"/>
      <c r="C274" s="465"/>
      <c r="D274" s="465"/>
      <c r="E274" s="465"/>
      <c r="F274" s="465"/>
      <c r="G274" s="467"/>
    </row>
    <row r="275" spans="1:8" x14ac:dyDescent="0.25">
      <c r="A275" s="120" t="s">
        <v>56</v>
      </c>
      <c r="B275" s="40" t="s">
        <v>44</v>
      </c>
      <c r="C275" s="41" t="s">
        <v>45</v>
      </c>
      <c r="D275" s="41" t="s">
        <v>46</v>
      </c>
      <c r="E275" s="41" t="s">
        <v>64</v>
      </c>
      <c r="F275" s="41" t="s">
        <v>65</v>
      </c>
      <c r="G275" s="41" t="s">
        <v>59</v>
      </c>
    </row>
    <row r="276" spans="1:8" ht="22.5" x14ac:dyDescent="0.25">
      <c r="A276" s="25" t="e">
        <f>IF(B276="","",INDEX(CODIGOMATERIALES,MATCH($B276,'INSUMOS MATERIALES'!$B$7:$B$51,0)))</f>
        <v>#N/A</v>
      </c>
      <c r="B276" s="42" t="s">
        <v>192</v>
      </c>
      <c r="C276" s="43" t="e">
        <f>IF(B276="","",(VLOOKUP($A276,INSUMOSMATERIALES,3,0)))</f>
        <v>#N/A</v>
      </c>
      <c r="D276" s="44">
        <v>8.4</v>
      </c>
      <c r="E276" s="45">
        <v>0.05</v>
      </c>
      <c r="F276" s="46" t="e">
        <f>IF(B276="","",(VLOOKUP($A276,INSUMOSMATERIALES,4,0)))</f>
        <v>#N/A</v>
      </c>
      <c r="G276" s="29" t="str">
        <f>+IFERROR(F276*D276*(1+E276),"")</f>
        <v/>
      </c>
    </row>
    <row r="277" spans="1:8" x14ac:dyDescent="0.25">
      <c r="A277" s="25" t="e">
        <f>IF(B277="","",INDEX(CODIGOMATERIALES,MATCH($B277,'INSUMOS MATERIALES'!$B$7:$B$51,0)))</f>
        <v>#N/A</v>
      </c>
      <c r="B277" s="42" t="s">
        <v>198</v>
      </c>
      <c r="C277" s="43" t="e">
        <f>IF(B277="","",(VLOOKUP($A277,INSUMOSMATERIALES,3,0)))</f>
        <v>#N/A</v>
      </c>
      <c r="D277" s="44">
        <v>0.67</v>
      </c>
      <c r="E277" s="45">
        <v>0.05</v>
      </c>
      <c r="F277" s="46" t="e">
        <f>IF(B277="","",(VLOOKUP($A277,INSUMOSMATERIALES,4,0)))</f>
        <v>#N/A</v>
      </c>
      <c r="G277" s="29" t="str">
        <f>+IFERROR(F277*D277*(1+E277),"")</f>
        <v/>
      </c>
    </row>
    <row r="278" spans="1:8" x14ac:dyDescent="0.25">
      <c r="A278" s="25" t="e">
        <f>IF(B278="","",INDEX(CODIGOMATERIALES,MATCH($B278,'INSUMOS MATERIALES'!$B$7:$B$51,0)))</f>
        <v>#N/A</v>
      </c>
      <c r="B278" s="42" t="s">
        <v>540</v>
      </c>
      <c r="C278" s="43" t="e">
        <f>IF(B278="","",(VLOOKUP($A278,INSUMOSMATERIALES,3,0)))</f>
        <v>#N/A</v>
      </c>
      <c r="D278" s="44">
        <v>0.76</v>
      </c>
      <c r="E278" s="45">
        <v>0.05</v>
      </c>
      <c r="F278" s="46" t="e">
        <f>IF(B278="","",(VLOOKUP($A278,INSUMOSMATERIALES,4,0)))</f>
        <v>#N/A</v>
      </c>
      <c r="G278" s="29" t="str">
        <f>+IFERROR(F278*D278*(1+E278),"")</f>
        <v/>
      </c>
    </row>
    <row r="279" spans="1:8" x14ac:dyDescent="0.25">
      <c r="A279" s="25" t="e">
        <f>IF(B279="","",INDEX(CODIGOMATERIALES,MATCH($B279,'INSUMOS MATERIALES'!$B$7:$B$51,0)))</f>
        <v>#N/A</v>
      </c>
      <c r="B279" s="42" t="s">
        <v>201</v>
      </c>
      <c r="C279" s="43" t="e">
        <f>IF(B279="","",(VLOOKUP($A279,INSUMOSMATERIALES,3,0)))</f>
        <v>#N/A</v>
      </c>
      <c r="D279" s="44">
        <v>180</v>
      </c>
      <c r="E279" s="45">
        <v>0.1</v>
      </c>
      <c r="F279" s="46" t="e">
        <f>IF(B279="","",(VLOOKUP($A279,INSUMOSMATERIALES,4,0)))</f>
        <v>#N/A</v>
      </c>
      <c r="G279" s="29" t="str">
        <f>+IFERROR(F279*D279*(1+E279),"")</f>
        <v/>
      </c>
    </row>
    <row r="280" spans="1:8" x14ac:dyDescent="0.25">
      <c r="A280" s="33"/>
      <c r="B280" s="47"/>
      <c r="C280" s="119"/>
      <c r="D280" s="119"/>
      <c r="E280" s="35"/>
      <c r="F280" s="36" t="s">
        <v>62</v>
      </c>
      <c r="G280" s="37" t="str">
        <f>+IF(SUM(G276:G279)=0,"",SUM(G276:G279))</f>
        <v/>
      </c>
    </row>
    <row r="281" spans="1:8" x14ac:dyDescent="0.25">
      <c r="A281" s="34"/>
      <c r="B281" s="119"/>
      <c r="C281" s="119"/>
      <c r="D281" s="35"/>
      <c r="E281" s="48"/>
      <c r="F281" s="39"/>
      <c r="G281" s="33"/>
    </row>
    <row r="282" spans="1:8" x14ac:dyDescent="0.25">
      <c r="A282" s="465" t="s">
        <v>66</v>
      </c>
      <c r="B282" s="465"/>
      <c r="C282" s="465"/>
      <c r="D282" s="465"/>
      <c r="E282" s="465"/>
      <c r="F282" s="465"/>
      <c r="G282" s="465"/>
    </row>
    <row r="283" spans="1:8" x14ac:dyDescent="0.25">
      <c r="A283" s="120" t="s">
        <v>56</v>
      </c>
      <c r="B283" s="120" t="s">
        <v>44</v>
      </c>
      <c r="C283" s="120" t="s">
        <v>67</v>
      </c>
      <c r="D283" s="120" t="s">
        <v>68</v>
      </c>
      <c r="E283" s="41" t="s">
        <v>69</v>
      </c>
      <c r="F283" s="41" t="s">
        <v>57</v>
      </c>
      <c r="G283" s="41" t="s">
        <v>59</v>
      </c>
    </row>
    <row r="284" spans="1:8" ht="19.149999999999999" customHeight="1" x14ac:dyDescent="0.25">
      <c r="A284" s="25" t="str">
        <f>IF(B284="","",INDEX(CODIGOTRANSPORTES,MATCH(B284,'INSUMOS TRANSPORTES'!$B$7:$B$122,0)))</f>
        <v>TR020</v>
      </c>
      <c r="B284" s="42" t="s">
        <v>554</v>
      </c>
      <c r="C284" s="49" t="s">
        <v>553</v>
      </c>
      <c r="D284" s="44">
        <f>D278*1.05</f>
        <v>0.79800000000000004</v>
      </c>
      <c r="E284" s="50">
        <f>+IF(C284=0,"",IF(C284="INSUMOS",'DATOS INICIALES'!$B$24,IF(C284="PLAYA",'DATOS INICIALES'!$B$21,IF(C284="TIERRA",'DATOS INICIALES'!$B$19,IF(C284="ESCOMBROS",'DATOS INICIALES'!$B$20,IF(C284="ASFALTO",'DATOS INICIALES'!$B$25,IF(C284="GRANULAR",'DATOS INICIALES'!$B$23,IF(C284="PLAYATRITURADO",'DATOS INICIALES'!$B$22,0))))))))</f>
        <v>120</v>
      </c>
      <c r="F284" s="27">
        <f>+IF(B284="","",(VLOOKUP($A284,INSUMOSTRANSPORTES,4,0)))</f>
        <v>950</v>
      </c>
      <c r="G284" s="29">
        <f>+IFERROR(D284*E284*F284,"")</f>
        <v>90972</v>
      </c>
      <c r="H284" s="208"/>
    </row>
    <row r="285" spans="1:8" ht="33.75" x14ac:dyDescent="0.25">
      <c r="A285" s="25" t="str">
        <f>IF(B285="","",INDEX(CODIGOTRANSPORTES,MATCH(B285,'INSUMOS TRANSPORTES'!$B$7:$B$13,0)))</f>
        <v>TR002</v>
      </c>
      <c r="B285" s="42" t="s">
        <v>555</v>
      </c>
      <c r="C285" s="49" t="s">
        <v>461</v>
      </c>
      <c r="D285" s="44">
        <f>D277*1.05</f>
        <v>0.70350000000000013</v>
      </c>
      <c r="E285" s="50">
        <f>+IF(C285=0,"",IF(C285="INSUMOS",'DATOS INICIALES'!$B$24,IF(C285="PLAYA",'DATOS INICIALES'!$B$21,IF(C285="TIERRA",'DATOS INICIALES'!$B$19,IF(C285="ESCOMBROS",'DATOS INICIALES'!$B$20,IF(C285="ASFALTO",'DATOS INICIALES'!$B$25,IF(C285="GRANULAR",'DATOS INICIALES'!$B$23,IF(C285="PLAYATRITURADO",'DATOS INICIALES'!$B$22,0))))))))</f>
        <v>120</v>
      </c>
      <c r="F285" s="27">
        <f>+IF(B285="","",(VLOOKUP($A285,INSUMOSTRANSPORTES,4,0)))</f>
        <v>6100</v>
      </c>
      <c r="G285" s="29">
        <f>+IFERROR(D285*E285*F285,"")</f>
        <v>514962.00000000012</v>
      </c>
    </row>
    <row r="286" spans="1:8" ht="22.5" x14ac:dyDescent="0.25">
      <c r="A286" s="25" t="e">
        <f>IF(B286="","",INDEX(CODIGOTRANSPORTES,MATCH(B286,'INSUMOS TRANSPORTES'!$B$7:$B$26,0)))</f>
        <v>#N/A</v>
      </c>
      <c r="B286" s="42" t="s">
        <v>556</v>
      </c>
      <c r="C286" s="49" t="s">
        <v>462</v>
      </c>
      <c r="D286" s="44">
        <f>(50*D276)/1000</f>
        <v>0.42</v>
      </c>
      <c r="E286" s="50">
        <f>+IF(C286=0,"",IF(C286="INSUMOS",'DATOS INICIALES'!$B$24,IF(C286="PLAYA",'DATOS INICIALES'!$B$21,IF(C286="TIERRA",'DATOS INICIALES'!$B$19,IF(C286="ESCOMBROS",'DATOS INICIALES'!$B$20,IF(C286="ASFALTO",'DATOS INICIALES'!$B$25,IF(C286="GRANULAR",'DATOS INICIALES'!B297)))))))</f>
        <v>180</v>
      </c>
      <c r="F286" s="27" t="e">
        <f>+IF(B286="","",(VLOOKUP($A286,INSUMOSTRANSPORTES,4,0)))</f>
        <v>#N/A</v>
      </c>
      <c r="G286" s="29" t="str">
        <f>+IFERROR(D286*E286*F286,"")</f>
        <v/>
      </c>
    </row>
    <row r="287" spans="1:8" x14ac:dyDescent="0.25">
      <c r="A287" s="33"/>
      <c r="B287" s="51"/>
      <c r="C287" s="119"/>
      <c r="D287" s="119"/>
      <c r="E287" s="35"/>
      <c r="F287" s="36" t="s">
        <v>62</v>
      </c>
      <c r="G287" s="37">
        <f>+IF(SUM(G284:G285)=0,"",SUM(G284:G285))</f>
        <v>605934.00000000012</v>
      </c>
    </row>
    <row r="288" spans="1:8" x14ac:dyDescent="0.25">
      <c r="A288" s="119"/>
      <c r="B288" s="119"/>
      <c r="C288" s="119"/>
      <c r="D288" s="35"/>
      <c r="E288" s="48"/>
      <c r="F288" s="39"/>
      <c r="G288" s="33"/>
    </row>
    <row r="289" spans="1:7" x14ac:dyDescent="0.25">
      <c r="A289" s="465" t="s">
        <v>70</v>
      </c>
      <c r="B289" s="465"/>
      <c r="C289" s="465"/>
      <c r="D289" s="465"/>
      <c r="E289" s="465"/>
      <c r="F289" s="465"/>
      <c r="G289" s="467"/>
    </row>
    <row r="290" spans="1:7" x14ac:dyDescent="0.25">
      <c r="A290" s="120" t="s">
        <v>56</v>
      </c>
      <c r="B290" s="468" t="s">
        <v>71</v>
      </c>
      <c r="C290" s="468"/>
      <c r="D290" s="41" t="s">
        <v>46</v>
      </c>
      <c r="E290" s="41" t="s">
        <v>72</v>
      </c>
      <c r="F290" s="41" t="s">
        <v>58</v>
      </c>
      <c r="G290" s="41" t="s">
        <v>59</v>
      </c>
    </row>
    <row r="291" spans="1:7" x14ac:dyDescent="0.25">
      <c r="A291" s="25" t="str">
        <f>IF(B291="","",INDEX(CODIGOSMANODEOBRA,MATCH($B291,'INSUMOS MANO DE OBRA'!$B$7:$B$61,0)))</f>
        <v>MO033</v>
      </c>
      <c r="B291" s="462" t="s">
        <v>360</v>
      </c>
      <c r="C291" s="463"/>
      <c r="D291" s="52">
        <v>1</v>
      </c>
      <c r="E291" s="46">
        <f>IF(B291="","",(VLOOKUP($A291,INSUMOSMANODEOBRA,8,0)))</f>
        <v>94854</v>
      </c>
      <c r="F291" s="44">
        <v>8</v>
      </c>
      <c r="G291" s="53">
        <f>+IFERROR(D291*E291/F291,"")</f>
        <v>11856.75</v>
      </c>
    </row>
    <row r="292" spans="1:7" x14ac:dyDescent="0.25">
      <c r="A292" s="25" t="str">
        <f>IF(B292="","",INDEX(CODIGOSMANODEOBRA,MATCH($B292,'INSUMOS MANO DE OBRA'!$B$7:$B$61,0)))</f>
        <v>MO032</v>
      </c>
      <c r="B292" s="462" t="s">
        <v>359</v>
      </c>
      <c r="C292" s="463"/>
      <c r="D292" s="52">
        <v>4</v>
      </c>
      <c r="E292" s="46">
        <f>IF(B292="","",(VLOOKUP($A292,INSUMOSMANODEOBRA,8,0)))</f>
        <v>75762</v>
      </c>
      <c r="F292" s="44">
        <v>8</v>
      </c>
      <c r="G292" s="53">
        <f>+IFERROR(D292*E292/F292,"")</f>
        <v>37881</v>
      </c>
    </row>
    <row r="293" spans="1:7" x14ac:dyDescent="0.25">
      <c r="A293" s="25"/>
      <c r="B293" s="462"/>
      <c r="C293" s="463"/>
      <c r="D293" s="52"/>
      <c r="E293" s="46"/>
      <c r="F293" s="54"/>
      <c r="G293" s="53" t="str">
        <f>+IFERROR(D293*E293/F293,"")</f>
        <v/>
      </c>
    </row>
    <row r="294" spans="1:7" x14ac:dyDescent="0.25">
      <c r="A294" s="25" t="str">
        <f>IF(B294="","",INDEX(CÓDIGOS_MANO_DE_OBRA,MATCH($B294,'[7]INSUMOS MANO DE OBRA'!$B$8:$B$63,0)))</f>
        <v/>
      </c>
      <c r="B294" s="462"/>
      <c r="C294" s="463"/>
      <c r="D294" s="52"/>
      <c r="E294" s="46" t="str">
        <f>+IF(B294="","",(VLOOKUP($A294,INSUMOS_MANO_DE_OBRA,8,0)))</f>
        <v/>
      </c>
      <c r="F294" s="54" t="str">
        <f>+IF(A294="","",IF(A294=0,"",IF(F293="","",F293)))</f>
        <v/>
      </c>
      <c r="G294" s="53" t="str">
        <f>+IFERROR(D294*E294/F294,"")</f>
        <v/>
      </c>
    </row>
    <row r="295" spans="1:7" x14ac:dyDescent="0.25">
      <c r="A295" s="33"/>
      <c r="B295" s="34"/>
      <c r="C295" s="119"/>
      <c r="D295" s="119"/>
      <c r="E295" s="35"/>
      <c r="F295" s="36" t="s">
        <v>62</v>
      </c>
      <c r="G295" s="37">
        <f>+IF(SUM(G291:G294)=0,"",SUM(G291:G294))</f>
        <v>49737.75</v>
      </c>
    </row>
    <row r="296" spans="1:7" x14ac:dyDescent="0.25">
      <c r="A296" s="121"/>
      <c r="B296" s="119"/>
      <c r="C296" s="55"/>
      <c r="D296" s="55"/>
      <c r="E296" s="55"/>
      <c r="F296" s="39"/>
      <c r="G296" s="56"/>
    </row>
    <row r="297" spans="1:7" x14ac:dyDescent="0.25">
      <c r="A297" s="465" t="s">
        <v>76</v>
      </c>
      <c r="B297" s="465"/>
      <c r="C297" s="465"/>
      <c r="D297" s="465"/>
      <c r="E297" s="465"/>
      <c r="F297" s="465"/>
      <c r="G297" s="467"/>
    </row>
    <row r="298" spans="1:7" x14ac:dyDescent="0.25">
      <c r="A298" s="120" t="s">
        <v>56</v>
      </c>
      <c r="B298" s="468" t="s">
        <v>44</v>
      </c>
      <c r="C298" s="468"/>
      <c r="D298" s="120" t="s">
        <v>45</v>
      </c>
      <c r="E298" s="120" t="s">
        <v>46</v>
      </c>
      <c r="F298" s="120" t="s">
        <v>65</v>
      </c>
      <c r="G298" s="120" t="s">
        <v>59</v>
      </c>
    </row>
    <row r="299" spans="1:7" x14ac:dyDescent="0.25">
      <c r="A299" s="25" t="str">
        <f>IF(B299="","",INDEX(CODIGOSSERVICIOS,MATCH($B299,'INSUMOS SERVICIOS'!$B$7:$B$21,0)))</f>
        <v/>
      </c>
      <c r="B299" s="462"/>
      <c r="C299" s="463"/>
      <c r="D299" s="43" t="str">
        <f>+IF(B299="","",(VLOOKUP($A299,INSUMOSSERVICIOS,3,0)))</f>
        <v/>
      </c>
      <c r="E299" s="57">
        <v>1</v>
      </c>
      <c r="F299" s="46" t="str">
        <f>IF(B299="","",(VLOOKUP($A299,INSUMOSSERVICIOS,4,0)))</f>
        <v/>
      </c>
      <c r="G299" s="29" t="str">
        <f>+IFERROR(E299*F299,"")</f>
        <v/>
      </c>
    </row>
    <row r="300" spans="1:7" x14ac:dyDescent="0.25">
      <c r="A300" s="25" t="str">
        <f>IF(B300="","",INDEX(CODIGOSSERVICIOS,MATCH($B300,'INSUMOS SERVICIOS'!$B$7:$B$21,0)))</f>
        <v/>
      </c>
      <c r="B300" s="462"/>
      <c r="C300" s="463"/>
      <c r="D300" s="43" t="str">
        <f>+IF(B300="","",(VLOOKUP($A300,INSUMOSSERVICIOS,3,0)))</f>
        <v/>
      </c>
      <c r="E300" s="57">
        <v>1</v>
      </c>
      <c r="F300" s="46" t="str">
        <f>IF(B300="","",(VLOOKUP($A300,INSUMOSSERVICIOS,4,0)))</f>
        <v/>
      </c>
      <c r="G300" s="29" t="str">
        <f>+IFERROR(E300*F300,"")</f>
        <v/>
      </c>
    </row>
    <row r="301" spans="1:7" x14ac:dyDescent="0.25">
      <c r="A301" s="25" t="str">
        <f>IF(B301="","",INDEX(CÓDIGOS_SERVICIOS,MATCH($B301,'[7]INSUMOS SERVICIOS'!$B$8:$B$51,0)))</f>
        <v/>
      </c>
      <c r="B301" s="462"/>
      <c r="C301" s="463"/>
      <c r="D301" s="43" t="str">
        <f>+IF(B301="","",(VLOOKUP($A301,INSUMOS_SERVICIOS,3,0)))</f>
        <v/>
      </c>
      <c r="E301" s="57"/>
      <c r="F301" s="46" t="str">
        <f>IF(B301="","",(VLOOKUP($A301,INSUMOS_SERVICIOS,4,0)))</f>
        <v/>
      </c>
      <c r="G301" s="29" t="str">
        <f>+IFERROR(E301*F301,"")</f>
        <v/>
      </c>
    </row>
    <row r="302" spans="1:7" x14ac:dyDescent="0.25">
      <c r="A302" s="33"/>
      <c r="B302" s="34"/>
      <c r="C302" s="119"/>
      <c r="D302" s="119"/>
      <c r="E302" s="35"/>
      <c r="F302" s="58" t="s">
        <v>62</v>
      </c>
      <c r="G302" s="37" t="str">
        <f>+IF(SUM(G299:G301)=0,"",SUM(G299:G301))</f>
        <v/>
      </c>
    </row>
    <row r="303" spans="1:7" x14ac:dyDescent="0.25">
      <c r="A303" s="121"/>
      <c r="B303" s="119"/>
      <c r="C303" s="55"/>
      <c r="D303" s="55"/>
      <c r="E303" s="55"/>
      <c r="F303" s="39"/>
      <c r="G303" s="56"/>
    </row>
    <row r="304" spans="1:7" x14ac:dyDescent="0.25">
      <c r="A304" s="464" t="s">
        <v>77</v>
      </c>
      <c r="B304" s="464"/>
      <c r="C304" s="464"/>
      <c r="D304" s="464"/>
      <c r="E304" s="464"/>
      <c r="F304" s="464"/>
      <c r="G304" s="59">
        <f>IF(SUM(G272,G280,G287,G295,G302)=0,"",(ROUND(SUM(G272,G280,G287,G295,G302),0)))</f>
        <v>665909</v>
      </c>
    </row>
    <row r="305" spans="1:7" x14ac:dyDescent="0.25">
      <c r="A305" s="56"/>
      <c r="B305" s="48"/>
      <c r="C305" s="48"/>
      <c r="D305" s="48"/>
      <c r="E305" s="48"/>
      <c r="F305" s="48"/>
      <c r="G305" s="39"/>
    </row>
    <row r="306" spans="1:7" x14ac:dyDescent="0.25">
      <c r="A306" s="465" t="s">
        <v>78</v>
      </c>
      <c r="B306" s="465"/>
      <c r="C306" s="465"/>
      <c r="D306" s="465"/>
      <c r="E306" s="465"/>
      <c r="F306" s="465"/>
      <c r="G306" s="465"/>
    </row>
    <row r="307" spans="1:7" x14ac:dyDescent="0.25">
      <c r="A307" s="119"/>
      <c r="B307" s="119"/>
      <c r="C307" s="119"/>
      <c r="D307" s="119"/>
      <c r="E307" s="119"/>
      <c r="F307" s="119"/>
      <c r="G307" s="119"/>
    </row>
    <row r="308" spans="1:7" x14ac:dyDescent="0.25">
      <c r="A308" s="466" t="s">
        <v>44</v>
      </c>
      <c r="B308" s="466"/>
      <c r="C308" s="466"/>
      <c r="D308" s="466"/>
      <c r="E308" s="466"/>
      <c r="F308" s="60" t="s">
        <v>79</v>
      </c>
      <c r="G308" s="60" t="s">
        <v>48</v>
      </c>
    </row>
    <row r="309" spans="1:7" x14ac:dyDescent="0.25">
      <c r="A309" s="458" t="s">
        <v>80</v>
      </c>
      <c r="B309" s="458"/>
      <c r="C309" s="458"/>
      <c r="D309" s="458"/>
      <c r="E309" s="458"/>
      <c r="F309" s="61">
        <f ca="1">AU!$I$36</f>
        <v>0.191</v>
      </c>
      <c r="G309" s="62">
        <f ca="1">+IFERROR(G304*F309,"")</f>
        <v>127188.61900000001</v>
      </c>
    </row>
    <row r="310" spans="1:7" x14ac:dyDescent="0.25">
      <c r="A310" s="458" t="s">
        <v>81</v>
      </c>
      <c r="B310" s="458"/>
      <c r="C310" s="458"/>
      <c r="D310" s="458"/>
      <c r="E310" s="458"/>
      <c r="F310" s="61" t="e">
        <f>IF(AU!#REF!=0,"",AU!#REF!)</f>
        <v>#REF!</v>
      </c>
      <c r="G310" s="62" t="str">
        <f>+IFERROR(G304*F310,"")</f>
        <v/>
      </c>
    </row>
    <row r="311" spans="1:7" x14ac:dyDescent="0.25">
      <c r="A311" s="458" t="s">
        <v>82</v>
      </c>
      <c r="B311" s="458"/>
      <c r="C311" s="458"/>
      <c r="D311" s="458"/>
      <c r="E311" s="458"/>
      <c r="F311" s="61">
        <f>IF(AU!$I$37=0,"",AU!$I$37)</f>
        <v>5.131865E-2</v>
      </c>
      <c r="G311" s="62">
        <f>+IFERROR(G304*F311,"")</f>
        <v>34173.550902850002</v>
      </c>
    </row>
    <row r="312" spans="1:7" x14ac:dyDescent="0.25">
      <c r="A312" s="459" t="s">
        <v>83</v>
      </c>
      <c r="B312" s="460"/>
      <c r="C312" s="460"/>
      <c r="D312" s="460"/>
      <c r="E312" s="460"/>
      <c r="F312" s="63" t="e">
        <f ca="1">IF(SUM(F309:F311)=0,"",SUM(F309:F311))</f>
        <v>#REF!</v>
      </c>
      <c r="G312" s="64">
        <f ca="1">IF(SUM(G309:G311)=0,"",ROUND(SUM(G309:G311),0))</f>
        <v>161362</v>
      </c>
    </row>
    <row r="313" spans="1:7" x14ac:dyDescent="0.25">
      <c r="A313" s="56"/>
      <c r="B313" s="34"/>
      <c r="C313" s="34"/>
      <c r="D313" s="34"/>
      <c r="E313" s="461"/>
      <c r="F313" s="461"/>
      <c r="G313" s="65"/>
    </row>
    <row r="314" spans="1:7" x14ac:dyDescent="0.25">
      <c r="A314" s="456" t="s">
        <v>84</v>
      </c>
      <c r="B314" s="457"/>
      <c r="C314" s="457"/>
      <c r="D314" s="457"/>
      <c r="E314" s="457"/>
      <c r="F314" s="457"/>
      <c r="G314" s="66">
        <f ca="1">+IFERROR(ROUND(G304+G312,0),"")</f>
        <v>827271</v>
      </c>
    </row>
    <row r="315" spans="1:7" x14ac:dyDescent="0.25">
      <c r="A315" s="19"/>
      <c r="B315" s="19"/>
      <c r="C315" s="19"/>
      <c r="D315" s="19"/>
      <c r="E315" s="18"/>
      <c r="F315" s="18"/>
      <c r="G315" s="20"/>
    </row>
    <row r="316" spans="1:7" x14ac:dyDescent="0.25">
      <c r="A316" s="19"/>
      <c r="B316" s="185" t="s">
        <v>787</v>
      </c>
      <c r="C316" s="18"/>
      <c r="D316" s="18"/>
      <c r="E316" s="18"/>
      <c r="F316" s="18"/>
      <c r="G316" s="18"/>
    </row>
    <row r="317" spans="1:7" x14ac:dyDescent="0.25">
      <c r="A317" s="19"/>
      <c r="B317" s="185" t="s">
        <v>599</v>
      </c>
      <c r="C317" s="18"/>
      <c r="D317" s="18"/>
      <c r="E317" s="18"/>
      <c r="F317" s="18"/>
      <c r="G317" s="18"/>
    </row>
    <row r="318" spans="1:7" x14ac:dyDescent="0.25">
      <c r="A318" s="19"/>
      <c r="B318" s="185"/>
      <c r="C318" s="18"/>
      <c r="D318" s="67"/>
      <c r="E318" s="67"/>
      <c r="F318" s="67"/>
      <c r="G318" s="18"/>
    </row>
    <row r="319" spans="1:7" x14ac:dyDescent="0.25">
      <c r="A319" s="19"/>
      <c r="B319" s="185"/>
      <c r="C319" s="20"/>
      <c r="D319" s="365" t="s">
        <v>85</v>
      </c>
      <c r="E319" s="365"/>
      <c r="F319" s="365"/>
      <c r="G319" s="20"/>
    </row>
    <row r="321" spans="1:7" ht="18.75" x14ac:dyDescent="0.25">
      <c r="A321" s="376" t="str">
        <f>'DATOS INICIALES'!$B$1</f>
        <v>DEPARTAMENTO DE ANTIOQUIA</v>
      </c>
      <c r="B321" s="377"/>
      <c r="C321" s="377"/>
      <c r="D321" s="377"/>
      <c r="E321" s="377"/>
      <c r="F321" s="378" t="s">
        <v>51</v>
      </c>
      <c r="G321" s="378"/>
    </row>
    <row r="322" spans="1:7" ht="15.75" x14ac:dyDescent="0.25">
      <c r="A322" s="379" t="str">
        <f>'DATOS INICIALES'!$B$2</f>
        <v>MUNICIPIO DE DABEIBA</v>
      </c>
      <c r="B322" s="380"/>
      <c r="C322" s="380"/>
      <c r="D322" s="380"/>
      <c r="E322" s="380"/>
      <c r="F322" s="378"/>
      <c r="G322" s="378"/>
    </row>
    <row r="323" spans="1:7" x14ac:dyDescent="0.25">
      <c r="A323" s="481" t="str">
        <f>'DATOS INICIALES'!$B$3</f>
        <v>REPOSICIÓN, AMPLIACIÓN Y REPARACIÓN DE LUMINARIAS QUE HACEN PARTE DE LA RED DE ALUMBRADOPÚBLICO DEL PARQUE PRINCIPAL Y CORREGIMIENTO SAN JOSÉ DE URAMA DEL MUNICIPIO DE DABEIBA.</v>
      </c>
      <c r="B323" s="482"/>
      <c r="C323" s="482"/>
      <c r="D323" s="482"/>
      <c r="E323" s="482"/>
      <c r="F323" s="378"/>
      <c r="G323" s="378"/>
    </row>
    <row r="324" spans="1:7" x14ac:dyDescent="0.25">
      <c r="A324" s="383"/>
      <c r="B324" s="383"/>
      <c r="C324" s="383"/>
      <c r="D324" s="383"/>
      <c r="E324" s="388"/>
      <c r="F324" s="378"/>
      <c r="G324" s="378"/>
    </row>
    <row r="325" spans="1:7" x14ac:dyDescent="0.25">
      <c r="A325" s="384" t="s">
        <v>52</v>
      </c>
      <c r="B325" s="385"/>
      <c r="C325" s="385"/>
      <c r="D325" s="385"/>
      <c r="E325" s="385"/>
      <c r="F325" s="378"/>
      <c r="G325" s="378"/>
    </row>
    <row r="326" spans="1:7" x14ac:dyDescent="0.25">
      <c r="A326" s="383"/>
      <c r="B326" s="383"/>
      <c r="C326" s="383"/>
      <c r="D326" s="383"/>
      <c r="E326" s="383"/>
      <c r="F326" s="477"/>
      <c r="G326" s="477"/>
    </row>
    <row r="327" spans="1:7" x14ac:dyDescent="0.25">
      <c r="A327" s="21" t="s">
        <v>42</v>
      </c>
      <c r="B327" s="372" t="s">
        <v>44</v>
      </c>
      <c r="C327" s="373"/>
      <c r="D327" s="374"/>
      <c r="E327" s="22" t="s">
        <v>45</v>
      </c>
      <c r="F327" s="23" t="s">
        <v>46</v>
      </c>
      <c r="G327" s="23" t="s">
        <v>53</v>
      </c>
    </row>
    <row r="328" spans="1:7" x14ac:dyDescent="0.25">
      <c r="A328" s="24" t="s">
        <v>163</v>
      </c>
      <c r="B328" s="478" t="str">
        <f>+IFERROR(VLOOKUP($A328,INSUMOSMATERIALES,2,0),"")</f>
        <v>MORTERO 1:2 EN OBRA (REVOQUE)</v>
      </c>
      <c r="C328" s="479"/>
      <c r="D328" s="480"/>
      <c r="E328" s="82" t="str">
        <f>+IFERROR(VLOOKUP($A328,INSUMOSMATERIALES,3,0),"")</f>
        <v>M3</v>
      </c>
      <c r="F328" s="82" t="s">
        <v>460</v>
      </c>
      <c r="G328" s="153">
        <f ca="1">IF(G376=0,"",G366)</f>
        <v>760071</v>
      </c>
    </row>
    <row r="329" spans="1:7" x14ac:dyDescent="0.25">
      <c r="A329" s="19"/>
      <c r="B329" s="19"/>
      <c r="C329" s="19"/>
      <c r="D329" s="19"/>
      <c r="E329" s="18"/>
      <c r="F329" s="18"/>
      <c r="G329" s="20"/>
    </row>
    <row r="330" spans="1:7" x14ac:dyDescent="0.25">
      <c r="A330" s="465" t="s">
        <v>54</v>
      </c>
      <c r="B330" s="465"/>
      <c r="C330" s="465"/>
      <c r="D330" s="465"/>
      <c r="E330" s="465"/>
      <c r="F330" s="465"/>
      <c r="G330" s="465"/>
    </row>
    <row r="331" spans="1:7" x14ac:dyDescent="0.25">
      <c r="A331" s="119"/>
      <c r="B331" s="119"/>
      <c r="C331" s="119"/>
      <c r="D331" s="119"/>
      <c r="E331" s="119"/>
      <c r="F331" s="119"/>
      <c r="G331" s="119"/>
    </row>
    <row r="332" spans="1:7" x14ac:dyDescent="0.25">
      <c r="A332" s="469" t="s">
        <v>55</v>
      </c>
      <c r="B332" s="469"/>
      <c r="C332" s="469"/>
      <c r="D332" s="469"/>
      <c r="E332" s="469"/>
      <c r="F332" s="469"/>
      <c r="G332" s="470"/>
    </row>
    <row r="333" spans="1:7" x14ac:dyDescent="0.25">
      <c r="A333" s="120" t="s">
        <v>56</v>
      </c>
      <c r="B333" s="471" t="s">
        <v>44</v>
      </c>
      <c r="C333" s="472"/>
      <c r="D333" s="120" t="s">
        <v>45</v>
      </c>
      <c r="E333" s="120" t="s">
        <v>57</v>
      </c>
      <c r="F333" s="120" t="s">
        <v>58</v>
      </c>
      <c r="G333" s="120" t="s">
        <v>59</v>
      </c>
    </row>
    <row r="334" spans="1:7" x14ac:dyDescent="0.25">
      <c r="A334" s="25" t="str">
        <f>IF(B334="","",INDEX(CODIGOEQUIPOS,MATCH($B334,'INSUMOS EQUIPOS'!$B$7:$B$39,0)))</f>
        <v>EQ004</v>
      </c>
      <c r="B334" s="473" t="s">
        <v>94</v>
      </c>
      <c r="C334" s="474"/>
      <c r="D334" s="26" t="str">
        <f>IF(B334="","",(VLOOKUP($A334,INSUMOSEQUIPOS,3,0)))</f>
        <v>DÍA</v>
      </c>
      <c r="E334" s="27">
        <f>IF(B334="","",(VLOOKUP($A334,INSUMOSEQUIPOS,4,0)))</f>
        <v>62000</v>
      </c>
      <c r="F334" s="28">
        <v>8</v>
      </c>
      <c r="G334" s="29">
        <f>+IFERROR(E334/F334,"")</f>
        <v>7750</v>
      </c>
    </row>
    <row r="335" spans="1:7" x14ac:dyDescent="0.25">
      <c r="A335" s="30" t="str">
        <f>+IF(G357="","","EQ001")</f>
        <v>EQ001</v>
      </c>
      <c r="B335" s="475" t="str">
        <f>+IF($A335="","",IFERROR(VLOOKUP($A335,INSUMOSEQUIPOS,2,0),""))</f>
        <v>HERRAMIENTA MENOR (5% DE LA MANO DE OBRA)</v>
      </c>
      <c r="C335" s="476"/>
      <c r="D335" s="26" t="str">
        <f>+IF($A335="","",IFERROR(VLOOKUP($A335,INSUMOSEQUIPOS,3,0),""))</f>
        <v>%</v>
      </c>
      <c r="E335" s="31">
        <f>+IF($A335="","",IFERROR(VLOOKUP($A335,INSUMOSEQUIPOS,4,0),""))</f>
        <v>0.05</v>
      </c>
      <c r="F335" s="32">
        <f>+IF(G357=0,"",G357)</f>
        <v>40267.5</v>
      </c>
      <c r="G335" s="29">
        <f>+IFERROR(E335*F335,"")</f>
        <v>2013.375</v>
      </c>
    </row>
    <row r="336" spans="1:7" x14ac:dyDescent="0.25">
      <c r="A336" s="33"/>
      <c r="B336" s="34"/>
      <c r="C336" s="119"/>
      <c r="D336" s="119"/>
      <c r="E336" s="35"/>
      <c r="F336" s="36" t="s">
        <v>62</v>
      </c>
      <c r="G336" s="37">
        <f>+IF(SUM(G334:G335)=0,"",SUM(G334:G335))</f>
        <v>9763.375</v>
      </c>
    </row>
    <row r="337" spans="1:7" x14ac:dyDescent="0.25">
      <c r="A337" s="34"/>
      <c r="B337" s="119"/>
      <c r="C337" s="119"/>
      <c r="D337" s="35"/>
      <c r="E337" s="38"/>
      <c r="F337" s="39"/>
      <c r="G337" s="33"/>
    </row>
    <row r="338" spans="1:7" x14ac:dyDescent="0.25">
      <c r="A338" s="465" t="s">
        <v>63</v>
      </c>
      <c r="B338" s="465"/>
      <c r="C338" s="465"/>
      <c r="D338" s="465"/>
      <c r="E338" s="465"/>
      <c r="F338" s="465"/>
      <c r="G338" s="467"/>
    </row>
    <row r="339" spans="1:7" x14ac:dyDescent="0.25">
      <c r="A339" s="120" t="s">
        <v>56</v>
      </c>
      <c r="B339" s="40" t="s">
        <v>44</v>
      </c>
      <c r="C339" s="41" t="s">
        <v>45</v>
      </c>
      <c r="D339" s="41" t="s">
        <v>46</v>
      </c>
      <c r="E339" s="41" t="s">
        <v>64</v>
      </c>
      <c r="F339" s="41" t="s">
        <v>65</v>
      </c>
      <c r="G339" s="41" t="s">
        <v>59</v>
      </c>
    </row>
    <row r="340" spans="1:7" ht="22.5" x14ac:dyDescent="0.25">
      <c r="A340" s="25" t="e">
        <f>IF(B340="","",INDEX(CODIGOMATERIALES,MATCH($B340,'INSUMOS MATERIALES'!$B$7:$B$51,0)))</f>
        <v>#N/A</v>
      </c>
      <c r="B340" s="42" t="s">
        <v>192</v>
      </c>
      <c r="C340" s="43" t="e">
        <f>IF(B340="","",(VLOOKUP($A340,INSUMOSMATERIALES,3,0)))</f>
        <v>#N/A</v>
      </c>
      <c r="D340" s="44">
        <v>10.199999999999999</v>
      </c>
      <c r="E340" s="45">
        <v>0.05</v>
      </c>
      <c r="F340" s="46" t="e">
        <f>IF(B340="","",(VLOOKUP($A340,INSUMOSMATERIALES,4,0)))</f>
        <v>#N/A</v>
      </c>
      <c r="G340" s="29" t="str">
        <f>+IFERROR(F340*D340*(1+E340),"")</f>
        <v/>
      </c>
    </row>
    <row r="341" spans="1:7" x14ac:dyDescent="0.25">
      <c r="A341" s="25" t="e">
        <f>IF(B341="","",INDEX(CODIGOMATERIALES,MATCH($B341,'INSUMOS MATERIALES'!$B$7:$B$51,0)))</f>
        <v>#N/A</v>
      </c>
      <c r="B341" s="42" t="s">
        <v>196</v>
      </c>
      <c r="C341" s="43" t="e">
        <f>IF(B341="","",(VLOOKUP($A341,INSUMOSMATERIALES,3,0)))</f>
        <v>#N/A</v>
      </c>
      <c r="D341" s="44">
        <v>0.97</v>
      </c>
      <c r="E341" s="45">
        <v>0.05</v>
      </c>
      <c r="F341" s="46" t="e">
        <f>IF(B341="","",(VLOOKUP($A341,INSUMOSMATERIALES,4,0)))</f>
        <v>#N/A</v>
      </c>
      <c r="G341" s="29" t="str">
        <f>+IFERROR(F341*D341*(1+E341),"")</f>
        <v/>
      </c>
    </row>
    <row r="342" spans="1:7" x14ac:dyDescent="0.25">
      <c r="A342" s="25" t="e">
        <f>IF(B342="","",INDEX(CODIGOMATERIALES,MATCH($B342,'INSUMOS MATERIALES'!$B$7:$B$51,0)))</f>
        <v>#N/A</v>
      </c>
      <c r="B342" s="42" t="s">
        <v>201</v>
      </c>
      <c r="C342" s="43" t="e">
        <f>IF(B342="","",(VLOOKUP($A342,INSUMOSMATERIALES,3,0)))</f>
        <v>#N/A</v>
      </c>
      <c r="D342" s="44">
        <v>180</v>
      </c>
      <c r="E342" s="45">
        <v>0.1</v>
      </c>
      <c r="F342" s="46" t="e">
        <f>IF(B342="","",(VLOOKUP($A342,INSUMOSMATERIALES,4,0)))</f>
        <v>#N/A</v>
      </c>
      <c r="G342" s="29" t="str">
        <f>+IFERROR(F342*D342*(1+E342),"")</f>
        <v/>
      </c>
    </row>
    <row r="343" spans="1:7" x14ac:dyDescent="0.25">
      <c r="A343" s="33"/>
      <c r="B343" s="47"/>
      <c r="C343" s="119"/>
      <c r="D343" s="119"/>
      <c r="E343" s="35"/>
      <c r="F343" s="36" t="s">
        <v>62</v>
      </c>
      <c r="G343" s="37" t="str">
        <f>+IF(SUM(G340:G342)=0,"",SUM(G340:G342))</f>
        <v/>
      </c>
    </row>
    <row r="344" spans="1:7" x14ac:dyDescent="0.25">
      <c r="A344" s="34"/>
      <c r="B344" s="119"/>
      <c r="C344" s="119"/>
      <c r="D344" s="35"/>
      <c r="E344" s="48"/>
      <c r="F344" s="39"/>
      <c r="G344" s="33"/>
    </row>
    <row r="345" spans="1:7" x14ac:dyDescent="0.25">
      <c r="A345" s="465" t="s">
        <v>66</v>
      </c>
      <c r="B345" s="465"/>
      <c r="C345" s="465"/>
      <c r="D345" s="465"/>
      <c r="E345" s="465"/>
      <c r="F345" s="465"/>
      <c r="G345" s="465"/>
    </row>
    <row r="346" spans="1:7" x14ac:dyDescent="0.25">
      <c r="A346" s="120" t="s">
        <v>56</v>
      </c>
      <c r="B346" s="120" t="s">
        <v>44</v>
      </c>
      <c r="C346" s="120" t="s">
        <v>67</v>
      </c>
      <c r="D346" s="120" t="s">
        <v>68</v>
      </c>
      <c r="E346" s="41" t="s">
        <v>69</v>
      </c>
      <c r="F346" s="41" t="s">
        <v>57</v>
      </c>
      <c r="G346" s="41" t="s">
        <v>59</v>
      </c>
    </row>
    <row r="347" spans="1:7" ht="33.75" x14ac:dyDescent="0.25">
      <c r="A347" s="25" t="str">
        <f>IF(B347="","",INDEX(CODIGOTRANSPORTES,MATCH(B347,'INSUMOS TRANSPORTES'!$B$7:$B$13,0)))</f>
        <v>TR002</v>
      </c>
      <c r="B347" s="42" t="s">
        <v>555</v>
      </c>
      <c r="C347" s="49" t="s">
        <v>461</v>
      </c>
      <c r="D347" s="44">
        <f>D341</f>
        <v>0.97</v>
      </c>
      <c r="E347" s="50">
        <f>+IF(C347=0,"",IF(C347="INSUMOS",'DATOS INICIALES'!$B$24,IF(C347="PLAYA",'DATOS INICIALES'!$B$21,IF(C347="TIERRA",'DATOS INICIALES'!$B$19,IF(C347="ESCOMBROS",'DATOS INICIALES'!$B$20,IF(C347="ASFALTO",'DATOS INICIALES'!$B$25,IF(C347="GRANULAR",'DATOS INICIALES'!$B$23,IF(C347="PLAYATRITURADO",'DATOS INICIALES'!$B$22,0))))))))</f>
        <v>120</v>
      </c>
      <c r="F347" s="27">
        <f>+IF(B347="","",(VLOOKUP($A347,INSUMOSTRANSPORTES,4,0)))</f>
        <v>6100</v>
      </c>
      <c r="G347" s="29">
        <f>+IFERROR(D347*E347*F347,"")</f>
        <v>710040</v>
      </c>
    </row>
    <row r="348" spans="1:7" ht="22.5" x14ac:dyDescent="0.25">
      <c r="A348" s="25" t="e">
        <f>IF(B348="","",INDEX(CODIGOTRANSPORTES,MATCH(B348,'INSUMOS TRANSPORTES'!$B$7:$B$26,0)))</f>
        <v>#N/A</v>
      </c>
      <c r="B348" s="42" t="s">
        <v>556</v>
      </c>
      <c r="C348" s="49" t="s">
        <v>462</v>
      </c>
      <c r="D348" s="44">
        <f>(D340*50)/1000</f>
        <v>0.5099999999999999</v>
      </c>
      <c r="E348" s="50">
        <f>+IF(C348=0,"",IF(C348="INSUMOS",'DATOS INICIALES'!$B$24,IF(C348="PLAYA",'DATOS INICIALES'!$B$21,IF(C348="TIERRA",'DATOS INICIALES'!$B$19,IF(C348="ESCOMBROS",'DATOS INICIALES'!$B$20,IF(C348="ASFALTO",'DATOS INICIALES'!$B$25,IF(C348="GRANULAR",'DATOS INICIALES'!B360)))))))</f>
        <v>180</v>
      </c>
      <c r="F348" s="27" t="e">
        <f>+IF(B348="","",(VLOOKUP($A348,INSUMOSTRANSPORTES,4,0)))</f>
        <v>#N/A</v>
      </c>
      <c r="G348" s="29" t="str">
        <f>+IFERROR(D348*E348*F348,"")</f>
        <v/>
      </c>
    </row>
    <row r="349" spans="1:7" x14ac:dyDescent="0.25">
      <c r="A349" s="33"/>
      <c r="B349" s="51"/>
      <c r="C349" s="119"/>
      <c r="D349" s="119"/>
      <c r="E349" s="35"/>
      <c r="F349" s="36" t="s">
        <v>62</v>
      </c>
      <c r="G349" s="37">
        <f>+IF(SUM(G347:G347)=0,"",SUM(G347:G347))</f>
        <v>710040</v>
      </c>
    </row>
    <row r="350" spans="1:7" x14ac:dyDescent="0.25">
      <c r="A350" s="119"/>
      <c r="B350" s="119"/>
      <c r="C350" s="119"/>
      <c r="D350" s="35"/>
      <c r="E350" s="48"/>
      <c r="F350" s="39"/>
      <c r="G350" s="33"/>
    </row>
    <row r="351" spans="1:7" x14ac:dyDescent="0.25">
      <c r="A351" s="465" t="s">
        <v>70</v>
      </c>
      <c r="B351" s="465"/>
      <c r="C351" s="465"/>
      <c r="D351" s="465"/>
      <c r="E351" s="465"/>
      <c r="F351" s="465"/>
      <c r="G351" s="467"/>
    </row>
    <row r="352" spans="1:7" x14ac:dyDescent="0.25">
      <c r="A352" s="120" t="s">
        <v>56</v>
      </c>
      <c r="B352" s="468" t="s">
        <v>71</v>
      </c>
      <c r="C352" s="468"/>
      <c r="D352" s="41" t="s">
        <v>46</v>
      </c>
      <c r="E352" s="41" t="s">
        <v>72</v>
      </c>
      <c r="F352" s="41" t="s">
        <v>58</v>
      </c>
      <c r="G352" s="41" t="s">
        <v>59</v>
      </c>
    </row>
    <row r="353" spans="1:7" x14ac:dyDescent="0.25">
      <c r="A353" s="25" t="str">
        <f>IF(B353="","",INDEX(CODIGOSMANODEOBRA,MATCH($B353,'INSUMOS MANO DE OBRA'!$B$7:$B$61,0)))</f>
        <v>MO033</v>
      </c>
      <c r="B353" s="462" t="s">
        <v>360</v>
      </c>
      <c r="C353" s="463"/>
      <c r="D353" s="52">
        <v>1</v>
      </c>
      <c r="E353" s="46">
        <f>IF(B353="","",(VLOOKUP($A353,INSUMOSMANODEOBRA,8,0)))</f>
        <v>94854</v>
      </c>
      <c r="F353" s="44">
        <v>8</v>
      </c>
      <c r="G353" s="53">
        <f>+IFERROR(D353*E353/F353,"")</f>
        <v>11856.75</v>
      </c>
    </row>
    <row r="354" spans="1:7" x14ac:dyDescent="0.25">
      <c r="A354" s="25" t="str">
        <f>IF(B354="","",INDEX(CODIGOSMANODEOBRA,MATCH($B354,'INSUMOS MANO DE OBRA'!$B$7:$B$61,0)))</f>
        <v>MO032</v>
      </c>
      <c r="B354" s="462" t="s">
        <v>359</v>
      </c>
      <c r="C354" s="463"/>
      <c r="D354" s="52">
        <v>3</v>
      </c>
      <c r="E354" s="46">
        <f>IF(B354="","",(VLOOKUP($A354,INSUMOSMANODEOBRA,8,0)))</f>
        <v>75762</v>
      </c>
      <c r="F354" s="44">
        <v>8</v>
      </c>
      <c r="G354" s="53">
        <f>+IFERROR(D354*E354/F354,"")</f>
        <v>28410.75</v>
      </c>
    </row>
    <row r="355" spans="1:7" x14ac:dyDescent="0.25">
      <c r="A355" s="25"/>
      <c r="B355" s="462"/>
      <c r="C355" s="463"/>
      <c r="D355" s="52"/>
      <c r="E355" s="46"/>
      <c r="F355" s="54"/>
      <c r="G355" s="53" t="str">
        <f>+IFERROR(D355*E355/F355,"")</f>
        <v/>
      </c>
    </row>
    <row r="356" spans="1:7" x14ac:dyDescent="0.25">
      <c r="A356" s="25" t="str">
        <f>IF(B356="","",INDEX(CÓDIGOS_MANO_DE_OBRA,MATCH($B356,'[7]INSUMOS MANO DE OBRA'!$B$8:$B$63,0)))</f>
        <v/>
      </c>
      <c r="B356" s="462"/>
      <c r="C356" s="463"/>
      <c r="D356" s="52"/>
      <c r="E356" s="46" t="str">
        <f>+IF(B356="","",(VLOOKUP($A356,INSUMOS_MANO_DE_OBRA,8,0)))</f>
        <v/>
      </c>
      <c r="F356" s="54" t="str">
        <f>+IF(A356="","",IF(A356=0,"",IF(F355="","",F355)))</f>
        <v/>
      </c>
      <c r="G356" s="53" t="str">
        <f>+IFERROR(D356*E356/F356,"")</f>
        <v/>
      </c>
    </row>
    <row r="357" spans="1:7" x14ac:dyDescent="0.25">
      <c r="A357" s="33"/>
      <c r="B357" s="34"/>
      <c r="C357" s="119"/>
      <c r="D357" s="119"/>
      <c r="E357" s="35"/>
      <c r="F357" s="36" t="s">
        <v>62</v>
      </c>
      <c r="G357" s="37">
        <f>+IF(SUM(G353:G356)=0,"",SUM(G353:G356))</f>
        <v>40267.5</v>
      </c>
    </row>
    <row r="358" spans="1:7" x14ac:dyDescent="0.25">
      <c r="A358" s="121"/>
      <c r="B358" s="119"/>
      <c r="C358" s="55"/>
      <c r="D358" s="55"/>
      <c r="E358" s="55"/>
      <c r="F358" s="39"/>
      <c r="G358" s="56"/>
    </row>
    <row r="359" spans="1:7" x14ac:dyDescent="0.25">
      <c r="A359" s="465" t="s">
        <v>76</v>
      </c>
      <c r="B359" s="465"/>
      <c r="C359" s="465"/>
      <c r="D359" s="465"/>
      <c r="E359" s="465"/>
      <c r="F359" s="465"/>
      <c r="G359" s="467"/>
    </row>
    <row r="360" spans="1:7" x14ac:dyDescent="0.25">
      <c r="A360" s="120" t="s">
        <v>56</v>
      </c>
      <c r="B360" s="468" t="s">
        <v>44</v>
      </c>
      <c r="C360" s="468"/>
      <c r="D360" s="120" t="s">
        <v>45</v>
      </c>
      <c r="E360" s="120" t="s">
        <v>46</v>
      </c>
      <c r="F360" s="120" t="s">
        <v>65</v>
      </c>
      <c r="G360" s="120" t="s">
        <v>59</v>
      </c>
    </row>
    <row r="361" spans="1:7" x14ac:dyDescent="0.25">
      <c r="A361" s="25" t="str">
        <f>IF(B361="","",INDEX(CODIGOSSERVICIOS,MATCH($B361,'INSUMOS SERVICIOS'!$B$7:$B$21,0)))</f>
        <v/>
      </c>
      <c r="B361" s="462"/>
      <c r="C361" s="463"/>
      <c r="D361" s="43" t="str">
        <f>+IF(B361="","",(VLOOKUP($A361,INSUMOSSERVICIOS,3,0)))</f>
        <v/>
      </c>
      <c r="E361" s="57">
        <v>1</v>
      </c>
      <c r="F361" s="46" t="str">
        <f>IF(B361="","",(VLOOKUP($A361,INSUMOSSERVICIOS,4,0)))</f>
        <v/>
      </c>
      <c r="G361" s="29" t="str">
        <f>+IFERROR(E361*F361,"")</f>
        <v/>
      </c>
    </row>
    <row r="362" spans="1:7" x14ac:dyDescent="0.25">
      <c r="A362" s="25" t="str">
        <f>IF(B362="","",INDEX(CODIGOSSERVICIOS,MATCH($B362,'INSUMOS SERVICIOS'!$B$7:$B$21,0)))</f>
        <v/>
      </c>
      <c r="B362" s="462"/>
      <c r="C362" s="463"/>
      <c r="D362" s="43" t="str">
        <f>+IF(B362="","",(VLOOKUP($A362,INSUMOSSERVICIOS,3,0)))</f>
        <v/>
      </c>
      <c r="E362" s="57">
        <v>1</v>
      </c>
      <c r="F362" s="46" t="str">
        <f>IF(B362="","",(VLOOKUP($A362,INSUMOSSERVICIOS,4,0)))</f>
        <v/>
      </c>
      <c r="G362" s="29" t="str">
        <f>+IFERROR(E362*F362,"")</f>
        <v/>
      </c>
    </row>
    <row r="363" spans="1:7" x14ac:dyDescent="0.25">
      <c r="A363" s="25" t="str">
        <f>IF(B363="","",INDEX(CÓDIGOS_SERVICIOS,MATCH($B363,'[7]INSUMOS SERVICIOS'!$B$8:$B$51,0)))</f>
        <v/>
      </c>
      <c r="B363" s="462"/>
      <c r="C363" s="463"/>
      <c r="D363" s="43" t="str">
        <f>+IF(B363="","",(VLOOKUP($A363,INSUMOS_SERVICIOS,3,0)))</f>
        <v/>
      </c>
      <c r="E363" s="57"/>
      <c r="F363" s="46" t="str">
        <f>IF(B363="","",(VLOOKUP($A363,INSUMOS_SERVICIOS,4,0)))</f>
        <v/>
      </c>
      <c r="G363" s="29" t="str">
        <f>+IFERROR(E363*F363,"")</f>
        <v/>
      </c>
    </row>
    <row r="364" spans="1:7" x14ac:dyDescent="0.25">
      <c r="A364" s="33"/>
      <c r="B364" s="34"/>
      <c r="C364" s="119"/>
      <c r="D364" s="119"/>
      <c r="E364" s="35"/>
      <c r="F364" s="58" t="s">
        <v>62</v>
      </c>
      <c r="G364" s="37" t="str">
        <f>+IF(SUM(G361:G363)=0,"",SUM(G361:G363))</f>
        <v/>
      </c>
    </row>
    <row r="365" spans="1:7" x14ac:dyDescent="0.25">
      <c r="A365" s="121"/>
      <c r="B365" s="119"/>
      <c r="C365" s="55"/>
      <c r="D365" s="55"/>
      <c r="E365" s="55"/>
      <c r="F365" s="39"/>
      <c r="G365" s="56"/>
    </row>
    <row r="366" spans="1:7" x14ac:dyDescent="0.25">
      <c r="A366" s="464" t="s">
        <v>77</v>
      </c>
      <c r="B366" s="464"/>
      <c r="C366" s="464"/>
      <c r="D366" s="464"/>
      <c r="E366" s="464"/>
      <c r="F366" s="464"/>
      <c r="G366" s="59">
        <f>IF(SUM(G336,G343,G349,G357,G364)=0,"",(ROUND(SUM(G336,G343,G349,G357,G364),0)))</f>
        <v>760071</v>
      </c>
    </row>
    <row r="367" spans="1:7" x14ac:dyDescent="0.25">
      <c r="A367" s="56"/>
      <c r="B367" s="48"/>
      <c r="C367" s="48"/>
      <c r="D367" s="48"/>
      <c r="E367" s="48"/>
      <c r="F367" s="48"/>
      <c r="G367" s="39"/>
    </row>
    <row r="368" spans="1:7" x14ac:dyDescent="0.25">
      <c r="A368" s="465" t="s">
        <v>78</v>
      </c>
      <c r="B368" s="465"/>
      <c r="C368" s="465"/>
      <c r="D368" s="465"/>
      <c r="E368" s="465"/>
      <c r="F368" s="465"/>
      <c r="G368" s="465"/>
    </row>
    <row r="369" spans="1:7" x14ac:dyDescent="0.25">
      <c r="A369" s="119"/>
      <c r="B369" s="119"/>
      <c r="C369" s="119"/>
      <c r="D369" s="119"/>
      <c r="E369" s="119"/>
      <c r="F369" s="119"/>
      <c r="G369" s="119"/>
    </row>
    <row r="370" spans="1:7" x14ac:dyDescent="0.25">
      <c r="A370" s="466" t="s">
        <v>44</v>
      </c>
      <c r="B370" s="466"/>
      <c r="C370" s="466"/>
      <c r="D370" s="466"/>
      <c r="E370" s="466"/>
      <c r="F370" s="60" t="s">
        <v>79</v>
      </c>
      <c r="G370" s="60" t="s">
        <v>48</v>
      </c>
    </row>
    <row r="371" spans="1:7" x14ac:dyDescent="0.25">
      <c r="A371" s="458" t="s">
        <v>80</v>
      </c>
      <c r="B371" s="458"/>
      <c r="C371" s="458"/>
      <c r="D371" s="458"/>
      <c r="E371" s="458"/>
      <c r="F371" s="61">
        <f ca="1">AU!$I$36</f>
        <v>0.191</v>
      </c>
      <c r="G371" s="62">
        <f ca="1">+IFERROR(G366*F371,"")</f>
        <v>145173.56100000002</v>
      </c>
    </row>
    <row r="372" spans="1:7" x14ac:dyDescent="0.25">
      <c r="A372" s="458" t="s">
        <v>81</v>
      </c>
      <c r="B372" s="458"/>
      <c r="C372" s="458"/>
      <c r="D372" s="458"/>
      <c r="E372" s="458"/>
      <c r="F372" s="61" t="e">
        <f>IF(AU!#REF!=0,"",AU!#REF!)</f>
        <v>#REF!</v>
      </c>
      <c r="G372" s="62" t="str">
        <f>+IFERROR(G366*F372,"")</f>
        <v/>
      </c>
    </row>
    <row r="373" spans="1:7" x14ac:dyDescent="0.25">
      <c r="A373" s="458" t="s">
        <v>82</v>
      </c>
      <c r="B373" s="458"/>
      <c r="C373" s="458"/>
      <c r="D373" s="458"/>
      <c r="E373" s="458"/>
      <c r="F373" s="61">
        <f>IF(AU!$I$37=0,"",AU!$I$37)</f>
        <v>5.131865E-2</v>
      </c>
      <c r="G373" s="62">
        <f>+IFERROR(G366*F373,"")</f>
        <v>39005.817624149997</v>
      </c>
    </row>
    <row r="374" spans="1:7" x14ac:dyDescent="0.25">
      <c r="A374" s="459" t="s">
        <v>83</v>
      </c>
      <c r="B374" s="460"/>
      <c r="C374" s="460"/>
      <c r="D374" s="460"/>
      <c r="E374" s="460"/>
      <c r="F374" s="63" t="e">
        <f ca="1">IF(SUM(F371:F373)=0,"",SUM(F371:F373))</f>
        <v>#REF!</v>
      </c>
      <c r="G374" s="64">
        <f ca="1">IF(SUM(G371:G373)=0,"",ROUND(SUM(G371:G373),0))</f>
        <v>184179</v>
      </c>
    </row>
    <row r="375" spans="1:7" x14ac:dyDescent="0.25">
      <c r="A375" s="56"/>
      <c r="B375" s="34"/>
      <c r="C375" s="34"/>
      <c r="D375" s="34"/>
      <c r="E375" s="461"/>
      <c r="F375" s="461"/>
      <c r="G375" s="65"/>
    </row>
    <row r="376" spans="1:7" x14ac:dyDescent="0.25">
      <c r="A376" s="456" t="s">
        <v>84</v>
      </c>
      <c r="B376" s="457"/>
      <c r="C376" s="457"/>
      <c r="D376" s="457"/>
      <c r="E376" s="457"/>
      <c r="F376" s="457"/>
      <c r="G376" s="66">
        <f ca="1">+IFERROR(ROUND(G366+G374,0),"")</f>
        <v>944250</v>
      </c>
    </row>
    <row r="377" spans="1:7" x14ac:dyDescent="0.25">
      <c r="A377" s="19"/>
      <c r="B377" s="19"/>
      <c r="C377" s="19"/>
      <c r="D377" s="19"/>
      <c r="E377" s="18"/>
      <c r="F377" s="18"/>
      <c r="G377" s="20"/>
    </row>
    <row r="378" spans="1:7" x14ac:dyDescent="0.25">
      <c r="A378" s="19"/>
      <c r="B378" s="185" t="s">
        <v>787</v>
      </c>
      <c r="C378" s="18"/>
      <c r="D378" s="18"/>
      <c r="E378" s="18"/>
      <c r="F378" s="18"/>
      <c r="G378" s="18"/>
    </row>
    <row r="379" spans="1:7" x14ac:dyDescent="0.25">
      <c r="A379" s="19"/>
      <c r="B379" s="185" t="s">
        <v>599</v>
      </c>
      <c r="C379" s="18"/>
      <c r="D379" s="18"/>
      <c r="E379" s="18"/>
      <c r="F379" s="18"/>
      <c r="G379" s="18"/>
    </row>
    <row r="380" spans="1:7" x14ac:dyDescent="0.25">
      <c r="A380" s="19"/>
      <c r="B380" s="185"/>
      <c r="C380" s="18"/>
      <c r="D380" s="67"/>
      <c r="E380" s="67"/>
      <c r="F380" s="67"/>
      <c r="G380" s="18"/>
    </row>
    <row r="381" spans="1:7" x14ac:dyDescent="0.25">
      <c r="A381" s="19"/>
      <c r="B381" s="185"/>
      <c r="C381" s="20"/>
      <c r="D381" s="365" t="s">
        <v>85</v>
      </c>
      <c r="E381" s="365"/>
      <c r="F381" s="365"/>
      <c r="G381" s="20"/>
    </row>
    <row r="383" spans="1:7" ht="18.75" x14ac:dyDescent="0.25">
      <c r="A383" s="376" t="str">
        <f>'DATOS INICIALES'!$B$1</f>
        <v>DEPARTAMENTO DE ANTIOQUIA</v>
      </c>
      <c r="B383" s="377"/>
      <c r="C383" s="377"/>
      <c r="D383" s="377"/>
      <c r="E383" s="377"/>
      <c r="F383" s="378" t="s">
        <v>51</v>
      </c>
      <c r="G383" s="378"/>
    </row>
    <row r="384" spans="1:7" ht="15.75" x14ac:dyDescent="0.25">
      <c r="A384" s="379" t="str">
        <f>'DATOS INICIALES'!$B$2</f>
        <v>MUNICIPIO DE DABEIBA</v>
      </c>
      <c r="B384" s="380"/>
      <c r="C384" s="380"/>
      <c r="D384" s="380"/>
      <c r="E384" s="380"/>
      <c r="F384" s="378"/>
      <c r="G384" s="378"/>
    </row>
    <row r="385" spans="1:7" x14ac:dyDescent="0.25">
      <c r="A385" s="481" t="str">
        <f>'DATOS INICIALES'!$B$3</f>
        <v>REPOSICIÓN, AMPLIACIÓN Y REPARACIÓN DE LUMINARIAS QUE HACEN PARTE DE LA RED DE ALUMBRADOPÚBLICO DEL PARQUE PRINCIPAL Y CORREGIMIENTO SAN JOSÉ DE URAMA DEL MUNICIPIO DE DABEIBA.</v>
      </c>
      <c r="B385" s="482"/>
      <c r="C385" s="482"/>
      <c r="D385" s="482"/>
      <c r="E385" s="482"/>
      <c r="F385" s="378"/>
      <c r="G385" s="378"/>
    </row>
    <row r="386" spans="1:7" x14ac:dyDescent="0.25">
      <c r="A386" s="383"/>
      <c r="B386" s="383"/>
      <c r="C386" s="383"/>
      <c r="D386" s="383"/>
      <c r="E386" s="388"/>
      <c r="F386" s="378"/>
      <c r="G386" s="378"/>
    </row>
    <row r="387" spans="1:7" x14ac:dyDescent="0.25">
      <c r="A387" s="384" t="s">
        <v>52</v>
      </c>
      <c r="B387" s="385"/>
      <c r="C387" s="385"/>
      <c r="D387" s="385"/>
      <c r="E387" s="385"/>
      <c r="F387" s="378"/>
      <c r="G387" s="378"/>
    </row>
    <row r="388" spans="1:7" x14ac:dyDescent="0.25">
      <c r="A388" s="383"/>
      <c r="B388" s="383"/>
      <c r="C388" s="383"/>
      <c r="D388" s="383"/>
      <c r="E388" s="383"/>
      <c r="F388" s="477"/>
      <c r="G388" s="477"/>
    </row>
    <row r="389" spans="1:7" x14ac:dyDescent="0.25">
      <c r="A389" s="21" t="s">
        <v>42</v>
      </c>
      <c r="B389" s="372" t="s">
        <v>44</v>
      </c>
      <c r="C389" s="373"/>
      <c r="D389" s="374"/>
      <c r="E389" s="22" t="s">
        <v>45</v>
      </c>
      <c r="F389" s="23" t="s">
        <v>46</v>
      </c>
      <c r="G389" s="23" t="s">
        <v>53</v>
      </c>
    </row>
    <row r="390" spans="1:7" x14ac:dyDescent="0.25">
      <c r="A390" s="24" t="s">
        <v>165</v>
      </c>
      <c r="B390" s="478" t="str">
        <f>+IFERROR(VLOOKUP($A390,INSUMOSMATERIALES,2,0),"")</f>
        <v>MORTERO 1:2 EN OBRA (GROUT)</v>
      </c>
      <c r="C390" s="479"/>
      <c r="D390" s="480"/>
      <c r="E390" s="82" t="str">
        <f>+IFERROR(VLOOKUP($A390,INSUMOSMATERIALES,3,0),"")</f>
        <v>M3</v>
      </c>
      <c r="F390" s="82" t="s">
        <v>460</v>
      </c>
      <c r="G390" s="153">
        <f ca="1">IF(G438=0,"",G428)</f>
        <v>1150221</v>
      </c>
    </row>
    <row r="391" spans="1:7" x14ac:dyDescent="0.25">
      <c r="A391" s="19"/>
      <c r="B391" s="19"/>
      <c r="C391" s="19"/>
      <c r="D391" s="19"/>
      <c r="E391" s="18"/>
      <c r="F391" s="18"/>
      <c r="G391" s="20"/>
    </row>
    <row r="392" spans="1:7" x14ac:dyDescent="0.25">
      <c r="A392" s="465" t="s">
        <v>54</v>
      </c>
      <c r="B392" s="465"/>
      <c r="C392" s="465"/>
      <c r="D392" s="465"/>
      <c r="E392" s="465"/>
      <c r="F392" s="465"/>
      <c r="G392" s="465"/>
    </row>
    <row r="393" spans="1:7" x14ac:dyDescent="0.25">
      <c r="A393" s="119"/>
      <c r="B393" s="119"/>
      <c r="C393" s="119"/>
      <c r="D393" s="119"/>
      <c r="E393" s="119"/>
      <c r="F393" s="119"/>
      <c r="G393" s="119"/>
    </row>
    <row r="394" spans="1:7" x14ac:dyDescent="0.25">
      <c r="A394" s="469" t="s">
        <v>55</v>
      </c>
      <c r="B394" s="469"/>
      <c r="C394" s="469"/>
      <c r="D394" s="469"/>
      <c r="E394" s="469"/>
      <c r="F394" s="469"/>
      <c r="G394" s="470"/>
    </row>
    <row r="395" spans="1:7" x14ac:dyDescent="0.25">
      <c r="A395" s="120" t="s">
        <v>56</v>
      </c>
      <c r="B395" s="471" t="s">
        <v>44</v>
      </c>
      <c r="C395" s="472"/>
      <c r="D395" s="120" t="s">
        <v>45</v>
      </c>
      <c r="E395" s="120" t="s">
        <v>57</v>
      </c>
      <c r="F395" s="120" t="s">
        <v>58</v>
      </c>
      <c r="G395" s="120" t="s">
        <v>59</v>
      </c>
    </row>
    <row r="396" spans="1:7" x14ac:dyDescent="0.25">
      <c r="A396" s="25" t="str">
        <f>IF(B396="","",INDEX(CODIGOEQUIPOS,MATCH($B396,'INSUMOS EQUIPOS'!$B$7:$B$39,0)))</f>
        <v>EQ004</v>
      </c>
      <c r="B396" s="473" t="s">
        <v>94</v>
      </c>
      <c r="C396" s="474"/>
      <c r="D396" s="26" t="str">
        <f>IF(B396="","",(VLOOKUP($A396,INSUMOSEQUIPOS,3,0)))</f>
        <v>DÍA</v>
      </c>
      <c r="E396" s="27">
        <f>IF(B396="","",(VLOOKUP($A396,INSUMOSEQUIPOS,4,0)))</f>
        <v>62000</v>
      </c>
      <c r="F396" s="28">
        <v>8</v>
      </c>
      <c r="G396" s="29">
        <f>+IFERROR(E396/F396,"")</f>
        <v>7750</v>
      </c>
    </row>
    <row r="397" spans="1:7" x14ac:dyDescent="0.25">
      <c r="A397" s="30" t="str">
        <f>+IF(G419="","","EQ001")</f>
        <v>EQ001</v>
      </c>
      <c r="B397" s="475" t="str">
        <f>+IF($A397="","",IFERROR(VLOOKUP($A397,INSUMOSEQUIPOS,2,0),""))</f>
        <v>HERRAMIENTA MENOR (5% DE LA MANO DE OBRA)</v>
      </c>
      <c r="C397" s="476"/>
      <c r="D397" s="26" t="str">
        <f>+IF($A397="","",IFERROR(VLOOKUP($A397,INSUMOSEQUIPOS,3,0),""))</f>
        <v>%</v>
      </c>
      <c r="E397" s="31">
        <f>+IF($A397="","",IFERROR(VLOOKUP($A397,INSUMOSEQUIPOS,4,0),""))</f>
        <v>0.05</v>
      </c>
      <c r="F397" s="32">
        <f>+IF(G419=0,"",G419)</f>
        <v>40267.5</v>
      </c>
      <c r="G397" s="29">
        <f>+IFERROR(E397*F397,"")</f>
        <v>2013.375</v>
      </c>
    </row>
    <row r="398" spans="1:7" x14ac:dyDescent="0.25">
      <c r="A398" s="33"/>
      <c r="B398" s="34"/>
      <c r="C398" s="119"/>
      <c r="D398" s="119"/>
      <c r="E398" s="35"/>
      <c r="F398" s="36" t="s">
        <v>62</v>
      </c>
      <c r="G398" s="37">
        <f>+IF(SUM(G396:G397)=0,"",SUM(G396:G397))</f>
        <v>9763.375</v>
      </c>
    </row>
    <row r="399" spans="1:7" x14ac:dyDescent="0.25">
      <c r="A399" s="34"/>
      <c r="B399" s="119"/>
      <c r="C399" s="119"/>
      <c r="D399" s="35"/>
      <c r="E399" s="38"/>
      <c r="F399" s="39"/>
      <c r="G399" s="33"/>
    </row>
    <row r="400" spans="1:7" x14ac:dyDescent="0.25">
      <c r="A400" s="465" t="s">
        <v>63</v>
      </c>
      <c r="B400" s="465"/>
      <c r="C400" s="465"/>
      <c r="D400" s="465"/>
      <c r="E400" s="465"/>
      <c r="F400" s="465"/>
      <c r="G400" s="467"/>
    </row>
    <row r="401" spans="1:7" x14ac:dyDescent="0.25">
      <c r="A401" s="120" t="s">
        <v>56</v>
      </c>
      <c r="B401" s="40" t="s">
        <v>44</v>
      </c>
      <c r="C401" s="41" t="s">
        <v>45</v>
      </c>
      <c r="D401" s="41" t="s">
        <v>46</v>
      </c>
      <c r="E401" s="41" t="s">
        <v>64</v>
      </c>
      <c r="F401" s="41" t="s">
        <v>65</v>
      </c>
      <c r="G401" s="41" t="s">
        <v>59</v>
      </c>
    </row>
    <row r="402" spans="1:7" ht="22.5" x14ac:dyDescent="0.25">
      <c r="A402" s="25" t="e">
        <f>IF(B402="","",INDEX(CODIGOMATERIALES,MATCH($B402,'INSUMOS MATERIALES'!$B$7:$B$51,0)))</f>
        <v>#N/A</v>
      </c>
      <c r="B402" s="42" t="s">
        <v>192</v>
      </c>
      <c r="C402" s="43" t="e">
        <f>IF(B402="","",(VLOOKUP($A402,INSUMOSMATERIALES,3,0)))</f>
        <v>#N/A</v>
      </c>
      <c r="D402" s="44">
        <v>10.199999999999999</v>
      </c>
      <c r="E402" s="45">
        <v>0.05</v>
      </c>
      <c r="F402" s="46" t="e">
        <f>IF(B402="","",(VLOOKUP($A402,INSUMOSMATERIALES,4,0)))</f>
        <v>#N/A</v>
      </c>
      <c r="G402" s="29" t="str">
        <f>+IFERROR(F402*D402*(1+E402),"")</f>
        <v/>
      </c>
    </row>
    <row r="403" spans="1:7" x14ac:dyDescent="0.25">
      <c r="A403" s="25" t="e">
        <f>IF(B403="","",INDEX(CODIGOMATERIALES,MATCH($B403,'INSUMOS MATERIALES'!$B$7:$B$51,0)))</f>
        <v>#N/A</v>
      </c>
      <c r="B403" s="42" t="s">
        <v>198</v>
      </c>
      <c r="C403" s="43" t="e">
        <f>IF(B403="","",(VLOOKUP($A403,INSUMOSMATERIALES,3,0)))</f>
        <v>#N/A</v>
      </c>
      <c r="D403" s="44">
        <v>0.97</v>
      </c>
      <c r="E403" s="45">
        <v>0.05</v>
      </c>
      <c r="F403" s="46" t="e">
        <f>IF(B403="","",(VLOOKUP($A403,INSUMOSMATERIALES,4,0)))</f>
        <v>#N/A</v>
      </c>
      <c r="G403" s="29" t="str">
        <f>+IFERROR(F403*D403*(1+E403),"")</f>
        <v/>
      </c>
    </row>
    <row r="404" spans="1:7" x14ac:dyDescent="0.25">
      <c r="A404" s="25" t="e">
        <f>IF(B404="","",INDEX(CODIGOMATERIALES,MATCH($B404,'INSUMOS MATERIALES'!$B$7:$B$51,0)))</f>
        <v>#N/A</v>
      </c>
      <c r="B404" s="42" t="s">
        <v>201</v>
      </c>
      <c r="C404" s="43" t="e">
        <f>IF(B404="","",(VLOOKUP($A404,INSUMOSMATERIALES,3,0)))</f>
        <v>#N/A</v>
      </c>
      <c r="D404" s="44">
        <v>180</v>
      </c>
      <c r="E404" s="45">
        <v>0.1</v>
      </c>
      <c r="F404" s="46" t="e">
        <f>IF(B404="","",(VLOOKUP($A404,INSUMOSMATERIALES,4,0)))</f>
        <v>#N/A</v>
      </c>
      <c r="G404" s="29" t="str">
        <f>+IFERROR(F404*D404*(1+E404),"")</f>
        <v/>
      </c>
    </row>
    <row r="405" spans="1:7" x14ac:dyDescent="0.25">
      <c r="A405" s="33"/>
      <c r="B405" s="47"/>
      <c r="C405" s="119"/>
      <c r="D405" s="119"/>
      <c r="E405" s="35"/>
      <c r="F405" s="36" t="s">
        <v>62</v>
      </c>
      <c r="G405" s="37" t="str">
        <f>+IF(SUM(G402:G404)=0,"",SUM(G402:G404))</f>
        <v/>
      </c>
    </row>
    <row r="406" spans="1:7" x14ac:dyDescent="0.25">
      <c r="A406" s="34"/>
      <c r="B406" s="119"/>
      <c r="C406" s="119"/>
      <c r="D406" s="35"/>
      <c r="E406" s="48"/>
      <c r="F406" s="39"/>
      <c r="G406" s="33"/>
    </row>
    <row r="407" spans="1:7" x14ac:dyDescent="0.25">
      <c r="A407" s="465" t="s">
        <v>66</v>
      </c>
      <c r="B407" s="465"/>
      <c r="C407" s="465"/>
      <c r="D407" s="465"/>
      <c r="E407" s="465"/>
      <c r="F407" s="465"/>
      <c r="G407" s="465"/>
    </row>
    <row r="408" spans="1:7" x14ac:dyDescent="0.25">
      <c r="A408" s="120" t="s">
        <v>56</v>
      </c>
      <c r="B408" s="120" t="s">
        <v>44</v>
      </c>
      <c r="C408" s="120" t="s">
        <v>67</v>
      </c>
      <c r="D408" s="120" t="s">
        <v>68</v>
      </c>
      <c r="E408" s="41" t="s">
        <v>69</v>
      </c>
      <c r="F408" s="41" t="s">
        <v>57</v>
      </c>
      <c r="G408" s="41" t="s">
        <v>59</v>
      </c>
    </row>
    <row r="409" spans="1:7" ht="33" customHeight="1" x14ac:dyDescent="0.25">
      <c r="A409" s="25" t="str">
        <f>IF(B409="","",INDEX(CODIGOTRANSPORTES,MATCH(B409,'INSUMOS TRANSPORTES'!$B$7:$B$13,0)))</f>
        <v>TR002</v>
      </c>
      <c r="B409" s="42" t="s">
        <v>555</v>
      </c>
      <c r="C409" s="49" t="s">
        <v>461</v>
      </c>
      <c r="D409" s="44">
        <f>D403</f>
        <v>0.97</v>
      </c>
      <c r="E409" s="50">
        <f>+IF(C409=0,"",IF(C409="INSUMOS",'DATOS INICIALES'!$B$24,IF(C409="PLAYA",'DATOS INICIALES'!$B$21,IF(C409="TIERRA",'DATOS INICIALES'!$B$19,IF(C409="ESCOMBROS",'DATOS INICIALES'!$B$20,IF(C409="ASFALTO",'DATOS INICIALES'!$B$25,IF(C409="GRANULAR",'DATOS INICIALES'!B418)))))))</f>
        <v>120</v>
      </c>
      <c r="F409" s="27">
        <f>+IF(B409="","",(VLOOKUP($A409,INSUMOSTRANSPORTES,4,0)))</f>
        <v>6100</v>
      </c>
      <c r="G409" s="29">
        <f>+IFERROR(D409*E409*F409,"")</f>
        <v>710040</v>
      </c>
    </row>
    <row r="410" spans="1:7" ht="22.5" x14ac:dyDescent="0.25">
      <c r="A410" s="25" t="str">
        <f>IF(B410="","",INDEX(CODIGOTRANSPORTES,MATCH(B410,'INSUMOS TRANSPORTES'!$B$7:$B$26,0)))</f>
        <v>TR007</v>
      </c>
      <c r="B410" s="42" t="s">
        <v>463</v>
      </c>
      <c r="C410" s="49" t="s">
        <v>462</v>
      </c>
      <c r="D410" s="44">
        <f>(50*D402)/1000</f>
        <v>0.5099999999999999</v>
      </c>
      <c r="E410" s="50">
        <f>+IF(C410=0,"",IF(C410="INSUMOS",'DATOS INICIALES'!$B$24,IF(C410="PLAYA",'DATOS INICIALES'!$B$21,IF(C410="TIERRA",'DATOS INICIALES'!$B$19,IF(C410="ESCOMBROS",'DATOS INICIALES'!$B$20,IF(C410="ASFALTO",'DATOS INICIALES'!$B$25,IF(C410="GRANULAR",'DATOS INICIALES'!B419)))))))</f>
        <v>180</v>
      </c>
      <c r="F410" s="27">
        <f>+IF(B410="","",(VLOOKUP($A410,INSUMOSTRANSPORTES,4,0)))</f>
        <v>4250</v>
      </c>
      <c r="G410" s="29">
        <f>+IFERROR(D410*E410*F410,"")</f>
        <v>390149.99999999994</v>
      </c>
    </row>
    <row r="411" spans="1:7" x14ac:dyDescent="0.25">
      <c r="A411" s="33"/>
      <c r="B411" s="51"/>
      <c r="C411" s="119"/>
      <c r="D411" s="119"/>
      <c r="E411" s="35"/>
      <c r="F411" s="36" t="s">
        <v>62</v>
      </c>
      <c r="G411" s="37">
        <f>+IF(SUM(G409:G410)=0,"",SUM(G409:G410))</f>
        <v>1100190</v>
      </c>
    </row>
    <row r="412" spans="1:7" x14ac:dyDescent="0.25">
      <c r="A412" s="119"/>
      <c r="B412" s="119"/>
      <c r="C412" s="119"/>
      <c r="D412" s="35"/>
      <c r="E412" s="48"/>
      <c r="F412" s="39"/>
      <c r="G412" s="33"/>
    </row>
    <row r="413" spans="1:7" x14ac:dyDescent="0.25">
      <c r="A413" s="465" t="s">
        <v>70</v>
      </c>
      <c r="B413" s="465"/>
      <c r="C413" s="465"/>
      <c r="D413" s="465"/>
      <c r="E413" s="465"/>
      <c r="F413" s="465"/>
      <c r="G413" s="467"/>
    </row>
    <row r="414" spans="1:7" x14ac:dyDescent="0.25">
      <c r="A414" s="120" t="s">
        <v>56</v>
      </c>
      <c r="B414" s="468" t="s">
        <v>71</v>
      </c>
      <c r="C414" s="468"/>
      <c r="D414" s="41" t="s">
        <v>46</v>
      </c>
      <c r="E414" s="41" t="s">
        <v>72</v>
      </c>
      <c r="F414" s="41" t="s">
        <v>58</v>
      </c>
      <c r="G414" s="41" t="s">
        <v>59</v>
      </c>
    </row>
    <row r="415" spans="1:7" x14ac:dyDescent="0.25">
      <c r="A415" s="25" t="str">
        <f>IF(B415="","",INDEX(CODIGOSMANODEOBRA,MATCH($B415,'INSUMOS MANO DE OBRA'!$B$7:$B$61,0)))</f>
        <v>MO033</v>
      </c>
      <c r="B415" s="462" t="s">
        <v>360</v>
      </c>
      <c r="C415" s="463"/>
      <c r="D415" s="52">
        <v>1</v>
      </c>
      <c r="E415" s="46">
        <f>IF(B415="","",(VLOOKUP($A415,INSUMOSMANODEOBRA,8,0)))</f>
        <v>94854</v>
      </c>
      <c r="F415" s="44">
        <v>8</v>
      </c>
      <c r="G415" s="53">
        <f>+IFERROR(D415*E415/F415,"")</f>
        <v>11856.75</v>
      </c>
    </row>
    <row r="416" spans="1:7" x14ac:dyDescent="0.25">
      <c r="A416" s="25" t="str">
        <f>IF(B416="","",INDEX(CODIGOSMANODEOBRA,MATCH($B416,'INSUMOS MANO DE OBRA'!$B$7:$B$61,0)))</f>
        <v>MO032</v>
      </c>
      <c r="B416" s="462" t="s">
        <v>359</v>
      </c>
      <c r="C416" s="463"/>
      <c r="D416" s="52">
        <v>3</v>
      </c>
      <c r="E416" s="46">
        <f>IF(B416="","",(VLOOKUP($A416,INSUMOSMANODEOBRA,8,0)))</f>
        <v>75762</v>
      </c>
      <c r="F416" s="44">
        <v>8</v>
      </c>
      <c r="G416" s="53">
        <f>+IFERROR(D416*E416/F416,"")</f>
        <v>28410.75</v>
      </c>
    </row>
    <row r="417" spans="1:7" x14ac:dyDescent="0.25">
      <c r="A417" s="25"/>
      <c r="B417" s="462"/>
      <c r="C417" s="463"/>
      <c r="D417" s="52"/>
      <c r="E417" s="46"/>
      <c r="F417" s="54"/>
      <c r="G417" s="53" t="str">
        <f>+IFERROR(D417*E417/F417,"")</f>
        <v/>
      </c>
    </row>
    <row r="418" spans="1:7" x14ac:dyDescent="0.25">
      <c r="A418" s="25" t="str">
        <f>IF(B418="","",INDEX(CÓDIGOS_MANO_DE_OBRA,MATCH($B418,'[7]INSUMOS MANO DE OBRA'!$B$8:$B$63,0)))</f>
        <v/>
      </c>
      <c r="B418" s="462"/>
      <c r="C418" s="463"/>
      <c r="D418" s="52"/>
      <c r="E418" s="46" t="str">
        <f>+IF(B418="","",(VLOOKUP($A418,INSUMOS_MANO_DE_OBRA,8,0)))</f>
        <v/>
      </c>
      <c r="F418" s="54" t="str">
        <f>+IF(A418="","",IF(A418=0,"",IF(F417="","",F417)))</f>
        <v/>
      </c>
      <c r="G418" s="53" t="str">
        <f>+IFERROR(D418*E418/F418,"")</f>
        <v/>
      </c>
    </row>
    <row r="419" spans="1:7" x14ac:dyDescent="0.25">
      <c r="A419" s="33"/>
      <c r="B419" s="34"/>
      <c r="C419" s="119"/>
      <c r="D419" s="119"/>
      <c r="E419" s="35"/>
      <c r="F419" s="36" t="s">
        <v>62</v>
      </c>
      <c r="G419" s="37">
        <f>+IF(SUM(G415:G418)=0,"",SUM(G415:G418))</f>
        <v>40267.5</v>
      </c>
    </row>
    <row r="420" spans="1:7" x14ac:dyDescent="0.25">
      <c r="A420" s="121"/>
      <c r="B420" s="119"/>
      <c r="C420" s="55"/>
      <c r="D420" s="55"/>
      <c r="E420" s="55"/>
      <c r="F420" s="39"/>
      <c r="G420" s="56"/>
    </row>
    <row r="421" spans="1:7" x14ac:dyDescent="0.25">
      <c r="A421" s="465" t="s">
        <v>76</v>
      </c>
      <c r="B421" s="465"/>
      <c r="C421" s="465"/>
      <c r="D421" s="465"/>
      <c r="E421" s="465"/>
      <c r="F421" s="465"/>
      <c r="G421" s="467"/>
    </row>
    <row r="422" spans="1:7" x14ac:dyDescent="0.25">
      <c r="A422" s="120" t="s">
        <v>56</v>
      </c>
      <c r="B422" s="468" t="s">
        <v>44</v>
      </c>
      <c r="C422" s="468"/>
      <c r="D422" s="120" t="s">
        <v>45</v>
      </c>
      <c r="E422" s="120" t="s">
        <v>46</v>
      </c>
      <c r="F422" s="120" t="s">
        <v>65</v>
      </c>
      <c r="G422" s="120" t="s">
        <v>59</v>
      </c>
    </row>
    <row r="423" spans="1:7" x14ac:dyDescent="0.25">
      <c r="A423" s="25" t="str">
        <f>IF(B423="","",INDEX(CODIGOSSERVICIOS,MATCH($B423,'INSUMOS SERVICIOS'!$B$7:$B$21,0)))</f>
        <v/>
      </c>
      <c r="B423" s="462"/>
      <c r="C423" s="463"/>
      <c r="D423" s="43" t="str">
        <f>+IF(B423="","",(VLOOKUP($A423,INSUMOSSERVICIOS,3,0)))</f>
        <v/>
      </c>
      <c r="E423" s="57"/>
      <c r="F423" s="46" t="str">
        <f>IF(B423="","",(VLOOKUP($A423,INSUMOSSERVICIOS,4,0)))</f>
        <v/>
      </c>
      <c r="G423" s="29" t="str">
        <f>+IFERROR(E423*F423,"")</f>
        <v/>
      </c>
    </row>
    <row r="424" spans="1:7" x14ac:dyDescent="0.25">
      <c r="A424" s="25" t="str">
        <f>IF(B424="","",INDEX(CODIGOSSERVICIOS,MATCH($B424,'INSUMOS SERVICIOS'!$B$7:$B$21,0)))</f>
        <v/>
      </c>
      <c r="B424" s="462"/>
      <c r="C424" s="463"/>
      <c r="D424" s="43" t="str">
        <f>+IF(B424="","",(VLOOKUP($A424,INSUMOSSERVICIOS,3,0)))</f>
        <v/>
      </c>
      <c r="E424" s="57"/>
      <c r="F424" s="46" t="str">
        <f>IF(B424="","",(VLOOKUP($A424,INSUMOSSERVICIOS,4,0)))</f>
        <v/>
      </c>
      <c r="G424" s="29" t="str">
        <f>+IFERROR(E424*F424,"")</f>
        <v/>
      </c>
    </row>
    <row r="425" spans="1:7" x14ac:dyDescent="0.25">
      <c r="A425" s="25" t="str">
        <f>IF(B425="","",INDEX(CÓDIGOS_SERVICIOS,MATCH($B425,'[7]INSUMOS SERVICIOS'!$B$8:$B$51,0)))</f>
        <v/>
      </c>
      <c r="B425" s="462"/>
      <c r="C425" s="463"/>
      <c r="D425" s="43" t="str">
        <f>+IF(B425="","",(VLOOKUP($A425,INSUMOS_SERVICIOS,3,0)))</f>
        <v/>
      </c>
      <c r="E425" s="57"/>
      <c r="F425" s="46" t="str">
        <f>IF(B425="","",(VLOOKUP($A425,INSUMOS_SERVICIOS,4,0)))</f>
        <v/>
      </c>
      <c r="G425" s="29" t="str">
        <f>+IFERROR(E425*F425,"")</f>
        <v/>
      </c>
    </row>
    <row r="426" spans="1:7" x14ac:dyDescent="0.25">
      <c r="A426" s="33"/>
      <c r="B426" s="34"/>
      <c r="C426" s="119"/>
      <c r="D426" s="119"/>
      <c r="E426" s="35"/>
      <c r="F426" s="58" t="s">
        <v>62</v>
      </c>
      <c r="G426" s="37" t="str">
        <f>+IF(SUM(G423:G425)=0,"",SUM(G423:G425))</f>
        <v/>
      </c>
    </row>
    <row r="427" spans="1:7" x14ac:dyDescent="0.25">
      <c r="A427" s="121"/>
      <c r="B427" s="119"/>
      <c r="C427" s="55"/>
      <c r="D427" s="55"/>
      <c r="E427" s="55"/>
      <c r="F427" s="39"/>
      <c r="G427" s="56"/>
    </row>
    <row r="428" spans="1:7" x14ac:dyDescent="0.25">
      <c r="A428" s="464" t="s">
        <v>77</v>
      </c>
      <c r="B428" s="464"/>
      <c r="C428" s="464"/>
      <c r="D428" s="464"/>
      <c r="E428" s="464"/>
      <c r="F428" s="464"/>
      <c r="G428" s="59">
        <f>IF(SUM(G398,G405,G411,G419,G426)=0,"",(ROUND(SUM(G398,G405,G411,G419,G426),0)))</f>
        <v>1150221</v>
      </c>
    </row>
    <row r="429" spans="1:7" x14ac:dyDescent="0.25">
      <c r="A429" s="56"/>
      <c r="B429" s="48"/>
      <c r="C429" s="48"/>
      <c r="D429" s="48"/>
      <c r="E429" s="48"/>
      <c r="F429" s="48"/>
      <c r="G429" s="39"/>
    </row>
    <row r="430" spans="1:7" x14ac:dyDescent="0.25">
      <c r="A430" s="465" t="s">
        <v>78</v>
      </c>
      <c r="B430" s="465"/>
      <c r="C430" s="465"/>
      <c r="D430" s="465"/>
      <c r="E430" s="465"/>
      <c r="F430" s="465"/>
      <c r="G430" s="465"/>
    </row>
    <row r="431" spans="1:7" x14ac:dyDescent="0.25">
      <c r="A431" s="119"/>
      <c r="B431" s="119"/>
      <c r="C431" s="119"/>
      <c r="D431" s="119"/>
      <c r="E431" s="119"/>
      <c r="F431" s="119"/>
      <c r="G431" s="119"/>
    </row>
    <row r="432" spans="1:7" x14ac:dyDescent="0.25">
      <c r="A432" s="466" t="s">
        <v>44</v>
      </c>
      <c r="B432" s="466"/>
      <c r="C432" s="466"/>
      <c r="D432" s="466"/>
      <c r="E432" s="466"/>
      <c r="F432" s="60" t="s">
        <v>79</v>
      </c>
      <c r="G432" s="60" t="s">
        <v>48</v>
      </c>
    </row>
    <row r="433" spans="1:7" x14ac:dyDescent="0.25">
      <c r="A433" s="458" t="s">
        <v>80</v>
      </c>
      <c r="B433" s="458"/>
      <c r="C433" s="458"/>
      <c r="D433" s="458"/>
      <c r="E433" s="458"/>
      <c r="F433" s="61">
        <f ca="1">AU!$I$36</f>
        <v>0.191</v>
      </c>
      <c r="G433" s="62">
        <f ca="1">+IFERROR(G428*F433,"")</f>
        <v>219692.21100000001</v>
      </c>
    </row>
    <row r="434" spans="1:7" x14ac:dyDescent="0.25">
      <c r="A434" s="458" t="s">
        <v>81</v>
      </c>
      <c r="B434" s="458"/>
      <c r="C434" s="458"/>
      <c r="D434" s="458"/>
      <c r="E434" s="458"/>
      <c r="F434" s="61" t="e">
        <f>IF(AU!#REF!=0,"",AU!#REF!)</f>
        <v>#REF!</v>
      </c>
      <c r="G434" s="62" t="str">
        <f>+IFERROR(G428*F434,"")</f>
        <v/>
      </c>
    </row>
    <row r="435" spans="1:7" x14ac:dyDescent="0.25">
      <c r="A435" s="458" t="s">
        <v>82</v>
      </c>
      <c r="B435" s="458"/>
      <c r="C435" s="458"/>
      <c r="D435" s="458"/>
      <c r="E435" s="458"/>
      <c r="F435" s="61">
        <f>IF(AU!$I$37=0,"",AU!$I$37)</f>
        <v>5.131865E-2</v>
      </c>
      <c r="G435" s="62">
        <f>+IFERROR(G428*F435,"")</f>
        <v>59027.788921649997</v>
      </c>
    </row>
    <row r="436" spans="1:7" x14ac:dyDescent="0.25">
      <c r="A436" s="459" t="s">
        <v>83</v>
      </c>
      <c r="B436" s="460"/>
      <c r="C436" s="460"/>
      <c r="D436" s="460"/>
      <c r="E436" s="460"/>
      <c r="F436" s="63" t="e">
        <f ca="1">IF(SUM(F433:F435)=0,"",SUM(F433:F435))</f>
        <v>#REF!</v>
      </c>
      <c r="G436" s="64">
        <f ca="1">IF(SUM(G433:G435)=0,"",ROUND(SUM(G433:G435),0))</f>
        <v>278720</v>
      </c>
    </row>
    <row r="437" spans="1:7" x14ac:dyDescent="0.25">
      <c r="A437" s="56"/>
      <c r="B437" s="34"/>
      <c r="C437" s="34"/>
      <c r="D437" s="34"/>
      <c r="E437" s="461"/>
      <c r="F437" s="461"/>
      <c r="G437" s="65"/>
    </row>
    <row r="438" spans="1:7" x14ac:dyDescent="0.25">
      <c r="A438" s="456" t="s">
        <v>84</v>
      </c>
      <c r="B438" s="457"/>
      <c r="C438" s="457"/>
      <c r="D438" s="457"/>
      <c r="E438" s="457"/>
      <c r="F438" s="457"/>
      <c r="G438" s="66">
        <f ca="1">+IFERROR(ROUND(G428+G436,0),"")</f>
        <v>1428941</v>
      </c>
    </row>
    <row r="439" spans="1:7" x14ac:dyDescent="0.25">
      <c r="A439" s="19"/>
      <c r="B439" s="19"/>
      <c r="C439" s="19"/>
      <c r="D439" s="19"/>
      <c r="E439" s="18"/>
      <c r="F439" s="18"/>
      <c r="G439" s="20"/>
    </row>
    <row r="440" spans="1:7" x14ac:dyDescent="0.25">
      <c r="A440" s="19"/>
      <c r="B440" s="185" t="s">
        <v>787</v>
      </c>
      <c r="C440" s="18"/>
      <c r="D440" s="18"/>
      <c r="E440" s="18"/>
      <c r="F440" s="18"/>
      <c r="G440" s="18"/>
    </row>
    <row r="441" spans="1:7" x14ac:dyDescent="0.25">
      <c r="A441" s="19"/>
      <c r="B441" s="185" t="s">
        <v>599</v>
      </c>
      <c r="C441" s="18"/>
      <c r="D441" s="18"/>
      <c r="E441" s="18"/>
      <c r="F441" s="18"/>
      <c r="G441" s="18"/>
    </row>
    <row r="442" spans="1:7" x14ac:dyDescent="0.25">
      <c r="A442" s="19"/>
      <c r="B442" s="185"/>
      <c r="C442" s="18"/>
      <c r="D442" s="67"/>
      <c r="E442" s="67"/>
      <c r="F442" s="67"/>
      <c r="G442" s="18"/>
    </row>
    <row r="443" spans="1:7" x14ac:dyDescent="0.25">
      <c r="A443" s="19"/>
      <c r="B443" s="185"/>
      <c r="C443" s="20"/>
      <c r="D443" s="365" t="s">
        <v>85</v>
      </c>
      <c r="E443" s="365"/>
      <c r="F443" s="365"/>
      <c r="G443" s="20"/>
    </row>
    <row r="445" spans="1:7" ht="18.75" x14ac:dyDescent="0.25">
      <c r="A445" s="376" t="str">
        <f>'DATOS INICIALES'!$B$1</f>
        <v>DEPARTAMENTO DE ANTIOQUIA</v>
      </c>
      <c r="B445" s="377"/>
      <c r="C445" s="377"/>
      <c r="D445" s="377"/>
      <c r="E445" s="377"/>
      <c r="F445" s="378" t="s">
        <v>51</v>
      </c>
      <c r="G445" s="378"/>
    </row>
    <row r="446" spans="1:7" ht="15.75" x14ac:dyDescent="0.25">
      <c r="A446" s="379" t="str">
        <f>'DATOS INICIALES'!$B$2</f>
        <v>MUNICIPIO DE DABEIBA</v>
      </c>
      <c r="B446" s="380"/>
      <c r="C446" s="380"/>
      <c r="D446" s="380"/>
      <c r="E446" s="380"/>
      <c r="F446" s="378"/>
      <c r="G446" s="378"/>
    </row>
    <row r="447" spans="1:7" x14ac:dyDescent="0.25">
      <c r="A447" s="481" t="str">
        <f>'DATOS INICIALES'!$B$3</f>
        <v>REPOSICIÓN, AMPLIACIÓN Y REPARACIÓN DE LUMINARIAS QUE HACEN PARTE DE LA RED DE ALUMBRADOPÚBLICO DEL PARQUE PRINCIPAL Y CORREGIMIENTO SAN JOSÉ DE URAMA DEL MUNICIPIO DE DABEIBA.</v>
      </c>
      <c r="B447" s="482"/>
      <c r="C447" s="482"/>
      <c r="D447" s="482"/>
      <c r="E447" s="482"/>
      <c r="F447" s="378"/>
      <c r="G447" s="378"/>
    </row>
    <row r="448" spans="1:7" x14ac:dyDescent="0.25">
      <c r="A448" s="383"/>
      <c r="B448" s="383"/>
      <c r="C448" s="383"/>
      <c r="D448" s="383"/>
      <c r="E448" s="388"/>
      <c r="F448" s="378"/>
      <c r="G448" s="378"/>
    </row>
    <row r="449" spans="1:7" x14ac:dyDescent="0.25">
      <c r="A449" s="384" t="s">
        <v>52</v>
      </c>
      <c r="B449" s="385"/>
      <c r="C449" s="385"/>
      <c r="D449" s="385"/>
      <c r="E449" s="385"/>
      <c r="F449" s="378"/>
      <c r="G449" s="378"/>
    </row>
    <row r="450" spans="1:7" x14ac:dyDescent="0.25">
      <c r="A450" s="383"/>
      <c r="B450" s="383"/>
      <c r="C450" s="383"/>
      <c r="D450" s="383"/>
      <c r="E450" s="383"/>
      <c r="F450" s="477"/>
      <c r="G450" s="477"/>
    </row>
    <row r="451" spans="1:7" x14ac:dyDescent="0.25">
      <c r="A451" s="21" t="s">
        <v>42</v>
      </c>
      <c r="B451" s="372" t="s">
        <v>44</v>
      </c>
      <c r="C451" s="373"/>
      <c r="D451" s="374"/>
      <c r="E451" s="22" t="s">
        <v>45</v>
      </c>
      <c r="F451" s="23" t="s">
        <v>46</v>
      </c>
      <c r="G451" s="23" t="s">
        <v>53</v>
      </c>
    </row>
    <row r="452" spans="1:7" x14ac:dyDescent="0.25">
      <c r="A452" s="24" t="s">
        <v>167</v>
      </c>
      <c r="B452" s="478" t="str">
        <f>+IFERROR(VLOOKUP($A452,INSUMOSMATERIALES,2,0),"")</f>
        <v>MORTERO 1:3 EN OBRA (REVOQUE)</v>
      </c>
      <c r="C452" s="479"/>
      <c r="D452" s="480"/>
      <c r="E452" s="82" t="str">
        <f>+IFERROR(VLOOKUP($A452,INSUMOSMATERIALES,3,0),"")</f>
        <v>M3</v>
      </c>
      <c r="F452" s="82" t="s">
        <v>460</v>
      </c>
      <c r="G452" s="153">
        <f ca="1">IF(G500=0,"",G490)</f>
        <v>1235115</v>
      </c>
    </row>
    <row r="453" spans="1:7" x14ac:dyDescent="0.25">
      <c r="A453" s="19"/>
      <c r="B453" s="19"/>
      <c r="C453" s="19"/>
      <c r="D453" s="19"/>
      <c r="E453" s="18"/>
      <c r="F453" s="18"/>
      <c r="G453" s="20"/>
    </row>
    <row r="454" spans="1:7" x14ac:dyDescent="0.25">
      <c r="A454" s="465" t="s">
        <v>54</v>
      </c>
      <c r="B454" s="465"/>
      <c r="C454" s="465"/>
      <c r="D454" s="465"/>
      <c r="E454" s="465"/>
      <c r="F454" s="465"/>
      <c r="G454" s="465"/>
    </row>
    <row r="455" spans="1:7" x14ac:dyDescent="0.25">
      <c r="A455" s="119"/>
      <c r="B455" s="119"/>
      <c r="C455" s="119"/>
      <c r="D455" s="119"/>
      <c r="E455" s="119"/>
      <c r="F455" s="119"/>
      <c r="G455" s="119"/>
    </row>
    <row r="456" spans="1:7" x14ac:dyDescent="0.25">
      <c r="A456" s="469" t="s">
        <v>55</v>
      </c>
      <c r="B456" s="469"/>
      <c r="C456" s="469"/>
      <c r="D456" s="469"/>
      <c r="E456" s="469"/>
      <c r="F456" s="469"/>
      <c r="G456" s="470"/>
    </row>
    <row r="457" spans="1:7" x14ac:dyDescent="0.25">
      <c r="A457" s="120" t="s">
        <v>56</v>
      </c>
      <c r="B457" s="471" t="s">
        <v>44</v>
      </c>
      <c r="C457" s="472"/>
      <c r="D457" s="120" t="s">
        <v>45</v>
      </c>
      <c r="E457" s="120" t="s">
        <v>57</v>
      </c>
      <c r="F457" s="120" t="s">
        <v>58</v>
      </c>
      <c r="G457" s="120" t="s">
        <v>59</v>
      </c>
    </row>
    <row r="458" spans="1:7" x14ac:dyDescent="0.25">
      <c r="A458" s="25" t="str">
        <f>IF(B458="","",INDEX(CODIGOEQUIPOS,MATCH($B458,'INSUMOS EQUIPOS'!$B$7:$B$39,0)))</f>
        <v>EQ004</v>
      </c>
      <c r="B458" s="473" t="s">
        <v>94</v>
      </c>
      <c r="C458" s="474"/>
      <c r="D458" s="26" t="str">
        <f>IF(B458="","",(VLOOKUP($A458,INSUMOSEQUIPOS,3,0)))</f>
        <v>DÍA</v>
      </c>
      <c r="E458" s="27">
        <f>IF(B458="","",(VLOOKUP($A458,INSUMOSEQUIPOS,4,0)))</f>
        <v>62000</v>
      </c>
      <c r="F458" s="28">
        <v>8</v>
      </c>
      <c r="G458" s="29">
        <f>+IFERROR(E458/F458,"")</f>
        <v>7750</v>
      </c>
    </row>
    <row r="459" spans="1:7" x14ac:dyDescent="0.25">
      <c r="A459" s="30" t="str">
        <f>+IF(G481="","","EQ001")</f>
        <v>EQ001</v>
      </c>
      <c r="B459" s="475" t="str">
        <f>+IF($A459="","",IFERROR(VLOOKUP($A459,INSUMOSEQUIPOS,2,0),""))</f>
        <v>HERRAMIENTA MENOR (5% DE LA MANO DE OBRA)</v>
      </c>
      <c r="C459" s="476"/>
      <c r="D459" s="26" t="str">
        <f>+IF($A459="","",IFERROR(VLOOKUP($A459,INSUMOSEQUIPOS,3,0),""))</f>
        <v>%</v>
      </c>
      <c r="E459" s="31">
        <f>+IF($A459="","",IFERROR(VLOOKUP($A459,INSUMOSEQUIPOS,4,0),""))</f>
        <v>0.05</v>
      </c>
      <c r="F459" s="32">
        <f>+IF(G481=0,"",G481)</f>
        <v>40267.5</v>
      </c>
      <c r="G459" s="29">
        <f>+IFERROR(E459*F459,"")</f>
        <v>2013.375</v>
      </c>
    </row>
    <row r="460" spans="1:7" x14ac:dyDescent="0.25">
      <c r="A460" s="33"/>
      <c r="B460" s="34"/>
      <c r="C460" s="119"/>
      <c r="D460" s="119"/>
      <c r="E460" s="35"/>
      <c r="F460" s="36" t="s">
        <v>62</v>
      </c>
      <c r="G460" s="37">
        <f>+IF(SUM(G458:G459)=0,"",SUM(G458:G459))</f>
        <v>9763.375</v>
      </c>
    </row>
    <row r="461" spans="1:7" x14ac:dyDescent="0.25">
      <c r="A461" s="34"/>
      <c r="B461" s="119"/>
      <c r="C461" s="119"/>
      <c r="D461" s="35"/>
      <c r="E461" s="38"/>
      <c r="F461" s="39"/>
      <c r="G461" s="33"/>
    </row>
    <row r="462" spans="1:7" x14ac:dyDescent="0.25">
      <c r="A462" s="465" t="s">
        <v>63</v>
      </c>
      <c r="B462" s="465"/>
      <c r="C462" s="465"/>
      <c r="D462" s="465"/>
      <c r="E462" s="465"/>
      <c r="F462" s="465"/>
      <c r="G462" s="467"/>
    </row>
    <row r="463" spans="1:7" x14ac:dyDescent="0.25">
      <c r="A463" s="120" t="s">
        <v>56</v>
      </c>
      <c r="B463" s="40" t="s">
        <v>44</v>
      </c>
      <c r="C463" s="41" t="s">
        <v>45</v>
      </c>
      <c r="D463" s="41" t="s">
        <v>46</v>
      </c>
      <c r="E463" s="41" t="s">
        <v>64</v>
      </c>
      <c r="F463" s="41" t="s">
        <v>65</v>
      </c>
      <c r="G463" s="41" t="s">
        <v>59</v>
      </c>
    </row>
    <row r="464" spans="1:7" ht="22.5" x14ac:dyDescent="0.25">
      <c r="A464" s="25" t="e">
        <f>IF(B464="","",INDEX(CODIGOMATERIALES,MATCH($B464,'INSUMOS MATERIALES'!$B$7:$B$51,0)))</f>
        <v>#N/A</v>
      </c>
      <c r="B464" s="42" t="s">
        <v>192</v>
      </c>
      <c r="C464" s="43" t="e">
        <f>IF(B464="","",(VLOOKUP($A464,INSUMOSMATERIALES,3,0)))</f>
        <v>#N/A</v>
      </c>
      <c r="D464" s="44">
        <v>9.08</v>
      </c>
      <c r="E464" s="45">
        <v>0.05</v>
      </c>
      <c r="F464" s="46" t="e">
        <f>IF(B464="","",(VLOOKUP($A464,INSUMOSMATERIALES,4,0)))</f>
        <v>#N/A</v>
      </c>
      <c r="G464" s="29" t="str">
        <f>+IFERROR(F464*D464*(1+E464),"")</f>
        <v/>
      </c>
    </row>
    <row r="465" spans="1:7" x14ac:dyDescent="0.25">
      <c r="A465" s="25" t="e">
        <f>IF(B465="","",INDEX(CODIGOMATERIALES,MATCH($B465,'INSUMOS MATERIALES'!$B$7:$B$51,0)))</f>
        <v>#N/A</v>
      </c>
      <c r="B465" s="42" t="s">
        <v>196</v>
      </c>
      <c r="C465" s="43" t="e">
        <f>IF(B465="","",(VLOOKUP($A465,INSUMOSMATERIALES,3,0)))</f>
        <v>#N/A</v>
      </c>
      <c r="D465" s="44">
        <v>1.0900000000000001</v>
      </c>
      <c r="E465" s="45">
        <v>0.05</v>
      </c>
      <c r="F465" s="46" t="e">
        <f>IF(B465="","",(VLOOKUP($A465,INSUMOSMATERIALES,4,0)))</f>
        <v>#N/A</v>
      </c>
      <c r="G465" s="29" t="str">
        <f>+IFERROR(F465*D465*(1+E465),"")</f>
        <v/>
      </c>
    </row>
    <row r="466" spans="1:7" x14ac:dyDescent="0.25">
      <c r="A466" s="25" t="e">
        <f>IF(B466="","",INDEX(CODIGOMATERIALES,MATCH($B466,'INSUMOS MATERIALES'!$B$7:$B$51,0)))</f>
        <v>#N/A</v>
      </c>
      <c r="B466" s="42" t="s">
        <v>201</v>
      </c>
      <c r="C466" s="43" t="e">
        <f>IF(B466="","",(VLOOKUP($A466,INSUMOSMATERIALES,3,0)))</f>
        <v>#N/A</v>
      </c>
      <c r="D466" s="44">
        <v>185</v>
      </c>
      <c r="E466" s="45">
        <v>0.1</v>
      </c>
      <c r="F466" s="46" t="e">
        <f>IF(B466="","",(VLOOKUP($A466,INSUMOSMATERIALES,4,0)))</f>
        <v>#N/A</v>
      </c>
      <c r="G466" s="29" t="str">
        <f>+IFERROR(F466*D466*(1+E466),"")</f>
        <v/>
      </c>
    </row>
    <row r="467" spans="1:7" x14ac:dyDescent="0.25">
      <c r="A467" s="33"/>
      <c r="B467" s="47"/>
      <c r="C467" s="119"/>
      <c r="D467" s="119"/>
      <c r="E467" s="35"/>
      <c r="F467" s="36" t="s">
        <v>62</v>
      </c>
      <c r="G467" s="37" t="str">
        <f>+IF(SUM(G464:G466)=0,"",SUM(G464:G466))</f>
        <v/>
      </c>
    </row>
    <row r="468" spans="1:7" x14ac:dyDescent="0.25">
      <c r="A468" s="34"/>
      <c r="B468" s="119"/>
      <c r="C468" s="119"/>
      <c r="D468" s="35"/>
      <c r="E468" s="48"/>
      <c r="F468" s="39"/>
      <c r="G468" s="33"/>
    </row>
    <row r="469" spans="1:7" x14ac:dyDescent="0.25">
      <c r="A469" s="465" t="s">
        <v>66</v>
      </c>
      <c r="B469" s="465"/>
      <c r="C469" s="465"/>
      <c r="D469" s="465"/>
      <c r="E469" s="465"/>
      <c r="F469" s="465"/>
      <c r="G469" s="465"/>
    </row>
    <row r="470" spans="1:7" x14ac:dyDescent="0.25">
      <c r="A470" s="120" t="s">
        <v>56</v>
      </c>
      <c r="B470" s="120" t="s">
        <v>44</v>
      </c>
      <c r="C470" s="120" t="s">
        <v>67</v>
      </c>
      <c r="D470" s="120" t="s">
        <v>68</v>
      </c>
      <c r="E470" s="41" t="s">
        <v>69</v>
      </c>
      <c r="F470" s="41" t="s">
        <v>57</v>
      </c>
      <c r="G470" s="41" t="s">
        <v>59</v>
      </c>
    </row>
    <row r="471" spans="1:7" ht="33" customHeight="1" x14ac:dyDescent="0.25">
      <c r="A471" s="25" t="str">
        <f>IF(B471="","",INDEX(CODIGOTRANSPORTES,MATCH(B471,'INSUMOS TRANSPORTES'!$B$7:$B$13,0)))</f>
        <v>TR002</v>
      </c>
      <c r="B471" s="42" t="s">
        <v>555</v>
      </c>
      <c r="C471" s="49" t="s">
        <v>461</v>
      </c>
      <c r="D471" s="44">
        <f>(D465)*1.05</f>
        <v>1.1445000000000001</v>
      </c>
      <c r="E471" s="50">
        <f>+IF(C471=0,"",IF(C471="INSUMOS",'DATOS INICIALES'!$B$24,IF(C471="PLAYA",'DATOS INICIALES'!$B$21,IF(C471="TIERRA",'DATOS INICIALES'!$B$19,IF(C471="ESCOMBROS",'DATOS INICIALES'!$B$20,IF(C471="ASFALTO",'DATOS INICIALES'!$B$25,IF(C471="GRANULAR",'DATOS INICIALES'!B480)))))))</f>
        <v>120</v>
      </c>
      <c r="F471" s="27">
        <f>+IF(B471="","",(VLOOKUP($A471,INSUMOSTRANSPORTES,4,0)))</f>
        <v>6100</v>
      </c>
      <c r="G471" s="29">
        <f>+IFERROR(D471*E471*F471,"")</f>
        <v>837774</v>
      </c>
    </row>
    <row r="472" spans="1:7" ht="22.5" x14ac:dyDescent="0.25">
      <c r="A472" s="25" t="str">
        <f>IF(B472="","",INDEX(CODIGOTRANSPORTES,MATCH(B472,'INSUMOS TRANSPORTES'!$B$7:$B$26,0)))</f>
        <v>TR007</v>
      </c>
      <c r="B472" s="42" t="s">
        <v>463</v>
      </c>
      <c r="C472" s="49" t="s">
        <v>462</v>
      </c>
      <c r="D472" s="44">
        <f>(50*D464)/1000</f>
        <v>0.45400000000000001</v>
      </c>
      <c r="E472" s="50">
        <f>+IF(C472=0,"",IF(C472="INSUMOS",'DATOS INICIALES'!$B$24,IF(C472="PLAYA",'DATOS INICIALES'!$B$21,IF(C472="TIERRA",'DATOS INICIALES'!$B$19,IF(C472="ESCOMBROS",'DATOS INICIALES'!$B$20,IF(C472="ASFALTO",'DATOS INICIALES'!$B$25,IF(C472="GRANULAR",'DATOS INICIALES'!B481)))))))</f>
        <v>180</v>
      </c>
      <c r="F472" s="27">
        <f>+IF(B472="","",(VLOOKUP($A472,INSUMOSTRANSPORTES,4,0)))</f>
        <v>4250</v>
      </c>
      <c r="G472" s="29">
        <f>+IFERROR(D472*E472*F472,"")</f>
        <v>347310</v>
      </c>
    </row>
    <row r="473" spans="1:7" x14ac:dyDescent="0.25">
      <c r="A473" s="33"/>
      <c r="B473" s="51"/>
      <c r="C473" s="119"/>
      <c r="D473" s="119"/>
      <c r="E473" s="35"/>
      <c r="F473" s="36" t="s">
        <v>62</v>
      </c>
      <c r="G473" s="37">
        <f>+IF(SUM(G471:G472)=0,"",SUM(G471:G472))</f>
        <v>1185084</v>
      </c>
    </row>
    <row r="474" spans="1:7" x14ac:dyDescent="0.25">
      <c r="A474" s="119"/>
      <c r="B474" s="119"/>
      <c r="C474" s="119"/>
      <c r="D474" s="35"/>
      <c r="E474" s="48"/>
      <c r="F474" s="39"/>
      <c r="G474" s="33"/>
    </row>
    <row r="475" spans="1:7" x14ac:dyDescent="0.25">
      <c r="A475" s="465" t="s">
        <v>70</v>
      </c>
      <c r="B475" s="465"/>
      <c r="C475" s="465"/>
      <c r="D475" s="465"/>
      <c r="E475" s="465"/>
      <c r="F475" s="465"/>
      <c r="G475" s="467"/>
    </row>
    <row r="476" spans="1:7" x14ac:dyDescent="0.25">
      <c r="A476" s="120" t="s">
        <v>56</v>
      </c>
      <c r="B476" s="468" t="s">
        <v>71</v>
      </c>
      <c r="C476" s="468"/>
      <c r="D476" s="41" t="s">
        <v>46</v>
      </c>
      <c r="E476" s="41" t="s">
        <v>72</v>
      </c>
      <c r="F476" s="41" t="s">
        <v>58</v>
      </c>
      <c r="G476" s="41" t="s">
        <v>59</v>
      </c>
    </row>
    <row r="477" spans="1:7" x14ac:dyDescent="0.25">
      <c r="A477" s="25" t="str">
        <f>IF(B477="","",INDEX(CODIGOSMANODEOBRA,MATCH($B477,'INSUMOS MANO DE OBRA'!$B$7:$B$61,0)))</f>
        <v>MO033</v>
      </c>
      <c r="B477" s="462" t="s">
        <v>360</v>
      </c>
      <c r="C477" s="463"/>
      <c r="D477" s="52">
        <v>1</v>
      </c>
      <c r="E477" s="46">
        <f>IF(B477="","",(VLOOKUP($A477,INSUMOSMANODEOBRA,8,0)))</f>
        <v>94854</v>
      </c>
      <c r="F477" s="44">
        <v>8</v>
      </c>
      <c r="G477" s="53">
        <f>+IFERROR(D477*E477/F477,"")</f>
        <v>11856.75</v>
      </c>
    </row>
    <row r="478" spans="1:7" x14ac:dyDescent="0.25">
      <c r="A478" s="25" t="str">
        <f>IF(B478="","",INDEX(CODIGOSMANODEOBRA,MATCH($B478,'INSUMOS MANO DE OBRA'!$B$7:$B$61,0)))</f>
        <v>MO032</v>
      </c>
      <c r="B478" s="462" t="s">
        <v>359</v>
      </c>
      <c r="C478" s="463"/>
      <c r="D478" s="52">
        <v>3</v>
      </c>
      <c r="E478" s="46">
        <f>IF(B478="","",(VLOOKUP($A478,INSUMOSMANODEOBRA,8,0)))</f>
        <v>75762</v>
      </c>
      <c r="F478" s="44">
        <v>8</v>
      </c>
      <c r="G478" s="53">
        <f>+IFERROR(D478*E478/F478,"")</f>
        <v>28410.75</v>
      </c>
    </row>
    <row r="479" spans="1:7" x14ac:dyDescent="0.25">
      <c r="A479" s="25"/>
      <c r="B479" s="462"/>
      <c r="C479" s="463"/>
      <c r="D479" s="52"/>
      <c r="E479" s="46"/>
      <c r="F479" s="54"/>
      <c r="G479" s="53" t="str">
        <f>+IFERROR(D479*E479/F479,"")</f>
        <v/>
      </c>
    </row>
    <row r="480" spans="1:7" x14ac:dyDescent="0.25">
      <c r="A480" s="25" t="str">
        <f>IF(B480="","",INDEX(CÓDIGOS_MANO_DE_OBRA,MATCH($B480,'[7]INSUMOS MANO DE OBRA'!$B$8:$B$63,0)))</f>
        <v/>
      </c>
      <c r="B480" s="462"/>
      <c r="C480" s="463"/>
      <c r="D480" s="52"/>
      <c r="E480" s="46" t="str">
        <f>+IF(B480="","",(VLOOKUP($A480,INSUMOS_MANO_DE_OBRA,8,0)))</f>
        <v/>
      </c>
      <c r="F480" s="54" t="str">
        <f>+IF(A480="","",IF(A480=0,"",IF(F479="","",F479)))</f>
        <v/>
      </c>
      <c r="G480" s="53" t="str">
        <f>+IFERROR(D480*E480/F480,"")</f>
        <v/>
      </c>
    </row>
    <row r="481" spans="1:7" x14ac:dyDescent="0.25">
      <c r="A481" s="33"/>
      <c r="B481" s="34"/>
      <c r="C481" s="119"/>
      <c r="D481" s="119"/>
      <c r="E481" s="35"/>
      <c r="F481" s="36" t="s">
        <v>62</v>
      </c>
      <c r="G481" s="37">
        <f>+IF(SUM(G477:G480)=0,"",SUM(G477:G480))</f>
        <v>40267.5</v>
      </c>
    </row>
    <row r="482" spans="1:7" x14ac:dyDescent="0.25">
      <c r="A482" s="121"/>
      <c r="B482" s="119"/>
      <c r="C482" s="55"/>
      <c r="D482" s="55"/>
      <c r="E482" s="55"/>
      <c r="F482" s="39"/>
      <c r="G482" s="56"/>
    </row>
    <row r="483" spans="1:7" x14ac:dyDescent="0.25">
      <c r="A483" s="465" t="s">
        <v>76</v>
      </c>
      <c r="B483" s="465"/>
      <c r="C483" s="465"/>
      <c r="D483" s="465"/>
      <c r="E483" s="465"/>
      <c r="F483" s="465"/>
      <c r="G483" s="467"/>
    </row>
    <row r="484" spans="1:7" x14ac:dyDescent="0.25">
      <c r="A484" s="120" t="s">
        <v>56</v>
      </c>
      <c r="B484" s="468" t="s">
        <v>44</v>
      </c>
      <c r="C484" s="468"/>
      <c r="D484" s="120" t="s">
        <v>45</v>
      </c>
      <c r="E484" s="120" t="s">
        <v>46</v>
      </c>
      <c r="F484" s="120" t="s">
        <v>65</v>
      </c>
      <c r="G484" s="120" t="s">
        <v>59</v>
      </c>
    </row>
    <row r="485" spans="1:7" x14ac:dyDescent="0.25">
      <c r="A485" s="25" t="str">
        <f>IF(B485="","",INDEX(CODIGOSSERVICIOS,MATCH($B485,'INSUMOS SERVICIOS'!$B$7:$B$21,0)))</f>
        <v/>
      </c>
      <c r="B485" s="462"/>
      <c r="C485" s="463"/>
      <c r="D485" s="43" t="str">
        <f>+IF(B485="","",(VLOOKUP($A485,INSUMOSSERVICIOS,3,0)))</f>
        <v/>
      </c>
      <c r="E485" s="57"/>
      <c r="F485" s="46" t="str">
        <f>IF(B485="","",(VLOOKUP($A485,INSUMOSSERVICIOS,4,0)))</f>
        <v/>
      </c>
      <c r="G485" s="29" t="str">
        <f>+IFERROR(E485*F485,"")</f>
        <v/>
      </c>
    </row>
    <row r="486" spans="1:7" x14ac:dyDescent="0.25">
      <c r="A486" s="25" t="str">
        <f>IF(B486="","",INDEX(CODIGOSSERVICIOS,MATCH($B486,'INSUMOS SERVICIOS'!$B$7:$B$21,0)))</f>
        <v/>
      </c>
      <c r="B486" s="462"/>
      <c r="C486" s="463"/>
      <c r="D486" s="43" t="str">
        <f>+IF(B486="","",(VLOOKUP($A486,INSUMOSSERVICIOS,3,0)))</f>
        <v/>
      </c>
      <c r="E486" s="57"/>
      <c r="F486" s="46" t="str">
        <f>IF(B486="","",(VLOOKUP($A486,INSUMOSSERVICIOS,4,0)))</f>
        <v/>
      </c>
      <c r="G486" s="29" t="str">
        <f>+IFERROR(E486*F486,"")</f>
        <v/>
      </c>
    </row>
    <row r="487" spans="1:7" x14ac:dyDescent="0.25">
      <c r="A487" s="25" t="str">
        <f>IF(B487="","",INDEX(CÓDIGOS_SERVICIOS,MATCH($B487,'[7]INSUMOS SERVICIOS'!$B$8:$B$51,0)))</f>
        <v/>
      </c>
      <c r="B487" s="462"/>
      <c r="C487" s="463"/>
      <c r="D487" s="43" t="str">
        <f>+IF(B487="","",(VLOOKUP($A487,INSUMOS_SERVICIOS,3,0)))</f>
        <v/>
      </c>
      <c r="E487" s="57"/>
      <c r="F487" s="46" t="str">
        <f>IF(B487="","",(VLOOKUP($A487,INSUMOS_SERVICIOS,4,0)))</f>
        <v/>
      </c>
      <c r="G487" s="29" t="str">
        <f>+IFERROR(E487*F487,"")</f>
        <v/>
      </c>
    </row>
    <row r="488" spans="1:7" x14ac:dyDescent="0.25">
      <c r="A488" s="33"/>
      <c r="B488" s="34"/>
      <c r="C488" s="119"/>
      <c r="D488" s="119"/>
      <c r="E488" s="35"/>
      <c r="F488" s="58" t="s">
        <v>62</v>
      </c>
      <c r="G488" s="37" t="str">
        <f>+IF(SUM(G485:G487)=0,"",SUM(G485:G487))</f>
        <v/>
      </c>
    </row>
    <row r="489" spans="1:7" x14ac:dyDescent="0.25">
      <c r="A489" s="121"/>
      <c r="B489" s="119"/>
      <c r="C489" s="55"/>
      <c r="D489" s="55"/>
      <c r="E489" s="55"/>
      <c r="F489" s="39"/>
      <c r="G489" s="56"/>
    </row>
    <row r="490" spans="1:7" x14ac:dyDescent="0.25">
      <c r="A490" s="464" t="s">
        <v>77</v>
      </c>
      <c r="B490" s="464"/>
      <c r="C490" s="464"/>
      <c r="D490" s="464"/>
      <c r="E490" s="464"/>
      <c r="F490" s="464"/>
      <c r="G490" s="59">
        <f>IF(SUM(G460,G467,G473,G481,G488)=0,"",(ROUND(SUM(G460,G467,G473,G481,G488),0)))</f>
        <v>1235115</v>
      </c>
    </row>
    <row r="491" spans="1:7" x14ac:dyDescent="0.25">
      <c r="A491" s="56"/>
      <c r="B491" s="48"/>
      <c r="C491" s="48"/>
      <c r="D491" s="48"/>
      <c r="E491" s="48"/>
      <c r="F491" s="48"/>
      <c r="G491" s="39"/>
    </row>
    <row r="492" spans="1:7" x14ac:dyDescent="0.25">
      <c r="A492" s="465" t="s">
        <v>78</v>
      </c>
      <c r="B492" s="465"/>
      <c r="C492" s="465"/>
      <c r="D492" s="465"/>
      <c r="E492" s="465"/>
      <c r="F492" s="465"/>
      <c r="G492" s="465"/>
    </row>
    <row r="493" spans="1:7" x14ac:dyDescent="0.25">
      <c r="A493" s="119"/>
      <c r="B493" s="119"/>
      <c r="C493" s="119"/>
      <c r="D493" s="119"/>
      <c r="E493" s="119"/>
      <c r="F493" s="119"/>
      <c r="G493" s="119"/>
    </row>
    <row r="494" spans="1:7" x14ac:dyDescent="0.25">
      <c r="A494" s="466" t="s">
        <v>44</v>
      </c>
      <c r="B494" s="466"/>
      <c r="C494" s="466"/>
      <c r="D494" s="466"/>
      <c r="E494" s="466"/>
      <c r="F494" s="60" t="s">
        <v>79</v>
      </c>
      <c r="G494" s="60" t="s">
        <v>48</v>
      </c>
    </row>
    <row r="495" spans="1:7" x14ac:dyDescent="0.25">
      <c r="A495" s="458" t="s">
        <v>80</v>
      </c>
      <c r="B495" s="458"/>
      <c r="C495" s="458"/>
      <c r="D495" s="458"/>
      <c r="E495" s="458"/>
      <c r="F495" s="61">
        <f ca="1">AU!$I$36</f>
        <v>0.191</v>
      </c>
      <c r="G495" s="62">
        <f ca="1">+IFERROR(G490*F495,"")</f>
        <v>235906.965</v>
      </c>
    </row>
    <row r="496" spans="1:7" x14ac:dyDescent="0.25">
      <c r="A496" s="458" t="s">
        <v>81</v>
      </c>
      <c r="B496" s="458"/>
      <c r="C496" s="458"/>
      <c r="D496" s="458"/>
      <c r="E496" s="458"/>
      <c r="F496" s="61" t="e">
        <f>IF(AU!#REF!=0,"",AU!#REF!)</f>
        <v>#REF!</v>
      </c>
      <c r="G496" s="62" t="str">
        <f>+IFERROR(G490*F496,"")</f>
        <v/>
      </c>
    </row>
    <row r="497" spans="1:7" x14ac:dyDescent="0.25">
      <c r="A497" s="458" t="s">
        <v>82</v>
      </c>
      <c r="B497" s="458"/>
      <c r="C497" s="458"/>
      <c r="D497" s="458"/>
      <c r="E497" s="458"/>
      <c r="F497" s="61">
        <f>IF(AU!$I$37=0,"",AU!$I$37)</f>
        <v>5.131865E-2</v>
      </c>
      <c r="G497" s="62">
        <f>+IFERROR(G490*F497,"")</f>
        <v>63384.434394750002</v>
      </c>
    </row>
    <row r="498" spans="1:7" x14ac:dyDescent="0.25">
      <c r="A498" s="459" t="s">
        <v>83</v>
      </c>
      <c r="B498" s="460"/>
      <c r="C498" s="460"/>
      <c r="D498" s="460"/>
      <c r="E498" s="460"/>
      <c r="F498" s="63" t="e">
        <f ca="1">IF(SUM(F495:F497)=0,"",SUM(F495:F497))</f>
        <v>#REF!</v>
      </c>
      <c r="G498" s="64">
        <f ca="1">IF(SUM(G495:G497)=0,"",ROUND(SUM(G495:G497),0))</f>
        <v>299291</v>
      </c>
    </row>
    <row r="499" spans="1:7" x14ac:dyDescent="0.25">
      <c r="A499" s="56"/>
      <c r="B499" s="34"/>
      <c r="C499" s="34"/>
      <c r="D499" s="34"/>
      <c r="E499" s="461"/>
      <c r="F499" s="461"/>
      <c r="G499" s="65"/>
    </row>
    <row r="500" spans="1:7" x14ac:dyDescent="0.25">
      <c r="A500" s="456" t="s">
        <v>84</v>
      </c>
      <c r="B500" s="457"/>
      <c r="C500" s="457"/>
      <c r="D500" s="457"/>
      <c r="E500" s="457"/>
      <c r="F500" s="457"/>
      <c r="G500" s="66">
        <f ca="1">+IFERROR(ROUND(G490+G498,0),"")</f>
        <v>1534406</v>
      </c>
    </row>
    <row r="501" spans="1:7" x14ac:dyDescent="0.25">
      <c r="A501" s="19"/>
      <c r="B501" s="19"/>
      <c r="C501" s="19"/>
      <c r="D501" s="19"/>
      <c r="E501" s="18"/>
      <c r="F501" s="18"/>
      <c r="G501" s="20"/>
    </row>
    <row r="502" spans="1:7" x14ac:dyDescent="0.25">
      <c r="A502" s="19"/>
      <c r="B502" s="185" t="s">
        <v>787</v>
      </c>
      <c r="C502" s="18"/>
      <c r="D502" s="18"/>
      <c r="E502" s="18"/>
      <c r="F502" s="18"/>
      <c r="G502" s="18"/>
    </row>
    <row r="503" spans="1:7" x14ac:dyDescent="0.25">
      <c r="A503" s="19"/>
      <c r="B503" s="185" t="s">
        <v>599</v>
      </c>
      <c r="C503" s="18"/>
      <c r="D503" s="18"/>
      <c r="E503" s="18"/>
      <c r="F503" s="18"/>
      <c r="G503" s="18"/>
    </row>
    <row r="504" spans="1:7" x14ac:dyDescent="0.25">
      <c r="A504" s="19"/>
      <c r="B504" s="185"/>
      <c r="C504" s="18"/>
      <c r="D504" s="67"/>
      <c r="E504" s="67"/>
      <c r="F504" s="67"/>
      <c r="G504" s="18"/>
    </row>
    <row r="505" spans="1:7" x14ac:dyDescent="0.25">
      <c r="A505" s="19"/>
      <c r="B505" s="185"/>
      <c r="C505" s="20"/>
      <c r="D505" s="365" t="s">
        <v>85</v>
      </c>
      <c r="E505" s="365"/>
      <c r="F505" s="365"/>
      <c r="G505" s="20"/>
    </row>
    <row r="507" spans="1:7" ht="18.75" x14ac:dyDescent="0.25">
      <c r="A507" s="376" t="str">
        <f>'DATOS INICIALES'!$B$1</f>
        <v>DEPARTAMENTO DE ANTIOQUIA</v>
      </c>
      <c r="B507" s="377"/>
      <c r="C507" s="377"/>
      <c r="D507" s="377"/>
      <c r="E507" s="377"/>
      <c r="F507" s="378" t="s">
        <v>51</v>
      </c>
      <c r="G507" s="378"/>
    </row>
    <row r="508" spans="1:7" ht="15.75" x14ac:dyDescent="0.25">
      <c r="A508" s="379" t="str">
        <f>'DATOS INICIALES'!$B$2</f>
        <v>MUNICIPIO DE DABEIBA</v>
      </c>
      <c r="B508" s="380"/>
      <c r="C508" s="380"/>
      <c r="D508" s="380"/>
      <c r="E508" s="380"/>
      <c r="F508" s="378"/>
      <c r="G508" s="378"/>
    </row>
    <row r="509" spans="1:7" x14ac:dyDescent="0.25">
      <c r="A509" s="481" t="str">
        <f>'DATOS INICIALES'!$B$3</f>
        <v>REPOSICIÓN, AMPLIACIÓN Y REPARACIÓN DE LUMINARIAS QUE HACEN PARTE DE LA RED DE ALUMBRADOPÚBLICO DEL PARQUE PRINCIPAL Y CORREGIMIENTO SAN JOSÉ DE URAMA DEL MUNICIPIO DE DABEIBA.</v>
      </c>
      <c r="B509" s="482"/>
      <c r="C509" s="482"/>
      <c r="D509" s="482"/>
      <c r="E509" s="482"/>
      <c r="F509" s="378"/>
      <c r="G509" s="378"/>
    </row>
    <row r="510" spans="1:7" x14ac:dyDescent="0.25">
      <c r="A510" s="383"/>
      <c r="B510" s="383"/>
      <c r="C510" s="383"/>
      <c r="D510" s="383"/>
      <c r="E510" s="388"/>
      <c r="F510" s="378"/>
      <c r="G510" s="378"/>
    </row>
    <row r="511" spans="1:7" x14ac:dyDescent="0.25">
      <c r="A511" s="384" t="s">
        <v>52</v>
      </c>
      <c r="B511" s="385"/>
      <c r="C511" s="385"/>
      <c r="D511" s="385"/>
      <c r="E511" s="385"/>
      <c r="F511" s="378"/>
      <c r="G511" s="378"/>
    </row>
    <row r="512" spans="1:7" x14ac:dyDescent="0.25">
      <c r="A512" s="383"/>
      <c r="B512" s="383"/>
      <c r="C512" s="383"/>
      <c r="D512" s="383"/>
      <c r="E512" s="383"/>
      <c r="F512" s="477"/>
      <c r="G512" s="477"/>
    </row>
    <row r="513" spans="1:7" x14ac:dyDescent="0.25">
      <c r="A513" s="21" t="s">
        <v>42</v>
      </c>
      <c r="B513" s="372" t="s">
        <v>44</v>
      </c>
      <c r="C513" s="373"/>
      <c r="D513" s="374"/>
      <c r="E513" s="22" t="s">
        <v>45</v>
      </c>
      <c r="F513" s="23" t="s">
        <v>46</v>
      </c>
      <c r="G513" s="23" t="s">
        <v>53</v>
      </c>
    </row>
    <row r="514" spans="1:7" x14ac:dyDescent="0.25">
      <c r="A514" s="24" t="s">
        <v>169</v>
      </c>
      <c r="B514" s="478" t="str">
        <f>+IFERROR(VLOOKUP($A514,INSUMOSMATERIALES,2,0),"")</f>
        <v>MORTERO 1:3 EN OBRA (GROUT)</v>
      </c>
      <c r="C514" s="479"/>
      <c r="D514" s="480"/>
      <c r="E514" s="82" t="str">
        <f>+IFERROR(VLOOKUP($A514,INSUMOSMATERIALES,3,0),"")</f>
        <v>M3</v>
      </c>
      <c r="F514" s="82" t="s">
        <v>460</v>
      </c>
      <c r="G514" s="153">
        <f ca="1">IF(G562=0,"",G552)</f>
        <v>1235115</v>
      </c>
    </row>
    <row r="515" spans="1:7" x14ac:dyDescent="0.25">
      <c r="A515" s="19"/>
      <c r="B515" s="19"/>
      <c r="C515" s="19"/>
      <c r="D515" s="19"/>
      <c r="E515" s="18"/>
      <c r="F515" s="18"/>
      <c r="G515" s="20"/>
    </row>
    <row r="516" spans="1:7" x14ac:dyDescent="0.25">
      <c r="A516" s="465" t="s">
        <v>54</v>
      </c>
      <c r="B516" s="465"/>
      <c r="C516" s="465"/>
      <c r="D516" s="465"/>
      <c r="E516" s="465"/>
      <c r="F516" s="465"/>
      <c r="G516" s="465"/>
    </row>
    <row r="517" spans="1:7" x14ac:dyDescent="0.25">
      <c r="A517" s="119"/>
      <c r="B517" s="119"/>
      <c r="C517" s="119"/>
      <c r="D517" s="119"/>
      <c r="E517" s="119"/>
      <c r="F517" s="119"/>
      <c r="G517" s="119"/>
    </row>
    <row r="518" spans="1:7" x14ac:dyDescent="0.25">
      <c r="A518" s="469" t="s">
        <v>55</v>
      </c>
      <c r="B518" s="469"/>
      <c r="C518" s="469"/>
      <c r="D518" s="469"/>
      <c r="E518" s="469"/>
      <c r="F518" s="469"/>
      <c r="G518" s="470"/>
    </row>
    <row r="519" spans="1:7" x14ac:dyDescent="0.25">
      <c r="A519" s="120" t="s">
        <v>56</v>
      </c>
      <c r="B519" s="471" t="s">
        <v>44</v>
      </c>
      <c r="C519" s="472"/>
      <c r="D519" s="120" t="s">
        <v>45</v>
      </c>
      <c r="E519" s="120" t="s">
        <v>57</v>
      </c>
      <c r="F519" s="120" t="s">
        <v>58</v>
      </c>
      <c r="G519" s="120" t="s">
        <v>59</v>
      </c>
    </row>
    <row r="520" spans="1:7" x14ac:dyDescent="0.25">
      <c r="A520" s="25" t="str">
        <f>IF(B520="","",INDEX(CODIGOEQUIPOS,MATCH($B520,'INSUMOS EQUIPOS'!$B$7:$B$39,0)))</f>
        <v>EQ004</v>
      </c>
      <c r="B520" s="473" t="s">
        <v>94</v>
      </c>
      <c r="C520" s="474"/>
      <c r="D520" s="26" t="str">
        <f>IF(B520="","",(VLOOKUP($A520,INSUMOSEQUIPOS,3,0)))</f>
        <v>DÍA</v>
      </c>
      <c r="E520" s="27">
        <f>IF(B520="","",(VLOOKUP($A520,INSUMOSEQUIPOS,4,0)))</f>
        <v>62000</v>
      </c>
      <c r="F520" s="28">
        <v>8</v>
      </c>
      <c r="G520" s="29">
        <f>+IFERROR(E520/F520,"")</f>
        <v>7750</v>
      </c>
    </row>
    <row r="521" spans="1:7" x14ac:dyDescent="0.25">
      <c r="A521" s="30" t="str">
        <f>+IF(G543="","","EQ001")</f>
        <v>EQ001</v>
      </c>
      <c r="B521" s="475" t="str">
        <f>+IF($A521="","",IFERROR(VLOOKUP($A521,INSUMOSEQUIPOS,2,0),""))</f>
        <v>HERRAMIENTA MENOR (5% DE LA MANO DE OBRA)</v>
      </c>
      <c r="C521" s="476"/>
      <c r="D521" s="26" t="str">
        <f>+IF($A521="","",IFERROR(VLOOKUP($A521,INSUMOSEQUIPOS,3,0),""))</f>
        <v>%</v>
      </c>
      <c r="E521" s="31">
        <f>+IF($A521="","",IFERROR(VLOOKUP($A521,INSUMOSEQUIPOS,4,0),""))</f>
        <v>0.05</v>
      </c>
      <c r="F521" s="32">
        <f>+IF(G543=0,"",G543)</f>
        <v>40267.5</v>
      </c>
      <c r="G521" s="29">
        <f>+IFERROR(E521*F521,"")</f>
        <v>2013.375</v>
      </c>
    </row>
    <row r="522" spans="1:7" x14ac:dyDescent="0.25">
      <c r="A522" s="33"/>
      <c r="B522" s="34"/>
      <c r="C522" s="119"/>
      <c r="D522" s="119"/>
      <c r="E522" s="35"/>
      <c r="F522" s="36" t="s">
        <v>62</v>
      </c>
      <c r="G522" s="37">
        <f>+IF(SUM(G520:G521)=0,"",SUM(G520:G521))</f>
        <v>9763.375</v>
      </c>
    </row>
    <row r="523" spans="1:7" x14ac:dyDescent="0.25">
      <c r="A523" s="34"/>
      <c r="B523" s="119"/>
      <c r="C523" s="119"/>
      <c r="D523" s="35"/>
      <c r="E523" s="38"/>
      <c r="F523" s="39"/>
      <c r="G523" s="33"/>
    </row>
    <row r="524" spans="1:7" x14ac:dyDescent="0.25">
      <c r="A524" s="465" t="s">
        <v>63</v>
      </c>
      <c r="B524" s="465"/>
      <c r="C524" s="465"/>
      <c r="D524" s="465"/>
      <c r="E524" s="465"/>
      <c r="F524" s="465"/>
      <c r="G524" s="467"/>
    </row>
    <row r="525" spans="1:7" x14ac:dyDescent="0.25">
      <c r="A525" s="120" t="s">
        <v>56</v>
      </c>
      <c r="B525" s="40" t="s">
        <v>44</v>
      </c>
      <c r="C525" s="41" t="s">
        <v>45</v>
      </c>
      <c r="D525" s="41" t="s">
        <v>46</v>
      </c>
      <c r="E525" s="41" t="s">
        <v>64</v>
      </c>
      <c r="F525" s="41" t="s">
        <v>65</v>
      </c>
      <c r="G525" s="41" t="s">
        <v>59</v>
      </c>
    </row>
    <row r="526" spans="1:7" ht="22.5" x14ac:dyDescent="0.25">
      <c r="A526" s="25" t="e">
        <f>IF(B526="","",INDEX(CODIGOMATERIALES,MATCH($B526,'INSUMOS MATERIALES'!$B$7:$B$51,0)))</f>
        <v>#N/A</v>
      </c>
      <c r="B526" s="42" t="s">
        <v>192</v>
      </c>
      <c r="C526" s="43" t="e">
        <f>IF(B526="","",(VLOOKUP($A526,INSUMOSMATERIALES,3,0)))</f>
        <v>#N/A</v>
      </c>
      <c r="D526" s="44">
        <v>9.08</v>
      </c>
      <c r="E526" s="45">
        <v>0.05</v>
      </c>
      <c r="F526" s="46" t="e">
        <f>IF(B526="","",(VLOOKUP($A526,INSUMOSMATERIALES,4,0)))</f>
        <v>#N/A</v>
      </c>
      <c r="G526" s="29" t="str">
        <f>+IFERROR(F526*D526*(1+E526),"")</f>
        <v/>
      </c>
    </row>
    <row r="527" spans="1:7" x14ac:dyDescent="0.25">
      <c r="A527" s="25" t="e">
        <f>IF(B527="","",INDEX(CODIGOMATERIALES,MATCH($B527,'INSUMOS MATERIALES'!$B$7:$B$51,0)))</f>
        <v>#N/A</v>
      </c>
      <c r="B527" s="42" t="s">
        <v>198</v>
      </c>
      <c r="C527" s="43" t="e">
        <f>IF(B527="","",(VLOOKUP($A527,INSUMOSMATERIALES,3,0)))</f>
        <v>#N/A</v>
      </c>
      <c r="D527" s="44">
        <v>1.0900000000000001</v>
      </c>
      <c r="E527" s="45">
        <v>0.05</v>
      </c>
      <c r="F527" s="46" t="e">
        <f>IF(B527="","",(VLOOKUP($A527,INSUMOSMATERIALES,4,0)))</f>
        <v>#N/A</v>
      </c>
      <c r="G527" s="29" t="str">
        <f>+IFERROR(F527*D527*(1+E527),"")</f>
        <v/>
      </c>
    </row>
    <row r="528" spans="1:7" x14ac:dyDescent="0.25">
      <c r="A528" s="25" t="e">
        <f>IF(B528="","",INDEX(CODIGOMATERIALES,MATCH($B528,'INSUMOS MATERIALES'!$B$7:$B$51,0)))</f>
        <v>#N/A</v>
      </c>
      <c r="B528" s="42" t="s">
        <v>201</v>
      </c>
      <c r="C528" s="43" t="e">
        <f>IF(B528="","",(VLOOKUP($A528,INSUMOSMATERIALES,3,0)))</f>
        <v>#N/A</v>
      </c>
      <c r="D528" s="44">
        <v>185</v>
      </c>
      <c r="E528" s="45">
        <v>0.1</v>
      </c>
      <c r="F528" s="46" t="e">
        <f>IF(B528="","",(VLOOKUP($A528,INSUMOSMATERIALES,4,0)))</f>
        <v>#N/A</v>
      </c>
      <c r="G528" s="29" t="str">
        <f>+IFERROR(F528*D528*(1+E528),"")</f>
        <v/>
      </c>
    </row>
    <row r="529" spans="1:7" x14ac:dyDescent="0.25">
      <c r="A529" s="33"/>
      <c r="B529" s="47"/>
      <c r="C529" s="119"/>
      <c r="D529" s="119"/>
      <c r="E529" s="35"/>
      <c r="F529" s="36" t="s">
        <v>62</v>
      </c>
      <c r="G529" s="37" t="str">
        <f>+IF(SUM(G526:G528)=0,"",SUM(G526:G528))</f>
        <v/>
      </c>
    </row>
    <row r="530" spans="1:7" x14ac:dyDescent="0.25">
      <c r="A530" s="34"/>
      <c r="B530" s="119"/>
      <c r="C530" s="119"/>
      <c r="D530" s="35"/>
      <c r="E530" s="48"/>
      <c r="F530" s="39"/>
      <c r="G530" s="33"/>
    </row>
    <row r="531" spans="1:7" x14ac:dyDescent="0.25">
      <c r="A531" s="465" t="s">
        <v>66</v>
      </c>
      <c r="B531" s="465"/>
      <c r="C531" s="465"/>
      <c r="D531" s="465"/>
      <c r="E531" s="465"/>
      <c r="F531" s="465"/>
      <c r="G531" s="465"/>
    </row>
    <row r="532" spans="1:7" x14ac:dyDescent="0.25">
      <c r="A532" s="120" t="s">
        <v>56</v>
      </c>
      <c r="B532" s="120" t="s">
        <v>44</v>
      </c>
      <c r="C532" s="120" t="s">
        <v>67</v>
      </c>
      <c r="D532" s="120" t="s">
        <v>68</v>
      </c>
      <c r="E532" s="41" t="s">
        <v>69</v>
      </c>
      <c r="F532" s="41" t="s">
        <v>57</v>
      </c>
      <c r="G532" s="41" t="s">
        <v>59</v>
      </c>
    </row>
    <row r="533" spans="1:7" ht="39.6" customHeight="1" x14ac:dyDescent="0.25">
      <c r="A533" s="25" t="str">
        <f>IF(B533="","",INDEX(CODIGOTRANSPORTES,MATCH(B533,'INSUMOS TRANSPORTES'!$B$7:$B$13,0)))</f>
        <v>TR002</v>
      </c>
      <c r="B533" s="42" t="s">
        <v>555</v>
      </c>
      <c r="C533" s="49" t="s">
        <v>461</v>
      </c>
      <c r="D533" s="44">
        <f>(D527)*1.05</f>
        <v>1.1445000000000001</v>
      </c>
      <c r="E533" s="50">
        <f>+IF(C533=0,"",IF(C533="INSUMOS",'DATOS INICIALES'!$B$24,IF(C533="PLAYA",'DATOS INICIALES'!$B$21,IF(C533="TIERRA",'DATOS INICIALES'!$B$19,IF(C533="ESCOMBROS",'DATOS INICIALES'!$B$20,IF(C533="ASFALTO",'DATOS INICIALES'!$B$25,IF(C533="GRANULAR",'DATOS INICIALES'!B542)))))))</f>
        <v>120</v>
      </c>
      <c r="F533" s="27">
        <f>+IF(B533="","",(VLOOKUP($A533,INSUMOSTRANSPORTES,4,0)))</f>
        <v>6100</v>
      </c>
      <c r="G533" s="29">
        <f>+IFERROR(D533*E533*F533,"")</f>
        <v>837774</v>
      </c>
    </row>
    <row r="534" spans="1:7" ht="22.5" x14ac:dyDescent="0.25">
      <c r="A534" s="25" t="str">
        <f>IF(B534="","",INDEX(CODIGOTRANSPORTES,MATCH(B534,'INSUMOS TRANSPORTES'!$B$7:$B$26,0)))</f>
        <v>TR007</v>
      </c>
      <c r="B534" s="42" t="s">
        <v>463</v>
      </c>
      <c r="C534" s="49" t="s">
        <v>462</v>
      </c>
      <c r="D534" s="44">
        <f>(50*D526)/1000</f>
        <v>0.45400000000000001</v>
      </c>
      <c r="E534" s="50">
        <f>+IF(C534=0,"",IF(C534="INSUMOS",'DATOS INICIALES'!$B$24,IF(C534="PLAYA",'DATOS INICIALES'!$B$21,IF(C534="TIERRA",'DATOS INICIALES'!$B$19,IF(C534="ESCOMBROS",'DATOS INICIALES'!$B$20,IF(C534="ASFALTO",'DATOS INICIALES'!$B$25,IF(C534="GRANULAR",'DATOS INICIALES'!B543)))))))</f>
        <v>180</v>
      </c>
      <c r="F534" s="27">
        <f>+IF(B534="","",(VLOOKUP($A534,INSUMOSTRANSPORTES,4,0)))</f>
        <v>4250</v>
      </c>
      <c r="G534" s="29">
        <f>+IFERROR(D534*E534*F534,"")</f>
        <v>347310</v>
      </c>
    </row>
    <row r="535" spans="1:7" x14ac:dyDescent="0.25">
      <c r="A535" s="33"/>
      <c r="B535" s="51"/>
      <c r="C535" s="119"/>
      <c r="D535" s="119"/>
      <c r="E535" s="35"/>
      <c r="F535" s="36" t="s">
        <v>62</v>
      </c>
      <c r="G535" s="37">
        <f>+IF(SUM(G533:G534)=0,"",SUM(G533:G534))</f>
        <v>1185084</v>
      </c>
    </row>
    <row r="536" spans="1:7" x14ac:dyDescent="0.25">
      <c r="A536" s="119"/>
      <c r="B536" s="119"/>
      <c r="C536" s="119"/>
      <c r="D536" s="35"/>
      <c r="E536" s="48"/>
      <c r="F536" s="39"/>
      <c r="G536" s="33"/>
    </row>
    <row r="537" spans="1:7" x14ac:dyDescent="0.25">
      <c r="A537" s="465" t="s">
        <v>70</v>
      </c>
      <c r="B537" s="465"/>
      <c r="C537" s="465"/>
      <c r="D537" s="465"/>
      <c r="E537" s="465"/>
      <c r="F537" s="465"/>
      <c r="G537" s="467"/>
    </row>
    <row r="538" spans="1:7" x14ac:dyDescent="0.25">
      <c r="A538" s="120" t="s">
        <v>56</v>
      </c>
      <c r="B538" s="468" t="s">
        <v>71</v>
      </c>
      <c r="C538" s="468"/>
      <c r="D538" s="41" t="s">
        <v>46</v>
      </c>
      <c r="E538" s="41" t="s">
        <v>72</v>
      </c>
      <c r="F538" s="41" t="s">
        <v>58</v>
      </c>
      <c r="G538" s="41" t="s">
        <v>59</v>
      </c>
    </row>
    <row r="539" spans="1:7" x14ac:dyDescent="0.25">
      <c r="A539" s="25" t="str">
        <f>IF(B539="","",INDEX(CODIGOSMANODEOBRA,MATCH($B539,'INSUMOS MANO DE OBRA'!$B$7:$B$61,0)))</f>
        <v>MO033</v>
      </c>
      <c r="B539" s="462" t="s">
        <v>360</v>
      </c>
      <c r="C539" s="463"/>
      <c r="D539" s="52">
        <v>1</v>
      </c>
      <c r="E539" s="46">
        <f>IF(B539="","",(VLOOKUP($A539,INSUMOSMANODEOBRA,8,0)))</f>
        <v>94854</v>
      </c>
      <c r="F539" s="44">
        <v>8</v>
      </c>
      <c r="G539" s="53">
        <f>+IFERROR(D539*E539/F539,"")</f>
        <v>11856.75</v>
      </c>
    </row>
    <row r="540" spans="1:7" x14ac:dyDescent="0.25">
      <c r="A540" s="25" t="str">
        <f>IF(B540="","",INDEX(CODIGOSMANODEOBRA,MATCH($B540,'INSUMOS MANO DE OBRA'!$B$7:$B$61,0)))</f>
        <v>MO032</v>
      </c>
      <c r="B540" s="462" t="s">
        <v>359</v>
      </c>
      <c r="C540" s="463"/>
      <c r="D540" s="52">
        <v>3</v>
      </c>
      <c r="E540" s="46">
        <f>IF(B540="","",(VLOOKUP($A540,INSUMOSMANODEOBRA,8,0)))</f>
        <v>75762</v>
      </c>
      <c r="F540" s="44">
        <v>8</v>
      </c>
      <c r="G540" s="53">
        <f>+IFERROR(D540*E540/F540,"")</f>
        <v>28410.75</v>
      </c>
    </row>
    <row r="541" spans="1:7" x14ac:dyDescent="0.25">
      <c r="A541" s="25"/>
      <c r="B541" s="462"/>
      <c r="C541" s="463"/>
      <c r="D541" s="52"/>
      <c r="E541" s="46"/>
      <c r="F541" s="54"/>
      <c r="G541" s="53" t="str">
        <f>+IFERROR(D541*E541/F541,"")</f>
        <v/>
      </c>
    </row>
    <row r="542" spans="1:7" x14ac:dyDescent="0.25">
      <c r="A542" s="25" t="str">
        <f>IF(B542="","",INDEX(CÓDIGOS_MANO_DE_OBRA,MATCH($B542,'[7]INSUMOS MANO DE OBRA'!$B$8:$B$63,0)))</f>
        <v/>
      </c>
      <c r="B542" s="462"/>
      <c r="C542" s="463"/>
      <c r="D542" s="52"/>
      <c r="E542" s="46" t="str">
        <f>+IF(B542="","",(VLOOKUP($A542,INSUMOS_MANO_DE_OBRA,8,0)))</f>
        <v/>
      </c>
      <c r="F542" s="54" t="str">
        <f>+IF(A542="","",IF(A542=0,"",IF(F541="","",F541)))</f>
        <v/>
      </c>
      <c r="G542" s="53" t="str">
        <f>+IFERROR(D542*E542/F542,"")</f>
        <v/>
      </c>
    </row>
    <row r="543" spans="1:7" x14ac:dyDescent="0.25">
      <c r="A543" s="33"/>
      <c r="B543" s="34"/>
      <c r="C543" s="119"/>
      <c r="D543" s="119"/>
      <c r="E543" s="35"/>
      <c r="F543" s="36" t="s">
        <v>62</v>
      </c>
      <c r="G543" s="37">
        <f>+IF(SUM(G539:G542)=0,"",SUM(G539:G542))</f>
        <v>40267.5</v>
      </c>
    </row>
    <row r="544" spans="1:7" x14ac:dyDescent="0.25">
      <c r="A544" s="121"/>
      <c r="B544" s="119"/>
      <c r="C544" s="55"/>
      <c r="D544" s="55"/>
      <c r="E544" s="55"/>
      <c r="F544" s="39"/>
      <c r="G544" s="56"/>
    </row>
    <row r="545" spans="1:7" x14ac:dyDescent="0.25">
      <c r="A545" s="465" t="s">
        <v>76</v>
      </c>
      <c r="B545" s="465"/>
      <c r="C545" s="465"/>
      <c r="D545" s="465"/>
      <c r="E545" s="465"/>
      <c r="F545" s="465"/>
      <c r="G545" s="467"/>
    </row>
    <row r="546" spans="1:7" x14ac:dyDescent="0.25">
      <c r="A546" s="120" t="s">
        <v>56</v>
      </c>
      <c r="B546" s="468" t="s">
        <v>44</v>
      </c>
      <c r="C546" s="468"/>
      <c r="D546" s="120" t="s">
        <v>45</v>
      </c>
      <c r="E546" s="120" t="s">
        <v>46</v>
      </c>
      <c r="F546" s="120" t="s">
        <v>65</v>
      </c>
      <c r="G546" s="120" t="s">
        <v>59</v>
      </c>
    </row>
    <row r="547" spans="1:7" x14ac:dyDescent="0.25">
      <c r="A547" s="25" t="str">
        <f>IF(B547="","",INDEX(CODIGOSSERVICIOS,MATCH($B547,'INSUMOS SERVICIOS'!$B$7:$B$21,0)))</f>
        <v/>
      </c>
      <c r="B547" s="462"/>
      <c r="C547" s="463"/>
      <c r="D547" s="43" t="str">
        <f>+IF(B547="","",(VLOOKUP($A547,INSUMOSSERVICIOS,3,0)))</f>
        <v/>
      </c>
      <c r="E547" s="57"/>
      <c r="F547" s="46" t="str">
        <f>IF(B547="","",(VLOOKUP($A547,INSUMOSSERVICIOS,4,0)))</f>
        <v/>
      </c>
      <c r="G547" s="29" t="str">
        <f>+IFERROR(E547*F547,"")</f>
        <v/>
      </c>
    </row>
    <row r="548" spans="1:7" x14ac:dyDescent="0.25">
      <c r="A548" s="25" t="str">
        <f>IF(B548="","",INDEX(CODIGOSSERVICIOS,MATCH($B548,'INSUMOS SERVICIOS'!$B$7:$B$21,0)))</f>
        <v/>
      </c>
      <c r="B548" s="462"/>
      <c r="C548" s="463"/>
      <c r="D548" s="43" t="str">
        <f>+IF(B548="","",(VLOOKUP($A548,INSUMOSSERVICIOS,3,0)))</f>
        <v/>
      </c>
      <c r="E548" s="57"/>
      <c r="F548" s="46" t="str">
        <f>IF(B548="","",(VLOOKUP($A548,INSUMOSSERVICIOS,4,0)))</f>
        <v/>
      </c>
      <c r="G548" s="29" t="str">
        <f>+IFERROR(E548*F548,"")</f>
        <v/>
      </c>
    </row>
    <row r="549" spans="1:7" x14ac:dyDescent="0.25">
      <c r="A549" s="25" t="str">
        <f>IF(B549="","",INDEX(CÓDIGOS_SERVICIOS,MATCH($B549,'[7]INSUMOS SERVICIOS'!$B$8:$B$51,0)))</f>
        <v/>
      </c>
      <c r="B549" s="462"/>
      <c r="C549" s="463"/>
      <c r="D549" s="43" t="str">
        <f>+IF(B549="","",(VLOOKUP($A549,INSUMOS_SERVICIOS,3,0)))</f>
        <v/>
      </c>
      <c r="E549" s="57"/>
      <c r="F549" s="46" t="str">
        <f>IF(B549="","",(VLOOKUP($A549,INSUMOS_SERVICIOS,4,0)))</f>
        <v/>
      </c>
      <c r="G549" s="29" t="str">
        <f>+IFERROR(E549*F549,"")</f>
        <v/>
      </c>
    </row>
    <row r="550" spans="1:7" x14ac:dyDescent="0.25">
      <c r="A550" s="33"/>
      <c r="B550" s="34"/>
      <c r="C550" s="119"/>
      <c r="D550" s="119"/>
      <c r="E550" s="35"/>
      <c r="F550" s="58" t="s">
        <v>62</v>
      </c>
      <c r="G550" s="37" t="str">
        <f>+IF(SUM(G547:G549)=0,"",SUM(G547:G549))</f>
        <v/>
      </c>
    </row>
    <row r="551" spans="1:7" x14ac:dyDescent="0.25">
      <c r="A551" s="121"/>
      <c r="B551" s="119"/>
      <c r="C551" s="55"/>
      <c r="D551" s="55"/>
      <c r="E551" s="55"/>
      <c r="F551" s="39"/>
      <c r="G551" s="56"/>
    </row>
    <row r="552" spans="1:7" x14ac:dyDescent="0.25">
      <c r="A552" s="464" t="s">
        <v>77</v>
      </c>
      <c r="B552" s="464"/>
      <c r="C552" s="464"/>
      <c r="D552" s="464"/>
      <c r="E552" s="464"/>
      <c r="F552" s="464"/>
      <c r="G552" s="59">
        <f>IF(SUM(G522,G529,G535,G543,G550)=0,"",(ROUND(SUM(G522,G529,G535,G543,G550),0)))</f>
        <v>1235115</v>
      </c>
    </row>
    <row r="553" spans="1:7" x14ac:dyDescent="0.25">
      <c r="A553" s="56"/>
      <c r="B553" s="48"/>
      <c r="C553" s="48"/>
      <c r="D553" s="48"/>
      <c r="E553" s="48"/>
      <c r="F553" s="48"/>
      <c r="G553" s="39"/>
    </row>
    <row r="554" spans="1:7" x14ac:dyDescent="0.25">
      <c r="A554" s="465" t="s">
        <v>78</v>
      </c>
      <c r="B554" s="465"/>
      <c r="C554" s="465"/>
      <c r="D554" s="465"/>
      <c r="E554" s="465"/>
      <c r="F554" s="465"/>
      <c r="G554" s="465"/>
    </row>
    <row r="555" spans="1:7" x14ac:dyDescent="0.25">
      <c r="A555" s="119"/>
      <c r="B555" s="119"/>
      <c r="C555" s="119"/>
      <c r="D555" s="119"/>
      <c r="E555" s="119"/>
      <c r="F555" s="119"/>
      <c r="G555" s="119"/>
    </row>
    <row r="556" spans="1:7" x14ac:dyDescent="0.25">
      <c r="A556" s="466" t="s">
        <v>44</v>
      </c>
      <c r="B556" s="466"/>
      <c r="C556" s="466"/>
      <c r="D556" s="466"/>
      <c r="E556" s="466"/>
      <c r="F556" s="60" t="s">
        <v>79</v>
      </c>
      <c r="G556" s="60" t="s">
        <v>48</v>
      </c>
    </row>
    <row r="557" spans="1:7" x14ac:dyDescent="0.25">
      <c r="A557" s="458" t="s">
        <v>80</v>
      </c>
      <c r="B557" s="458"/>
      <c r="C557" s="458"/>
      <c r="D557" s="458"/>
      <c r="E557" s="458"/>
      <c r="F557" s="61">
        <f ca="1">AU!$I$36</f>
        <v>0.191</v>
      </c>
      <c r="G557" s="62">
        <f ca="1">+IFERROR(G552*F557,"")</f>
        <v>235906.965</v>
      </c>
    </row>
    <row r="558" spans="1:7" x14ac:dyDescent="0.25">
      <c r="A558" s="458" t="s">
        <v>81</v>
      </c>
      <c r="B558" s="458"/>
      <c r="C558" s="458"/>
      <c r="D558" s="458"/>
      <c r="E558" s="458"/>
      <c r="F558" s="61" t="e">
        <f>IF(AU!#REF!=0,"",AU!#REF!)</f>
        <v>#REF!</v>
      </c>
      <c r="G558" s="62" t="str">
        <f>+IFERROR(G552*F558,"")</f>
        <v/>
      </c>
    </row>
    <row r="559" spans="1:7" x14ac:dyDescent="0.25">
      <c r="A559" s="458" t="s">
        <v>82</v>
      </c>
      <c r="B559" s="458"/>
      <c r="C559" s="458"/>
      <c r="D559" s="458"/>
      <c r="E559" s="458"/>
      <c r="F559" s="61">
        <f>IF(AU!$I$37=0,"",AU!$I$37)</f>
        <v>5.131865E-2</v>
      </c>
      <c r="G559" s="62">
        <f>+IFERROR(G552*F559,"")</f>
        <v>63384.434394750002</v>
      </c>
    </row>
    <row r="560" spans="1:7" x14ac:dyDescent="0.25">
      <c r="A560" s="459" t="s">
        <v>83</v>
      </c>
      <c r="B560" s="460"/>
      <c r="C560" s="460"/>
      <c r="D560" s="460"/>
      <c r="E560" s="460"/>
      <c r="F560" s="63" t="e">
        <f ca="1">IF(SUM(F557:F559)=0,"",SUM(F557:F559))</f>
        <v>#REF!</v>
      </c>
      <c r="G560" s="64">
        <f ca="1">IF(SUM(G557:G559)=0,"",ROUND(SUM(G557:G559),0))</f>
        <v>299291</v>
      </c>
    </row>
    <row r="561" spans="1:7" x14ac:dyDescent="0.25">
      <c r="A561" s="56"/>
      <c r="B561" s="34"/>
      <c r="C561" s="34"/>
      <c r="D561" s="34"/>
      <c r="E561" s="461"/>
      <c r="F561" s="461"/>
      <c r="G561" s="65"/>
    </row>
    <row r="562" spans="1:7" x14ac:dyDescent="0.25">
      <c r="A562" s="456" t="s">
        <v>84</v>
      </c>
      <c r="B562" s="457"/>
      <c r="C562" s="457"/>
      <c r="D562" s="457"/>
      <c r="E562" s="457"/>
      <c r="F562" s="457"/>
      <c r="G562" s="66">
        <f ca="1">+IFERROR(ROUND(G552+G560,0),"")</f>
        <v>1534406</v>
      </c>
    </row>
    <row r="563" spans="1:7" x14ac:dyDescent="0.25">
      <c r="A563" s="19"/>
      <c r="B563" s="19"/>
      <c r="C563" s="19"/>
      <c r="D563" s="19"/>
      <c r="E563" s="18"/>
      <c r="F563" s="18"/>
      <c r="G563" s="20"/>
    </row>
    <row r="564" spans="1:7" x14ac:dyDescent="0.25">
      <c r="A564" s="19"/>
      <c r="B564" s="185" t="s">
        <v>787</v>
      </c>
      <c r="C564" s="18"/>
      <c r="D564" s="18"/>
      <c r="E564" s="18"/>
      <c r="F564" s="18"/>
      <c r="G564" s="18"/>
    </row>
    <row r="565" spans="1:7" x14ac:dyDescent="0.25">
      <c r="A565" s="19"/>
      <c r="B565" s="185" t="s">
        <v>599</v>
      </c>
      <c r="C565" s="18"/>
      <c r="D565" s="18"/>
      <c r="E565" s="18"/>
      <c r="F565" s="18"/>
      <c r="G565" s="18"/>
    </row>
    <row r="566" spans="1:7" x14ac:dyDescent="0.25">
      <c r="A566" s="19"/>
      <c r="B566" s="185"/>
      <c r="C566" s="18"/>
      <c r="D566" s="67"/>
      <c r="E566" s="67"/>
      <c r="F566" s="67"/>
      <c r="G566" s="18"/>
    </row>
    <row r="567" spans="1:7" x14ac:dyDescent="0.25">
      <c r="A567" s="19"/>
      <c r="B567" s="185"/>
      <c r="C567" s="20"/>
      <c r="D567" s="365" t="s">
        <v>85</v>
      </c>
      <c r="E567" s="365"/>
      <c r="F567" s="365"/>
      <c r="G567" s="20"/>
    </row>
    <row r="569" spans="1:7" ht="18.75" x14ac:dyDescent="0.25">
      <c r="A569" s="376" t="str">
        <f>'DATOS INICIALES'!$B$1</f>
        <v>DEPARTAMENTO DE ANTIOQUIA</v>
      </c>
      <c r="B569" s="377"/>
      <c r="C569" s="377"/>
      <c r="D569" s="377"/>
      <c r="E569" s="377"/>
      <c r="F569" s="378" t="s">
        <v>51</v>
      </c>
      <c r="G569" s="378"/>
    </row>
    <row r="570" spans="1:7" ht="15.75" x14ac:dyDescent="0.25">
      <c r="A570" s="379" t="str">
        <f>'DATOS INICIALES'!$B$2</f>
        <v>MUNICIPIO DE DABEIBA</v>
      </c>
      <c r="B570" s="380"/>
      <c r="C570" s="380"/>
      <c r="D570" s="380"/>
      <c r="E570" s="380"/>
      <c r="F570" s="378"/>
      <c r="G570" s="378"/>
    </row>
    <row r="571" spans="1:7" x14ac:dyDescent="0.25">
      <c r="A571" s="481" t="str">
        <f>'DATOS INICIALES'!$B$3</f>
        <v>REPOSICIÓN, AMPLIACIÓN Y REPARACIÓN DE LUMINARIAS QUE HACEN PARTE DE LA RED DE ALUMBRADOPÚBLICO DEL PARQUE PRINCIPAL Y CORREGIMIENTO SAN JOSÉ DE URAMA DEL MUNICIPIO DE DABEIBA.</v>
      </c>
      <c r="B571" s="482"/>
      <c r="C571" s="482"/>
      <c r="D571" s="482"/>
      <c r="E571" s="482"/>
      <c r="F571" s="378"/>
      <c r="G571" s="378"/>
    </row>
    <row r="572" spans="1:7" x14ac:dyDescent="0.25">
      <c r="A572" s="383"/>
      <c r="B572" s="383"/>
      <c r="C572" s="383"/>
      <c r="D572" s="383"/>
      <c r="E572" s="388"/>
      <c r="F572" s="378"/>
      <c r="G572" s="378"/>
    </row>
    <row r="573" spans="1:7" x14ac:dyDescent="0.25">
      <c r="A573" s="384" t="s">
        <v>52</v>
      </c>
      <c r="B573" s="385"/>
      <c r="C573" s="385"/>
      <c r="D573" s="385"/>
      <c r="E573" s="385"/>
      <c r="F573" s="378"/>
      <c r="G573" s="378"/>
    </row>
    <row r="574" spans="1:7" x14ac:dyDescent="0.25">
      <c r="A574" s="383"/>
      <c r="B574" s="383"/>
      <c r="C574" s="383"/>
      <c r="D574" s="383"/>
      <c r="E574" s="383"/>
      <c r="F574" s="477"/>
      <c r="G574" s="477"/>
    </row>
    <row r="575" spans="1:7" x14ac:dyDescent="0.25">
      <c r="A575" s="21" t="s">
        <v>42</v>
      </c>
      <c r="B575" s="372" t="s">
        <v>44</v>
      </c>
      <c r="C575" s="373"/>
      <c r="D575" s="374"/>
      <c r="E575" s="22" t="s">
        <v>45</v>
      </c>
      <c r="F575" s="23" t="s">
        <v>46</v>
      </c>
      <c r="G575" s="23" t="s">
        <v>53</v>
      </c>
    </row>
    <row r="576" spans="1:7" x14ac:dyDescent="0.25">
      <c r="A576" s="24" t="s">
        <v>171</v>
      </c>
      <c r="B576" s="478" t="str">
        <f>+IFERROR(VLOOKUP($A576,INSUMOSMATERIALES,2,0),"")</f>
        <v>MORTERO 1:3 EN OBRA (PEGA)</v>
      </c>
      <c r="C576" s="479"/>
      <c r="D576" s="480"/>
      <c r="E576" s="82" t="str">
        <f>+IFERROR(VLOOKUP($A576,INSUMOSMATERIALES,3,0),"")</f>
        <v>M3</v>
      </c>
      <c r="F576" s="82" t="s">
        <v>460</v>
      </c>
      <c r="G576" s="153">
        <f ca="1">IF(G624=0,"",G614)</f>
        <v>1235115</v>
      </c>
    </row>
    <row r="577" spans="1:7" x14ac:dyDescent="0.25">
      <c r="A577" s="19"/>
      <c r="B577" s="19"/>
      <c r="C577" s="19"/>
      <c r="D577" s="19"/>
      <c r="E577" s="18"/>
      <c r="F577" s="18"/>
      <c r="G577" s="20"/>
    </row>
    <row r="578" spans="1:7" x14ac:dyDescent="0.25">
      <c r="A578" s="465" t="s">
        <v>54</v>
      </c>
      <c r="B578" s="465"/>
      <c r="C578" s="465"/>
      <c r="D578" s="465"/>
      <c r="E578" s="465"/>
      <c r="F578" s="465"/>
      <c r="G578" s="465"/>
    </row>
    <row r="579" spans="1:7" x14ac:dyDescent="0.25">
      <c r="A579" s="119"/>
      <c r="B579" s="119"/>
      <c r="C579" s="119"/>
      <c r="D579" s="119"/>
      <c r="E579" s="119"/>
      <c r="F579" s="119"/>
      <c r="G579" s="119"/>
    </row>
    <row r="580" spans="1:7" x14ac:dyDescent="0.25">
      <c r="A580" s="469" t="s">
        <v>55</v>
      </c>
      <c r="B580" s="469"/>
      <c r="C580" s="469"/>
      <c r="D580" s="469"/>
      <c r="E580" s="469"/>
      <c r="F580" s="469"/>
      <c r="G580" s="470"/>
    </row>
    <row r="581" spans="1:7" x14ac:dyDescent="0.25">
      <c r="A581" s="120" t="s">
        <v>56</v>
      </c>
      <c r="B581" s="471" t="s">
        <v>44</v>
      </c>
      <c r="C581" s="472"/>
      <c r="D581" s="120" t="s">
        <v>45</v>
      </c>
      <c r="E581" s="120" t="s">
        <v>57</v>
      </c>
      <c r="F581" s="120" t="s">
        <v>58</v>
      </c>
      <c r="G581" s="120" t="s">
        <v>59</v>
      </c>
    </row>
    <row r="582" spans="1:7" x14ac:dyDescent="0.25">
      <c r="A582" s="25" t="str">
        <f>IF(B582="","",INDEX(CODIGOEQUIPOS,MATCH($B582,'INSUMOS EQUIPOS'!$B$7:$B$39,0)))</f>
        <v>EQ004</v>
      </c>
      <c r="B582" s="473" t="s">
        <v>94</v>
      </c>
      <c r="C582" s="474"/>
      <c r="D582" s="26" t="str">
        <f>IF(B582="","",(VLOOKUP($A582,INSUMOSEQUIPOS,3,0)))</f>
        <v>DÍA</v>
      </c>
      <c r="E582" s="27">
        <f>IF(B582="","",(VLOOKUP($A582,INSUMOSEQUIPOS,4,0)))</f>
        <v>62000</v>
      </c>
      <c r="F582" s="28">
        <v>8</v>
      </c>
      <c r="G582" s="29">
        <f>+IFERROR(E582/F582,"")</f>
        <v>7750</v>
      </c>
    </row>
    <row r="583" spans="1:7" x14ac:dyDescent="0.25">
      <c r="A583" s="30" t="str">
        <f>+IF(G605="","","EQ001")</f>
        <v>EQ001</v>
      </c>
      <c r="B583" s="475" t="str">
        <f>+IF($A583="","",IFERROR(VLOOKUP($A583,INSUMOSEQUIPOS,2,0),""))</f>
        <v>HERRAMIENTA MENOR (5% DE LA MANO DE OBRA)</v>
      </c>
      <c r="C583" s="476"/>
      <c r="D583" s="26" t="str">
        <f>+IF($A583="","",IFERROR(VLOOKUP($A583,INSUMOSEQUIPOS,3,0),""))</f>
        <v>%</v>
      </c>
      <c r="E583" s="31">
        <f>+IF($A583="","",IFERROR(VLOOKUP($A583,INSUMOSEQUIPOS,4,0),""))</f>
        <v>0.05</v>
      </c>
      <c r="F583" s="32">
        <f>+IF(G605=0,"",G605)</f>
        <v>40267.5</v>
      </c>
      <c r="G583" s="29">
        <f>+IFERROR(E583*F583,"")</f>
        <v>2013.375</v>
      </c>
    </row>
    <row r="584" spans="1:7" x14ac:dyDescent="0.25">
      <c r="A584" s="33"/>
      <c r="B584" s="34"/>
      <c r="C584" s="119"/>
      <c r="D584" s="119"/>
      <c r="E584" s="35"/>
      <c r="F584" s="36" t="s">
        <v>62</v>
      </c>
      <c r="G584" s="37">
        <f>+IF(SUM(G582:G583)=0,"",SUM(G582:G583))</f>
        <v>9763.375</v>
      </c>
    </row>
    <row r="585" spans="1:7" x14ac:dyDescent="0.25">
      <c r="A585" s="34"/>
      <c r="B585" s="119"/>
      <c r="C585" s="119"/>
      <c r="D585" s="35"/>
      <c r="E585" s="38"/>
      <c r="F585" s="39"/>
      <c r="G585" s="33"/>
    </row>
    <row r="586" spans="1:7" x14ac:dyDescent="0.25">
      <c r="A586" s="465" t="s">
        <v>63</v>
      </c>
      <c r="B586" s="465"/>
      <c r="C586" s="465"/>
      <c r="D586" s="465"/>
      <c r="E586" s="465"/>
      <c r="F586" s="465"/>
      <c r="G586" s="467"/>
    </row>
    <row r="587" spans="1:7" x14ac:dyDescent="0.25">
      <c r="A587" s="120" t="s">
        <v>56</v>
      </c>
      <c r="B587" s="40" t="s">
        <v>44</v>
      </c>
      <c r="C587" s="41" t="s">
        <v>45</v>
      </c>
      <c r="D587" s="41" t="s">
        <v>46</v>
      </c>
      <c r="E587" s="41" t="s">
        <v>64</v>
      </c>
      <c r="F587" s="41" t="s">
        <v>65</v>
      </c>
      <c r="G587" s="41" t="s">
        <v>59</v>
      </c>
    </row>
    <row r="588" spans="1:7" ht="22.5" x14ac:dyDescent="0.25">
      <c r="A588" s="25" t="e">
        <f>IF(B588="","",INDEX(CODIGOMATERIALES,MATCH($B588,'INSUMOS MATERIALES'!$B$7:$B$51,0)))</f>
        <v>#N/A</v>
      </c>
      <c r="B588" s="42" t="s">
        <v>192</v>
      </c>
      <c r="C588" s="43" t="e">
        <f>IF(B588="","",(VLOOKUP($A588,INSUMOSMATERIALES,3,0)))</f>
        <v>#N/A</v>
      </c>
      <c r="D588" s="44">
        <v>9.08</v>
      </c>
      <c r="E588" s="45">
        <v>0.05</v>
      </c>
      <c r="F588" s="46" t="e">
        <f>IF(B588="","",(VLOOKUP($A588,INSUMOSMATERIALES,4,0)))</f>
        <v>#N/A</v>
      </c>
      <c r="G588" s="29" t="str">
        <f>+IFERROR(F588*D588*(1+E588),"")</f>
        <v/>
      </c>
    </row>
    <row r="589" spans="1:7" x14ac:dyDescent="0.25">
      <c r="A589" s="25" t="e">
        <f>IF(B589="","",INDEX(CODIGOMATERIALES,MATCH($B589,'INSUMOS MATERIALES'!$B$7:$B$51,0)))</f>
        <v>#N/A</v>
      </c>
      <c r="B589" s="42" t="s">
        <v>194</v>
      </c>
      <c r="C589" s="43" t="e">
        <f>IF(B589="","",(VLOOKUP($A589,INSUMOSMATERIALES,3,0)))</f>
        <v>#N/A</v>
      </c>
      <c r="D589" s="44">
        <v>1.0900000000000001</v>
      </c>
      <c r="E589" s="45">
        <v>0.05</v>
      </c>
      <c r="F589" s="46" t="e">
        <f>IF(B589="","",(VLOOKUP($A589,INSUMOSMATERIALES,4,0)))</f>
        <v>#N/A</v>
      </c>
      <c r="G589" s="29" t="str">
        <f>+IFERROR(F589*D589*(1+E589),"")</f>
        <v/>
      </c>
    </row>
    <row r="590" spans="1:7" x14ac:dyDescent="0.25">
      <c r="A590" s="25" t="e">
        <f>IF(B590="","",INDEX(CODIGOMATERIALES,MATCH($B590,'INSUMOS MATERIALES'!$B$7:$B$51,0)))</f>
        <v>#N/A</v>
      </c>
      <c r="B590" s="42" t="s">
        <v>201</v>
      </c>
      <c r="C590" s="43" t="e">
        <f>IF(B590="","",(VLOOKUP($A590,INSUMOSMATERIALES,3,0)))</f>
        <v>#N/A</v>
      </c>
      <c r="D590" s="44">
        <v>185</v>
      </c>
      <c r="E590" s="45">
        <v>0.1</v>
      </c>
      <c r="F590" s="46" t="e">
        <f>IF(B590="","",(VLOOKUP($A590,INSUMOSMATERIALES,4,0)))</f>
        <v>#N/A</v>
      </c>
      <c r="G590" s="29" t="str">
        <f>+IFERROR(F590*D590*(1+E590),"")</f>
        <v/>
      </c>
    </row>
    <row r="591" spans="1:7" x14ac:dyDescent="0.25">
      <c r="A591" s="33"/>
      <c r="B591" s="47"/>
      <c r="C591" s="119"/>
      <c r="D591" s="119"/>
      <c r="E591" s="35"/>
      <c r="F591" s="36" t="s">
        <v>62</v>
      </c>
      <c r="G591" s="37" t="str">
        <f>+IF(SUM(G588:G590)=0,"",SUM(G588:G590))</f>
        <v/>
      </c>
    </row>
    <row r="592" spans="1:7" x14ac:dyDescent="0.25">
      <c r="A592" s="34"/>
      <c r="B592" s="119"/>
      <c r="C592" s="119"/>
      <c r="D592" s="35"/>
      <c r="E592" s="48"/>
      <c r="F592" s="39"/>
      <c r="G592" s="33"/>
    </row>
    <row r="593" spans="1:7" x14ac:dyDescent="0.25">
      <c r="A593" s="465" t="s">
        <v>66</v>
      </c>
      <c r="B593" s="465"/>
      <c r="C593" s="465"/>
      <c r="D593" s="465"/>
      <c r="E593" s="465"/>
      <c r="F593" s="465"/>
      <c r="G593" s="465"/>
    </row>
    <row r="594" spans="1:7" x14ac:dyDescent="0.25">
      <c r="A594" s="120" t="s">
        <v>56</v>
      </c>
      <c r="B594" s="120" t="s">
        <v>44</v>
      </c>
      <c r="C594" s="120" t="s">
        <v>67</v>
      </c>
      <c r="D594" s="120" t="s">
        <v>68</v>
      </c>
      <c r="E594" s="41" t="s">
        <v>69</v>
      </c>
      <c r="F594" s="41" t="s">
        <v>57</v>
      </c>
      <c r="G594" s="41" t="s">
        <v>59</v>
      </c>
    </row>
    <row r="595" spans="1:7" ht="34.15" customHeight="1" x14ac:dyDescent="0.25">
      <c r="A595" s="25" t="str">
        <f>IF(B595="","",INDEX(CODIGOTRANSPORTES,MATCH(B595,'INSUMOS TRANSPORTES'!$B$7:$B$13,0)))</f>
        <v>TR002</v>
      </c>
      <c r="B595" s="42" t="s">
        <v>555</v>
      </c>
      <c r="C595" s="49" t="s">
        <v>461</v>
      </c>
      <c r="D595" s="44">
        <f>(D589)*1.05</f>
        <v>1.1445000000000001</v>
      </c>
      <c r="E595" s="50">
        <f>+IF(C595=0,"",IF(C595="INSUMOS",'DATOS INICIALES'!$B$24,IF(C595="PLAYA",'DATOS INICIALES'!$B$21,IF(C595="TIERRA",'DATOS INICIALES'!$B$19,IF(C595="ESCOMBROS",'DATOS INICIALES'!$B$20,IF(C595="ASFALTO",'DATOS INICIALES'!$B$25,IF(C595="GRANULAR",'DATOS INICIALES'!B604)))))))</f>
        <v>120</v>
      </c>
      <c r="F595" s="27">
        <f>+IF(B595="","",(VLOOKUP($A595,INSUMOSTRANSPORTES,4,0)))</f>
        <v>6100</v>
      </c>
      <c r="G595" s="29">
        <f>+IFERROR(D595*E595*F595,"")</f>
        <v>837774</v>
      </c>
    </row>
    <row r="596" spans="1:7" ht="22.5" x14ac:dyDescent="0.25">
      <c r="A596" s="25" t="str">
        <f>IF(B596="","",INDEX(CODIGOTRANSPORTES,MATCH(B596,'INSUMOS TRANSPORTES'!$B$7:$B$26,0)))</f>
        <v>TR007</v>
      </c>
      <c r="B596" s="42" t="s">
        <v>463</v>
      </c>
      <c r="C596" s="49" t="s">
        <v>462</v>
      </c>
      <c r="D596" s="44">
        <f>(50*D588)/1000</f>
        <v>0.45400000000000001</v>
      </c>
      <c r="E596" s="50">
        <f>+IF(C596=0,"",IF(C596="INSUMOS",'DATOS INICIALES'!$B$24,IF(C596="PLAYA",'DATOS INICIALES'!$B$21,IF(C596="TIERRA",'DATOS INICIALES'!$B$19,IF(C596="ESCOMBROS",'DATOS INICIALES'!$B$20,IF(C596="ASFALTO",'DATOS INICIALES'!$B$25,IF(C596="GRANULAR",'DATOS INICIALES'!B605)))))))</f>
        <v>180</v>
      </c>
      <c r="F596" s="27">
        <f>+IF(B596="","",(VLOOKUP($A596,INSUMOSTRANSPORTES,4,0)))</f>
        <v>4250</v>
      </c>
      <c r="G596" s="29">
        <f>+IFERROR(D596*E596*F596,"")</f>
        <v>347310</v>
      </c>
    </row>
    <row r="597" spans="1:7" x14ac:dyDescent="0.25">
      <c r="A597" s="33"/>
      <c r="B597" s="51"/>
      <c r="C597" s="119"/>
      <c r="D597" s="119"/>
      <c r="E597" s="35"/>
      <c r="F597" s="36" t="s">
        <v>62</v>
      </c>
      <c r="G597" s="37">
        <f>+IF(SUM(G595:G596)=0,"",SUM(G595:G596))</f>
        <v>1185084</v>
      </c>
    </row>
    <row r="598" spans="1:7" x14ac:dyDescent="0.25">
      <c r="A598" s="119"/>
      <c r="B598" s="119"/>
      <c r="C598" s="119"/>
      <c r="D598" s="35"/>
      <c r="E598" s="48"/>
      <c r="F598" s="39"/>
      <c r="G598" s="33"/>
    </row>
    <row r="599" spans="1:7" x14ac:dyDescent="0.25">
      <c r="A599" s="465" t="s">
        <v>70</v>
      </c>
      <c r="B599" s="465"/>
      <c r="C599" s="465"/>
      <c r="D599" s="465"/>
      <c r="E599" s="465"/>
      <c r="F599" s="465"/>
      <c r="G599" s="467"/>
    </row>
    <row r="600" spans="1:7" x14ac:dyDescent="0.25">
      <c r="A600" s="120" t="s">
        <v>56</v>
      </c>
      <c r="B600" s="468" t="s">
        <v>71</v>
      </c>
      <c r="C600" s="468"/>
      <c r="D600" s="41" t="s">
        <v>46</v>
      </c>
      <c r="E600" s="41" t="s">
        <v>72</v>
      </c>
      <c r="F600" s="41" t="s">
        <v>58</v>
      </c>
      <c r="G600" s="41" t="s">
        <v>59</v>
      </c>
    </row>
    <row r="601" spans="1:7" x14ac:dyDescent="0.25">
      <c r="A601" s="25" t="str">
        <f>IF(B601="","",INDEX(CODIGOSMANODEOBRA,MATCH($B601,'INSUMOS MANO DE OBRA'!$B$7:$B$61,0)))</f>
        <v>MO033</v>
      </c>
      <c r="B601" s="462" t="s">
        <v>360</v>
      </c>
      <c r="C601" s="463"/>
      <c r="D601" s="52">
        <v>1</v>
      </c>
      <c r="E601" s="46">
        <f>IF(B601="","",(VLOOKUP($A601,INSUMOSMANODEOBRA,8,0)))</f>
        <v>94854</v>
      </c>
      <c r="F601" s="44">
        <v>8</v>
      </c>
      <c r="G601" s="53">
        <f>+IFERROR(D601*E601/F601,"")</f>
        <v>11856.75</v>
      </c>
    </row>
    <row r="602" spans="1:7" x14ac:dyDescent="0.25">
      <c r="A602" s="25" t="str">
        <f>IF(B602="","",INDEX(CODIGOSMANODEOBRA,MATCH($B602,'INSUMOS MANO DE OBRA'!$B$7:$B$61,0)))</f>
        <v>MO032</v>
      </c>
      <c r="B602" s="462" t="s">
        <v>359</v>
      </c>
      <c r="C602" s="463"/>
      <c r="D602" s="52">
        <v>3</v>
      </c>
      <c r="E602" s="46">
        <f>IF(B602="","",(VLOOKUP($A602,INSUMOSMANODEOBRA,8,0)))</f>
        <v>75762</v>
      </c>
      <c r="F602" s="44">
        <v>8</v>
      </c>
      <c r="G602" s="53">
        <f>+IFERROR(D602*E602/F602,"")</f>
        <v>28410.75</v>
      </c>
    </row>
    <row r="603" spans="1:7" x14ac:dyDescent="0.25">
      <c r="A603" s="25"/>
      <c r="B603" s="462"/>
      <c r="C603" s="463"/>
      <c r="D603" s="52"/>
      <c r="E603" s="46"/>
      <c r="F603" s="54"/>
      <c r="G603" s="53" t="str">
        <f>+IFERROR(D603*E603/F603,"")</f>
        <v/>
      </c>
    </row>
    <row r="604" spans="1:7" x14ac:dyDescent="0.25">
      <c r="A604" s="25" t="str">
        <f>IF(B604="","",INDEX(CÓDIGOS_MANO_DE_OBRA,MATCH($B604,'[7]INSUMOS MANO DE OBRA'!$B$8:$B$63,0)))</f>
        <v/>
      </c>
      <c r="B604" s="462"/>
      <c r="C604" s="463"/>
      <c r="D604" s="52"/>
      <c r="E604" s="46" t="str">
        <f>+IF(B604="","",(VLOOKUP($A604,INSUMOS_MANO_DE_OBRA,8,0)))</f>
        <v/>
      </c>
      <c r="F604" s="54" t="str">
        <f>+IF(A604="","",IF(A604=0,"",IF(F603="","",F603)))</f>
        <v/>
      </c>
      <c r="G604" s="53" t="str">
        <f>+IFERROR(D604*E604/F604,"")</f>
        <v/>
      </c>
    </row>
    <row r="605" spans="1:7" x14ac:dyDescent="0.25">
      <c r="A605" s="33"/>
      <c r="B605" s="34"/>
      <c r="C605" s="119"/>
      <c r="D605" s="119"/>
      <c r="E605" s="35"/>
      <c r="F605" s="36" t="s">
        <v>62</v>
      </c>
      <c r="G605" s="37">
        <f>+IF(SUM(G601:G604)=0,"",SUM(G601:G604))</f>
        <v>40267.5</v>
      </c>
    </row>
    <row r="606" spans="1:7" x14ac:dyDescent="0.25">
      <c r="A606" s="121"/>
      <c r="B606" s="119"/>
      <c r="C606" s="55"/>
      <c r="D606" s="55"/>
      <c r="E606" s="55"/>
      <c r="F606" s="39"/>
      <c r="G606" s="56"/>
    </row>
    <row r="607" spans="1:7" x14ac:dyDescent="0.25">
      <c r="A607" s="465" t="s">
        <v>76</v>
      </c>
      <c r="B607" s="465"/>
      <c r="C607" s="465"/>
      <c r="D607" s="465"/>
      <c r="E607" s="465"/>
      <c r="F607" s="465"/>
      <c r="G607" s="467"/>
    </row>
    <row r="608" spans="1:7" x14ac:dyDescent="0.25">
      <c r="A608" s="120" t="s">
        <v>56</v>
      </c>
      <c r="B608" s="468" t="s">
        <v>44</v>
      </c>
      <c r="C608" s="468"/>
      <c r="D608" s="120" t="s">
        <v>45</v>
      </c>
      <c r="E608" s="120" t="s">
        <v>46</v>
      </c>
      <c r="F608" s="120" t="s">
        <v>65</v>
      </c>
      <c r="G608" s="120" t="s">
        <v>59</v>
      </c>
    </row>
    <row r="609" spans="1:7" x14ac:dyDescent="0.25">
      <c r="A609" s="25" t="str">
        <f>IF(B609="","",INDEX(CODIGOSSERVICIOS,MATCH($B609,'INSUMOS SERVICIOS'!$B$7:$B$21,0)))</f>
        <v/>
      </c>
      <c r="B609" s="462"/>
      <c r="C609" s="463"/>
      <c r="D609" s="43" t="str">
        <f>+IF(B609="","",(VLOOKUP($A609,INSUMOSSERVICIOS,3,0)))</f>
        <v/>
      </c>
      <c r="E609" s="57"/>
      <c r="F609" s="46" t="str">
        <f>IF(B609="","",(VLOOKUP($A609,INSUMOSSERVICIOS,4,0)))</f>
        <v/>
      </c>
      <c r="G609" s="29" t="str">
        <f>+IFERROR(E609*F609,"")</f>
        <v/>
      </c>
    </row>
    <row r="610" spans="1:7" x14ac:dyDescent="0.25">
      <c r="A610" s="25" t="str">
        <f>IF(B610="","",INDEX(CODIGOSSERVICIOS,MATCH($B610,'INSUMOS SERVICIOS'!$B$7:$B$21,0)))</f>
        <v/>
      </c>
      <c r="B610" s="462"/>
      <c r="C610" s="463"/>
      <c r="D610" s="43" t="str">
        <f>+IF(B610="","",(VLOOKUP($A610,INSUMOSSERVICIOS,3,0)))</f>
        <v/>
      </c>
      <c r="E610" s="57"/>
      <c r="F610" s="46" t="str">
        <f>IF(B610="","",(VLOOKUP($A610,INSUMOSSERVICIOS,4,0)))</f>
        <v/>
      </c>
      <c r="G610" s="29" t="str">
        <f>+IFERROR(E610*F610,"")</f>
        <v/>
      </c>
    </row>
    <row r="611" spans="1:7" x14ac:dyDescent="0.25">
      <c r="A611" s="25" t="str">
        <f>IF(B611="","",INDEX(CÓDIGOS_SERVICIOS,MATCH($B611,'[7]INSUMOS SERVICIOS'!$B$8:$B$51,0)))</f>
        <v/>
      </c>
      <c r="B611" s="462"/>
      <c r="C611" s="463"/>
      <c r="D611" s="43" t="str">
        <f>+IF(B611="","",(VLOOKUP($A611,INSUMOS_SERVICIOS,3,0)))</f>
        <v/>
      </c>
      <c r="E611" s="57"/>
      <c r="F611" s="46" t="str">
        <f>IF(B611="","",(VLOOKUP($A611,INSUMOS_SERVICIOS,4,0)))</f>
        <v/>
      </c>
      <c r="G611" s="29" t="str">
        <f>+IFERROR(E611*F611,"")</f>
        <v/>
      </c>
    </row>
    <row r="612" spans="1:7" x14ac:dyDescent="0.25">
      <c r="A612" s="33"/>
      <c r="B612" s="34"/>
      <c r="C612" s="119"/>
      <c r="D612" s="119"/>
      <c r="E612" s="35"/>
      <c r="F612" s="58" t="s">
        <v>62</v>
      </c>
      <c r="G612" s="37" t="str">
        <f>+IF(SUM(G609:G611)=0,"",SUM(G609:G611))</f>
        <v/>
      </c>
    </row>
    <row r="613" spans="1:7" x14ac:dyDescent="0.25">
      <c r="A613" s="121"/>
      <c r="B613" s="119"/>
      <c r="C613" s="55"/>
      <c r="D613" s="55"/>
      <c r="E613" s="55"/>
      <c r="F613" s="39"/>
      <c r="G613" s="56"/>
    </row>
    <row r="614" spans="1:7" x14ac:dyDescent="0.25">
      <c r="A614" s="464" t="s">
        <v>77</v>
      </c>
      <c r="B614" s="464"/>
      <c r="C614" s="464"/>
      <c r="D614" s="464"/>
      <c r="E614" s="464"/>
      <c r="F614" s="464"/>
      <c r="G614" s="59">
        <f>IF(SUM(G584,G591,G597,G605,G612)=0,"",(ROUND(SUM(G584,G591,G597,G605,G612),0)))</f>
        <v>1235115</v>
      </c>
    </row>
    <row r="615" spans="1:7" x14ac:dyDescent="0.25">
      <c r="A615" s="56"/>
      <c r="B615" s="48"/>
      <c r="C615" s="48"/>
      <c r="D615" s="48"/>
      <c r="E615" s="48"/>
      <c r="F615" s="48"/>
      <c r="G615" s="39"/>
    </row>
    <row r="616" spans="1:7" x14ac:dyDescent="0.25">
      <c r="A616" s="465" t="s">
        <v>78</v>
      </c>
      <c r="B616" s="465"/>
      <c r="C616" s="465"/>
      <c r="D616" s="465"/>
      <c r="E616" s="465"/>
      <c r="F616" s="465"/>
      <c r="G616" s="465"/>
    </row>
    <row r="617" spans="1:7" x14ac:dyDescent="0.25">
      <c r="A617" s="119"/>
      <c r="B617" s="119"/>
      <c r="C617" s="119"/>
      <c r="D617" s="119"/>
      <c r="E617" s="119"/>
      <c r="F617" s="119"/>
      <c r="G617" s="119"/>
    </row>
    <row r="618" spans="1:7" x14ac:dyDescent="0.25">
      <c r="A618" s="466" t="s">
        <v>44</v>
      </c>
      <c r="B618" s="466"/>
      <c r="C618" s="466"/>
      <c r="D618" s="466"/>
      <c r="E618" s="466"/>
      <c r="F618" s="60" t="s">
        <v>79</v>
      </c>
      <c r="G618" s="60" t="s">
        <v>48</v>
      </c>
    </row>
    <row r="619" spans="1:7" x14ac:dyDescent="0.25">
      <c r="A619" s="458" t="s">
        <v>80</v>
      </c>
      <c r="B619" s="458"/>
      <c r="C619" s="458"/>
      <c r="D619" s="458"/>
      <c r="E619" s="458"/>
      <c r="F619" s="61">
        <f ca="1">AU!$I$36</f>
        <v>0.191</v>
      </c>
      <c r="G619" s="62">
        <f ca="1">+IFERROR(G614*F619,"")</f>
        <v>235906.965</v>
      </c>
    </row>
    <row r="620" spans="1:7" x14ac:dyDescent="0.25">
      <c r="A620" s="458" t="s">
        <v>81</v>
      </c>
      <c r="B620" s="458"/>
      <c r="C620" s="458"/>
      <c r="D620" s="458"/>
      <c r="E620" s="458"/>
      <c r="F620" s="61" t="e">
        <f>IF(AU!#REF!=0,"",AU!#REF!)</f>
        <v>#REF!</v>
      </c>
      <c r="G620" s="62" t="str">
        <f>+IFERROR(G614*F620,"")</f>
        <v/>
      </c>
    </row>
    <row r="621" spans="1:7" x14ac:dyDescent="0.25">
      <c r="A621" s="458" t="s">
        <v>82</v>
      </c>
      <c r="B621" s="458"/>
      <c r="C621" s="458"/>
      <c r="D621" s="458"/>
      <c r="E621" s="458"/>
      <c r="F621" s="61">
        <f>IF(AU!$I$37=0,"",AU!$I$37)</f>
        <v>5.131865E-2</v>
      </c>
      <c r="G621" s="62">
        <f>+IFERROR(G614*F621,"")</f>
        <v>63384.434394750002</v>
      </c>
    </row>
    <row r="622" spans="1:7" x14ac:dyDescent="0.25">
      <c r="A622" s="459" t="s">
        <v>83</v>
      </c>
      <c r="B622" s="460"/>
      <c r="C622" s="460"/>
      <c r="D622" s="460"/>
      <c r="E622" s="460"/>
      <c r="F622" s="63" t="e">
        <f ca="1">IF(SUM(F619:F621)=0,"",SUM(F619:F621))</f>
        <v>#REF!</v>
      </c>
      <c r="G622" s="64">
        <f ca="1">IF(SUM(G619:G621)=0,"",ROUND(SUM(G619:G621),0))</f>
        <v>299291</v>
      </c>
    </row>
    <row r="623" spans="1:7" x14ac:dyDescent="0.25">
      <c r="A623" s="56"/>
      <c r="B623" s="34"/>
      <c r="C623" s="34"/>
      <c r="D623" s="34"/>
      <c r="E623" s="461"/>
      <c r="F623" s="461"/>
      <c r="G623" s="65"/>
    </row>
    <row r="624" spans="1:7" x14ac:dyDescent="0.25">
      <c r="A624" s="456" t="s">
        <v>84</v>
      </c>
      <c r="B624" s="457"/>
      <c r="C624" s="457"/>
      <c r="D624" s="457"/>
      <c r="E624" s="457"/>
      <c r="F624" s="457"/>
      <c r="G624" s="66">
        <f ca="1">+IFERROR(ROUND(G614+G622,0),"")</f>
        <v>1534406</v>
      </c>
    </row>
    <row r="625" spans="1:7" x14ac:dyDescent="0.25">
      <c r="A625" s="19"/>
      <c r="B625" s="19"/>
      <c r="C625" s="19"/>
      <c r="D625" s="19"/>
      <c r="E625" s="18"/>
      <c r="F625" s="18"/>
      <c r="G625" s="20"/>
    </row>
    <row r="626" spans="1:7" x14ac:dyDescent="0.25">
      <c r="A626" s="19"/>
      <c r="B626" s="185" t="s">
        <v>787</v>
      </c>
      <c r="C626" s="18"/>
      <c r="D626" s="18"/>
      <c r="E626" s="18"/>
      <c r="F626" s="18"/>
      <c r="G626" s="18"/>
    </row>
    <row r="627" spans="1:7" x14ac:dyDescent="0.25">
      <c r="A627" s="19"/>
      <c r="B627" s="185" t="s">
        <v>599</v>
      </c>
      <c r="C627" s="18"/>
      <c r="D627" s="18"/>
      <c r="E627" s="18"/>
      <c r="F627" s="18"/>
      <c r="G627" s="18"/>
    </row>
    <row r="628" spans="1:7" x14ac:dyDescent="0.25">
      <c r="A628" s="19"/>
      <c r="B628" s="185"/>
      <c r="C628" s="18"/>
      <c r="D628" s="67"/>
      <c r="E628" s="67"/>
      <c r="F628" s="67"/>
      <c r="G628" s="18"/>
    </row>
    <row r="629" spans="1:7" x14ac:dyDescent="0.25">
      <c r="A629" s="19"/>
      <c r="B629" s="185"/>
      <c r="C629" s="20"/>
      <c r="D629" s="365" t="s">
        <v>85</v>
      </c>
      <c r="E629" s="365"/>
      <c r="F629" s="365"/>
      <c r="G629" s="20"/>
    </row>
    <row r="631" spans="1:7" ht="18.75" x14ac:dyDescent="0.25">
      <c r="A631" s="376" t="str">
        <f>'DATOS INICIALES'!$B$1</f>
        <v>DEPARTAMENTO DE ANTIOQUIA</v>
      </c>
      <c r="B631" s="377"/>
      <c r="C631" s="377"/>
      <c r="D631" s="377"/>
      <c r="E631" s="377"/>
      <c r="F631" s="378" t="s">
        <v>51</v>
      </c>
      <c r="G631" s="378"/>
    </row>
    <row r="632" spans="1:7" ht="15.75" x14ac:dyDescent="0.25">
      <c r="A632" s="379" t="str">
        <f>'DATOS INICIALES'!$B$2</f>
        <v>MUNICIPIO DE DABEIBA</v>
      </c>
      <c r="B632" s="380"/>
      <c r="C632" s="380"/>
      <c r="D632" s="380"/>
      <c r="E632" s="380"/>
      <c r="F632" s="378"/>
      <c r="G632" s="378"/>
    </row>
    <row r="633" spans="1:7" x14ac:dyDescent="0.25">
      <c r="A633" s="481" t="str">
        <f>'DATOS INICIALES'!$B$3</f>
        <v>REPOSICIÓN, AMPLIACIÓN Y REPARACIÓN DE LUMINARIAS QUE HACEN PARTE DE LA RED DE ALUMBRADOPÚBLICO DEL PARQUE PRINCIPAL Y CORREGIMIENTO SAN JOSÉ DE URAMA DEL MUNICIPIO DE DABEIBA.</v>
      </c>
      <c r="B633" s="482"/>
      <c r="C633" s="482"/>
      <c r="D633" s="482"/>
      <c r="E633" s="482"/>
      <c r="F633" s="378"/>
      <c r="G633" s="378"/>
    </row>
    <row r="634" spans="1:7" x14ac:dyDescent="0.25">
      <c r="A634" s="383"/>
      <c r="B634" s="383"/>
      <c r="C634" s="383"/>
      <c r="D634" s="383"/>
      <c r="E634" s="388"/>
      <c r="F634" s="378"/>
      <c r="G634" s="378"/>
    </row>
    <row r="635" spans="1:7" x14ac:dyDescent="0.25">
      <c r="A635" s="384" t="s">
        <v>52</v>
      </c>
      <c r="B635" s="385"/>
      <c r="C635" s="385"/>
      <c r="D635" s="385"/>
      <c r="E635" s="385"/>
      <c r="F635" s="378"/>
      <c r="G635" s="378"/>
    </row>
    <row r="636" spans="1:7" x14ac:dyDescent="0.25">
      <c r="A636" s="383"/>
      <c r="B636" s="383"/>
      <c r="C636" s="383"/>
      <c r="D636" s="383"/>
      <c r="E636" s="383"/>
      <c r="F636" s="477"/>
      <c r="G636" s="477"/>
    </row>
    <row r="637" spans="1:7" x14ac:dyDescent="0.25">
      <c r="A637" s="21" t="s">
        <v>42</v>
      </c>
      <c r="B637" s="372" t="s">
        <v>44</v>
      </c>
      <c r="C637" s="373"/>
      <c r="D637" s="374"/>
      <c r="E637" s="22" t="s">
        <v>45</v>
      </c>
      <c r="F637" s="23" t="s">
        <v>46</v>
      </c>
      <c r="G637" s="23" t="s">
        <v>53</v>
      </c>
    </row>
    <row r="638" spans="1:7" x14ac:dyDescent="0.25">
      <c r="A638" s="24" t="s">
        <v>173</v>
      </c>
      <c r="B638" s="478" t="str">
        <f>+IFERROR(VLOOKUP($A638,INSUMOSMATERIALES,2,0),"")</f>
        <v>MORTERO 1:4 EN OBRA (REVOQUE)</v>
      </c>
      <c r="C638" s="479"/>
      <c r="D638" s="480"/>
      <c r="E638" s="82" t="str">
        <f>+IFERROR(VLOOKUP($A638,INSUMOSMATERIALES,3,0),"")</f>
        <v>M3</v>
      </c>
      <c r="F638" s="82" t="s">
        <v>460</v>
      </c>
      <c r="G638" s="153">
        <f ca="1">IF(G686=0,"",G676)</f>
        <v>1220067</v>
      </c>
    </row>
    <row r="639" spans="1:7" x14ac:dyDescent="0.25">
      <c r="A639" s="19"/>
      <c r="B639" s="19"/>
      <c r="C639" s="19"/>
      <c r="D639" s="19"/>
      <c r="E639" s="18"/>
      <c r="F639" s="18"/>
      <c r="G639" s="20"/>
    </row>
    <row r="640" spans="1:7" x14ac:dyDescent="0.25">
      <c r="A640" s="465" t="s">
        <v>54</v>
      </c>
      <c r="B640" s="465"/>
      <c r="C640" s="465"/>
      <c r="D640" s="465"/>
      <c r="E640" s="465"/>
      <c r="F640" s="465"/>
      <c r="G640" s="465"/>
    </row>
    <row r="641" spans="1:7" x14ac:dyDescent="0.25">
      <c r="A641" s="119"/>
      <c r="B641" s="119"/>
      <c r="C641" s="119"/>
      <c r="D641" s="119"/>
      <c r="E641" s="119"/>
      <c r="F641" s="119"/>
      <c r="G641" s="119"/>
    </row>
    <row r="642" spans="1:7" x14ac:dyDescent="0.25">
      <c r="A642" s="469" t="s">
        <v>55</v>
      </c>
      <c r="B642" s="469"/>
      <c r="C642" s="469"/>
      <c r="D642" s="469"/>
      <c r="E642" s="469"/>
      <c r="F642" s="469"/>
      <c r="G642" s="470"/>
    </row>
    <row r="643" spans="1:7" x14ac:dyDescent="0.25">
      <c r="A643" s="120" t="s">
        <v>56</v>
      </c>
      <c r="B643" s="471" t="s">
        <v>44</v>
      </c>
      <c r="C643" s="472"/>
      <c r="D643" s="120" t="s">
        <v>45</v>
      </c>
      <c r="E643" s="120" t="s">
        <v>57</v>
      </c>
      <c r="F643" s="120" t="s">
        <v>58</v>
      </c>
      <c r="G643" s="120" t="s">
        <v>59</v>
      </c>
    </row>
    <row r="644" spans="1:7" x14ac:dyDescent="0.25">
      <c r="A644" s="25" t="str">
        <f>IF(B644="","",INDEX(CODIGOEQUIPOS,MATCH($B644,'INSUMOS EQUIPOS'!$B$7:$B$39,0)))</f>
        <v>EQ004</v>
      </c>
      <c r="B644" s="473" t="s">
        <v>94</v>
      </c>
      <c r="C644" s="474"/>
      <c r="D644" s="26" t="str">
        <f>IF(B644="","",(VLOOKUP($A644,INSUMOSEQUIPOS,3,0)))</f>
        <v>DÍA</v>
      </c>
      <c r="E644" s="27">
        <f>IF(B644="","",(VLOOKUP($A644,INSUMOSEQUIPOS,4,0)))</f>
        <v>62000</v>
      </c>
      <c r="F644" s="28">
        <v>8</v>
      </c>
      <c r="G644" s="29">
        <f>+IFERROR(E644/F644,"")</f>
        <v>7750</v>
      </c>
    </row>
    <row r="645" spans="1:7" x14ac:dyDescent="0.25">
      <c r="A645" s="30" t="str">
        <f>+IF(G667="","","EQ001")</f>
        <v>EQ001</v>
      </c>
      <c r="B645" s="475" t="str">
        <f>+IF($A645="","",IFERROR(VLOOKUP($A645,INSUMOSEQUIPOS,2,0),""))</f>
        <v>HERRAMIENTA MENOR (5% DE LA MANO DE OBRA)</v>
      </c>
      <c r="C645" s="476"/>
      <c r="D645" s="26" t="str">
        <f>+IF($A645="","",IFERROR(VLOOKUP($A645,INSUMOSEQUIPOS,3,0),""))</f>
        <v>%</v>
      </c>
      <c r="E645" s="31">
        <f>+IF($A645="","",IFERROR(VLOOKUP($A645,INSUMOSEQUIPOS,4,0),""))</f>
        <v>0.05</v>
      </c>
      <c r="F645" s="32">
        <f>+IF(G667=0,"",G667)</f>
        <v>40267.5</v>
      </c>
      <c r="G645" s="29">
        <f>+IFERROR(E645*F645,"")</f>
        <v>2013.375</v>
      </c>
    </row>
    <row r="646" spans="1:7" x14ac:dyDescent="0.25">
      <c r="A646" s="33"/>
      <c r="B646" s="34"/>
      <c r="C646" s="119"/>
      <c r="D646" s="119"/>
      <c r="E646" s="35"/>
      <c r="F646" s="36" t="s">
        <v>62</v>
      </c>
      <c r="G646" s="37">
        <f>+IF(SUM(G644:G645)=0,"",SUM(G644:G645))</f>
        <v>9763.375</v>
      </c>
    </row>
    <row r="647" spans="1:7" x14ac:dyDescent="0.25">
      <c r="A647" s="34"/>
      <c r="B647" s="119"/>
      <c r="C647" s="119"/>
      <c r="D647" s="35"/>
      <c r="E647" s="38"/>
      <c r="F647" s="39"/>
      <c r="G647" s="33"/>
    </row>
    <row r="648" spans="1:7" x14ac:dyDescent="0.25">
      <c r="A648" s="465" t="s">
        <v>63</v>
      </c>
      <c r="B648" s="465"/>
      <c r="C648" s="465"/>
      <c r="D648" s="465"/>
      <c r="E648" s="465"/>
      <c r="F648" s="465"/>
      <c r="G648" s="467"/>
    </row>
    <row r="649" spans="1:7" x14ac:dyDescent="0.25">
      <c r="A649" s="120" t="s">
        <v>56</v>
      </c>
      <c r="B649" s="40" t="s">
        <v>44</v>
      </c>
      <c r="C649" s="41" t="s">
        <v>45</v>
      </c>
      <c r="D649" s="41" t="s">
        <v>46</v>
      </c>
      <c r="E649" s="41" t="s">
        <v>64</v>
      </c>
      <c r="F649" s="41" t="s">
        <v>65</v>
      </c>
      <c r="G649" s="41" t="s">
        <v>59</v>
      </c>
    </row>
    <row r="650" spans="1:7" ht="22.5" x14ac:dyDescent="0.25">
      <c r="A650" s="25" t="e">
        <f>IF(B650="","",INDEX(CODIGOMATERIALES,MATCH($B650,'INSUMOS MATERIALES'!$B$7:$B$51,0)))</f>
        <v>#N/A</v>
      </c>
      <c r="B650" s="42" t="s">
        <v>192</v>
      </c>
      <c r="C650" s="43" t="e">
        <f>IF(B650="","",(VLOOKUP($A650,INSUMOSMATERIALES,3,0)))</f>
        <v>#N/A</v>
      </c>
      <c r="D650" s="44">
        <v>7.28</v>
      </c>
      <c r="E650" s="45">
        <v>0.05</v>
      </c>
      <c r="F650" s="46" t="e">
        <f>IF(B650="","",(VLOOKUP($A650,INSUMOSMATERIALES,4,0)))</f>
        <v>#N/A</v>
      </c>
      <c r="G650" s="29" t="str">
        <f>+IFERROR(F650*D650*(1+E650),"")</f>
        <v/>
      </c>
    </row>
    <row r="651" spans="1:7" x14ac:dyDescent="0.25">
      <c r="A651" s="25" t="e">
        <f>IF(B651="","",INDEX(CODIGOMATERIALES,MATCH($B651,'INSUMOS MATERIALES'!$B$7:$B$51,0)))</f>
        <v>#N/A</v>
      </c>
      <c r="B651" s="42" t="s">
        <v>196</v>
      </c>
      <c r="C651" s="43" t="e">
        <f>IF(B651="","",(VLOOKUP($A651,INSUMOSMATERIALES,3,0)))</f>
        <v>#N/A</v>
      </c>
      <c r="D651" s="44">
        <v>1.1599999999999999</v>
      </c>
      <c r="E651" s="45">
        <v>0.05</v>
      </c>
      <c r="F651" s="46" t="e">
        <f>IF(B651="","",(VLOOKUP($A651,INSUMOSMATERIALES,4,0)))</f>
        <v>#N/A</v>
      </c>
      <c r="G651" s="29" t="str">
        <f>+IFERROR(F651*D651*(1+E651),"")</f>
        <v/>
      </c>
    </row>
    <row r="652" spans="1:7" x14ac:dyDescent="0.25">
      <c r="A652" s="25" t="e">
        <f>IF(B652="","",INDEX(CODIGOMATERIALES,MATCH($B652,'INSUMOS MATERIALES'!$B$7:$B$51,0)))</f>
        <v>#N/A</v>
      </c>
      <c r="B652" s="42" t="s">
        <v>201</v>
      </c>
      <c r="C652" s="43" t="e">
        <f>IF(B652="","",(VLOOKUP($A652,INSUMOSMATERIALES,3,0)))</f>
        <v>#N/A</v>
      </c>
      <c r="D652" s="44">
        <v>170</v>
      </c>
      <c r="E652" s="45">
        <v>0.1</v>
      </c>
      <c r="F652" s="46" t="e">
        <f>IF(B652="","",(VLOOKUP($A652,INSUMOSMATERIALES,4,0)))</f>
        <v>#N/A</v>
      </c>
      <c r="G652" s="29" t="str">
        <f>+IFERROR(F652*D652*(1+E652),"")</f>
        <v/>
      </c>
    </row>
    <row r="653" spans="1:7" x14ac:dyDescent="0.25">
      <c r="A653" s="33"/>
      <c r="B653" s="47"/>
      <c r="C653" s="119"/>
      <c r="D653" s="119"/>
      <c r="E653" s="35"/>
      <c r="F653" s="36" t="s">
        <v>62</v>
      </c>
      <c r="G653" s="37" t="str">
        <f>+IF(SUM(G650:G652)=0,"",SUM(G650:G652))</f>
        <v/>
      </c>
    </row>
    <row r="654" spans="1:7" x14ac:dyDescent="0.25">
      <c r="A654" s="34"/>
      <c r="B654" s="119"/>
      <c r="C654" s="119"/>
      <c r="D654" s="35"/>
      <c r="E654" s="48"/>
      <c r="F654" s="39"/>
      <c r="G654" s="33"/>
    </row>
    <row r="655" spans="1:7" x14ac:dyDescent="0.25">
      <c r="A655" s="465" t="s">
        <v>66</v>
      </c>
      <c r="B655" s="465"/>
      <c r="C655" s="465"/>
      <c r="D655" s="465"/>
      <c r="E655" s="465"/>
      <c r="F655" s="465"/>
      <c r="G655" s="465"/>
    </row>
    <row r="656" spans="1:7" x14ac:dyDescent="0.25">
      <c r="A656" s="120" t="s">
        <v>56</v>
      </c>
      <c r="B656" s="120" t="s">
        <v>44</v>
      </c>
      <c r="C656" s="120" t="s">
        <v>67</v>
      </c>
      <c r="D656" s="120" t="s">
        <v>68</v>
      </c>
      <c r="E656" s="41" t="s">
        <v>69</v>
      </c>
      <c r="F656" s="41" t="s">
        <v>57</v>
      </c>
      <c r="G656" s="41" t="s">
        <v>59</v>
      </c>
    </row>
    <row r="657" spans="1:7" ht="49.9" customHeight="1" x14ac:dyDescent="0.25">
      <c r="A657" s="25" t="str">
        <f>IF(B657="","",INDEX(CODIGOTRANSPORTES,MATCH(B657,'INSUMOS TRANSPORTES'!$B$7:$B$13,0)))</f>
        <v>TR002</v>
      </c>
      <c r="B657" s="42" t="s">
        <v>555</v>
      </c>
      <c r="C657" s="49" t="s">
        <v>461</v>
      </c>
      <c r="D657" s="44">
        <f>(D651)*1.05</f>
        <v>1.218</v>
      </c>
      <c r="E657" s="50">
        <f>+IF(C657=0,"",IF(C657="INSUMOS",'DATOS INICIALES'!$B$24,IF(C657="PLAYA",'DATOS INICIALES'!$B$21,IF(C657="TIERRA",'DATOS INICIALES'!$B$19,IF(C657="ESCOMBROS",'DATOS INICIALES'!$B$20,IF(C657="ASFALTO",'DATOS INICIALES'!$B$25,IF(C657="GRANULAR",'DATOS INICIALES'!B666)))))))</f>
        <v>120</v>
      </c>
      <c r="F657" s="27">
        <f>+IF(B657="","",(VLOOKUP($A657,INSUMOSTRANSPORTES,4,0)))</f>
        <v>6100</v>
      </c>
      <c r="G657" s="29">
        <f>+IFERROR(D657*E657*F657,"")</f>
        <v>891576</v>
      </c>
    </row>
    <row r="658" spans="1:7" ht="22.15" customHeight="1" x14ac:dyDescent="0.25">
      <c r="A658" s="25" t="str">
        <f>IF(B658="","",INDEX(CODIGOTRANSPORTES,MATCH(B658,'INSUMOS TRANSPORTES'!$B$7:$B$26,0)))</f>
        <v>TR007</v>
      </c>
      <c r="B658" s="42" t="s">
        <v>463</v>
      </c>
      <c r="C658" s="49" t="s">
        <v>462</v>
      </c>
      <c r="D658" s="44">
        <f>(50*D650)/1000</f>
        <v>0.36399999999999999</v>
      </c>
      <c r="E658" s="50">
        <f>+IF(C658=0,"",IF(C658="INSUMOS",'DATOS INICIALES'!$B$24,IF(C658="PLAYA",'DATOS INICIALES'!$B$21,IF(C658="TIERRA",'DATOS INICIALES'!$B$19,IF(C658="ESCOMBROS",'DATOS INICIALES'!$B$20,IF(C658="ASFALTO",'DATOS INICIALES'!$B$25,IF(C658="GRANULAR",'DATOS INICIALES'!B667)))))))</f>
        <v>180</v>
      </c>
      <c r="F658" s="27">
        <f>+IF(B658="","",(VLOOKUP($A658,INSUMOSTRANSPORTES,4,0)))</f>
        <v>4250</v>
      </c>
      <c r="G658" s="29">
        <f>+IFERROR(D658*E658*F658,"")</f>
        <v>278460</v>
      </c>
    </row>
    <row r="659" spans="1:7" x14ac:dyDescent="0.25">
      <c r="A659" s="33"/>
      <c r="B659" s="51"/>
      <c r="C659" s="119"/>
      <c r="D659" s="119"/>
      <c r="E659" s="35"/>
      <c r="F659" s="36" t="s">
        <v>62</v>
      </c>
      <c r="G659" s="37">
        <f>+IF(SUM(G657:G658)=0,"",SUM(G657:G658))</f>
        <v>1170036</v>
      </c>
    </row>
    <row r="660" spans="1:7" x14ac:dyDescent="0.25">
      <c r="A660" s="119"/>
      <c r="B660" s="119"/>
      <c r="C660" s="119"/>
      <c r="D660" s="35"/>
      <c r="E660" s="48"/>
      <c r="F660" s="39"/>
      <c r="G660" s="33"/>
    </row>
    <row r="661" spans="1:7" x14ac:dyDescent="0.25">
      <c r="A661" s="465" t="s">
        <v>70</v>
      </c>
      <c r="B661" s="465"/>
      <c r="C661" s="465"/>
      <c r="D661" s="465"/>
      <c r="E661" s="465"/>
      <c r="F661" s="465"/>
      <c r="G661" s="467"/>
    </row>
    <row r="662" spans="1:7" x14ac:dyDescent="0.25">
      <c r="A662" s="120" t="s">
        <v>56</v>
      </c>
      <c r="B662" s="468" t="s">
        <v>71</v>
      </c>
      <c r="C662" s="468"/>
      <c r="D662" s="41" t="s">
        <v>46</v>
      </c>
      <c r="E662" s="41" t="s">
        <v>72</v>
      </c>
      <c r="F662" s="41" t="s">
        <v>58</v>
      </c>
      <c r="G662" s="41" t="s">
        <v>59</v>
      </c>
    </row>
    <row r="663" spans="1:7" x14ac:dyDescent="0.25">
      <c r="A663" s="25" t="str">
        <f>IF(B663="","",INDEX(CODIGOSMANODEOBRA,MATCH($B663,'INSUMOS MANO DE OBRA'!$B$7:$B$61,0)))</f>
        <v>MO033</v>
      </c>
      <c r="B663" s="462" t="s">
        <v>360</v>
      </c>
      <c r="C663" s="463"/>
      <c r="D663" s="52">
        <v>1</v>
      </c>
      <c r="E663" s="46">
        <f>IF(B663="","",(VLOOKUP($A663,INSUMOSMANODEOBRA,8,0)))</f>
        <v>94854</v>
      </c>
      <c r="F663" s="44">
        <v>8</v>
      </c>
      <c r="G663" s="53">
        <f>+IFERROR(D663*E663/F663,"")</f>
        <v>11856.75</v>
      </c>
    </row>
    <row r="664" spans="1:7" x14ac:dyDescent="0.25">
      <c r="A664" s="25" t="str">
        <f>IF(B664="","",INDEX(CODIGOSMANODEOBRA,MATCH($B664,'INSUMOS MANO DE OBRA'!$B$7:$B$61,0)))</f>
        <v>MO032</v>
      </c>
      <c r="B664" s="462" t="s">
        <v>359</v>
      </c>
      <c r="C664" s="463"/>
      <c r="D664" s="52">
        <v>3</v>
      </c>
      <c r="E664" s="46">
        <f>IF(B664="","",(VLOOKUP($A664,INSUMOSMANODEOBRA,8,0)))</f>
        <v>75762</v>
      </c>
      <c r="F664" s="44">
        <v>8</v>
      </c>
      <c r="G664" s="53">
        <f>+IFERROR(D664*E664/F664,"")</f>
        <v>28410.75</v>
      </c>
    </row>
    <row r="665" spans="1:7" x14ac:dyDescent="0.25">
      <c r="A665" s="25"/>
      <c r="B665" s="462"/>
      <c r="C665" s="463"/>
      <c r="D665" s="52"/>
      <c r="E665" s="46"/>
      <c r="F665" s="54"/>
      <c r="G665" s="53" t="str">
        <f>+IFERROR(D665*E665/F665,"")</f>
        <v/>
      </c>
    </row>
    <row r="666" spans="1:7" x14ac:dyDescent="0.25">
      <c r="A666" s="25" t="str">
        <f>IF(B666="","",INDEX(CÓDIGOS_MANO_DE_OBRA,MATCH($B666,'[7]INSUMOS MANO DE OBRA'!$B$8:$B$63,0)))</f>
        <v/>
      </c>
      <c r="B666" s="462"/>
      <c r="C666" s="463"/>
      <c r="D666" s="52"/>
      <c r="E666" s="46" t="str">
        <f>+IF(B666="","",(VLOOKUP($A666,INSUMOS_MANO_DE_OBRA,8,0)))</f>
        <v/>
      </c>
      <c r="F666" s="54" t="str">
        <f>+IF(A666="","",IF(A666=0,"",IF(F665="","",F665)))</f>
        <v/>
      </c>
      <c r="G666" s="53" t="str">
        <f>+IFERROR(D666*E666/F666,"")</f>
        <v/>
      </c>
    </row>
    <row r="667" spans="1:7" x14ac:dyDescent="0.25">
      <c r="A667" s="33"/>
      <c r="B667" s="34"/>
      <c r="C667" s="119"/>
      <c r="D667" s="119"/>
      <c r="E667" s="35"/>
      <c r="F667" s="36" t="s">
        <v>62</v>
      </c>
      <c r="G667" s="37">
        <f>+IF(SUM(G663:G666)=0,"",SUM(G663:G666))</f>
        <v>40267.5</v>
      </c>
    </row>
    <row r="668" spans="1:7" x14ac:dyDescent="0.25">
      <c r="A668" s="121"/>
      <c r="B668" s="119"/>
      <c r="C668" s="55"/>
      <c r="D668" s="55"/>
      <c r="E668" s="55"/>
      <c r="F668" s="39"/>
      <c r="G668" s="56"/>
    </row>
    <row r="669" spans="1:7" x14ac:dyDescent="0.25">
      <c r="A669" s="465" t="s">
        <v>76</v>
      </c>
      <c r="B669" s="465"/>
      <c r="C669" s="465"/>
      <c r="D669" s="465"/>
      <c r="E669" s="465"/>
      <c r="F669" s="465"/>
      <c r="G669" s="467"/>
    </row>
    <row r="670" spans="1:7" x14ac:dyDescent="0.25">
      <c r="A670" s="120" t="s">
        <v>56</v>
      </c>
      <c r="B670" s="468" t="s">
        <v>44</v>
      </c>
      <c r="C670" s="468"/>
      <c r="D670" s="120" t="s">
        <v>45</v>
      </c>
      <c r="E670" s="120" t="s">
        <v>46</v>
      </c>
      <c r="F670" s="120" t="s">
        <v>65</v>
      </c>
      <c r="G670" s="120" t="s">
        <v>59</v>
      </c>
    </row>
    <row r="671" spans="1:7" x14ac:dyDescent="0.25">
      <c r="A671" s="25" t="str">
        <f>IF(B671="","",INDEX(CODIGOSSERVICIOS,MATCH($B671,'INSUMOS SERVICIOS'!$B$7:$B$21,0)))</f>
        <v/>
      </c>
      <c r="B671" s="462"/>
      <c r="C671" s="463"/>
      <c r="D671" s="43" t="str">
        <f>+IF(B671="","",(VLOOKUP($A671,INSUMOSSERVICIOS,3,0)))</f>
        <v/>
      </c>
      <c r="E671" s="57"/>
      <c r="F671" s="46" t="str">
        <f>IF(B671="","",(VLOOKUP($A671,INSUMOSSERVICIOS,4,0)))</f>
        <v/>
      </c>
      <c r="G671" s="29" t="str">
        <f>+IFERROR(E671*F671,"")</f>
        <v/>
      </c>
    </row>
    <row r="672" spans="1:7" x14ac:dyDescent="0.25">
      <c r="A672" s="25" t="str">
        <f>IF(B672="","",INDEX(CODIGOSSERVICIOS,MATCH($B672,'INSUMOS SERVICIOS'!$B$7:$B$21,0)))</f>
        <v/>
      </c>
      <c r="B672" s="462"/>
      <c r="C672" s="463"/>
      <c r="D672" s="43" t="str">
        <f>+IF(B672="","",(VLOOKUP($A672,INSUMOSSERVICIOS,3,0)))</f>
        <v/>
      </c>
      <c r="E672" s="57"/>
      <c r="F672" s="46" t="str">
        <f>IF(B672="","",(VLOOKUP($A672,INSUMOSSERVICIOS,4,0)))</f>
        <v/>
      </c>
      <c r="G672" s="29" t="str">
        <f>+IFERROR(E672*F672,"")</f>
        <v/>
      </c>
    </row>
    <row r="673" spans="1:7" x14ac:dyDescent="0.25">
      <c r="A673" s="25" t="str">
        <f>IF(B673="","",INDEX(CÓDIGOS_SERVICIOS,MATCH($B673,'[7]INSUMOS SERVICIOS'!$B$8:$B$51,0)))</f>
        <v/>
      </c>
      <c r="B673" s="462"/>
      <c r="C673" s="463"/>
      <c r="D673" s="43" t="str">
        <f>+IF(B673="","",(VLOOKUP($A673,INSUMOS_SERVICIOS,3,0)))</f>
        <v/>
      </c>
      <c r="E673" s="57"/>
      <c r="F673" s="46" t="str">
        <f>IF(B673="","",(VLOOKUP($A673,INSUMOS_SERVICIOS,4,0)))</f>
        <v/>
      </c>
      <c r="G673" s="29" t="str">
        <f>+IFERROR(E673*F673,"")</f>
        <v/>
      </c>
    </row>
    <row r="674" spans="1:7" x14ac:dyDescent="0.25">
      <c r="A674" s="33"/>
      <c r="B674" s="34"/>
      <c r="C674" s="119"/>
      <c r="D674" s="119"/>
      <c r="E674" s="35"/>
      <c r="F674" s="58" t="s">
        <v>62</v>
      </c>
      <c r="G674" s="37" t="str">
        <f>+IF(SUM(G671:G673)=0,"",SUM(G671:G673))</f>
        <v/>
      </c>
    </row>
    <row r="675" spans="1:7" x14ac:dyDescent="0.25">
      <c r="A675" s="121"/>
      <c r="B675" s="119"/>
      <c r="C675" s="55"/>
      <c r="D675" s="55"/>
      <c r="E675" s="55"/>
      <c r="F675" s="39"/>
      <c r="G675" s="56"/>
    </row>
    <row r="676" spans="1:7" x14ac:dyDescent="0.25">
      <c r="A676" s="464" t="s">
        <v>77</v>
      </c>
      <c r="B676" s="464"/>
      <c r="C676" s="464"/>
      <c r="D676" s="464"/>
      <c r="E676" s="464"/>
      <c r="F676" s="464"/>
      <c r="G676" s="59">
        <f>IF(SUM(G646,G653,G659,G667,G674)=0,"",(ROUND(SUM(G646,G653,G659,G667,G674),0)))</f>
        <v>1220067</v>
      </c>
    </row>
    <row r="677" spans="1:7" x14ac:dyDescent="0.25">
      <c r="A677" s="56"/>
      <c r="B677" s="48"/>
      <c r="C677" s="48"/>
      <c r="D677" s="48"/>
      <c r="E677" s="48"/>
      <c r="F677" s="48"/>
      <c r="G677" s="39"/>
    </row>
    <row r="678" spans="1:7" x14ac:dyDescent="0.25">
      <c r="A678" s="465" t="s">
        <v>78</v>
      </c>
      <c r="B678" s="465"/>
      <c r="C678" s="465"/>
      <c r="D678" s="465"/>
      <c r="E678" s="465"/>
      <c r="F678" s="465"/>
      <c r="G678" s="465"/>
    </row>
    <row r="679" spans="1:7" x14ac:dyDescent="0.25">
      <c r="A679" s="119"/>
      <c r="B679" s="119"/>
      <c r="C679" s="119"/>
      <c r="D679" s="119"/>
      <c r="E679" s="119"/>
      <c r="F679" s="119"/>
      <c r="G679" s="119"/>
    </row>
    <row r="680" spans="1:7" x14ac:dyDescent="0.25">
      <c r="A680" s="466" t="s">
        <v>44</v>
      </c>
      <c r="B680" s="466"/>
      <c r="C680" s="466"/>
      <c r="D680" s="466"/>
      <c r="E680" s="466"/>
      <c r="F680" s="60" t="s">
        <v>79</v>
      </c>
      <c r="G680" s="60" t="s">
        <v>48</v>
      </c>
    </row>
    <row r="681" spans="1:7" x14ac:dyDescent="0.25">
      <c r="A681" s="458" t="s">
        <v>80</v>
      </c>
      <c r="B681" s="458"/>
      <c r="C681" s="458"/>
      <c r="D681" s="458"/>
      <c r="E681" s="458"/>
      <c r="F681" s="61">
        <f ca="1">AU!$I$36</f>
        <v>0.191</v>
      </c>
      <c r="G681" s="62">
        <f ca="1">+IFERROR(G676*F681,"")</f>
        <v>233032.79699999999</v>
      </c>
    </row>
    <row r="682" spans="1:7" x14ac:dyDescent="0.25">
      <c r="A682" s="458" t="s">
        <v>81</v>
      </c>
      <c r="B682" s="458"/>
      <c r="C682" s="458"/>
      <c r="D682" s="458"/>
      <c r="E682" s="458"/>
      <c r="F682" s="61" t="e">
        <f>IF(AU!#REF!=0,"",AU!#REF!)</f>
        <v>#REF!</v>
      </c>
      <c r="G682" s="62" t="str">
        <f>+IFERROR(G676*F682,"")</f>
        <v/>
      </c>
    </row>
    <row r="683" spans="1:7" x14ac:dyDescent="0.25">
      <c r="A683" s="458" t="s">
        <v>82</v>
      </c>
      <c r="B683" s="458"/>
      <c r="C683" s="458"/>
      <c r="D683" s="458"/>
      <c r="E683" s="458"/>
      <c r="F683" s="61">
        <f>IF(AU!$I$37=0,"",AU!$I$37)</f>
        <v>5.131865E-2</v>
      </c>
      <c r="G683" s="62">
        <f>+IFERROR(G676*F683,"")</f>
        <v>62612.191349549998</v>
      </c>
    </row>
    <row r="684" spans="1:7" x14ac:dyDescent="0.25">
      <c r="A684" s="459" t="s">
        <v>83</v>
      </c>
      <c r="B684" s="460"/>
      <c r="C684" s="460"/>
      <c r="D684" s="460"/>
      <c r="E684" s="460"/>
      <c r="F684" s="63" t="e">
        <f ca="1">IF(SUM(F681:F683)=0,"",SUM(F681:F683))</f>
        <v>#REF!</v>
      </c>
      <c r="G684" s="64">
        <f ca="1">IF(SUM(G681:G683)=0,"",ROUND(SUM(G681:G683),0))</f>
        <v>295645</v>
      </c>
    </row>
    <row r="685" spans="1:7" x14ac:dyDescent="0.25">
      <c r="A685" s="56"/>
      <c r="B685" s="34"/>
      <c r="C685" s="34"/>
      <c r="D685" s="34"/>
      <c r="E685" s="461"/>
      <c r="F685" s="461"/>
      <c r="G685" s="65"/>
    </row>
    <row r="686" spans="1:7" x14ac:dyDescent="0.25">
      <c r="A686" s="456" t="s">
        <v>84</v>
      </c>
      <c r="B686" s="457"/>
      <c r="C686" s="457"/>
      <c r="D686" s="457"/>
      <c r="E686" s="457"/>
      <c r="F686" s="457"/>
      <c r="G686" s="66">
        <f ca="1">+IFERROR(ROUND(G676+G684,0),"")</f>
        <v>1515712</v>
      </c>
    </row>
    <row r="687" spans="1:7" x14ac:dyDescent="0.25">
      <c r="A687" s="19"/>
      <c r="B687" s="19"/>
      <c r="C687" s="19"/>
      <c r="D687" s="19"/>
      <c r="E687" s="18"/>
      <c r="F687" s="18"/>
      <c r="G687" s="20"/>
    </row>
    <row r="688" spans="1:7" x14ac:dyDescent="0.25">
      <c r="A688" s="19"/>
      <c r="B688" s="185" t="s">
        <v>787</v>
      </c>
      <c r="C688" s="18"/>
      <c r="D688" s="18"/>
      <c r="E688" s="18"/>
      <c r="F688" s="18"/>
      <c r="G688" s="18"/>
    </row>
    <row r="689" spans="1:7" x14ac:dyDescent="0.25">
      <c r="A689" s="19"/>
      <c r="B689" s="185" t="s">
        <v>599</v>
      </c>
      <c r="C689" s="18"/>
      <c r="D689" s="18"/>
      <c r="E689" s="18"/>
      <c r="F689" s="18"/>
      <c r="G689" s="18"/>
    </row>
    <row r="690" spans="1:7" x14ac:dyDescent="0.25">
      <c r="A690" s="19"/>
      <c r="B690" s="185"/>
      <c r="C690" s="18"/>
      <c r="D690" s="67"/>
      <c r="E690" s="67"/>
      <c r="F690" s="67"/>
      <c r="G690" s="18"/>
    </row>
    <row r="691" spans="1:7" x14ac:dyDescent="0.25">
      <c r="A691" s="19"/>
      <c r="B691" s="185"/>
      <c r="C691" s="20"/>
      <c r="D691" s="365" t="s">
        <v>85</v>
      </c>
      <c r="E691" s="365"/>
      <c r="F691" s="365"/>
      <c r="G691" s="20"/>
    </row>
    <row r="693" spans="1:7" ht="18.75" x14ac:dyDescent="0.25">
      <c r="A693" s="376" t="str">
        <f>'DATOS INICIALES'!$B$1</f>
        <v>DEPARTAMENTO DE ANTIOQUIA</v>
      </c>
      <c r="B693" s="377"/>
      <c r="C693" s="377"/>
      <c r="D693" s="377"/>
      <c r="E693" s="377"/>
      <c r="F693" s="378" t="s">
        <v>51</v>
      </c>
      <c r="G693" s="378"/>
    </row>
    <row r="694" spans="1:7" ht="15.75" x14ac:dyDescent="0.25">
      <c r="A694" s="379" t="str">
        <f>'DATOS INICIALES'!$B$2</f>
        <v>MUNICIPIO DE DABEIBA</v>
      </c>
      <c r="B694" s="380"/>
      <c r="C694" s="380"/>
      <c r="D694" s="380"/>
      <c r="E694" s="380"/>
      <c r="F694" s="378"/>
      <c r="G694" s="378"/>
    </row>
    <row r="695" spans="1:7" x14ac:dyDescent="0.25">
      <c r="A695" s="481" t="str">
        <f>'DATOS INICIALES'!$B$3</f>
        <v>REPOSICIÓN, AMPLIACIÓN Y REPARACIÓN DE LUMINARIAS QUE HACEN PARTE DE LA RED DE ALUMBRADOPÚBLICO DEL PARQUE PRINCIPAL Y CORREGIMIENTO SAN JOSÉ DE URAMA DEL MUNICIPIO DE DABEIBA.</v>
      </c>
      <c r="B695" s="482"/>
      <c r="C695" s="482"/>
      <c r="D695" s="482"/>
      <c r="E695" s="482"/>
      <c r="F695" s="378"/>
      <c r="G695" s="378"/>
    </row>
    <row r="696" spans="1:7" x14ac:dyDescent="0.25">
      <c r="A696" s="383"/>
      <c r="B696" s="383"/>
      <c r="C696" s="383"/>
      <c r="D696" s="383"/>
      <c r="E696" s="388"/>
      <c r="F696" s="378"/>
      <c r="G696" s="378"/>
    </row>
    <row r="697" spans="1:7" x14ac:dyDescent="0.25">
      <c r="A697" s="384" t="s">
        <v>52</v>
      </c>
      <c r="B697" s="385"/>
      <c r="C697" s="385"/>
      <c r="D697" s="385"/>
      <c r="E697" s="385"/>
      <c r="F697" s="378"/>
      <c r="G697" s="378"/>
    </row>
    <row r="698" spans="1:7" x14ac:dyDescent="0.25">
      <c r="A698" s="383"/>
      <c r="B698" s="383"/>
      <c r="C698" s="383"/>
      <c r="D698" s="383"/>
      <c r="E698" s="383"/>
      <c r="F698" s="477"/>
      <c r="G698" s="477"/>
    </row>
    <row r="699" spans="1:7" x14ac:dyDescent="0.25">
      <c r="A699" s="21" t="s">
        <v>42</v>
      </c>
      <c r="B699" s="372" t="s">
        <v>44</v>
      </c>
      <c r="C699" s="373"/>
      <c r="D699" s="374"/>
      <c r="E699" s="22" t="s">
        <v>45</v>
      </c>
      <c r="F699" s="23" t="s">
        <v>46</v>
      </c>
      <c r="G699" s="23" t="s">
        <v>53</v>
      </c>
    </row>
    <row r="700" spans="1:7" x14ac:dyDescent="0.25">
      <c r="A700" s="24" t="s">
        <v>175</v>
      </c>
      <c r="B700" s="478" t="str">
        <f>+IFERROR(VLOOKUP($A700,INSUMOSMATERIALES,2,0),"")</f>
        <v>MORTERO 1:4 EN OBRA (GROUT)</v>
      </c>
      <c r="C700" s="479"/>
      <c r="D700" s="480"/>
      <c r="E700" s="82" t="str">
        <f>+IFERROR(VLOOKUP($A700,INSUMOSMATERIALES,3,0),"")</f>
        <v>M3</v>
      </c>
      <c r="F700" s="82" t="s">
        <v>460</v>
      </c>
      <c r="G700" s="153">
        <f ca="1">IF(G748=0,"",G738)</f>
        <v>1220067</v>
      </c>
    </row>
    <row r="701" spans="1:7" x14ac:dyDescent="0.25">
      <c r="A701" s="19"/>
      <c r="B701" s="19"/>
      <c r="C701" s="19"/>
      <c r="D701" s="19"/>
      <c r="E701" s="18"/>
      <c r="F701" s="18"/>
      <c r="G701" s="20"/>
    </row>
    <row r="702" spans="1:7" x14ac:dyDescent="0.25">
      <c r="A702" s="465" t="s">
        <v>54</v>
      </c>
      <c r="B702" s="465"/>
      <c r="C702" s="465"/>
      <c r="D702" s="465"/>
      <c r="E702" s="465"/>
      <c r="F702" s="465"/>
      <c r="G702" s="465"/>
    </row>
    <row r="703" spans="1:7" x14ac:dyDescent="0.25">
      <c r="A703" s="119"/>
      <c r="B703" s="119"/>
      <c r="C703" s="119"/>
      <c r="D703" s="119"/>
      <c r="E703" s="119"/>
      <c r="F703" s="119"/>
      <c r="G703" s="119"/>
    </row>
    <row r="704" spans="1:7" x14ac:dyDescent="0.25">
      <c r="A704" s="469" t="s">
        <v>55</v>
      </c>
      <c r="B704" s="469"/>
      <c r="C704" s="469"/>
      <c r="D704" s="469"/>
      <c r="E704" s="469"/>
      <c r="F704" s="469"/>
      <c r="G704" s="470"/>
    </row>
    <row r="705" spans="1:7" x14ac:dyDescent="0.25">
      <c r="A705" s="120" t="s">
        <v>56</v>
      </c>
      <c r="B705" s="471" t="s">
        <v>44</v>
      </c>
      <c r="C705" s="472"/>
      <c r="D705" s="120" t="s">
        <v>45</v>
      </c>
      <c r="E705" s="120" t="s">
        <v>57</v>
      </c>
      <c r="F705" s="120" t="s">
        <v>58</v>
      </c>
      <c r="G705" s="120" t="s">
        <v>59</v>
      </c>
    </row>
    <row r="706" spans="1:7" x14ac:dyDescent="0.25">
      <c r="A706" s="25" t="str">
        <f>IF(B706="","",INDEX(CODIGOEQUIPOS,MATCH($B706,'INSUMOS EQUIPOS'!$B$7:$B$39,0)))</f>
        <v>EQ004</v>
      </c>
      <c r="B706" s="473" t="s">
        <v>94</v>
      </c>
      <c r="C706" s="474"/>
      <c r="D706" s="26" t="str">
        <f>IF(B706="","",(VLOOKUP($A706,INSUMOSEQUIPOS,3,0)))</f>
        <v>DÍA</v>
      </c>
      <c r="E706" s="27">
        <f>IF(B706="","",(VLOOKUP($A706,INSUMOSEQUIPOS,4,0)))</f>
        <v>62000</v>
      </c>
      <c r="F706" s="28">
        <v>8</v>
      </c>
      <c r="G706" s="29">
        <f>+IFERROR(E706/F706,"")</f>
        <v>7750</v>
      </c>
    </row>
    <row r="707" spans="1:7" x14ac:dyDescent="0.25">
      <c r="A707" s="30" t="str">
        <f>+IF(G729="","","EQ001")</f>
        <v>EQ001</v>
      </c>
      <c r="B707" s="475" t="str">
        <f>+IF($A707="","",IFERROR(VLOOKUP($A707,INSUMOSEQUIPOS,2,0),""))</f>
        <v>HERRAMIENTA MENOR (5% DE LA MANO DE OBRA)</v>
      </c>
      <c r="C707" s="476"/>
      <c r="D707" s="26" t="str">
        <f>+IF($A707="","",IFERROR(VLOOKUP($A707,INSUMOSEQUIPOS,3,0),""))</f>
        <v>%</v>
      </c>
      <c r="E707" s="31">
        <f>+IF($A707="","",IFERROR(VLOOKUP($A707,INSUMOSEQUIPOS,4,0),""))</f>
        <v>0.05</v>
      </c>
      <c r="F707" s="32">
        <f>+IF(G729=0,"",G729)</f>
        <v>40267.5</v>
      </c>
      <c r="G707" s="29">
        <f>+IFERROR(E707*F707,"")</f>
        <v>2013.375</v>
      </c>
    </row>
    <row r="708" spans="1:7" x14ac:dyDescent="0.25">
      <c r="A708" s="33"/>
      <c r="B708" s="34"/>
      <c r="C708" s="119"/>
      <c r="D708" s="119"/>
      <c r="E708" s="35"/>
      <c r="F708" s="36" t="s">
        <v>62</v>
      </c>
      <c r="G708" s="37">
        <f>+IF(SUM(G706:G707)=0,"",SUM(G706:G707))</f>
        <v>9763.375</v>
      </c>
    </row>
    <row r="709" spans="1:7" x14ac:dyDescent="0.25">
      <c r="A709" s="34"/>
      <c r="B709" s="119"/>
      <c r="C709" s="119"/>
      <c r="D709" s="35"/>
      <c r="E709" s="38"/>
      <c r="F709" s="39"/>
      <c r="G709" s="33"/>
    </row>
    <row r="710" spans="1:7" x14ac:dyDescent="0.25">
      <c r="A710" s="465" t="s">
        <v>63</v>
      </c>
      <c r="B710" s="465"/>
      <c r="C710" s="465"/>
      <c r="D710" s="465"/>
      <c r="E710" s="465"/>
      <c r="F710" s="465"/>
      <c r="G710" s="467"/>
    </row>
    <row r="711" spans="1:7" x14ac:dyDescent="0.25">
      <c r="A711" s="120" t="s">
        <v>56</v>
      </c>
      <c r="B711" s="40" t="s">
        <v>44</v>
      </c>
      <c r="C711" s="41" t="s">
        <v>45</v>
      </c>
      <c r="D711" s="41" t="s">
        <v>46</v>
      </c>
      <c r="E711" s="41" t="s">
        <v>64</v>
      </c>
      <c r="F711" s="41" t="s">
        <v>65</v>
      </c>
      <c r="G711" s="41" t="s">
        <v>59</v>
      </c>
    </row>
    <row r="712" spans="1:7" ht="22.5" x14ac:dyDescent="0.25">
      <c r="A712" s="25" t="e">
        <f>IF(B712="","",INDEX(CODIGOMATERIALES,MATCH($B712,'INSUMOS MATERIALES'!$B$7:$B$51,0)))</f>
        <v>#N/A</v>
      </c>
      <c r="B712" s="42" t="s">
        <v>192</v>
      </c>
      <c r="C712" s="43" t="e">
        <f>IF(B712="","",(VLOOKUP($A712,INSUMOSMATERIALES,3,0)))</f>
        <v>#N/A</v>
      </c>
      <c r="D712" s="44">
        <v>7.28</v>
      </c>
      <c r="E712" s="45">
        <v>0.05</v>
      </c>
      <c r="F712" s="46" t="e">
        <f>IF(B712="","",(VLOOKUP($A712,INSUMOSMATERIALES,4,0)))</f>
        <v>#N/A</v>
      </c>
      <c r="G712" s="29" t="str">
        <f>+IFERROR(F712*D712*(1+E712),"")</f>
        <v/>
      </c>
    </row>
    <row r="713" spans="1:7" x14ac:dyDescent="0.25">
      <c r="A713" s="25" t="e">
        <f>IF(B713="","",INDEX(CODIGOMATERIALES,MATCH($B713,'INSUMOS MATERIALES'!$B$7:$B$51,0)))</f>
        <v>#N/A</v>
      </c>
      <c r="B713" s="42" t="s">
        <v>198</v>
      </c>
      <c r="C713" s="43" t="e">
        <f>IF(B713="","",(VLOOKUP($A713,INSUMOSMATERIALES,3,0)))</f>
        <v>#N/A</v>
      </c>
      <c r="D713" s="44">
        <v>1.1599999999999999</v>
      </c>
      <c r="E713" s="45">
        <v>0.05</v>
      </c>
      <c r="F713" s="46" t="e">
        <f>IF(B713="","",(VLOOKUP($A713,INSUMOSMATERIALES,4,0)))</f>
        <v>#N/A</v>
      </c>
      <c r="G713" s="29" t="str">
        <f>+IFERROR(F713*D713*(1+E713),"")</f>
        <v/>
      </c>
    </row>
    <row r="714" spans="1:7" x14ac:dyDescent="0.25">
      <c r="A714" s="25" t="e">
        <f>IF(B714="","",INDEX(CODIGOMATERIALES,MATCH($B714,'INSUMOS MATERIALES'!$B$7:$B$51,0)))</f>
        <v>#N/A</v>
      </c>
      <c r="B714" s="42" t="s">
        <v>201</v>
      </c>
      <c r="C714" s="43" t="e">
        <f>IF(B714="","",(VLOOKUP($A714,INSUMOSMATERIALES,3,0)))</f>
        <v>#N/A</v>
      </c>
      <c r="D714" s="44">
        <v>170</v>
      </c>
      <c r="E714" s="45">
        <v>0.1</v>
      </c>
      <c r="F714" s="46" t="e">
        <f>IF(B714="","",(VLOOKUP($A714,INSUMOSMATERIALES,4,0)))</f>
        <v>#N/A</v>
      </c>
      <c r="G714" s="29" t="str">
        <f>+IFERROR(F714*D714*(1+E714),"")</f>
        <v/>
      </c>
    </row>
    <row r="715" spans="1:7" x14ac:dyDescent="0.25">
      <c r="A715" s="33"/>
      <c r="B715" s="47"/>
      <c r="C715" s="119"/>
      <c r="D715" s="119"/>
      <c r="E715" s="35"/>
      <c r="F715" s="36" t="s">
        <v>62</v>
      </c>
      <c r="G715" s="37" t="str">
        <f>+IF(SUM(G712:G714)=0,"",SUM(G712:G714))</f>
        <v/>
      </c>
    </row>
    <row r="716" spans="1:7" x14ac:dyDescent="0.25">
      <c r="A716" s="34"/>
      <c r="B716" s="119"/>
      <c r="C716" s="119"/>
      <c r="D716" s="35"/>
      <c r="E716" s="48"/>
      <c r="F716" s="39"/>
      <c r="G716" s="33"/>
    </row>
    <row r="717" spans="1:7" x14ac:dyDescent="0.25">
      <c r="A717" s="465" t="s">
        <v>66</v>
      </c>
      <c r="B717" s="465"/>
      <c r="C717" s="465"/>
      <c r="D717" s="465"/>
      <c r="E717" s="465"/>
      <c r="F717" s="465"/>
      <c r="G717" s="465"/>
    </row>
    <row r="718" spans="1:7" x14ac:dyDescent="0.25">
      <c r="A718" s="120" t="s">
        <v>56</v>
      </c>
      <c r="B718" s="120" t="s">
        <v>44</v>
      </c>
      <c r="C718" s="120" t="s">
        <v>67</v>
      </c>
      <c r="D718" s="120" t="s">
        <v>68</v>
      </c>
      <c r="E718" s="41" t="s">
        <v>69</v>
      </c>
      <c r="F718" s="41" t="s">
        <v>57</v>
      </c>
      <c r="G718" s="41" t="s">
        <v>59</v>
      </c>
    </row>
    <row r="719" spans="1:7" ht="42" customHeight="1" x14ac:dyDescent="0.25">
      <c r="A719" s="25" t="str">
        <f>IF(B719="","",INDEX(CODIGOTRANSPORTES,MATCH(B719,'INSUMOS TRANSPORTES'!$B$7:$B$13,0)))</f>
        <v>TR002</v>
      </c>
      <c r="B719" s="42" t="s">
        <v>555</v>
      </c>
      <c r="C719" s="49" t="s">
        <v>461</v>
      </c>
      <c r="D719" s="44">
        <f>(D713)*1.05</f>
        <v>1.218</v>
      </c>
      <c r="E719" s="50">
        <f>+IF(C719=0,"",IF(C719="INSUMOS",'DATOS INICIALES'!$B$24,IF(C719="PLAYA",'DATOS INICIALES'!$B$21,IF(C719="TIERRA",'DATOS INICIALES'!$B$19,IF(C719="ESCOMBROS",'DATOS INICIALES'!$B$20,IF(C719="ASFALTO",'DATOS INICIALES'!$B$25,IF(C719="GRANULAR",'DATOS INICIALES'!B728)))))))</f>
        <v>120</v>
      </c>
      <c r="F719" s="27">
        <f>+IF(B719="","",(VLOOKUP($A719,INSUMOSTRANSPORTES,4,0)))</f>
        <v>6100</v>
      </c>
      <c r="G719" s="29">
        <f>+IFERROR(D719*E719*F719,"")</f>
        <v>891576</v>
      </c>
    </row>
    <row r="720" spans="1:7" ht="22.5" x14ac:dyDescent="0.25">
      <c r="A720" s="25" t="str">
        <f>IF(B720="","",INDEX(CODIGOTRANSPORTES,MATCH(B720,'INSUMOS TRANSPORTES'!$B$7:$B$26,0)))</f>
        <v>TR007</v>
      </c>
      <c r="B720" s="42" t="s">
        <v>463</v>
      </c>
      <c r="C720" s="49" t="s">
        <v>462</v>
      </c>
      <c r="D720" s="44">
        <f>(50*D712)/1000</f>
        <v>0.36399999999999999</v>
      </c>
      <c r="E720" s="50">
        <f>+IF(C720=0,"",IF(C720="INSUMOS",'DATOS INICIALES'!$B$24,IF(C720="PLAYA",'DATOS INICIALES'!$B$21,IF(C720="TIERRA",'DATOS INICIALES'!$B$19,IF(C720="ESCOMBROS",'DATOS INICIALES'!$B$20,IF(C720="ASFALTO",'DATOS INICIALES'!$B$25,IF(C720="GRANULAR",'DATOS INICIALES'!B729)))))))</f>
        <v>180</v>
      </c>
      <c r="F720" s="27">
        <f>+IF(B720="","",(VLOOKUP($A720,INSUMOSTRANSPORTES,4,0)))</f>
        <v>4250</v>
      </c>
      <c r="G720" s="29">
        <f>+IFERROR(D720*E720*F720,"")</f>
        <v>278460</v>
      </c>
    </row>
    <row r="721" spans="1:7" x14ac:dyDescent="0.25">
      <c r="A721" s="33"/>
      <c r="B721" s="51"/>
      <c r="C721" s="119"/>
      <c r="D721" s="119"/>
      <c r="E721" s="35"/>
      <c r="F721" s="36" t="s">
        <v>62</v>
      </c>
      <c r="G721" s="37">
        <f>+IF(SUM(G719:G720)=0,"",SUM(G719:G720))</f>
        <v>1170036</v>
      </c>
    </row>
    <row r="722" spans="1:7" x14ac:dyDescent="0.25">
      <c r="A722" s="119"/>
      <c r="B722" s="119"/>
      <c r="C722" s="119"/>
      <c r="D722" s="35"/>
      <c r="E722" s="48"/>
      <c r="F722" s="39"/>
      <c r="G722" s="33"/>
    </row>
    <row r="723" spans="1:7" x14ac:dyDescent="0.25">
      <c r="A723" s="465" t="s">
        <v>70</v>
      </c>
      <c r="B723" s="465"/>
      <c r="C723" s="465"/>
      <c r="D723" s="465"/>
      <c r="E723" s="465"/>
      <c r="F723" s="465"/>
      <c r="G723" s="467"/>
    </row>
    <row r="724" spans="1:7" x14ac:dyDescent="0.25">
      <c r="A724" s="120" t="s">
        <v>56</v>
      </c>
      <c r="B724" s="468" t="s">
        <v>71</v>
      </c>
      <c r="C724" s="468"/>
      <c r="D724" s="41" t="s">
        <v>46</v>
      </c>
      <c r="E724" s="41" t="s">
        <v>72</v>
      </c>
      <c r="F724" s="41" t="s">
        <v>58</v>
      </c>
      <c r="G724" s="41" t="s">
        <v>59</v>
      </c>
    </row>
    <row r="725" spans="1:7" x14ac:dyDescent="0.25">
      <c r="A725" s="25" t="str">
        <f>IF(B725="","",INDEX(CODIGOSMANODEOBRA,MATCH($B725,'INSUMOS MANO DE OBRA'!$B$7:$B$61,0)))</f>
        <v>MO033</v>
      </c>
      <c r="B725" s="462" t="s">
        <v>360</v>
      </c>
      <c r="C725" s="463"/>
      <c r="D725" s="52">
        <v>1</v>
      </c>
      <c r="E725" s="46">
        <f>IF(B725="","",(VLOOKUP($A725,INSUMOSMANODEOBRA,8,0)))</f>
        <v>94854</v>
      </c>
      <c r="F725" s="44">
        <v>8</v>
      </c>
      <c r="G725" s="53">
        <f>+IFERROR(D725*E725/F725,"")</f>
        <v>11856.75</v>
      </c>
    </row>
    <row r="726" spans="1:7" x14ac:dyDescent="0.25">
      <c r="A726" s="25" t="str">
        <f>IF(B726="","",INDEX(CODIGOSMANODEOBRA,MATCH($B726,'INSUMOS MANO DE OBRA'!$B$7:$B$61,0)))</f>
        <v>MO032</v>
      </c>
      <c r="B726" s="462" t="s">
        <v>359</v>
      </c>
      <c r="C726" s="463"/>
      <c r="D726" s="52">
        <v>3</v>
      </c>
      <c r="E726" s="46">
        <f>IF(B726="","",(VLOOKUP($A726,INSUMOSMANODEOBRA,8,0)))</f>
        <v>75762</v>
      </c>
      <c r="F726" s="44">
        <v>8</v>
      </c>
      <c r="G726" s="53">
        <f>+IFERROR(D726*E726/F726,"")</f>
        <v>28410.75</v>
      </c>
    </row>
    <row r="727" spans="1:7" x14ac:dyDescent="0.25">
      <c r="A727" s="25"/>
      <c r="B727" s="462"/>
      <c r="C727" s="463"/>
      <c r="D727" s="52"/>
      <c r="E727" s="46"/>
      <c r="F727" s="54"/>
      <c r="G727" s="53" t="str">
        <f>+IFERROR(D727*E727/F727,"")</f>
        <v/>
      </c>
    </row>
    <row r="728" spans="1:7" x14ac:dyDescent="0.25">
      <c r="A728" s="25" t="str">
        <f>IF(B728="","",INDEX(CÓDIGOS_MANO_DE_OBRA,MATCH($B728,'[7]INSUMOS MANO DE OBRA'!$B$8:$B$63,0)))</f>
        <v/>
      </c>
      <c r="B728" s="462"/>
      <c r="C728" s="463"/>
      <c r="D728" s="52"/>
      <c r="E728" s="46" t="str">
        <f>+IF(B728="","",(VLOOKUP($A728,INSUMOS_MANO_DE_OBRA,8,0)))</f>
        <v/>
      </c>
      <c r="F728" s="54" t="str">
        <f>+IF(A728="","",IF(A728=0,"",IF(F727="","",F727)))</f>
        <v/>
      </c>
      <c r="G728" s="53" t="str">
        <f>+IFERROR(D728*E728/F728,"")</f>
        <v/>
      </c>
    </row>
    <row r="729" spans="1:7" x14ac:dyDescent="0.25">
      <c r="A729" s="33"/>
      <c r="B729" s="34"/>
      <c r="C729" s="119"/>
      <c r="D729" s="119"/>
      <c r="E729" s="35"/>
      <c r="F729" s="36" t="s">
        <v>62</v>
      </c>
      <c r="G729" s="37">
        <f>+IF(SUM(G725:G728)=0,"",SUM(G725:G728))</f>
        <v>40267.5</v>
      </c>
    </row>
    <row r="730" spans="1:7" x14ac:dyDescent="0.25">
      <c r="A730" s="121"/>
      <c r="B730" s="119"/>
      <c r="C730" s="55"/>
      <c r="D730" s="55"/>
      <c r="E730" s="55"/>
      <c r="F730" s="39"/>
      <c r="G730" s="56"/>
    </row>
    <row r="731" spans="1:7" x14ac:dyDescent="0.25">
      <c r="A731" s="465" t="s">
        <v>76</v>
      </c>
      <c r="B731" s="465"/>
      <c r="C731" s="465"/>
      <c r="D731" s="465"/>
      <c r="E731" s="465"/>
      <c r="F731" s="465"/>
      <c r="G731" s="467"/>
    </row>
    <row r="732" spans="1:7" x14ac:dyDescent="0.25">
      <c r="A732" s="120" t="s">
        <v>56</v>
      </c>
      <c r="B732" s="468" t="s">
        <v>44</v>
      </c>
      <c r="C732" s="468"/>
      <c r="D732" s="120" t="s">
        <v>45</v>
      </c>
      <c r="E732" s="120" t="s">
        <v>46</v>
      </c>
      <c r="F732" s="120" t="s">
        <v>65</v>
      </c>
      <c r="G732" s="120" t="s">
        <v>59</v>
      </c>
    </row>
    <row r="733" spans="1:7" x14ac:dyDescent="0.25">
      <c r="A733" s="25" t="str">
        <f>IF(B733="","",INDEX(CODIGOSSERVICIOS,MATCH($B733,'INSUMOS SERVICIOS'!$B$7:$B$21,0)))</f>
        <v/>
      </c>
      <c r="B733" s="462"/>
      <c r="C733" s="463"/>
      <c r="D733" s="43" t="str">
        <f>+IF(B733="","",(VLOOKUP($A733,INSUMOSSERVICIOS,3,0)))</f>
        <v/>
      </c>
      <c r="E733" s="57"/>
      <c r="F733" s="46" t="str">
        <f>IF(B733="","",(VLOOKUP($A733,INSUMOSSERVICIOS,4,0)))</f>
        <v/>
      </c>
      <c r="G733" s="29" t="str">
        <f>+IFERROR(E733*F733,"")</f>
        <v/>
      </c>
    </row>
    <row r="734" spans="1:7" x14ac:dyDescent="0.25">
      <c r="A734" s="25" t="str">
        <f>IF(B734="","",INDEX(CODIGOSSERVICIOS,MATCH($B734,'INSUMOS SERVICIOS'!$B$7:$B$21,0)))</f>
        <v/>
      </c>
      <c r="B734" s="462"/>
      <c r="C734" s="463"/>
      <c r="D734" s="43" t="str">
        <f>+IF(B734="","",(VLOOKUP($A734,INSUMOSSERVICIOS,3,0)))</f>
        <v/>
      </c>
      <c r="E734" s="57"/>
      <c r="F734" s="46" t="str">
        <f>IF(B734="","",(VLOOKUP($A734,INSUMOSSERVICIOS,4,0)))</f>
        <v/>
      </c>
      <c r="G734" s="29" t="str">
        <f>+IFERROR(E734*F734,"")</f>
        <v/>
      </c>
    </row>
    <row r="735" spans="1:7" x14ac:dyDescent="0.25">
      <c r="A735" s="25" t="str">
        <f>IF(B735="","",INDEX(CÓDIGOS_SERVICIOS,MATCH($B735,'[7]INSUMOS SERVICIOS'!$B$8:$B$51,0)))</f>
        <v/>
      </c>
      <c r="B735" s="462"/>
      <c r="C735" s="463"/>
      <c r="D735" s="43" t="str">
        <f>+IF(B735="","",(VLOOKUP($A735,INSUMOS_SERVICIOS,3,0)))</f>
        <v/>
      </c>
      <c r="E735" s="57"/>
      <c r="F735" s="46" t="str">
        <f>IF(B735="","",(VLOOKUP($A735,INSUMOS_SERVICIOS,4,0)))</f>
        <v/>
      </c>
      <c r="G735" s="29" t="str">
        <f>+IFERROR(E735*F735,"")</f>
        <v/>
      </c>
    </row>
    <row r="736" spans="1:7" x14ac:dyDescent="0.25">
      <c r="A736" s="33"/>
      <c r="B736" s="34"/>
      <c r="C736" s="119"/>
      <c r="D736" s="119"/>
      <c r="E736" s="35"/>
      <c r="F736" s="58" t="s">
        <v>62</v>
      </c>
      <c r="G736" s="37" t="str">
        <f>+IF(SUM(G733:G735)=0,"",SUM(G733:G735))</f>
        <v/>
      </c>
    </row>
    <row r="737" spans="1:7" x14ac:dyDescent="0.25">
      <c r="A737" s="121"/>
      <c r="B737" s="119"/>
      <c r="C737" s="55"/>
      <c r="D737" s="55"/>
      <c r="E737" s="55"/>
      <c r="F737" s="39"/>
      <c r="G737" s="56"/>
    </row>
    <row r="738" spans="1:7" x14ac:dyDescent="0.25">
      <c r="A738" s="464" t="s">
        <v>77</v>
      </c>
      <c r="B738" s="464"/>
      <c r="C738" s="464"/>
      <c r="D738" s="464"/>
      <c r="E738" s="464"/>
      <c r="F738" s="464"/>
      <c r="G738" s="59">
        <f>IF(SUM(G708,G715,G721,G729,G736)=0,"",(ROUND(SUM(G708,G715,G721,G729,G736),0)))</f>
        <v>1220067</v>
      </c>
    </row>
    <row r="739" spans="1:7" x14ac:dyDescent="0.25">
      <c r="A739" s="56"/>
      <c r="B739" s="48"/>
      <c r="C739" s="48"/>
      <c r="D739" s="48"/>
      <c r="E739" s="48"/>
      <c r="F739" s="48"/>
      <c r="G739" s="39"/>
    </row>
    <row r="740" spans="1:7" x14ac:dyDescent="0.25">
      <c r="A740" s="465" t="s">
        <v>78</v>
      </c>
      <c r="B740" s="465"/>
      <c r="C740" s="465"/>
      <c r="D740" s="465"/>
      <c r="E740" s="465"/>
      <c r="F740" s="465"/>
      <c r="G740" s="465"/>
    </row>
    <row r="741" spans="1:7" x14ac:dyDescent="0.25">
      <c r="A741" s="119"/>
      <c r="B741" s="119"/>
      <c r="C741" s="119"/>
      <c r="D741" s="119"/>
      <c r="E741" s="119"/>
      <c r="F741" s="119"/>
      <c r="G741" s="119"/>
    </row>
    <row r="742" spans="1:7" x14ac:dyDescent="0.25">
      <c r="A742" s="466" t="s">
        <v>44</v>
      </c>
      <c r="B742" s="466"/>
      <c r="C742" s="466"/>
      <c r="D742" s="466"/>
      <c r="E742" s="466"/>
      <c r="F742" s="60" t="s">
        <v>79</v>
      </c>
      <c r="G742" s="60" t="s">
        <v>48</v>
      </c>
    </row>
    <row r="743" spans="1:7" x14ac:dyDescent="0.25">
      <c r="A743" s="458" t="s">
        <v>80</v>
      </c>
      <c r="B743" s="458"/>
      <c r="C743" s="458"/>
      <c r="D743" s="458"/>
      <c r="E743" s="458"/>
      <c r="F743" s="61">
        <f ca="1">AU!$I$36</f>
        <v>0.191</v>
      </c>
      <c r="G743" s="62">
        <f ca="1">+IFERROR(G738*F743,"")</f>
        <v>233032.79699999999</v>
      </c>
    </row>
    <row r="744" spans="1:7" x14ac:dyDescent="0.25">
      <c r="A744" s="458" t="s">
        <v>81</v>
      </c>
      <c r="B744" s="458"/>
      <c r="C744" s="458"/>
      <c r="D744" s="458"/>
      <c r="E744" s="458"/>
      <c r="F744" s="61" t="e">
        <f>IF(AU!#REF!=0,"",AU!#REF!)</f>
        <v>#REF!</v>
      </c>
      <c r="G744" s="62" t="str">
        <f>+IFERROR(G738*F744,"")</f>
        <v/>
      </c>
    </row>
    <row r="745" spans="1:7" x14ac:dyDescent="0.25">
      <c r="A745" s="458" t="s">
        <v>82</v>
      </c>
      <c r="B745" s="458"/>
      <c r="C745" s="458"/>
      <c r="D745" s="458"/>
      <c r="E745" s="458"/>
      <c r="F745" s="61">
        <f>IF(AU!$I$37=0,"",AU!$I$37)</f>
        <v>5.131865E-2</v>
      </c>
      <c r="G745" s="62">
        <f>+IFERROR(G738*F745,"")</f>
        <v>62612.191349549998</v>
      </c>
    </row>
    <row r="746" spans="1:7" x14ac:dyDescent="0.25">
      <c r="A746" s="459" t="s">
        <v>83</v>
      </c>
      <c r="B746" s="460"/>
      <c r="C746" s="460"/>
      <c r="D746" s="460"/>
      <c r="E746" s="460"/>
      <c r="F746" s="63" t="e">
        <f ca="1">IF(SUM(F743:F745)=0,"",SUM(F743:F745))</f>
        <v>#REF!</v>
      </c>
      <c r="G746" s="64">
        <f ca="1">IF(SUM(G743:G745)=0,"",ROUND(SUM(G743:G745),0))</f>
        <v>295645</v>
      </c>
    </row>
    <row r="747" spans="1:7" x14ac:dyDescent="0.25">
      <c r="A747" s="56"/>
      <c r="B747" s="34"/>
      <c r="C747" s="34"/>
      <c r="D747" s="34"/>
      <c r="E747" s="461"/>
      <c r="F747" s="461"/>
      <c r="G747" s="65"/>
    </row>
    <row r="748" spans="1:7" x14ac:dyDescent="0.25">
      <c r="A748" s="456" t="s">
        <v>84</v>
      </c>
      <c r="B748" s="457"/>
      <c r="C748" s="457"/>
      <c r="D748" s="457"/>
      <c r="E748" s="457"/>
      <c r="F748" s="457"/>
      <c r="G748" s="66">
        <f ca="1">+IFERROR(ROUND(G738+G746,0),"")</f>
        <v>1515712</v>
      </c>
    </row>
    <row r="749" spans="1:7" x14ac:dyDescent="0.25">
      <c r="A749" s="19"/>
      <c r="B749" s="19"/>
      <c r="C749" s="19"/>
      <c r="D749" s="19"/>
      <c r="E749" s="18"/>
      <c r="F749" s="18"/>
      <c r="G749" s="20"/>
    </row>
    <row r="750" spans="1:7" x14ac:dyDescent="0.25">
      <c r="A750" s="19"/>
      <c r="B750" s="185" t="s">
        <v>787</v>
      </c>
      <c r="C750" s="18"/>
      <c r="D750" s="18"/>
      <c r="E750" s="18"/>
      <c r="F750" s="18"/>
      <c r="G750" s="18"/>
    </row>
    <row r="751" spans="1:7" x14ac:dyDescent="0.25">
      <c r="A751" s="19"/>
      <c r="B751" s="185" t="s">
        <v>599</v>
      </c>
      <c r="C751" s="18"/>
      <c r="D751" s="18"/>
      <c r="E751" s="18"/>
      <c r="F751" s="18"/>
      <c r="G751" s="18"/>
    </row>
    <row r="752" spans="1:7" x14ac:dyDescent="0.25">
      <c r="A752" s="19"/>
      <c r="B752" s="185"/>
      <c r="C752" s="18"/>
      <c r="D752" s="67"/>
      <c r="E752" s="67"/>
      <c r="F752" s="67"/>
      <c r="G752" s="18"/>
    </row>
    <row r="753" spans="1:7" x14ac:dyDescent="0.25">
      <c r="A753" s="19"/>
      <c r="B753" s="185"/>
      <c r="C753" s="20"/>
      <c r="D753" s="365" t="s">
        <v>85</v>
      </c>
      <c r="E753" s="365"/>
      <c r="F753" s="365"/>
      <c r="G753" s="20"/>
    </row>
    <row r="755" spans="1:7" ht="18.75" x14ac:dyDescent="0.25">
      <c r="A755" s="376" t="str">
        <f>'DATOS INICIALES'!$B$1</f>
        <v>DEPARTAMENTO DE ANTIOQUIA</v>
      </c>
      <c r="B755" s="377"/>
      <c r="C755" s="377"/>
      <c r="D755" s="377"/>
      <c r="E755" s="377"/>
      <c r="F755" s="378" t="s">
        <v>51</v>
      </c>
      <c r="G755" s="378"/>
    </row>
    <row r="756" spans="1:7" ht="15.75" x14ac:dyDescent="0.25">
      <c r="A756" s="379" t="str">
        <f>'DATOS INICIALES'!$B$2</f>
        <v>MUNICIPIO DE DABEIBA</v>
      </c>
      <c r="B756" s="380"/>
      <c r="C756" s="380"/>
      <c r="D756" s="380"/>
      <c r="E756" s="380"/>
      <c r="F756" s="378"/>
      <c r="G756" s="378"/>
    </row>
    <row r="757" spans="1:7" x14ac:dyDescent="0.25">
      <c r="A757" s="481" t="str">
        <f>'DATOS INICIALES'!$B$3</f>
        <v>REPOSICIÓN, AMPLIACIÓN Y REPARACIÓN DE LUMINARIAS QUE HACEN PARTE DE LA RED DE ALUMBRADOPÚBLICO DEL PARQUE PRINCIPAL Y CORREGIMIENTO SAN JOSÉ DE URAMA DEL MUNICIPIO DE DABEIBA.</v>
      </c>
      <c r="B757" s="482"/>
      <c r="C757" s="482"/>
      <c r="D757" s="482"/>
      <c r="E757" s="482"/>
      <c r="F757" s="378"/>
      <c r="G757" s="378"/>
    </row>
    <row r="758" spans="1:7" x14ac:dyDescent="0.25">
      <c r="A758" s="383"/>
      <c r="B758" s="383"/>
      <c r="C758" s="383"/>
      <c r="D758" s="383"/>
      <c r="E758" s="388"/>
      <c r="F758" s="378"/>
      <c r="G758" s="378"/>
    </row>
    <row r="759" spans="1:7" x14ac:dyDescent="0.25">
      <c r="A759" s="384" t="s">
        <v>52</v>
      </c>
      <c r="B759" s="385"/>
      <c r="C759" s="385"/>
      <c r="D759" s="385"/>
      <c r="E759" s="385"/>
      <c r="F759" s="378"/>
      <c r="G759" s="378"/>
    </row>
    <row r="760" spans="1:7" x14ac:dyDescent="0.25">
      <c r="A760" s="383"/>
      <c r="B760" s="383"/>
      <c r="C760" s="383"/>
      <c r="D760" s="383"/>
      <c r="E760" s="383"/>
      <c r="F760" s="477"/>
      <c r="G760" s="477"/>
    </row>
    <row r="761" spans="1:7" x14ac:dyDescent="0.25">
      <c r="A761" s="21" t="s">
        <v>42</v>
      </c>
      <c r="B761" s="372" t="s">
        <v>44</v>
      </c>
      <c r="C761" s="373"/>
      <c r="D761" s="374"/>
      <c r="E761" s="22" t="s">
        <v>45</v>
      </c>
      <c r="F761" s="23" t="s">
        <v>46</v>
      </c>
      <c r="G761" s="23" t="s">
        <v>53</v>
      </c>
    </row>
    <row r="762" spans="1:7" x14ac:dyDescent="0.25">
      <c r="A762" s="24" t="s">
        <v>177</v>
      </c>
      <c r="B762" s="478" t="str">
        <f>+IFERROR(VLOOKUP($A762,INSUMOSMATERIALES,2,0),"")</f>
        <v>MORTERO 1:4 EN OBRA (PEGA)</v>
      </c>
      <c r="C762" s="479"/>
      <c r="D762" s="480"/>
      <c r="E762" s="82" t="str">
        <f>+IFERROR(VLOOKUP($A762,INSUMOSMATERIALES,3,0),"")</f>
        <v>M3</v>
      </c>
      <c r="F762" s="82" t="s">
        <v>460</v>
      </c>
      <c r="G762" s="153">
        <f ca="1">IF(G810=0,"",G800)</f>
        <v>1220067</v>
      </c>
    </row>
    <row r="763" spans="1:7" x14ac:dyDescent="0.25">
      <c r="A763" s="19"/>
      <c r="B763" s="19"/>
      <c r="C763" s="19"/>
      <c r="D763" s="19"/>
      <c r="E763" s="18"/>
      <c r="F763" s="18"/>
      <c r="G763" s="20"/>
    </row>
    <row r="764" spans="1:7" x14ac:dyDescent="0.25">
      <c r="A764" s="465" t="s">
        <v>54</v>
      </c>
      <c r="B764" s="465"/>
      <c r="C764" s="465"/>
      <c r="D764" s="465"/>
      <c r="E764" s="465"/>
      <c r="F764" s="465"/>
      <c r="G764" s="465"/>
    </row>
    <row r="765" spans="1:7" x14ac:dyDescent="0.25">
      <c r="A765" s="119"/>
      <c r="B765" s="119"/>
      <c r="C765" s="119"/>
      <c r="D765" s="119"/>
      <c r="E765" s="119"/>
      <c r="F765" s="119"/>
      <c r="G765" s="119"/>
    </row>
    <row r="766" spans="1:7" x14ac:dyDescent="0.25">
      <c r="A766" s="469" t="s">
        <v>55</v>
      </c>
      <c r="B766" s="469"/>
      <c r="C766" s="469"/>
      <c r="D766" s="469"/>
      <c r="E766" s="469"/>
      <c r="F766" s="469"/>
      <c r="G766" s="470"/>
    </row>
    <row r="767" spans="1:7" x14ac:dyDescent="0.25">
      <c r="A767" s="120" t="s">
        <v>56</v>
      </c>
      <c r="B767" s="471" t="s">
        <v>44</v>
      </c>
      <c r="C767" s="472"/>
      <c r="D767" s="120" t="s">
        <v>45</v>
      </c>
      <c r="E767" s="120" t="s">
        <v>57</v>
      </c>
      <c r="F767" s="120" t="s">
        <v>58</v>
      </c>
      <c r="G767" s="120" t="s">
        <v>59</v>
      </c>
    </row>
    <row r="768" spans="1:7" x14ac:dyDescent="0.25">
      <c r="A768" s="25" t="str">
        <f>IF(B768="","",INDEX(CODIGOEQUIPOS,MATCH($B768,'INSUMOS EQUIPOS'!$B$7:$B$39,0)))</f>
        <v>EQ004</v>
      </c>
      <c r="B768" s="473" t="s">
        <v>94</v>
      </c>
      <c r="C768" s="474"/>
      <c r="D768" s="26" t="str">
        <f>IF(B768="","",(VLOOKUP($A768,INSUMOSEQUIPOS,3,0)))</f>
        <v>DÍA</v>
      </c>
      <c r="E768" s="27">
        <f>IF(B768="","",(VLOOKUP($A768,INSUMOSEQUIPOS,4,0)))</f>
        <v>62000</v>
      </c>
      <c r="F768" s="28">
        <v>8</v>
      </c>
      <c r="G768" s="29">
        <f>+IFERROR(E768/F768,"")</f>
        <v>7750</v>
      </c>
    </row>
    <row r="769" spans="1:7" x14ac:dyDescent="0.25">
      <c r="A769" s="30" t="str">
        <f>+IF(G791="","","EQ001")</f>
        <v>EQ001</v>
      </c>
      <c r="B769" s="475" t="str">
        <f>+IF($A769="","",IFERROR(VLOOKUP($A769,INSUMOSEQUIPOS,2,0),""))</f>
        <v>HERRAMIENTA MENOR (5% DE LA MANO DE OBRA)</v>
      </c>
      <c r="C769" s="476"/>
      <c r="D769" s="26" t="str">
        <f>+IF($A769="","",IFERROR(VLOOKUP($A769,INSUMOSEQUIPOS,3,0),""))</f>
        <v>%</v>
      </c>
      <c r="E769" s="31">
        <f>+IF($A769="","",IFERROR(VLOOKUP($A769,INSUMOSEQUIPOS,4,0),""))</f>
        <v>0.05</v>
      </c>
      <c r="F769" s="32">
        <f>+IF(G791=0,"",G791)</f>
        <v>40267.5</v>
      </c>
      <c r="G769" s="29">
        <f>+IFERROR(E769*F769,"")</f>
        <v>2013.375</v>
      </c>
    </row>
    <row r="770" spans="1:7" x14ac:dyDescent="0.25">
      <c r="A770" s="33"/>
      <c r="B770" s="34"/>
      <c r="C770" s="119"/>
      <c r="D770" s="119"/>
      <c r="E770" s="35"/>
      <c r="F770" s="36" t="s">
        <v>62</v>
      </c>
      <c r="G770" s="37">
        <f>+IF(SUM(G768:G769)=0,"",SUM(G768:G769))</f>
        <v>9763.375</v>
      </c>
    </row>
    <row r="771" spans="1:7" x14ac:dyDescent="0.25">
      <c r="A771" s="34"/>
      <c r="B771" s="119"/>
      <c r="C771" s="119"/>
      <c r="D771" s="35"/>
      <c r="E771" s="38"/>
      <c r="F771" s="39"/>
      <c r="G771" s="33"/>
    </row>
    <row r="772" spans="1:7" x14ac:dyDescent="0.25">
      <c r="A772" s="465" t="s">
        <v>63</v>
      </c>
      <c r="B772" s="465"/>
      <c r="C772" s="465"/>
      <c r="D772" s="465"/>
      <c r="E772" s="465"/>
      <c r="F772" s="465"/>
      <c r="G772" s="467"/>
    </row>
    <row r="773" spans="1:7" x14ac:dyDescent="0.25">
      <c r="A773" s="120" t="s">
        <v>56</v>
      </c>
      <c r="B773" s="40" t="s">
        <v>44</v>
      </c>
      <c r="C773" s="41" t="s">
        <v>45</v>
      </c>
      <c r="D773" s="41" t="s">
        <v>46</v>
      </c>
      <c r="E773" s="41" t="s">
        <v>64</v>
      </c>
      <c r="F773" s="41" t="s">
        <v>65</v>
      </c>
      <c r="G773" s="41" t="s">
        <v>59</v>
      </c>
    </row>
    <row r="774" spans="1:7" ht="22.5" x14ac:dyDescent="0.25">
      <c r="A774" s="25" t="e">
        <f>IF(B774="","",INDEX(CODIGOMATERIALES,MATCH($B774,'INSUMOS MATERIALES'!$B$7:$B$51,0)))</f>
        <v>#N/A</v>
      </c>
      <c r="B774" s="42" t="s">
        <v>192</v>
      </c>
      <c r="C774" s="43" t="e">
        <f>IF(B774="","",(VLOOKUP($A774,INSUMOSMATERIALES,3,0)))</f>
        <v>#N/A</v>
      </c>
      <c r="D774" s="44">
        <v>7.28</v>
      </c>
      <c r="E774" s="45">
        <v>0.05</v>
      </c>
      <c r="F774" s="46" t="e">
        <f>IF(B774="","",(VLOOKUP($A774,INSUMOSMATERIALES,4,0)))</f>
        <v>#N/A</v>
      </c>
      <c r="G774" s="29" t="str">
        <f>+IFERROR(F774*D774*(1+E774),"")</f>
        <v/>
      </c>
    </row>
    <row r="775" spans="1:7" x14ac:dyDescent="0.25">
      <c r="A775" s="25" t="e">
        <f>IF(B775="","",INDEX(CODIGOMATERIALES,MATCH($B775,'INSUMOS MATERIALES'!$B$7:$B$51,0)))</f>
        <v>#N/A</v>
      </c>
      <c r="B775" s="42" t="s">
        <v>198</v>
      </c>
      <c r="C775" s="43" t="e">
        <f>IF(B775="","",(VLOOKUP($A775,INSUMOSMATERIALES,3,0)))</f>
        <v>#N/A</v>
      </c>
      <c r="D775" s="44">
        <v>1.1599999999999999</v>
      </c>
      <c r="E775" s="45">
        <v>0.05</v>
      </c>
      <c r="F775" s="46" t="e">
        <f>IF(B775="","",(VLOOKUP($A775,INSUMOSMATERIALES,4,0)))</f>
        <v>#N/A</v>
      </c>
      <c r="G775" s="29" t="str">
        <f>+IFERROR(F775*D775*(1+E775),"")</f>
        <v/>
      </c>
    </row>
    <row r="776" spans="1:7" x14ac:dyDescent="0.25">
      <c r="A776" s="25" t="e">
        <f>IF(B776="","",INDEX(CODIGOMATERIALES,MATCH($B776,'INSUMOS MATERIALES'!$B$7:$B$51,0)))</f>
        <v>#N/A</v>
      </c>
      <c r="B776" s="42" t="s">
        <v>201</v>
      </c>
      <c r="C776" s="43" t="e">
        <f>IF(B776="","",(VLOOKUP($A776,INSUMOSMATERIALES,3,0)))</f>
        <v>#N/A</v>
      </c>
      <c r="D776" s="44">
        <v>185</v>
      </c>
      <c r="E776" s="45">
        <v>0.1</v>
      </c>
      <c r="F776" s="46" t="e">
        <f>IF(B776="","",(VLOOKUP($A776,INSUMOSMATERIALES,4,0)))</f>
        <v>#N/A</v>
      </c>
      <c r="G776" s="29" t="str">
        <f>+IFERROR(F776*D776*(1+E776),"")</f>
        <v/>
      </c>
    </row>
    <row r="777" spans="1:7" x14ac:dyDescent="0.25">
      <c r="A777" s="33"/>
      <c r="B777" s="47"/>
      <c r="C777" s="119"/>
      <c r="D777" s="119"/>
      <c r="E777" s="35"/>
      <c r="F777" s="36" t="s">
        <v>62</v>
      </c>
      <c r="G777" s="37" t="str">
        <f>+IF(SUM(G774:G776)=0,"",SUM(G774:G776))</f>
        <v/>
      </c>
    </row>
    <row r="778" spans="1:7" x14ac:dyDescent="0.25">
      <c r="A778" s="34"/>
      <c r="B778" s="119"/>
      <c r="C778" s="119"/>
      <c r="D778" s="35"/>
      <c r="E778" s="48"/>
      <c r="F778" s="39"/>
      <c r="G778" s="33"/>
    </row>
    <row r="779" spans="1:7" x14ac:dyDescent="0.25">
      <c r="A779" s="465" t="s">
        <v>66</v>
      </c>
      <c r="B779" s="465"/>
      <c r="C779" s="465"/>
      <c r="D779" s="465"/>
      <c r="E779" s="465"/>
      <c r="F779" s="465"/>
      <c r="G779" s="465"/>
    </row>
    <row r="780" spans="1:7" x14ac:dyDescent="0.25">
      <c r="A780" s="120" t="s">
        <v>56</v>
      </c>
      <c r="B780" s="120" t="s">
        <v>44</v>
      </c>
      <c r="C780" s="120" t="s">
        <v>67</v>
      </c>
      <c r="D780" s="120" t="s">
        <v>68</v>
      </c>
      <c r="E780" s="41" t="s">
        <v>69</v>
      </c>
      <c r="F780" s="41" t="s">
        <v>57</v>
      </c>
      <c r="G780" s="41" t="s">
        <v>59</v>
      </c>
    </row>
    <row r="781" spans="1:7" ht="33.75" x14ac:dyDescent="0.25">
      <c r="A781" s="25" t="str">
        <f>IF(B781="","",INDEX(CODIGOTRANSPORTES,MATCH(B781,'INSUMOS TRANSPORTES'!$B$7:$B$13,0)))</f>
        <v>TR002</v>
      </c>
      <c r="B781" s="42" t="s">
        <v>555</v>
      </c>
      <c r="C781" s="49" t="s">
        <v>461</v>
      </c>
      <c r="D781" s="44">
        <f>(D775)*1.05</f>
        <v>1.218</v>
      </c>
      <c r="E781" s="50">
        <f>+IF(C781=0,"",IF(C781="INSUMOS",'DATOS INICIALES'!$B$24,IF(C781="PLAYA",'DATOS INICIALES'!$B$21,IF(C781="TIERRA",'DATOS INICIALES'!$B$19,IF(C781="ESCOMBROS",'DATOS INICIALES'!$B$20,IF(C781="ASFALTO",'DATOS INICIALES'!$B$25,IF(C781="GRANULAR",'DATOS INICIALES'!B790)))))))</f>
        <v>120</v>
      </c>
      <c r="F781" s="27">
        <f>+IF(B781="","",(VLOOKUP($A781,INSUMOSTRANSPORTES,4,0)))</f>
        <v>6100</v>
      </c>
      <c r="G781" s="29">
        <f>+IFERROR(D781*E781*F781,"")</f>
        <v>891576</v>
      </c>
    </row>
    <row r="782" spans="1:7" ht="22.5" x14ac:dyDescent="0.25">
      <c r="A782" s="25" t="str">
        <f>IF(B782="","",INDEX(CODIGOTRANSPORTES,MATCH(B782,'INSUMOS TRANSPORTES'!$B$7:$B$26,0)))</f>
        <v>TR007</v>
      </c>
      <c r="B782" s="42" t="s">
        <v>463</v>
      </c>
      <c r="C782" s="49" t="s">
        <v>462</v>
      </c>
      <c r="D782" s="44">
        <f>(50*D774)/1000</f>
        <v>0.36399999999999999</v>
      </c>
      <c r="E782" s="50">
        <f>+IF(C782=0,"",IF(C782="INSUMOS",'DATOS INICIALES'!$B$24,IF(C782="PLAYA",'DATOS INICIALES'!$B$21,IF(C782="TIERRA",'DATOS INICIALES'!$B$19,IF(C782="ESCOMBROS",'DATOS INICIALES'!$B$20,IF(C782="ASFALTO",'DATOS INICIALES'!$B$25,IF(C782="GRANULAR",'DATOS INICIALES'!B791)))))))</f>
        <v>180</v>
      </c>
      <c r="F782" s="27">
        <f>+IF(B782="","",(VLOOKUP($A782,INSUMOSTRANSPORTES,4,0)))</f>
        <v>4250</v>
      </c>
      <c r="G782" s="29">
        <f>+IFERROR(D782*E782*F782,"")</f>
        <v>278460</v>
      </c>
    </row>
    <row r="783" spans="1:7" x14ac:dyDescent="0.25">
      <c r="A783" s="33"/>
      <c r="B783" s="51"/>
      <c r="C783" s="119"/>
      <c r="D783" s="119"/>
      <c r="E783" s="35"/>
      <c r="F783" s="36" t="s">
        <v>62</v>
      </c>
      <c r="G783" s="37">
        <f>+IF(SUM(G781:G782)=0,"",SUM(G781:G782))</f>
        <v>1170036</v>
      </c>
    </row>
    <row r="784" spans="1:7" x14ac:dyDescent="0.25">
      <c r="A784" s="119"/>
      <c r="B784" s="119"/>
      <c r="C784" s="119"/>
      <c r="D784" s="35"/>
      <c r="E784" s="48"/>
      <c r="F784" s="39"/>
      <c r="G784" s="33"/>
    </row>
    <row r="785" spans="1:7" x14ac:dyDescent="0.25">
      <c r="A785" s="465" t="s">
        <v>70</v>
      </c>
      <c r="B785" s="465"/>
      <c r="C785" s="465"/>
      <c r="D785" s="465"/>
      <c r="E785" s="465"/>
      <c r="F785" s="465"/>
      <c r="G785" s="467"/>
    </row>
    <row r="786" spans="1:7" x14ac:dyDescent="0.25">
      <c r="A786" s="120" t="s">
        <v>56</v>
      </c>
      <c r="B786" s="468" t="s">
        <v>71</v>
      </c>
      <c r="C786" s="468"/>
      <c r="D786" s="41" t="s">
        <v>46</v>
      </c>
      <c r="E786" s="41" t="s">
        <v>72</v>
      </c>
      <c r="F786" s="41" t="s">
        <v>58</v>
      </c>
      <c r="G786" s="41" t="s">
        <v>59</v>
      </c>
    </row>
    <row r="787" spans="1:7" x14ac:dyDescent="0.25">
      <c r="A787" s="25" t="str">
        <f>IF(B787="","",INDEX(CODIGOSMANODEOBRA,MATCH($B787,'INSUMOS MANO DE OBRA'!$B$7:$B$61,0)))</f>
        <v>MO033</v>
      </c>
      <c r="B787" s="462" t="s">
        <v>360</v>
      </c>
      <c r="C787" s="463"/>
      <c r="D787" s="52">
        <v>1</v>
      </c>
      <c r="E787" s="46">
        <f>IF(B787="","",(VLOOKUP($A787,INSUMOSMANODEOBRA,8,0)))</f>
        <v>94854</v>
      </c>
      <c r="F787" s="44">
        <v>8</v>
      </c>
      <c r="G787" s="53">
        <f>+IFERROR(D787*E787/F787,"")</f>
        <v>11856.75</v>
      </c>
    </row>
    <row r="788" spans="1:7" x14ac:dyDescent="0.25">
      <c r="A788" s="25" t="str">
        <f>IF(B788="","",INDEX(CODIGOSMANODEOBRA,MATCH($B788,'INSUMOS MANO DE OBRA'!$B$7:$B$61,0)))</f>
        <v>MO032</v>
      </c>
      <c r="B788" s="462" t="s">
        <v>359</v>
      </c>
      <c r="C788" s="463"/>
      <c r="D788" s="52">
        <v>3</v>
      </c>
      <c r="E788" s="46">
        <f>IF(B788="","",(VLOOKUP($A788,INSUMOSMANODEOBRA,8,0)))</f>
        <v>75762</v>
      </c>
      <c r="F788" s="44">
        <v>8</v>
      </c>
      <c r="G788" s="53">
        <f>+IFERROR(D788*E788/F788,"")</f>
        <v>28410.75</v>
      </c>
    </row>
    <row r="789" spans="1:7" x14ac:dyDescent="0.25">
      <c r="A789" s="25"/>
      <c r="B789" s="462"/>
      <c r="C789" s="463"/>
      <c r="D789" s="52"/>
      <c r="E789" s="46"/>
      <c r="F789" s="54"/>
      <c r="G789" s="53" t="str">
        <f>+IFERROR(D789*E789/F789,"")</f>
        <v/>
      </c>
    </row>
    <row r="790" spans="1:7" x14ac:dyDescent="0.25">
      <c r="A790" s="25" t="str">
        <f>IF(B790="","",INDEX(CÓDIGOS_MANO_DE_OBRA,MATCH($B790,'[7]INSUMOS MANO DE OBRA'!$B$8:$B$63,0)))</f>
        <v/>
      </c>
      <c r="B790" s="462"/>
      <c r="C790" s="463"/>
      <c r="D790" s="52"/>
      <c r="E790" s="46" t="str">
        <f>+IF(B790="","",(VLOOKUP($A790,INSUMOS_MANO_DE_OBRA,8,0)))</f>
        <v/>
      </c>
      <c r="F790" s="54" t="str">
        <f>+IF(A790="","",IF(A790=0,"",IF(F789="","",F789)))</f>
        <v/>
      </c>
      <c r="G790" s="53" t="str">
        <f>+IFERROR(D790*E790/F790,"")</f>
        <v/>
      </c>
    </row>
    <row r="791" spans="1:7" x14ac:dyDescent="0.25">
      <c r="A791" s="33"/>
      <c r="B791" s="34"/>
      <c r="C791" s="119"/>
      <c r="D791" s="119"/>
      <c r="E791" s="35"/>
      <c r="F791" s="36" t="s">
        <v>62</v>
      </c>
      <c r="G791" s="37">
        <f>+IF(SUM(G787:G790)=0,"",SUM(G787:G790))</f>
        <v>40267.5</v>
      </c>
    </row>
    <row r="792" spans="1:7" x14ac:dyDescent="0.25">
      <c r="A792" s="121"/>
      <c r="B792" s="119"/>
      <c r="C792" s="55"/>
      <c r="D792" s="55"/>
      <c r="E792" s="55"/>
      <c r="F792" s="39"/>
      <c r="G792" s="56"/>
    </row>
    <row r="793" spans="1:7" x14ac:dyDescent="0.25">
      <c r="A793" s="465" t="s">
        <v>76</v>
      </c>
      <c r="B793" s="465"/>
      <c r="C793" s="465"/>
      <c r="D793" s="465"/>
      <c r="E793" s="465"/>
      <c r="F793" s="465"/>
      <c r="G793" s="467"/>
    </row>
    <row r="794" spans="1:7" x14ac:dyDescent="0.25">
      <c r="A794" s="120" t="s">
        <v>56</v>
      </c>
      <c r="B794" s="468" t="s">
        <v>44</v>
      </c>
      <c r="C794" s="468"/>
      <c r="D794" s="120" t="s">
        <v>45</v>
      </c>
      <c r="E794" s="120" t="s">
        <v>46</v>
      </c>
      <c r="F794" s="120" t="s">
        <v>65</v>
      </c>
      <c r="G794" s="120" t="s">
        <v>59</v>
      </c>
    </row>
    <row r="795" spans="1:7" x14ac:dyDescent="0.25">
      <c r="A795" s="25" t="str">
        <f>IF(B795="","",INDEX(CODIGOSSERVICIOS,MATCH($B795,'INSUMOS SERVICIOS'!$B$7:$B$21,0)))</f>
        <v/>
      </c>
      <c r="B795" s="462"/>
      <c r="C795" s="463"/>
      <c r="D795" s="43" t="str">
        <f>+IF(B795="","",(VLOOKUP($A795,INSUMOSSERVICIOS,3,0)))</f>
        <v/>
      </c>
      <c r="E795" s="57"/>
      <c r="F795" s="46" t="str">
        <f>IF(B795="","",(VLOOKUP($A795,INSUMOSSERVICIOS,4,0)))</f>
        <v/>
      </c>
      <c r="G795" s="29" t="str">
        <f>+IFERROR(E795*F795,"")</f>
        <v/>
      </c>
    </row>
    <row r="796" spans="1:7" x14ac:dyDescent="0.25">
      <c r="A796" s="25" t="str">
        <f>IF(B796="","",INDEX(CODIGOSSERVICIOS,MATCH($B796,'INSUMOS SERVICIOS'!$B$7:$B$21,0)))</f>
        <v/>
      </c>
      <c r="B796" s="462"/>
      <c r="C796" s="463"/>
      <c r="D796" s="43" t="str">
        <f>+IF(B796="","",(VLOOKUP($A796,INSUMOSSERVICIOS,3,0)))</f>
        <v/>
      </c>
      <c r="E796" s="57"/>
      <c r="F796" s="46" t="str">
        <f>IF(B796="","",(VLOOKUP($A796,INSUMOSSERVICIOS,4,0)))</f>
        <v/>
      </c>
      <c r="G796" s="29" t="str">
        <f>+IFERROR(E796*F796,"")</f>
        <v/>
      </c>
    </row>
    <row r="797" spans="1:7" x14ac:dyDescent="0.25">
      <c r="A797" s="25" t="str">
        <f>IF(B797="","",INDEX(CÓDIGOS_SERVICIOS,MATCH($B797,'[7]INSUMOS SERVICIOS'!$B$8:$B$51,0)))</f>
        <v/>
      </c>
      <c r="B797" s="462"/>
      <c r="C797" s="463"/>
      <c r="D797" s="43" t="str">
        <f>+IF(B797="","",(VLOOKUP($A797,INSUMOS_SERVICIOS,3,0)))</f>
        <v/>
      </c>
      <c r="E797" s="57"/>
      <c r="F797" s="46" t="str">
        <f>IF(B797="","",(VLOOKUP($A797,INSUMOS_SERVICIOS,4,0)))</f>
        <v/>
      </c>
      <c r="G797" s="29" t="str">
        <f>+IFERROR(E797*F797,"")</f>
        <v/>
      </c>
    </row>
    <row r="798" spans="1:7" x14ac:dyDescent="0.25">
      <c r="A798" s="33"/>
      <c r="B798" s="34"/>
      <c r="C798" s="119"/>
      <c r="D798" s="119"/>
      <c r="E798" s="35"/>
      <c r="F798" s="58" t="s">
        <v>62</v>
      </c>
      <c r="G798" s="37" t="str">
        <f>+IF(SUM(G795:G797)=0,"",SUM(G795:G797))</f>
        <v/>
      </c>
    </row>
    <row r="799" spans="1:7" x14ac:dyDescent="0.25">
      <c r="A799" s="121"/>
      <c r="B799" s="119"/>
      <c r="C799" s="55"/>
      <c r="D799" s="55"/>
      <c r="E799" s="55"/>
      <c r="F799" s="39"/>
      <c r="G799" s="56"/>
    </row>
    <row r="800" spans="1:7" x14ac:dyDescent="0.25">
      <c r="A800" s="464" t="s">
        <v>77</v>
      </c>
      <c r="B800" s="464"/>
      <c r="C800" s="464"/>
      <c r="D800" s="464"/>
      <c r="E800" s="464"/>
      <c r="F800" s="464"/>
      <c r="G800" s="59">
        <f>IF(SUM(G770,G777,G783,G791,G798)=0,"",(ROUND(SUM(G770,G777,G783,G791,G798),0)))</f>
        <v>1220067</v>
      </c>
    </row>
    <row r="801" spans="1:7" x14ac:dyDescent="0.25">
      <c r="A801" s="56"/>
      <c r="B801" s="48"/>
      <c r="C801" s="48"/>
      <c r="D801" s="48"/>
      <c r="E801" s="48"/>
      <c r="F801" s="48"/>
      <c r="G801" s="39"/>
    </row>
    <row r="802" spans="1:7" x14ac:dyDescent="0.25">
      <c r="A802" s="465" t="s">
        <v>78</v>
      </c>
      <c r="B802" s="465"/>
      <c r="C802" s="465"/>
      <c r="D802" s="465"/>
      <c r="E802" s="465"/>
      <c r="F802" s="465"/>
      <c r="G802" s="465"/>
    </row>
    <row r="803" spans="1:7" x14ac:dyDescent="0.25">
      <c r="A803" s="119"/>
      <c r="B803" s="119"/>
      <c r="C803" s="119"/>
      <c r="D803" s="119"/>
      <c r="E803" s="119"/>
      <c r="F803" s="119"/>
      <c r="G803" s="119"/>
    </row>
    <row r="804" spans="1:7" x14ac:dyDescent="0.25">
      <c r="A804" s="466" t="s">
        <v>44</v>
      </c>
      <c r="B804" s="466"/>
      <c r="C804" s="466"/>
      <c r="D804" s="466"/>
      <c r="E804" s="466"/>
      <c r="F804" s="60" t="s">
        <v>79</v>
      </c>
      <c r="G804" s="60" t="s">
        <v>48</v>
      </c>
    </row>
    <row r="805" spans="1:7" x14ac:dyDescent="0.25">
      <c r="A805" s="458" t="s">
        <v>80</v>
      </c>
      <c r="B805" s="458"/>
      <c r="C805" s="458"/>
      <c r="D805" s="458"/>
      <c r="E805" s="458"/>
      <c r="F805" s="61">
        <f ca="1">AU!$I$36</f>
        <v>0.191</v>
      </c>
      <c r="G805" s="62">
        <f ca="1">+IFERROR(G800*F805,"")</f>
        <v>233032.79699999999</v>
      </c>
    </row>
    <row r="806" spans="1:7" x14ac:dyDescent="0.25">
      <c r="A806" s="458" t="s">
        <v>81</v>
      </c>
      <c r="B806" s="458"/>
      <c r="C806" s="458"/>
      <c r="D806" s="458"/>
      <c r="E806" s="458"/>
      <c r="F806" s="61" t="e">
        <f>IF(AU!#REF!=0,"",AU!#REF!)</f>
        <v>#REF!</v>
      </c>
      <c r="G806" s="62" t="str">
        <f>+IFERROR(G800*F806,"")</f>
        <v/>
      </c>
    </row>
    <row r="807" spans="1:7" x14ac:dyDescent="0.25">
      <c r="A807" s="458" t="s">
        <v>82</v>
      </c>
      <c r="B807" s="458"/>
      <c r="C807" s="458"/>
      <c r="D807" s="458"/>
      <c r="E807" s="458"/>
      <c r="F807" s="61">
        <f>IF(AU!$I$37=0,"",AU!$I$37)</f>
        <v>5.131865E-2</v>
      </c>
      <c r="G807" s="62">
        <f>+IFERROR(G800*F807,"")</f>
        <v>62612.191349549998</v>
      </c>
    </row>
    <row r="808" spans="1:7" x14ac:dyDescent="0.25">
      <c r="A808" s="459" t="s">
        <v>83</v>
      </c>
      <c r="B808" s="460"/>
      <c r="C808" s="460"/>
      <c r="D808" s="460"/>
      <c r="E808" s="460"/>
      <c r="F808" s="63" t="e">
        <f ca="1">IF(SUM(F805:F807)=0,"",SUM(F805:F807))</f>
        <v>#REF!</v>
      </c>
      <c r="G808" s="64">
        <f ca="1">IF(SUM(G805:G807)=0,"",ROUND(SUM(G805:G807),0))</f>
        <v>295645</v>
      </c>
    </row>
    <row r="809" spans="1:7" x14ac:dyDescent="0.25">
      <c r="A809" s="56"/>
      <c r="B809" s="34"/>
      <c r="C809" s="34"/>
      <c r="D809" s="34"/>
      <c r="E809" s="461"/>
      <c r="F809" s="461"/>
      <c r="G809" s="65"/>
    </row>
    <row r="810" spans="1:7" x14ac:dyDescent="0.25">
      <c r="A810" s="456" t="s">
        <v>84</v>
      </c>
      <c r="B810" s="457"/>
      <c r="C810" s="457"/>
      <c r="D810" s="457"/>
      <c r="E810" s="457"/>
      <c r="F810" s="457"/>
      <c r="G810" s="66">
        <f ca="1">+IFERROR(ROUND(G800+G808,0),"")</f>
        <v>1515712</v>
      </c>
    </row>
    <row r="811" spans="1:7" x14ac:dyDescent="0.25">
      <c r="A811" s="19"/>
      <c r="B811" s="19"/>
      <c r="C811" s="19"/>
      <c r="D811" s="19"/>
      <c r="E811" s="18"/>
      <c r="F811" s="18"/>
      <c r="G811" s="20"/>
    </row>
    <row r="812" spans="1:7" x14ac:dyDescent="0.25">
      <c r="A812" s="19"/>
      <c r="B812" s="185" t="s">
        <v>787</v>
      </c>
      <c r="C812" s="18"/>
      <c r="D812" s="18"/>
      <c r="E812" s="18"/>
      <c r="F812" s="18"/>
      <c r="G812" s="18"/>
    </row>
    <row r="813" spans="1:7" x14ac:dyDescent="0.25">
      <c r="A813" s="19"/>
      <c r="B813" s="185" t="s">
        <v>599</v>
      </c>
      <c r="C813" s="18"/>
      <c r="D813" s="18"/>
      <c r="E813" s="18"/>
      <c r="F813" s="18"/>
      <c r="G813" s="18"/>
    </row>
    <row r="814" spans="1:7" x14ac:dyDescent="0.25">
      <c r="A814" s="19"/>
      <c r="B814" s="185"/>
      <c r="C814" s="18"/>
      <c r="D814" s="67"/>
      <c r="E814" s="67"/>
      <c r="F814" s="67"/>
      <c r="G814" s="18"/>
    </row>
    <row r="815" spans="1:7" x14ac:dyDescent="0.25">
      <c r="A815" s="19"/>
      <c r="B815" s="185"/>
      <c r="C815" s="20"/>
      <c r="D815" s="365" t="s">
        <v>85</v>
      </c>
      <c r="E815" s="365"/>
      <c r="F815" s="365"/>
      <c r="G815" s="20"/>
    </row>
  </sheetData>
  <protectedRanges>
    <protectedRange sqref="A8 B14:C14 E43:E45 D20:E23 B35:D38 F35:F36 B43:C45 B20:B23 F14 A72 B78:C78 E107:E109 D84:E87 B99:D102 F99:F100 B107:C109 B84:B87 F78 A136 B142:C142 E171:E173 D148:E151 B163:D166 F163:F164 B171:C173 B148:B151 F142 A200 B206:C206 E235:E237 D212:E215 B227:D230 F227:F228 B235:C237 B212:B215 F206 A264 B270:C270 E299:E301 D276:E279 B291:D294 F291:F292 B299:C301 B276:B279 F270 A328 B334:C334 E361:E363 B353:D356 F353:F354 B361:C363 F334 B340:B342 D340:E342 A390 B396:C396 E423:E425 B415:D418 F415:F416 B423:C425 F396 B347:D348 B402:B404 D402:E404 A452 B458:C458 E485:E487 B477:D480 F477:F478 B485:C487 F458 B409:D410 B464:B466 D464:E466 A514 B520:C520 E547:E549 B539:D542 F539:F540 B547:C549 F520 B471:D472 B526:B528 D526:E528 A576 B582:C582 E609:E611 B601:D604 F601:F602 B609:C611 F582 B533:D534 B588:B590 D588:E590 A638 B644:C644 E671:E673 B663:D666 F663:F664 B671:C673 F644 B595:D596 B650:B652 D650:E652 A700 B706:C706 E733:E735 B725:D728 F725:F726 B733:C735 F706 B657:D658 B712:B714 D712:E714 B156:D158 B28:D30 B92:D94 B220:D222 B284:D286 B719:D720 A762 B768:C768 E795:E797 B787:D790 F787:F788 B795:C797 F768 B774:B776 D774:E776 B781:D782" name="Rango1"/>
  </protectedRanges>
  <mergeCells count="495">
    <mergeCell ref="A810:F810"/>
    <mergeCell ref="D815:F815"/>
    <mergeCell ref="B797:C797"/>
    <mergeCell ref="A800:F800"/>
    <mergeCell ref="A802:G802"/>
    <mergeCell ref="A804:E804"/>
    <mergeCell ref="A805:E805"/>
    <mergeCell ref="A806:E806"/>
    <mergeCell ref="A807:E807"/>
    <mergeCell ref="A808:E808"/>
    <mergeCell ref="E809:F809"/>
    <mergeCell ref="B786:C786"/>
    <mergeCell ref="B787:C787"/>
    <mergeCell ref="B788:C788"/>
    <mergeCell ref="B789:C789"/>
    <mergeCell ref="B790:C790"/>
    <mergeCell ref="A793:G793"/>
    <mergeCell ref="B794:C794"/>
    <mergeCell ref="B795:C795"/>
    <mergeCell ref="B796:C796"/>
    <mergeCell ref="B762:D762"/>
    <mergeCell ref="A764:G764"/>
    <mergeCell ref="A766:G766"/>
    <mergeCell ref="B767:C767"/>
    <mergeCell ref="B768:C768"/>
    <mergeCell ref="B769:C769"/>
    <mergeCell ref="A772:G772"/>
    <mergeCell ref="A779:G779"/>
    <mergeCell ref="A785:G785"/>
    <mergeCell ref="A755:E755"/>
    <mergeCell ref="F755:G759"/>
    <mergeCell ref="A756:E756"/>
    <mergeCell ref="A757:E757"/>
    <mergeCell ref="A758:E758"/>
    <mergeCell ref="A759:E759"/>
    <mergeCell ref="A760:E760"/>
    <mergeCell ref="F760:G760"/>
    <mergeCell ref="B761:D761"/>
    <mergeCell ref="A12:G12"/>
    <mergeCell ref="A1:E1"/>
    <mergeCell ref="F1:G5"/>
    <mergeCell ref="A2:E2"/>
    <mergeCell ref="A3:E3"/>
    <mergeCell ref="A4:E4"/>
    <mergeCell ref="A5:E5"/>
    <mergeCell ref="A6:E6"/>
    <mergeCell ref="F6:G6"/>
    <mergeCell ref="B7:D7"/>
    <mergeCell ref="B8:D8"/>
    <mergeCell ref="A10:G10"/>
    <mergeCell ref="B36:C36"/>
    <mergeCell ref="B13:C13"/>
    <mergeCell ref="B14:C14"/>
    <mergeCell ref="B15:C15"/>
    <mergeCell ref="A18:G18"/>
    <mergeCell ref="A26:G26"/>
    <mergeCell ref="A33:G33"/>
    <mergeCell ref="B34:C34"/>
    <mergeCell ref="B35:C35"/>
    <mergeCell ref="A54:E54"/>
    <mergeCell ref="B37:C37"/>
    <mergeCell ref="B38:C38"/>
    <mergeCell ref="A41:G41"/>
    <mergeCell ref="B42:C42"/>
    <mergeCell ref="B43:C43"/>
    <mergeCell ref="B44:C44"/>
    <mergeCell ref="B45:C45"/>
    <mergeCell ref="A48:F48"/>
    <mergeCell ref="A50:G50"/>
    <mergeCell ref="A52:E52"/>
    <mergeCell ref="A53:E53"/>
    <mergeCell ref="B79:C79"/>
    <mergeCell ref="A55:E55"/>
    <mergeCell ref="A56:E56"/>
    <mergeCell ref="E57:F57"/>
    <mergeCell ref="A58:F58"/>
    <mergeCell ref="D63:F63"/>
    <mergeCell ref="A65:E65"/>
    <mergeCell ref="F65:G69"/>
    <mergeCell ref="A66:E66"/>
    <mergeCell ref="A67:E67"/>
    <mergeCell ref="A68:E68"/>
    <mergeCell ref="A69:E69"/>
    <mergeCell ref="A70:E70"/>
    <mergeCell ref="F70:G70"/>
    <mergeCell ref="B71:D71"/>
    <mergeCell ref="B72:D72"/>
    <mergeCell ref="A74:G74"/>
    <mergeCell ref="A76:G76"/>
    <mergeCell ref="B77:C77"/>
    <mergeCell ref="B78:C78"/>
    <mergeCell ref="A97:G97"/>
    <mergeCell ref="B106:C106"/>
    <mergeCell ref="B107:C107"/>
    <mergeCell ref="B108:C108"/>
    <mergeCell ref="B109:C109"/>
    <mergeCell ref="A82:G82"/>
    <mergeCell ref="A90:G90"/>
    <mergeCell ref="B98:C98"/>
    <mergeCell ref="B99:C99"/>
    <mergeCell ref="B100:C100"/>
    <mergeCell ref="B101:C101"/>
    <mergeCell ref="B102:C102"/>
    <mergeCell ref="A105:G105"/>
    <mergeCell ref="A112:F112"/>
    <mergeCell ref="E128:F128"/>
    <mergeCell ref="A120:E120"/>
    <mergeCell ref="E121:F121"/>
    <mergeCell ref="A122:F122"/>
    <mergeCell ref="D127:F127"/>
    <mergeCell ref="A129:E129"/>
    <mergeCell ref="F129:G133"/>
    <mergeCell ref="A130:E130"/>
    <mergeCell ref="A131:E131"/>
    <mergeCell ref="A132:E132"/>
    <mergeCell ref="A133:E133"/>
    <mergeCell ref="A114:G114"/>
    <mergeCell ref="A116:E116"/>
    <mergeCell ref="A117:E117"/>
    <mergeCell ref="A118:E118"/>
    <mergeCell ref="A119:E119"/>
    <mergeCell ref="A140:G140"/>
    <mergeCell ref="B141:C141"/>
    <mergeCell ref="B142:C142"/>
    <mergeCell ref="B143:C143"/>
    <mergeCell ref="A146:G146"/>
    <mergeCell ref="A134:E134"/>
    <mergeCell ref="F134:G134"/>
    <mergeCell ref="B135:D135"/>
    <mergeCell ref="B136:D136"/>
    <mergeCell ref="A138:G138"/>
    <mergeCell ref="B165:C165"/>
    <mergeCell ref="B166:C166"/>
    <mergeCell ref="A169:G169"/>
    <mergeCell ref="B170:C170"/>
    <mergeCell ref="B171:C171"/>
    <mergeCell ref="A154:G154"/>
    <mergeCell ref="A161:G161"/>
    <mergeCell ref="B162:C162"/>
    <mergeCell ref="B163:C163"/>
    <mergeCell ref="B164:C164"/>
    <mergeCell ref="A181:E181"/>
    <mergeCell ref="A182:E182"/>
    <mergeCell ref="A183:E183"/>
    <mergeCell ref="A184:E184"/>
    <mergeCell ref="E185:F185"/>
    <mergeCell ref="B172:C172"/>
    <mergeCell ref="B173:C173"/>
    <mergeCell ref="A176:F176"/>
    <mergeCell ref="A178:G178"/>
    <mergeCell ref="A180:E180"/>
    <mergeCell ref="A198:E198"/>
    <mergeCell ref="F198:G198"/>
    <mergeCell ref="B199:D199"/>
    <mergeCell ref="B200:D200"/>
    <mergeCell ref="A202:G202"/>
    <mergeCell ref="A186:F186"/>
    <mergeCell ref="D191:F191"/>
    <mergeCell ref="A193:E193"/>
    <mergeCell ref="F193:G197"/>
    <mergeCell ref="A194:E194"/>
    <mergeCell ref="A195:E195"/>
    <mergeCell ref="A196:E196"/>
    <mergeCell ref="A197:E197"/>
    <mergeCell ref="A218:G218"/>
    <mergeCell ref="A225:G225"/>
    <mergeCell ref="B226:C226"/>
    <mergeCell ref="B227:C227"/>
    <mergeCell ref="B228:C228"/>
    <mergeCell ref="A204:G204"/>
    <mergeCell ref="B205:C205"/>
    <mergeCell ref="B206:C206"/>
    <mergeCell ref="B207:C207"/>
    <mergeCell ref="A210:G210"/>
    <mergeCell ref="B236:C236"/>
    <mergeCell ref="B237:C237"/>
    <mergeCell ref="A240:F240"/>
    <mergeCell ref="A242:G242"/>
    <mergeCell ref="A244:E244"/>
    <mergeCell ref="B229:C229"/>
    <mergeCell ref="B230:C230"/>
    <mergeCell ref="A233:G233"/>
    <mergeCell ref="B234:C234"/>
    <mergeCell ref="B235:C235"/>
    <mergeCell ref="A250:F250"/>
    <mergeCell ref="D255:F255"/>
    <mergeCell ref="A257:E257"/>
    <mergeCell ref="A258:E258"/>
    <mergeCell ref="A259:E259"/>
    <mergeCell ref="A260:E260"/>
    <mergeCell ref="A245:E245"/>
    <mergeCell ref="A246:E246"/>
    <mergeCell ref="A247:E247"/>
    <mergeCell ref="A248:E248"/>
    <mergeCell ref="E249:F249"/>
    <mergeCell ref="F257:G261"/>
    <mergeCell ref="A261:E261"/>
    <mergeCell ref="A312:E312"/>
    <mergeCell ref="B299:C299"/>
    <mergeCell ref="B300:C300"/>
    <mergeCell ref="A306:G306"/>
    <mergeCell ref="B292:C292"/>
    <mergeCell ref="B293:C293"/>
    <mergeCell ref="B298:C298"/>
    <mergeCell ref="B290:C290"/>
    <mergeCell ref="B291:C291"/>
    <mergeCell ref="A289:G289"/>
    <mergeCell ref="B294:C294"/>
    <mergeCell ref="A297:G297"/>
    <mergeCell ref="B301:C301"/>
    <mergeCell ref="A304:F304"/>
    <mergeCell ref="A308:E308"/>
    <mergeCell ref="A309:E309"/>
    <mergeCell ref="A310:E310"/>
    <mergeCell ref="A311:E311"/>
    <mergeCell ref="A262:E262"/>
    <mergeCell ref="F262:G262"/>
    <mergeCell ref="B264:D264"/>
    <mergeCell ref="A266:G266"/>
    <mergeCell ref="A268:G268"/>
    <mergeCell ref="B271:C271"/>
    <mergeCell ref="A274:G274"/>
    <mergeCell ref="A282:G282"/>
    <mergeCell ref="B269:C269"/>
    <mergeCell ref="B270:C270"/>
    <mergeCell ref="B263:D263"/>
    <mergeCell ref="E313:F313"/>
    <mergeCell ref="A314:F314"/>
    <mergeCell ref="D319:F319"/>
    <mergeCell ref="A321:E321"/>
    <mergeCell ref="F321:G325"/>
    <mergeCell ref="A322:E322"/>
    <mergeCell ref="A323:E323"/>
    <mergeCell ref="A324:E324"/>
    <mergeCell ref="A325:E325"/>
    <mergeCell ref="A332:G332"/>
    <mergeCell ref="B333:C333"/>
    <mergeCell ref="B334:C334"/>
    <mergeCell ref="B335:C335"/>
    <mergeCell ref="A338:G338"/>
    <mergeCell ref="A326:E326"/>
    <mergeCell ref="F326:G326"/>
    <mergeCell ref="B327:D327"/>
    <mergeCell ref="B328:D328"/>
    <mergeCell ref="A330:G330"/>
    <mergeCell ref="B355:C355"/>
    <mergeCell ref="B356:C356"/>
    <mergeCell ref="A359:G359"/>
    <mergeCell ref="B360:C360"/>
    <mergeCell ref="B361:C361"/>
    <mergeCell ref="A345:G345"/>
    <mergeCell ref="A351:G351"/>
    <mergeCell ref="B352:C352"/>
    <mergeCell ref="B353:C353"/>
    <mergeCell ref="B354:C354"/>
    <mergeCell ref="A371:E371"/>
    <mergeCell ref="A372:E372"/>
    <mergeCell ref="A373:E373"/>
    <mergeCell ref="A374:E374"/>
    <mergeCell ref="E375:F375"/>
    <mergeCell ref="B362:C362"/>
    <mergeCell ref="B363:C363"/>
    <mergeCell ref="A366:F366"/>
    <mergeCell ref="A368:G368"/>
    <mergeCell ref="A370:E370"/>
    <mergeCell ref="A388:E388"/>
    <mergeCell ref="F388:G388"/>
    <mergeCell ref="B389:D389"/>
    <mergeCell ref="B390:D390"/>
    <mergeCell ref="A392:G392"/>
    <mergeCell ref="A376:F376"/>
    <mergeCell ref="D381:F381"/>
    <mergeCell ref="A383:E383"/>
    <mergeCell ref="F383:G387"/>
    <mergeCell ref="A384:E384"/>
    <mergeCell ref="A385:E385"/>
    <mergeCell ref="A386:E386"/>
    <mergeCell ref="A387:E387"/>
    <mergeCell ref="A407:G407"/>
    <mergeCell ref="A413:G413"/>
    <mergeCell ref="B414:C414"/>
    <mergeCell ref="B415:C415"/>
    <mergeCell ref="B416:C416"/>
    <mergeCell ref="A394:G394"/>
    <mergeCell ref="B395:C395"/>
    <mergeCell ref="B396:C396"/>
    <mergeCell ref="B397:C397"/>
    <mergeCell ref="A400:G400"/>
    <mergeCell ref="B424:C424"/>
    <mergeCell ref="B425:C425"/>
    <mergeCell ref="A428:F428"/>
    <mergeCell ref="A430:G430"/>
    <mergeCell ref="A432:E432"/>
    <mergeCell ref="B417:C417"/>
    <mergeCell ref="B418:C418"/>
    <mergeCell ref="A421:G421"/>
    <mergeCell ref="B422:C422"/>
    <mergeCell ref="B423:C423"/>
    <mergeCell ref="A438:F438"/>
    <mergeCell ref="D443:F443"/>
    <mergeCell ref="A445:E445"/>
    <mergeCell ref="F445:G449"/>
    <mergeCell ref="A446:E446"/>
    <mergeCell ref="A447:E447"/>
    <mergeCell ref="A448:E448"/>
    <mergeCell ref="A449:E449"/>
    <mergeCell ref="A433:E433"/>
    <mergeCell ref="A434:E434"/>
    <mergeCell ref="A435:E435"/>
    <mergeCell ref="A436:E436"/>
    <mergeCell ref="E437:F437"/>
    <mergeCell ref="A456:G456"/>
    <mergeCell ref="B457:C457"/>
    <mergeCell ref="B458:C458"/>
    <mergeCell ref="B459:C459"/>
    <mergeCell ref="A462:G462"/>
    <mergeCell ref="A450:E450"/>
    <mergeCell ref="F450:G450"/>
    <mergeCell ref="B451:D451"/>
    <mergeCell ref="B452:D452"/>
    <mergeCell ref="A454:G454"/>
    <mergeCell ref="B479:C479"/>
    <mergeCell ref="B480:C480"/>
    <mergeCell ref="A483:G483"/>
    <mergeCell ref="B484:C484"/>
    <mergeCell ref="B485:C485"/>
    <mergeCell ref="A469:G469"/>
    <mergeCell ref="A475:G475"/>
    <mergeCell ref="B476:C476"/>
    <mergeCell ref="B477:C477"/>
    <mergeCell ref="B478:C478"/>
    <mergeCell ref="A495:E495"/>
    <mergeCell ref="A496:E496"/>
    <mergeCell ref="A497:E497"/>
    <mergeCell ref="A498:E498"/>
    <mergeCell ref="E499:F499"/>
    <mergeCell ref="B486:C486"/>
    <mergeCell ref="B487:C487"/>
    <mergeCell ref="A490:F490"/>
    <mergeCell ref="A492:G492"/>
    <mergeCell ref="A494:E494"/>
    <mergeCell ref="A512:E512"/>
    <mergeCell ref="F512:G512"/>
    <mergeCell ref="B513:D513"/>
    <mergeCell ref="B514:D514"/>
    <mergeCell ref="A516:G516"/>
    <mergeCell ref="A500:F500"/>
    <mergeCell ref="D505:F505"/>
    <mergeCell ref="A507:E507"/>
    <mergeCell ref="F507:G511"/>
    <mergeCell ref="A508:E508"/>
    <mergeCell ref="A509:E509"/>
    <mergeCell ref="A510:E510"/>
    <mergeCell ref="A511:E511"/>
    <mergeCell ref="A531:G531"/>
    <mergeCell ref="A537:G537"/>
    <mergeCell ref="B538:C538"/>
    <mergeCell ref="B539:C539"/>
    <mergeCell ref="B540:C540"/>
    <mergeCell ref="A518:G518"/>
    <mergeCell ref="B519:C519"/>
    <mergeCell ref="B520:C520"/>
    <mergeCell ref="B521:C521"/>
    <mergeCell ref="A524:G524"/>
    <mergeCell ref="B548:C548"/>
    <mergeCell ref="B549:C549"/>
    <mergeCell ref="A552:F552"/>
    <mergeCell ref="A554:G554"/>
    <mergeCell ref="A556:E556"/>
    <mergeCell ref="B541:C541"/>
    <mergeCell ref="B542:C542"/>
    <mergeCell ref="A545:G545"/>
    <mergeCell ref="B546:C546"/>
    <mergeCell ref="B547:C547"/>
    <mergeCell ref="A562:F562"/>
    <mergeCell ref="D567:F567"/>
    <mergeCell ref="A569:E569"/>
    <mergeCell ref="F569:G573"/>
    <mergeCell ref="A570:E570"/>
    <mergeCell ref="A571:E571"/>
    <mergeCell ref="A572:E572"/>
    <mergeCell ref="A573:E573"/>
    <mergeCell ref="A557:E557"/>
    <mergeCell ref="A558:E558"/>
    <mergeCell ref="A559:E559"/>
    <mergeCell ref="A560:E560"/>
    <mergeCell ref="E561:F561"/>
    <mergeCell ref="A580:G580"/>
    <mergeCell ref="B581:C581"/>
    <mergeCell ref="B582:C582"/>
    <mergeCell ref="B583:C583"/>
    <mergeCell ref="A586:G586"/>
    <mergeCell ref="A574:E574"/>
    <mergeCell ref="F574:G574"/>
    <mergeCell ref="B575:D575"/>
    <mergeCell ref="B576:D576"/>
    <mergeCell ref="A578:G578"/>
    <mergeCell ref="B603:C603"/>
    <mergeCell ref="B604:C604"/>
    <mergeCell ref="A607:G607"/>
    <mergeCell ref="B608:C608"/>
    <mergeCell ref="B609:C609"/>
    <mergeCell ref="A593:G593"/>
    <mergeCell ref="A599:G599"/>
    <mergeCell ref="B600:C600"/>
    <mergeCell ref="B601:C601"/>
    <mergeCell ref="B602:C602"/>
    <mergeCell ref="A619:E619"/>
    <mergeCell ref="A620:E620"/>
    <mergeCell ref="A621:E621"/>
    <mergeCell ref="A622:E622"/>
    <mergeCell ref="E623:F623"/>
    <mergeCell ref="B610:C610"/>
    <mergeCell ref="B611:C611"/>
    <mergeCell ref="A614:F614"/>
    <mergeCell ref="A616:G616"/>
    <mergeCell ref="A618:E618"/>
    <mergeCell ref="A636:E636"/>
    <mergeCell ref="F636:G636"/>
    <mergeCell ref="B637:D637"/>
    <mergeCell ref="B638:D638"/>
    <mergeCell ref="A640:G640"/>
    <mergeCell ref="A624:F624"/>
    <mergeCell ref="D629:F629"/>
    <mergeCell ref="A631:E631"/>
    <mergeCell ref="F631:G635"/>
    <mergeCell ref="A632:E632"/>
    <mergeCell ref="A633:E633"/>
    <mergeCell ref="A634:E634"/>
    <mergeCell ref="A635:E635"/>
    <mergeCell ref="A655:G655"/>
    <mergeCell ref="A661:G661"/>
    <mergeCell ref="B662:C662"/>
    <mergeCell ref="B663:C663"/>
    <mergeCell ref="B664:C664"/>
    <mergeCell ref="A642:G642"/>
    <mergeCell ref="B643:C643"/>
    <mergeCell ref="B644:C644"/>
    <mergeCell ref="B645:C645"/>
    <mergeCell ref="A648:G648"/>
    <mergeCell ref="B672:C672"/>
    <mergeCell ref="B673:C673"/>
    <mergeCell ref="A676:F676"/>
    <mergeCell ref="A678:G678"/>
    <mergeCell ref="A680:E680"/>
    <mergeCell ref="B665:C665"/>
    <mergeCell ref="B666:C666"/>
    <mergeCell ref="A669:G669"/>
    <mergeCell ref="B670:C670"/>
    <mergeCell ref="B671:C671"/>
    <mergeCell ref="A686:F686"/>
    <mergeCell ref="D691:F691"/>
    <mergeCell ref="A693:E693"/>
    <mergeCell ref="F693:G697"/>
    <mergeCell ref="A694:E694"/>
    <mergeCell ref="A695:E695"/>
    <mergeCell ref="A696:E696"/>
    <mergeCell ref="A697:E697"/>
    <mergeCell ref="A681:E681"/>
    <mergeCell ref="A682:E682"/>
    <mergeCell ref="A683:E683"/>
    <mergeCell ref="A684:E684"/>
    <mergeCell ref="E685:F685"/>
    <mergeCell ref="A704:G704"/>
    <mergeCell ref="B705:C705"/>
    <mergeCell ref="B706:C706"/>
    <mergeCell ref="B707:C707"/>
    <mergeCell ref="A710:G710"/>
    <mergeCell ref="A698:E698"/>
    <mergeCell ref="F698:G698"/>
    <mergeCell ref="B699:D699"/>
    <mergeCell ref="B700:D700"/>
    <mergeCell ref="A702:G702"/>
    <mergeCell ref="B727:C727"/>
    <mergeCell ref="B728:C728"/>
    <mergeCell ref="A731:G731"/>
    <mergeCell ref="B732:C732"/>
    <mergeCell ref="B733:C733"/>
    <mergeCell ref="A717:G717"/>
    <mergeCell ref="A723:G723"/>
    <mergeCell ref="B724:C724"/>
    <mergeCell ref="B725:C725"/>
    <mergeCell ref="B726:C726"/>
    <mergeCell ref="A748:F748"/>
    <mergeCell ref="D753:F753"/>
    <mergeCell ref="A743:E743"/>
    <mergeCell ref="A744:E744"/>
    <mergeCell ref="A745:E745"/>
    <mergeCell ref="A746:E746"/>
    <mergeCell ref="E747:F747"/>
    <mergeCell ref="B734:C734"/>
    <mergeCell ref="B735:C735"/>
    <mergeCell ref="A738:F738"/>
    <mergeCell ref="A740:G740"/>
    <mergeCell ref="A742:E742"/>
  </mergeCells>
  <dataValidations count="2">
    <dataValidation type="list" allowBlank="1" showInputMessage="1" showErrorMessage="1" sqref="C158 C30 C719:C720 C94 C222 C286 C409:C410 C471:C472 C533:C534 C595:C596 C657:C658 C348 C781:C782" xr:uid="{00000000-0002-0000-0D00-000000000000}">
      <formula1>"INSUMOS,TIERRA,ESCOMBROS,PLAYA,GRANULAR,ASFALTO"</formula1>
    </dataValidation>
    <dataValidation type="list" allowBlank="1" showInputMessage="1" showErrorMessage="1" sqref="C156:C157 C28:C29 C92:C93 C220:C221 C284:C285 C347" xr:uid="{00000000-0002-0000-0D00-000001000000}">
      <formula1>"INSUMOS,TIERRA,ESCOMBROS,PLAYA,GRANULAR,ASFALTO,PLAYATRITURADO"</formula1>
    </dataValidation>
  </dataValidations>
  <pageMargins left="0.7" right="0.7" top="0.75" bottom="0.75" header="0.3" footer="0.3"/>
  <pageSetup scale="71" orientation="portrait" horizontalDpi="4294967292" r:id="rId1"/>
  <rowBreaks count="12" manualBreakCount="12">
    <brk id="63" max="16383" man="1"/>
    <brk id="128" max="16383" man="1"/>
    <brk id="192" max="16383" man="1"/>
    <brk id="256" max="16383" man="1"/>
    <brk id="320" max="16383" man="1"/>
    <brk id="382" max="16383" man="1"/>
    <brk id="444" max="16383" man="1"/>
    <brk id="506" max="16383" man="1"/>
    <brk id="568" max="16383" man="1"/>
    <brk id="630" max="16383" man="1"/>
    <brk id="692" max="16383" man="1"/>
    <brk id="754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D00-000002000000}">
          <x14:formula1>
            <xm:f>'INSUMOS SERVICIOS'!$B$8:$B$21</xm:f>
          </x14:formula1>
          <xm:sqref>B43:C44 B107:C108 B171:C172 B235:C236 B299:C300 B361:C362 B423:C424 B485:C486 B547:C548 B609:C610 B671:C672 B733:C734 B795:C796</xm:sqref>
        </x14:dataValidation>
        <x14:dataValidation type="list" allowBlank="1" showInputMessage="1" showErrorMessage="1" xr:uid="{00000000-0002-0000-0D00-000003000000}">
          <x14:formula1>
            <xm:f>'INSUMOS MANO DE OBRA'!$B$8:$B$61</xm:f>
          </x14:formula1>
          <xm:sqref>B35:C36 B99:C100 B163:C164 B227:C228 B291:C292 B353:C354 B415:C416 B477:C478 B539:C540 B601:C602 B663:C664 B725:C726 B787:C788</xm:sqref>
        </x14:dataValidation>
        <x14:dataValidation type="list" allowBlank="1" showInputMessage="1" showErrorMessage="1" xr:uid="{00000000-0002-0000-0D00-000004000000}">
          <x14:formula1>
            <xm:f>'INSUMOS EQUIPOS'!$B$8:$B$39</xm:f>
          </x14:formula1>
          <xm:sqref>B14:C14 B78:C78 B142:C142 B206:C206 B270:C270 B334:C334 B396:C396 B458:C458 B520:C520 B582:C582 B644:C644 B706:C706 B768:C768</xm:sqref>
        </x14:dataValidation>
        <x14:dataValidation type="list" allowBlank="1" showInputMessage="1" showErrorMessage="1" xr:uid="{00000000-0002-0000-0D00-000005000000}">
          <x14:formula1>
            <xm:f>'INSUMOS TRANSPORTES'!$B$8:$B$26</xm:f>
          </x14:formula1>
          <xm:sqref>B157:B158 B29:B30 B719:B720 B93:B94 B221:B222 B285:B286 B409:B410 B471:B472 B533:B534 B595:B596 B657:B658 B347:B348 B781:B782</xm:sqref>
        </x14:dataValidation>
        <x14:dataValidation type="list" allowBlank="1" showInputMessage="1" showErrorMessage="1" xr:uid="{00000000-0002-0000-0D00-000006000000}">
          <x14:formula1>
            <xm:f>'INSUMOS TRANSPORTES'!$B$8:$B$27</xm:f>
          </x14:formula1>
          <xm:sqref>B156 B28 B92 B220 B284</xm:sqref>
        </x14:dataValidation>
        <x14:dataValidation type="list" allowBlank="1" showInputMessage="1" showErrorMessage="1" xr:uid="{00000000-0002-0000-0D00-000007000000}">
          <x14:formula1>
            <xm:f>'INSUMOS MATERIALES'!$B$9:$B$51</xm:f>
          </x14:formula1>
          <xm:sqref>B20:B23 B774:B776 B712:B714 B650:B652 B588:B590 B526:B528 B464:B466 B402:B404 B340:B342 B276:B279 B212:B215 B148:B151 B84:B87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D62"/>
  <sheetViews>
    <sheetView view="pageBreakPreview" zoomScaleNormal="100" zoomScaleSheetLayoutView="100" workbookViewId="0">
      <pane ySplit="7" topLeftCell="A20" activePane="bottomLeft" state="frozen"/>
      <selection pane="bottomLeft" activeCell="D27" sqref="D27"/>
    </sheetView>
  </sheetViews>
  <sheetFormatPr baseColWidth="10" defaultRowHeight="15" x14ac:dyDescent="0.25"/>
  <cols>
    <col min="2" max="2" width="67.7109375" customWidth="1"/>
  </cols>
  <sheetData>
    <row r="1" spans="1:4" ht="26.25" x14ac:dyDescent="0.25">
      <c r="A1" s="437" t="s">
        <v>0</v>
      </c>
      <c r="B1" s="334"/>
      <c r="C1" s="451" t="s">
        <v>51</v>
      </c>
      <c r="D1" s="451"/>
    </row>
    <row r="2" spans="1:4" ht="21" x14ac:dyDescent="0.25">
      <c r="A2" s="444" t="str">
        <f>'DATOS INICIALES'!B6</f>
        <v>MUNICIPIO DE DABEIBA</v>
      </c>
      <c r="B2" s="345"/>
      <c r="C2" s="451"/>
      <c r="D2" s="451"/>
    </row>
    <row r="3" spans="1:4" ht="48.6" customHeight="1" x14ac:dyDescent="0.25">
      <c r="A3" s="452" t="str">
        <f>'DATOS INICIALES'!B3</f>
        <v>REPOSICIÓN, AMPLIACIÓN Y REPARACIÓN DE LUMINARIAS QUE HACEN PARTE DE LA RED DE ALUMBRADOPÚBLICO DEL PARQUE PRINCIPAL Y CORREGIMIENTO SAN JOSÉ DE URAMA DEL MUNICIPIO DE DABEIBA.</v>
      </c>
      <c r="B3" s="453"/>
      <c r="C3" s="451"/>
      <c r="D3" s="451"/>
    </row>
    <row r="4" spans="1:4" ht="14.45" customHeight="1" x14ac:dyDescent="0.25">
      <c r="A4" s="68"/>
      <c r="B4" s="4"/>
      <c r="C4" s="451"/>
      <c r="D4" s="451"/>
    </row>
    <row r="5" spans="1:4" ht="15.6" customHeight="1" x14ac:dyDescent="0.25">
      <c r="A5" s="454" t="s">
        <v>86</v>
      </c>
      <c r="B5" s="455"/>
      <c r="C5" s="451"/>
      <c r="D5" s="451"/>
    </row>
    <row r="6" spans="1:4" x14ac:dyDescent="0.25">
      <c r="A6" s="69"/>
      <c r="B6" s="4"/>
      <c r="C6" s="4"/>
      <c r="D6" s="70"/>
    </row>
    <row r="7" spans="1:4" ht="24" x14ac:dyDescent="0.25">
      <c r="A7" s="71" t="s">
        <v>56</v>
      </c>
      <c r="B7" s="71" t="s">
        <v>44</v>
      </c>
      <c r="C7" s="71" t="s">
        <v>45</v>
      </c>
      <c r="D7" s="72" t="s">
        <v>87</v>
      </c>
    </row>
    <row r="8" spans="1:4" x14ac:dyDescent="0.25">
      <c r="A8" s="73" t="s">
        <v>88</v>
      </c>
      <c r="B8" s="74" t="str">
        <f>+"HERRAMIENTA MENOR "&amp;"("&amp;D8*100&amp;"% DE LA MANO DE OBRA)"</f>
        <v>HERRAMIENTA MENOR (5% DE LA MANO DE OBRA)</v>
      </c>
      <c r="C8" s="73" t="s">
        <v>89</v>
      </c>
      <c r="D8" s="75">
        <v>0.05</v>
      </c>
    </row>
    <row r="9" spans="1:4" x14ac:dyDescent="0.25">
      <c r="A9" s="73" t="s">
        <v>90</v>
      </c>
      <c r="B9" s="76" t="s">
        <v>60</v>
      </c>
      <c r="C9" s="77" t="s">
        <v>91</v>
      </c>
      <c r="D9" s="78">
        <v>78710</v>
      </c>
    </row>
    <row r="10" spans="1:4" x14ac:dyDescent="0.25">
      <c r="A10" s="73" t="s">
        <v>92</v>
      </c>
      <c r="B10" s="76" t="s">
        <v>61</v>
      </c>
      <c r="C10" s="77" t="s">
        <v>91</v>
      </c>
      <c r="D10" s="78">
        <v>45260</v>
      </c>
    </row>
    <row r="11" spans="1:4" x14ac:dyDescent="0.25">
      <c r="A11" s="73" t="s">
        <v>93</v>
      </c>
      <c r="B11" s="76" t="s">
        <v>94</v>
      </c>
      <c r="C11" s="77" t="s">
        <v>91</v>
      </c>
      <c r="D11" s="78">
        <v>62000</v>
      </c>
    </row>
    <row r="12" spans="1:4" ht="48" x14ac:dyDescent="0.25">
      <c r="A12" s="73" t="s">
        <v>95</v>
      </c>
      <c r="B12" s="76" t="s">
        <v>96</v>
      </c>
      <c r="C12" s="77" t="s">
        <v>97</v>
      </c>
      <c r="D12" s="78">
        <v>5513000</v>
      </c>
    </row>
    <row r="13" spans="1:4" x14ac:dyDescent="0.25">
      <c r="A13" s="73" t="s">
        <v>98</v>
      </c>
      <c r="B13" s="76" t="s">
        <v>99</v>
      </c>
      <c r="C13" s="77" t="s">
        <v>97</v>
      </c>
      <c r="D13" s="78">
        <v>422000</v>
      </c>
    </row>
    <row r="14" spans="1:4" ht="36" x14ac:dyDescent="0.25">
      <c r="A14" s="73" t="s">
        <v>100</v>
      </c>
      <c r="B14" s="76" t="s">
        <v>101</v>
      </c>
      <c r="C14" s="77" t="s">
        <v>97</v>
      </c>
      <c r="D14" s="78">
        <v>50000</v>
      </c>
    </row>
    <row r="15" spans="1:4" x14ac:dyDescent="0.25">
      <c r="A15" s="73" t="s">
        <v>102</v>
      </c>
      <c r="B15" s="76" t="s">
        <v>103</v>
      </c>
      <c r="C15" s="77" t="s">
        <v>97</v>
      </c>
      <c r="D15" s="78">
        <v>40000</v>
      </c>
    </row>
    <row r="16" spans="1:4" x14ac:dyDescent="0.25">
      <c r="A16" s="73" t="s">
        <v>104</v>
      </c>
      <c r="B16" s="76" t="s">
        <v>105</v>
      </c>
      <c r="C16" s="77" t="s">
        <v>97</v>
      </c>
      <c r="D16" s="78">
        <v>40000</v>
      </c>
    </row>
    <row r="17" spans="1:4" x14ac:dyDescent="0.25">
      <c r="A17" s="73" t="s">
        <v>106</v>
      </c>
      <c r="B17" s="76" t="s">
        <v>107</v>
      </c>
      <c r="C17" s="77" t="s">
        <v>97</v>
      </c>
      <c r="D17" s="78">
        <v>51800</v>
      </c>
    </row>
    <row r="18" spans="1:4" x14ac:dyDescent="0.25">
      <c r="A18" s="73" t="s">
        <v>108</v>
      </c>
      <c r="B18" s="76" t="s">
        <v>109</v>
      </c>
      <c r="C18" s="77" t="s">
        <v>97</v>
      </c>
      <c r="D18" s="78">
        <v>1200000</v>
      </c>
    </row>
    <row r="19" spans="1:4" ht="36" x14ac:dyDescent="0.25">
      <c r="A19" s="73" t="s">
        <v>110</v>
      </c>
      <c r="B19" s="76" t="s">
        <v>111</v>
      </c>
      <c r="C19" s="77" t="s">
        <v>97</v>
      </c>
      <c r="D19" s="78">
        <v>650000</v>
      </c>
    </row>
    <row r="20" spans="1:4" ht="24" x14ac:dyDescent="0.25">
      <c r="A20" s="73" t="s">
        <v>112</v>
      </c>
      <c r="B20" s="76" t="s">
        <v>113</v>
      </c>
      <c r="C20" s="77" t="s">
        <v>97</v>
      </c>
      <c r="D20" s="78">
        <v>221640</v>
      </c>
    </row>
    <row r="21" spans="1:4" x14ac:dyDescent="0.25">
      <c r="A21" s="73" t="s">
        <v>114</v>
      </c>
      <c r="B21" s="76" t="s">
        <v>828</v>
      </c>
      <c r="C21" s="77" t="s">
        <v>143</v>
      </c>
      <c r="D21" s="78">
        <v>35000</v>
      </c>
    </row>
    <row r="22" spans="1:4" x14ac:dyDescent="0.25">
      <c r="A22" s="73" t="s">
        <v>116</v>
      </c>
      <c r="B22" s="76" t="s">
        <v>829</v>
      </c>
      <c r="C22" s="77" t="s">
        <v>143</v>
      </c>
      <c r="D22" s="78">
        <v>23000</v>
      </c>
    </row>
    <row r="23" spans="1:4" x14ac:dyDescent="0.25">
      <c r="A23" s="73" t="s">
        <v>117</v>
      </c>
      <c r="B23" s="76" t="s">
        <v>830</v>
      </c>
      <c r="C23" s="77" t="s">
        <v>143</v>
      </c>
      <c r="D23" s="78">
        <v>280000</v>
      </c>
    </row>
    <row r="24" spans="1:4" x14ac:dyDescent="0.25">
      <c r="A24" s="73" t="s">
        <v>118</v>
      </c>
      <c r="B24" s="76" t="s">
        <v>831</v>
      </c>
      <c r="C24" s="77" t="s">
        <v>143</v>
      </c>
      <c r="D24" s="78">
        <v>22000</v>
      </c>
    </row>
    <row r="25" spans="1:4" x14ac:dyDescent="0.25">
      <c r="A25" s="73" t="s">
        <v>119</v>
      </c>
      <c r="B25" s="76" t="s">
        <v>843</v>
      </c>
      <c r="C25" s="77" t="s">
        <v>143</v>
      </c>
      <c r="D25" s="78">
        <v>35000</v>
      </c>
    </row>
    <row r="26" spans="1:4" x14ac:dyDescent="0.25">
      <c r="A26" s="73" t="s">
        <v>120</v>
      </c>
      <c r="B26" s="76" t="s">
        <v>849</v>
      </c>
      <c r="C26" s="77" t="s">
        <v>143</v>
      </c>
      <c r="D26" s="78">
        <v>24500</v>
      </c>
    </row>
    <row r="27" spans="1:4" x14ac:dyDescent="0.25">
      <c r="A27" s="73" t="s">
        <v>121</v>
      </c>
      <c r="B27" s="76" t="s">
        <v>122</v>
      </c>
      <c r="C27" s="77" t="s">
        <v>115</v>
      </c>
      <c r="D27" s="78">
        <v>114950</v>
      </c>
    </row>
    <row r="28" spans="1:4" x14ac:dyDescent="0.25">
      <c r="A28" s="73" t="s">
        <v>123</v>
      </c>
      <c r="B28" s="76" t="s">
        <v>124</v>
      </c>
      <c r="C28" s="77" t="s">
        <v>115</v>
      </c>
      <c r="D28" s="78">
        <v>122800</v>
      </c>
    </row>
    <row r="29" spans="1:4" x14ac:dyDescent="0.25">
      <c r="A29" s="73" t="s">
        <v>125</v>
      </c>
      <c r="B29" s="76" t="s">
        <v>126</v>
      </c>
      <c r="C29" s="77" t="s">
        <v>115</v>
      </c>
      <c r="D29" s="78">
        <v>1870</v>
      </c>
    </row>
    <row r="30" spans="1:4" x14ac:dyDescent="0.25">
      <c r="A30" s="73" t="s">
        <v>127</v>
      </c>
      <c r="B30" s="76" t="s">
        <v>128</v>
      </c>
      <c r="C30" s="77" t="s">
        <v>91</v>
      </c>
      <c r="D30" s="78">
        <v>22800</v>
      </c>
    </row>
    <row r="31" spans="1:4" x14ac:dyDescent="0.25">
      <c r="A31" s="73" t="s">
        <v>129</v>
      </c>
      <c r="B31" s="76" t="s">
        <v>130</v>
      </c>
      <c r="C31" s="77" t="s">
        <v>91</v>
      </c>
      <c r="D31" s="78">
        <v>53580</v>
      </c>
    </row>
    <row r="32" spans="1:4" x14ac:dyDescent="0.25">
      <c r="A32" s="73" t="s">
        <v>131</v>
      </c>
      <c r="B32" s="76" t="s">
        <v>132</v>
      </c>
      <c r="C32" s="77" t="s">
        <v>115</v>
      </c>
      <c r="D32" s="78">
        <v>291550</v>
      </c>
    </row>
    <row r="33" spans="1:4" x14ac:dyDescent="0.25">
      <c r="A33" s="73" t="s">
        <v>133</v>
      </c>
      <c r="B33" s="76" t="s">
        <v>134</v>
      </c>
      <c r="C33" s="77" t="s">
        <v>91</v>
      </c>
      <c r="D33" s="78">
        <v>149880</v>
      </c>
    </row>
    <row r="34" spans="1:4" x14ac:dyDescent="0.25">
      <c r="A34" s="73" t="s">
        <v>135</v>
      </c>
      <c r="B34" s="76" t="s">
        <v>136</v>
      </c>
      <c r="C34" s="77" t="s">
        <v>91</v>
      </c>
      <c r="D34" s="78">
        <v>281800</v>
      </c>
    </row>
    <row r="35" spans="1:4" x14ac:dyDescent="0.25">
      <c r="A35" s="73" t="s">
        <v>137</v>
      </c>
      <c r="B35" s="76" t="s">
        <v>138</v>
      </c>
      <c r="C35" s="77" t="s">
        <v>115</v>
      </c>
      <c r="D35" s="78">
        <v>113050</v>
      </c>
    </row>
    <row r="36" spans="1:4" x14ac:dyDescent="0.25">
      <c r="A36" s="73" t="s">
        <v>139</v>
      </c>
      <c r="B36" s="76" t="s">
        <v>140</v>
      </c>
      <c r="C36" s="77" t="s">
        <v>115</v>
      </c>
      <c r="D36" s="78">
        <v>46000</v>
      </c>
    </row>
    <row r="37" spans="1:4" x14ac:dyDescent="0.25">
      <c r="A37" s="73" t="s">
        <v>141</v>
      </c>
      <c r="B37" s="76" t="s">
        <v>142</v>
      </c>
      <c r="C37" s="77" t="s">
        <v>143</v>
      </c>
      <c r="D37" s="78">
        <v>62000</v>
      </c>
    </row>
    <row r="38" spans="1:4" x14ac:dyDescent="0.25">
      <c r="A38" s="73" t="s">
        <v>144</v>
      </c>
      <c r="B38" s="76" t="s">
        <v>145</v>
      </c>
      <c r="C38" s="77" t="s">
        <v>115</v>
      </c>
      <c r="D38" s="78">
        <v>800</v>
      </c>
    </row>
    <row r="39" spans="1:4" x14ac:dyDescent="0.25">
      <c r="A39" s="73" t="s">
        <v>146</v>
      </c>
      <c r="B39" s="76" t="s">
        <v>147</v>
      </c>
      <c r="C39" s="77" t="s">
        <v>115</v>
      </c>
      <c r="D39" s="78">
        <v>90000</v>
      </c>
    </row>
    <row r="40" spans="1:4" s="157" customFormat="1" ht="13.15" customHeight="1" x14ac:dyDescent="0.2">
      <c r="A40" s="73" t="s">
        <v>542</v>
      </c>
      <c r="B40" s="76" t="s">
        <v>543</v>
      </c>
      <c r="C40" s="77" t="s">
        <v>115</v>
      </c>
      <c r="D40" s="78">
        <v>14000</v>
      </c>
    </row>
    <row r="41" spans="1:4" x14ac:dyDescent="0.25">
      <c r="A41" s="73" t="s">
        <v>569</v>
      </c>
      <c r="B41" s="76" t="s">
        <v>567</v>
      </c>
      <c r="C41" s="87" t="s">
        <v>143</v>
      </c>
      <c r="D41" s="78">
        <v>60000</v>
      </c>
    </row>
    <row r="42" spans="1:4" x14ac:dyDescent="0.25">
      <c r="A42" s="73" t="s">
        <v>601</v>
      </c>
      <c r="B42" s="76" t="s">
        <v>605</v>
      </c>
      <c r="C42" s="87" t="s">
        <v>115</v>
      </c>
      <c r="D42" s="78">
        <v>375</v>
      </c>
    </row>
    <row r="43" spans="1:4" x14ac:dyDescent="0.25">
      <c r="A43" s="73" t="s">
        <v>602</v>
      </c>
      <c r="B43" s="76" t="s">
        <v>606</v>
      </c>
      <c r="C43" s="87" t="s">
        <v>115</v>
      </c>
      <c r="D43" s="78">
        <v>187.5</v>
      </c>
    </row>
    <row r="44" spans="1:4" x14ac:dyDescent="0.25">
      <c r="A44" s="73" t="s">
        <v>603</v>
      </c>
      <c r="B44" s="76" t="s">
        <v>607</v>
      </c>
      <c r="C44" s="87" t="s">
        <v>115</v>
      </c>
      <c r="D44" s="78">
        <v>187.5</v>
      </c>
    </row>
    <row r="45" spans="1:4" x14ac:dyDescent="0.25">
      <c r="A45" s="73" t="s">
        <v>604</v>
      </c>
      <c r="B45" s="76" t="s">
        <v>608</v>
      </c>
      <c r="C45" s="87" t="s">
        <v>115</v>
      </c>
      <c r="D45" s="78">
        <v>3125</v>
      </c>
    </row>
    <row r="46" spans="1:4" x14ac:dyDescent="0.25">
      <c r="A46" s="73" t="s">
        <v>621</v>
      </c>
      <c r="B46" s="76" t="s">
        <v>622</v>
      </c>
      <c r="C46" s="87" t="s">
        <v>115</v>
      </c>
      <c r="D46" s="78">
        <v>7500</v>
      </c>
    </row>
    <row r="47" spans="1:4" x14ac:dyDescent="0.25">
      <c r="A47" s="73" t="s">
        <v>625</v>
      </c>
      <c r="B47" s="76" t="s">
        <v>629</v>
      </c>
      <c r="C47" s="87" t="s">
        <v>115</v>
      </c>
      <c r="D47" s="78">
        <v>1250</v>
      </c>
    </row>
    <row r="48" spans="1:4" x14ac:dyDescent="0.25">
      <c r="A48" s="73" t="s">
        <v>626</v>
      </c>
      <c r="B48" s="76" t="s">
        <v>630</v>
      </c>
      <c r="C48" s="87" t="s">
        <v>115</v>
      </c>
      <c r="D48" s="78">
        <v>3125</v>
      </c>
    </row>
    <row r="49" spans="1:4" x14ac:dyDescent="0.25">
      <c r="A49" s="73" t="s">
        <v>627</v>
      </c>
      <c r="B49" s="76" t="s">
        <v>631</v>
      </c>
      <c r="C49" s="87" t="s">
        <v>115</v>
      </c>
      <c r="D49" s="78">
        <v>7500</v>
      </c>
    </row>
    <row r="50" spans="1:4" x14ac:dyDescent="0.25">
      <c r="A50" s="73" t="s">
        <v>628</v>
      </c>
      <c r="B50" s="76" t="s">
        <v>632</v>
      </c>
      <c r="C50" s="87" t="s">
        <v>115</v>
      </c>
      <c r="D50" s="78">
        <v>4375</v>
      </c>
    </row>
    <row r="51" spans="1:4" x14ac:dyDescent="0.25">
      <c r="A51" s="73" t="s">
        <v>634</v>
      </c>
      <c r="B51" s="76" t="s">
        <v>633</v>
      </c>
      <c r="C51" s="87" t="s">
        <v>115</v>
      </c>
      <c r="D51" s="78">
        <v>1875</v>
      </c>
    </row>
    <row r="52" spans="1:4" x14ac:dyDescent="0.25">
      <c r="A52" s="73" t="s">
        <v>741</v>
      </c>
      <c r="B52" s="76" t="s">
        <v>742</v>
      </c>
      <c r="C52" s="87" t="s">
        <v>115</v>
      </c>
      <c r="D52" s="78">
        <v>1875</v>
      </c>
    </row>
    <row r="53" spans="1:4" x14ac:dyDescent="0.25">
      <c r="A53" s="73" t="s">
        <v>755</v>
      </c>
      <c r="B53" s="76" t="s">
        <v>753</v>
      </c>
      <c r="C53" s="87" t="s">
        <v>115</v>
      </c>
      <c r="D53" s="78">
        <v>14200</v>
      </c>
    </row>
    <row r="54" spans="1:4" x14ac:dyDescent="0.25">
      <c r="A54" s="73" t="s">
        <v>756</v>
      </c>
      <c r="B54" s="76" t="s">
        <v>754</v>
      </c>
      <c r="C54" s="87" t="s">
        <v>115</v>
      </c>
      <c r="D54" s="78">
        <v>6153</v>
      </c>
    </row>
    <row r="55" spans="1:4" x14ac:dyDescent="0.25">
      <c r="A55" s="73" t="s">
        <v>776</v>
      </c>
      <c r="B55" s="76" t="s">
        <v>771</v>
      </c>
      <c r="C55" s="87" t="s">
        <v>775</v>
      </c>
      <c r="D55" s="78">
        <v>469</v>
      </c>
    </row>
    <row r="56" spans="1:4" x14ac:dyDescent="0.25">
      <c r="A56" s="73" t="s">
        <v>777</v>
      </c>
      <c r="B56" s="76" t="s">
        <v>772</v>
      </c>
      <c r="C56" s="87" t="s">
        <v>775</v>
      </c>
      <c r="D56" s="78">
        <v>328</v>
      </c>
    </row>
    <row r="57" spans="1:4" x14ac:dyDescent="0.25">
      <c r="A57" s="73" t="s">
        <v>778</v>
      </c>
      <c r="B57" s="76" t="s">
        <v>773</v>
      </c>
      <c r="C57" s="87" t="s">
        <v>775</v>
      </c>
      <c r="D57" s="78">
        <v>497</v>
      </c>
    </row>
    <row r="58" spans="1:4" x14ac:dyDescent="0.25">
      <c r="A58" s="73" t="s">
        <v>779</v>
      </c>
      <c r="B58" s="76" t="s">
        <v>774</v>
      </c>
      <c r="C58" s="87" t="s">
        <v>775</v>
      </c>
      <c r="D58" s="78">
        <v>307</v>
      </c>
    </row>
    <row r="60" spans="1:4" ht="60" customHeight="1" x14ac:dyDescent="0.25"/>
    <row r="61" spans="1:4" x14ac:dyDescent="0.25">
      <c r="B61" s="185" t="s">
        <v>787</v>
      </c>
    </row>
    <row r="62" spans="1:4" x14ac:dyDescent="0.25">
      <c r="B62" s="185" t="s">
        <v>599</v>
      </c>
    </row>
  </sheetData>
  <protectedRanges>
    <protectedRange sqref="D8 B9:D39" name="Rango1_1"/>
  </protectedRanges>
  <autoFilter ref="A7:D7" xr:uid="{00000000-0009-0000-0000-00000E000000}"/>
  <mergeCells count="5">
    <mergeCell ref="A1:B1"/>
    <mergeCell ref="C1:D5"/>
    <mergeCell ref="A2:B2"/>
    <mergeCell ref="A3:B3"/>
    <mergeCell ref="A5:B5"/>
  </mergeCells>
  <phoneticPr fontId="35" type="noConversion"/>
  <pageMargins left="0.7" right="0.7" top="0.75" bottom="0.75" header="0.3" footer="0.3"/>
  <pageSetup scale="8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28"/>
  <sheetViews>
    <sheetView view="pageBreakPreview" topLeftCell="A7" zoomScale="85" zoomScaleNormal="70" zoomScaleSheetLayoutView="85" workbookViewId="0">
      <selection activeCell="B7" sqref="B7"/>
    </sheetView>
  </sheetViews>
  <sheetFormatPr baseColWidth="10" defaultRowHeight="15" x14ac:dyDescent="0.25"/>
  <cols>
    <col min="1" max="1" width="37.28515625" customWidth="1"/>
    <col min="2" max="2" width="14.7109375" bestFit="1" customWidth="1"/>
    <col min="3" max="3" width="17.28515625" customWidth="1"/>
    <col min="4" max="4" width="18.140625" customWidth="1"/>
    <col min="5" max="5" width="12.28515625" bestFit="1" customWidth="1"/>
    <col min="6" max="6" width="11.7109375" bestFit="1" customWidth="1"/>
    <col min="7" max="7" width="16.42578125" customWidth="1"/>
  </cols>
  <sheetData>
    <row r="1" spans="1:7" ht="23.25" x14ac:dyDescent="0.25">
      <c r="A1" s="490" t="s">
        <v>0</v>
      </c>
      <c r="B1" s="491"/>
      <c r="C1" s="491"/>
      <c r="D1" s="491"/>
      <c r="E1" s="491"/>
      <c r="F1" s="451" t="s">
        <v>51</v>
      </c>
      <c r="G1" s="451"/>
    </row>
    <row r="2" spans="1:7" ht="15.75" x14ac:dyDescent="0.25">
      <c r="A2" s="379" t="str">
        <f>'DATOS INICIALES'!B6</f>
        <v>MUNICIPIO DE DABEIBA</v>
      </c>
      <c r="B2" s="380"/>
      <c r="C2" s="380"/>
      <c r="D2" s="380"/>
      <c r="E2" s="380"/>
      <c r="F2" s="451"/>
      <c r="G2" s="451"/>
    </row>
    <row r="3" spans="1:7" ht="46.9" customHeight="1" x14ac:dyDescent="0.25">
      <c r="A3" s="483" t="str">
        <f>'DATOS INICIALES'!B3</f>
        <v>REPOSICIÓN, AMPLIACIÓN Y REPARACIÓN DE LUMINARIAS QUE HACEN PARTE DE LA RED DE ALUMBRADOPÚBLICO DEL PARQUE PRINCIPAL Y CORREGIMIENTO SAN JOSÉ DE URAMA DEL MUNICIPIO DE DABEIBA.</v>
      </c>
      <c r="B3" s="484"/>
      <c r="C3" s="484"/>
      <c r="D3" s="484"/>
      <c r="E3" s="484"/>
      <c r="F3" s="451"/>
      <c r="G3" s="451"/>
    </row>
    <row r="4" spans="1:7" x14ac:dyDescent="0.25">
      <c r="A4" s="68"/>
      <c r="B4" s="68"/>
      <c r="C4" s="68"/>
      <c r="D4" s="68"/>
      <c r="E4" s="4"/>
      <c r="F4" s="451"/>
      <c r="G4" s="451"/>
    </row>
    <row r="5" spans="1:7" ht="12.6" customHeight="1" x14ac:dyDescent="0.25">
      <c r="A5" s="384" t="s">
        <v>516</v>
      </c>
      <c r="B5" s="385"/>
      <c r="C5" s="385"/>
      <c r="D5" s="385"/>
      <c r="E5" s="385"/>
      <c r="F5" s="451"/>
      <c r="G5" s="451"/>
    </row>
    <row r="6" spans="1:7" x14ac:dyDescent="0.25">
      <c r="A6" s="186" t="s">
        <v>517</v>
      </c>
      <c r="B6" s="187">
        <f ca="1">+PRESUPUESTO!H20</f>
        <v>35339806.309659794</v>
      </c>
      <c r="C6" s="488">
        <f ca="1">IFERROR(B6/'DATOS INICIALES'!B12,"")</f>
        <v>27.184466392045994</v>
      </c>
      <c r="D6" s="489"/>
    </row>
    <row r="7" spans="1:7" x14ac:dyDescent="0.25">
      <c r="A7" s="186" t="s">
        <v>518</v>
      </c>
      <c r="B7" s="188">
        <v>6</v>
      </c>
      <c r="C7" s="495">
        <f>+IFERROR(B7*30,"")</f>
        <v>180</v>
      </c>
      <c r="D7" s="495"/>
    </row>
    <row r="8" spans="1:7" x14ac:dyDescent="0.25">
      <c r="A8" s="186" t="s">
        <v>519</v>
      </c>
      <c r="B8" s="189">
        <v>0</v>
      </c>
      <c r="C8" s="496">
        <f ca="1">+IFERROR(B8*B6,"")</f>
        <v>0</v>
      </c>
      <c r="D8" s="496"/>
    </row>
    <row r="10" spans="1:7" x14ac:dyDescent="0.25">
      <c r="A10" s="486" t="s">
        <v>520</v>
      </c>
      <c r="B10" s="486" t="s">
        <v>521</v>
      </c>
      <c r="C10" s="486"/>
      <c r="D10" s="486"/>
      <c r="E10" s="486" t="s">
        <v>522</v>
      </c>
      <c r="F10" s="486" t="s">
        <v>523</v>
      </c>
      <c r="G10" s="492" t="s">
        <v>524</v>
      </c>
    </row>
    <row r="11" spans="1:7" x14ac:dyDescent="0.25">
      <c r="A11" s="486"/>
      <c r="B11" s="83" t="s">
        <v>89</v>
      </c>
      <c r="C11" s="83" t="s">
        <v>525</v>
      </c>
      <c r="D11" s="83" t="s">
        <v>526</v>
      </c>
      <c r="E11" s="487"/>
      <c r="F11" s="486"/>
      <c r="G11" s="492"/>
    </row>
    <row r="12" spans="1:7" x14ac:dyDescent="0.25">
      <c r="A12" s="190" t="s">
        <v>527</v>
      </c>
      <c r="B12" s="193">
        <v>0.2</v>
      </c>
      <c r="C12" s="198">
        <f ca="1">$B$6</f>
        <v>35339806.309659794</v>
      </c>
      <c r="D12" s="124">
        <f ca="1">IFERROR(B12*C12,"")</f>
        <v>7067961.2619319595</v>
      </c>
      <c r="E12" s="122">
        <f>IFERROR($C$7+180,"")</f>
        <v>360</v>
      </c>
      <c r="F12" s="194">
        <v>2E-3</v>
      </c>
      <c r="G12" s="230">
        <f ca="1">IFERROR(F12*D12*E12/360,"")</f>
        <v>14135.922523863919</v>
      </c>
    </row>
    <row r="13" spans="1:7" ht="25.5" x14ac:dyDescent="0.25">
      <c r="A13" s="190" t="s">
        <v>528</v>
      </c>
      <c r="B13" s="193">
        <v>1</v>
      </c>
      <c r="C13" s="198">
        <f ca="1">$C$8</f>
        <v>0</v>
      </c>
      <c r="D13" s="124">
        <f ca="1">IFERROR(B13*C13,"")</f>
        <v>0</v>
      </c>
      <c r="E13" s="122">
        <f>IFERROR($C$7+180,"")</f>
        <v>360</v>
      </c>
      <c r="F13" s="194">
        <v>1.5E-3</v>
      </c>
      <c r="G13" s="230">
        <f ca="1">IFERROR(F13*D13*E13/360,"")</f>
        <v>0</v>
      </c>
    </row>
    <row r="14" spans="1:7" x14ac:dyDescent="0.25">
      <c r="A14" s="190" t="s">
        <v>529</v>
      </c>
      <c r="B14" s="193">
        <v>0.2</v>
      </c>
      <c r="C14" s="198">
        <f ca="1">$B$6</f>
        <v>35339806.309659794</v>
      </c>
      <c r="D14" s="124">
        <f ca="1">IFERROR(B14*C14,"")</f>
        <v>7067961.2619319595</v>
      </c>
      <c r="E14" s="122">
        <f>IFERROR($C$7+1080,"")</f>
        <v>1260</v>
      </c>
      <c r="F14" s="194">
        <v>1.5E-3</v>
      </c>
      <c r="G14" s="230">
        <f ca="1">IFERROR(F14*D14*E14/360,"")</f>
        <v>37106.796625142786</v>
      </c>
    </row>
    <row r="15" spans="1:7" x14ac:dyDescent="0.25">
      <c r="A15" s="190" t="s">
        <v>530</v>
      </c>
      <c r="B15" s="193">
        <v>0.2</v>
      </c>
      <c r="C15" s="198">
        <f ca="1">$B$6</f>
        <v>35339806.309659794</v>
      </c>
      <c r="D15" s="124">
        <f ca="1">IFERROR(B15*C15,"")</f>
        <v>7067961.2619319595</v>
      </c>
      <c r="E15" s="122">
        <f ca="1">IF($B$6="","",1800)</f>
        <v>1800</v>
      </c>
      <c r="F15" s="194">
        <v>2E-3</v>
      </c>
      <c r="G15" s="230">
        <f ca="1">IFERROR(F15*D15*E15/360,"")</f>
        <v>70679.612619319596</v>
      </c>
    </row>
    <row r="16" spans="1:7" ht="25.5" x14ac:dyDescent="0.25">
      <c r="A16" s="191" t="s">
        <v>531</v>
      </c>
      <c r="B16" s="195" t="s">
        <v>532</v>
      </c>
      <c r="C16" s="493" t="s">
        <v>533</v>
      </c>
      <c r="D16" s="493"/>
      <c r="E16" s="196" t="s">
        <v>534</v>
      </c>
      <c r="F16" s="195" t="s">
        <v>535</v>
      </c>
      <c r="G16" s="197" t="s">
        <v>524</v>
      </c>
    </row>
    <row r="17" spans="1:7" x14ac:dyDescent="0.25">
      <c r="A17" s="192">
        <f ca="1">+IF(B6="","",IF(C6&lt;=1500,200,IF(C6&lt;=2500,300,IF(C6&lt;=5000,400,IF(C6&lt;=10000,500,"5%")))))</f>
        <v>200</v>
      </c>
      <c r="B17" s="199">
        <f>'DATOS INICIALES'!B12</f>
        <v>1300000</v>
      </c>
      <c r="C17" s="494">
        <f ca="1">IFERROR(IF(C6&gt;10000,B6+5%,A17*B17),"")</f>
        <v>260000000</v>
      </c>
      <c r="D17" s="494"/>
      <c r="E17" s="200">
        <f>B7</f>
        <v>6</v>
      </c>
      <c r="F17" s="201">
        <v>2E-3</v>
      </c>
      <c r="G17" s="229">
        <f ca="1">IFERROR(F17*E17*C17/12,"")</f>
        <v>260000</v>
      </c>
    </row>
    <row r="18" spans="1:7" x14ac:dyDescent="0.25">
      <c r="A18" s="485" t="s">
        <v>536</v>
      </c>
      <c r="B18" s="485"/>
      <c r="C18" s="485"/>
      <c r="D18" s="485"/>
      <c r="E18" s="485"/>
      <c r="F18" s="485"/>
      <c r="G18" s="230">
        <f ca="1">IF(SUM(G12:G15,G17)=0,"",SUM(G12:G15,G17))</f>
        <v>381922.33176832629</v>
      </c>
    </row>
    <row r="19" spans="1:7" x14ac:dyDescent="0.25">
      <c r="A19" s="485" t="s">
        <v>537</v>
      </c>
      <c r="B19" s="485"/>
      <c r="C19" s="485"/>
      <c r="D19" s="485"/>
      <c r="E19" s="485"/>
      <c r="F19" s="485"/>
      <c r="G19" s="230">
        <f ca="1">IF(G19="","",20000)</f>
        <v>20000</v>
      </c>
    </row>
    <row r="20" spans="1:7" x14ac:dyDescent="0.25">
      <c r="A20" s="485" t="s">
        <v>538</v>
      </c>
      <c r="B20" s="485"/>
      <c r="C20" s="485"/>
      <c r="D20" s="485"/>
      <c r="E20" s="485"/>
      <c r="F20" s="485"/>
      <c r="G20" s="230">
        <f ca="1">IFERROR((G18+G19)*0.19,"")</f>
        <v>76365.243035981999</v>
      </c>
    </row>
    <row r="21" spans="1:7" x14ac:dyDescent="0.25">
      <c r="A21" s="485" t="s">
        <v>539</v>
      </c>
      <c r="B21" s="485"/>
      <c r="C21" s="485"/>
      <c r="D21" s="485"/>
      <c r="E21" s="485"/>
      <c r="F21" s="485"/>
      <c r="G21" s="230">
        <f ca="1">IF(G18="","",SUM(G18:G20))</f>
        <v>478287.5748043083</v>
      </c>
    </row>
    <row r="26" spans="1:7" ht="40.15" customHeight="1" x14ac:dyDescent="0.25"/>
    <row r="27" spans="1:7" x14ac:dyDescent="0.25">
      <c r="A27" s="185" t="s">
        <v>787</v>
      </c>
    </row>
    <row r="28" spans="1:7" x14ac:dyDescent="0.25">
      <c r="A28" s="365" t="s">
        <v>599</v>
      </c>
      <c r="B28" s="365"/>
    </row>
  </sheetData>
  <protectedRanges>
    <protectedRange sqref="B8" name="Rango1"/>
    <protectedRange sqref="B12:B15" name="Rango1_1"/>
  </protectedRanges>
  <mergeCells count="20">
    <mergeCell ref="A19:F19"/>
    <mergeCell ref="A20:F20"/>
    <mergeCell ref="F10:F11"/>
    <mergeCell ref="A28:B28"/>
    <mergeCell ref="A21:F21"/>
    <mergeCell ref="F1:G5"/>
    <mergeCell ref="A2:E2"/>
    <mergeCell ref="A3:E3"/>
    <mergeCell ref="A5:E5"/>
    <mergeCell ref="A18:F18"/>
    <mergeCell ref="A10:A11"/>
    <mergeCell ref="B10:D10"/>
    <mergeCell ref="E10:E11"/>
    <mergeCell ref="C6:D6"/>
    <mergeCell ref="A1:E1"/>
    <mergeCell ref="G10:G11"/>
    <mergeCell ref="C16:D16"/>
    <mergeCell ref="C17:D17"/>
    <mergeCell ref="C7:D7"/>
    <mergeCell ref="C8:D8"/>
  </mergeCells>
  <pageMargins left="0.7" right="0.7" top="0.75" bottom="0.75" header="0.3" footer="0.3"/>
  <pageSetup scale="71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71"/>
  <sheetViews>
    <sheetView view="pageBreakPreview" zoomScale="60" zoomScaleNormal="100" workbookViewId="0">
      <selection activeCell="L5" sqref="L5"/>
    </sheetView>
  </sheetViews>
  <sheetFormatPr baseColWidth="10" defaultRowHeight="15" x14ac:dyDescent="0.25"/>
  <cols>
    <col min="2" max="2" width="35.28515625" bestFit="1" customWidth="1"/>
    <col min="4" max="4" width="17.42578125" style="118" customWidth="1"/>
    <col min="5" max="5" width="14" customWidth="1"/>
    <col min="6" max="6" width="15.7109375" style="118" customWidth="1"/>
    <col min="7" max="7" width="13.7109375" style="118" customWidth="1"/>
    <col min="8" max="8" width="15.28515625" style="118" customWidth="1"/>
  </cols>
  <sheetData>
    <row r="1" spans="1:8" ht="23.25" x14ac:dyDescent="0.25">
      <c r="A1" s="490" t="s">
        <v>0</v>
      </c>
      <c r="B1" s="490"/>
      <c r="C1" s="490"/>
      <c r="D1" s="490"/>
      <c r="E1" s="490"/>
      <c r="F1" s="490"/>
      <c r="G1" s="497"/>
      <c r="H1" s="497"/>
    </row>
    <row r="2" spans="1:8" ht="21" x14ac:dyDescent="0.25">
      <c r="A2" s="444" t="str">
        <f>'DATOS INICIALES'!B2</f>
        <v>MUNICIPIO DE DABEIBA</v>
      </c>
      <c r="B2" s="444"/>
      <c r="C2" s="444"/>
      <c r="D2" s="444"/>
      <c r="E2" s="444"/>
      <c r="F2" s="444"/>
      <c r="G2" s="497"/>
      <c r="H2" s="497"/>
    </row>
    <row r="3" spans="1:8" ht="42" customHeight="1" x14ac:dyDescent="0.25">
      <c r="A3" s="452" t="str">
        <f>'DATOS INICIALES'!B3</f>
        <v>REPOSICIÓN, AMPLIACIÓN Y REPARACIÓN DE LUMINARIAS QUE HACEN PARTE DE LA RED DE ALUMBRADOPÚBLICO DEL PARQUE PRINCIPAL Y CORREGIMIENTO SAN JOSÉ DE URAMA DEL MUNICIPIO DE DABEIBA.</v>
      </c>
      <c r="B3" s="452"/>
      <c r="C3" s="452"/>
      <c r="D3" s="452"/>
      <c r="E3" s="452"/>
      <c r="F3" s="452"/>
      <c r="G3" s="497"/>
      <c r="H3" s="497"/>
    </row>
    <row r="4" spans="1:8" x14ac:dyDescent="0.25">
      <c r="A4" s="16"/>
      <c r="B4" s="68"/>
      <c r="C4" s="4"/>
      <c r="D4" s="144"/>
      <c r="E4" s="97"/>
      <c r="F4" s="144"/>
      <c r="G4" s="497"/>
      <c r="H4" s="497"/>
    </row>
    <row r="5" spans="1:8" ht="15.75" x14ac:dyDescent="0.25">
      <c r="A5" s="454" t="s">
        <v>248</v>
      </c>
      <c r="B5" s="454"/>
      <c r="C5" s="454"/>
      <c r="D5" s="454"/>
      <c r="E5" s="454"/>
      <c r="F5" s="454"/>
      <c r="G5" s="497"/>
      <c r="H5" s="497"/>
    </row>
    <row r="6" spans="1:8" x14ac:dyDescent="0.25">
      <c r="A6" s="69"/>
      <c r="B6" s="4"/>
      <c r="C6" s="4"/>
      <c r="D6" s="145"/>
      <c r="E6" s="98"/>
      <c r="F6" s="145"/>
      <c r="G6" s="145"/>
      <c r="H6" s="145"/>
    </row>
    <row r="7" spans="1:8" ht="25.5" x14ac:dyDescent="0.25">
      <c r="A7" s="83" t="s">
        <v>56</v>
      </c>
      <c r="B7" s="83" t="s">
        <v>249</v>
      </c>
      <c r="C7" s="83" t="s">
        <v>250</v>
      </c>
      <c r="D7" s="146" t="s">
        <v>251</v>
      </c>
      <c r="E7" s="99" t="s">
        <v>252</v>
      </c>
      <c r="F7" s="146" t="s">
        <v>253</v>
      </c>
      <c r="G7" s="146" t="s">
        <v>254</v>
      </c>
      <c r="H7" s="146" t="s">
        <v>72</v>
      </c>
    </row>
    <row r="8" spans="1:8" x14ac:dyDescent="0.25">
      <c r="A8" s="92" t="s">
        <v>275</v>
      </c>
      <c r="B8" s="80" t="str">
        <f t="shared" ref="B8:B39" si="0">IFERROR(IF(HLOOKUP($A8,FACTORPRESTACIONAL,2,0)="","",HLOOKUP($A8,FACTORPRESTACIONAL,2,0)),"")</f>
        <v>DIRECTOR DE OBRA</v>
      </c>
      <c r="C8" s="80" t="str">
        <f t="shared" ref="C8:C39" si="1">IFERROR(IF(HLOOKUP($A8,FACTORPRESTACIONAL,2,0)="","",HLOOKUP($A8,FACTORPRESTACIONAL,3,0)),"")</f>
        <v>ADMÓN</v>
      </c>
      <c r="D8" s="124">
        <f t="shared" ref="D8:D39" si="2">IFERROR(IF(HLOOKUP($A8,FACTORPRESTACIONAL,2,0)="","",HLOOKUP($A8,FACTORPRESTACIONAL,5,0)),"")</f>
        <v>6500000</v>
      </c>
      <c r="E8" s="122">
        <f t="shared" ref="E8:E39" si="3">IFERROR(IF(HLOOKUP($A8,FACTORPRESTACIONAL,2,0)="","",HLOOKUP($A8,FACTORPRESTACIONAL,26,0)),"")</f>
        <v>1.5</v>
      </c>
      <c r="F8" s="123">
        <f t="shared" ref="F8:F39" si="4">IFERROR(IF(HLOOKUP($A8,FACTORPRESTACIONAL,2,0)="","",HLOOKUP($A8,FACTORPRESTACIONAL,24,0)),"")</f>
        <v>213699</v>
      </c>
      <c r="G8" s="123">
        <f t="shared" ref="G8:G39" si="5">IFERROR(IF(HLOOKUP($A8,FACTORPRESTACIONAL,2,0)="","",HLOOKUP($A8,FACTORPRESTACIONAL,25,0)),"")</f>
        <v>106911</v>
      </c>
      <c r="H8" s="123">
        <f>IFERROR(F8+G8,"")</f>
        <v>320610</v>
      </c>
    </row>
    <row r="9" spans="1:8" x14ac:dyDescent="0.25">
      <c r="A9" s="93" t="s">
        <v>276</v>
      </c>
      <c r="B9" s="80" t="str">
        <f t="shared" si="0"/>
        <v>DIRECTOR DE INTERVENTORÍA</v>
      </c>
      <c r="C9" s="80" t="str">
        <f t="shared" si="1"/>
        <v>ADMÓN</v>
      </c>
      <c r="D9" s="124">
        <f t="shared" si="2"/>
        <v>6500000</v>
      </c>
      <c r="E9" s="122">
        <f t="shared" si="3"/>
        <v>1.5</v>
      </c>
      <c r="F9" s="123">
        <f t="shared" si="4"/>
        <v>213699</v>
      </c>
      <c r="G9" s="123">
        <f t="shared" si="5"/>
        <v>106911</v>
      </c>
      <c r="H9" s="123">
        <f t="shared" ref="H9:H61" si="6">IFERROR(F9+G9,"")</f>
        <v>320610</v>
      </c>
    </row>
    <row r="10" spans="1:8" x14ac:dyDescent="0.25">
      <c r="A10" s="93" t="s">
        <v>277</v>
      </c>
      <c r="B10" s="80" t="str">
        <f t="shared" si="0"/>
        <v>RESIDENTE DE OBRA</v>
      </c>
      <c r="C10" s="80" t="str">
        <f t="shared" si="1"/>
        <v>ADMÓN</v>
      </c>
      <c r="D10" s="124">
        <f t="shared" si="2"/>
        <v>5200000</v>
      </c>
      <c r="E10" s="122">
        <f t="shared" si="3"/>
        <v>1.5</v>
      </c>
      <c r="F10" s="123">
        <f t="shared" si="4"/>
        <v>170959</v>
      </c>
      <c r="G10" s="123">
        <f t="shared" si="5"/>
        <v>86011</v>
      </c>
      <c r="H10" s="123">
        <f t="shared" si="6"/>
        <v>256970</v>
      </c>
    </row>
    <row r="11" spans="1:8" x14ac:dyDescent="0.25">
      <c r="A11" s="143" t="s">
        <v>278</v>
      </c>
      <c r="B11" s="80" t="str">
        <f t="shared" si="0"/>
        <v>RESIDENTE DE INTERVENTORÍA</v>
      </c>
      <c r="C11" s="80" t="str">
        <f t="shared" si="1"/>
        <v>ADMÓN</v>
      </c>
      <c r="D11" s="124">
        <f t="shared" si="2"/>
        <v>5200000</v>
      </c>
      <c r="E11" s="122">
        <f t="shared" si="3"/>
        <v>1.5</v>
      </c>
      <c r="F11" s="123">
        <f t="shared" si="4"/>
        <v>170959</v>
      </c>
      <c r="G11" s="123">
        <f t="shared" si="5"/>
        <v>86011</v>
      </c>
      <c r="H11" s="123">
        <f t="shared" si="6"/>
        <v>256970</v>
      </c>
    </row>
    <row r="12" spans="1:8" x14ac:dyDescent="0.25">
      <c r="A12" s="143" t="s">
        <v>279</v>
      </c>
      <c r="B12" s="80" t="str">
        <f t="shared" si="0"/>
        <v>RESIDENTE AMBIENTAL</v>
      </c>
      <c r="C12" s="80" t="str">
        <f t="shared" si="1"/>
        <v>ADMÓN</v>
      </c>
      <c r="D12" s="124">
        <f t="shared" si="2"/>
        <v>3900000</v>
      </c>
      <c r="E12" s="122">
        <f t="shared" si="3"/>
        <v>1.51</v>
      </c>
      <c r="F12" s="123">
        <f t="shared" si="4"/>
        <v>128219</v>
      </c>
      <c r="G12" s="123">
        <f t="shared" si="5"/>
        <v>65112</v>
      </c>
      <c r="H12" s="123">
        <f t="shared" si="6"/>
        <v>193331</v>
      </c>
    </row>
    <row r="13" spans="1:8" x14ac:dyDescent="0.25">
      <c r="A13" s="143" t="s">
        <v>280</v>
      </c>
      <c r="B13" s="80" t="str">
        <f t="shared" si="0"/>
        <v>RESIDENTE SOCIAL</v>
      </c>
      <c r="C13" s="80" t="str">
        <f t="shared" si="1"/>
        <v>ADMÓN</v>
      </c>
      <c r="D13" s="124">
        <f t="shared" si="2"/>
        <v>3900000</v>
      </c>
      <c r="E13" s="122">
        <f t="shared" si="3"/>
        <v>1.51</v>
      </c>
      <c r="F13" s="123">
        <f t="shared" si="4"/>
        <v>128219</v>
      </c>
      <c r="G13" s="123">
        <f t="shared" si="5"/>
        <v>65112</v>
      </c>
      <c r="H13" s="123">
        <f t="shared" si="6"/>
        <v>193331</v>
      </c>
    </row>
    <row r="14" spans="1:8" x14ac:dyDescent="0.25">
      <c r="A14" s="143" t="s">
        <v>281</v>
      </c>
      <c r="B14" s="80" t="str">
        <f t="shared" si="0"/>
        <v>AUXILIAR DE RESIDENCIA</v>
      </c>
      <c r="C14" s="80" t="str">
        <f t="shared" si="1"/>
        <v>ADMÓN</v>
      </c>
      <c r="D14" s="124">
        <f t="shared" si="2"/>
        <v>2990000</v>
      </c>
      <c r="E14" s="122">
        <f t="shared" si="3"/>
        <v>1.51</v>
      </c>
      <c r="F14" s="123">
        <f t="shared" si="4"/>
        <v>98301</v>
      </c>
      <c r="G14" s="123">
        <f t="shared" si="5"/>
        <v>50482</v>
      </c>
      <c r="H14" s="123">
        <f t="shared" si="6"/>
        <v>148783</v>
      </c>
    </row>
    <row r="15" spans="1:8" x14ac:dyDescent="0.25">
      <c r="A15" s="143" t="s">
        <v>282</v>
      </c>
      <c r="B15" s="80" t="str">
        <f t="shared" si="0"/>
        <v>TECNÓLOGO SST</v>
      </c>
      <c r="C15" s="80" t="str">
        <f t="shared" si="1"/>
        <v>ADMÓN</v>
      </c>
      <c r="D15" s="124">
        <f t="shared" si="2"/>
        <v>2301000</v>
      </c>
      <c r="E15" s="122">
        <f t="shared" si="3"/>
        <v>1.64</v>
      </c>
      <c r="F15" s="123">
        <f t="shared" si="4"/>
        <v>75649</v>
      </c>
      <c r="G15" s="123">
        <f t="shared" si="5"/>
        <v>48371</v>
      </c>
      <c r="H15" s="123">
        <f t="shared" si="6"/>
        <v>124020</v>
      </c>
    </row>
    <row r="16" spans="1:8" x14ac:dyDescent="0.25">
      <c r="A16" s="143" t="s">
        <v>283</v>
      </c>
      <c r="B16" s="80" t="str">
        <f t="shared" si="0"/>
        <v>ASESOR LEGAL</v>
      </c>
      <c r="C16" s="80" t="str">
        <f t="shared" si="1"/>
        <v>ADMÓN</v>
      </c>
      <c r="D16" s="124">
        <f t="shared" si="2"/>
        <v>8710000</v>
      </c>
      <c r="E16" s="122">
        <f t="shared" si="3"/>
        <v>1.5</v>
      </c>
      <c r="F16" s="123">
        <f t="shared" si="4"/>
        <v>286356</v>
      </c>
      <c r="G16" s="123">
        <f t="shared" si="5"/>
        <v>142441</v>
      </c>
      <c r="H16" s="123">
        <f t="shared" si="6"/>
        <v>428797</v>
      </c>
    </row>
    <row r="17" spans="1:8" x14ac:dyDescent="0.25">
      <c r="A17" s="143" t="s">
        <v>284</v>
      </c>
      <c r="B17" s="80" t="str">
        <f t="shared" si="0"/>
        <v>CONTADOR</v>
      </c>
      <c r="C17" s="80" t="str">
        <f t="shared" si="1"/>
        <v>ADMÓN</v>
      </c>
      <c r="D17" s="124">
        <f t="shared" si="2"/>
        <v>5980000</v>
      </c>
      <c r="E17" s="122">
        <f t="shared" si="3"/>
        <v>1.5</v>
      </c>
      <c r="F17" s="123">
        <f t="shared" si="4"/>
        <v>196603</v>
      </c>
      <c r="G17" s="123">
        <f t="shared" si="5"/>
        <v>98551</v>
      </c>
      <c r="H17" s="123">
        <f t="shared" si="6"/>
        <v>295154</v>
      </c>
    </row>
    <row r="18" spans="1:8" x14ac:dyDescent="0.25">
      <c r="A18" s="143" t="s">
        <v>285</v>
      </c>
      <c r="B18" s="80" t="str">
        <f t="shared" si="0"/>
        <v>ALMACENISTA</v>
      </c>
      <c r="C18" s="80" t="str">
        <f t="shared" si="1"/>
        <v>ADMÓN</v>
      </c>
      <c r="D18" s="124">
        <f t="shared" si="2"/>
        <v>2405000</v>
      </c>
      <c r="E18" s="122">
        <f t="shared" si="3"/>
        <v>1.63</v>
      </c>
      <c r="F18" s="123">
        <f t="shared" si="4"/>
        <v>79068</v>
      </c>
      <c r="G18" s="123">
        <f t="shared" si="5"/>
        <v>50043</v>
      </c>
      <c r="H18" s="123">
        <f t="shared" si="6"/>
        <v>129111</v>
      </c>
    </row>
    <row r="19" spans="1:8" x14ac:dyDescent="0.25">
      <c r="A19" s="143" t="s">
        <v>286</v>
      </c>
      <c r="B19" s="80" t="str">
        <f t="shared" si="0"/>
        <v>AUXILIAR DE ALMACÉN</v>
      </c>
      <c r="C19" s="80" t="str">
        <f t="shared" si="1"/>
        <v>ADMÓN</v>
      </c>
      <c r="D19" s="124">
        <f t="shared" si="2"/>
        <v>1885000</v>
      </c>
      <c r="E19" s="122">
        <f t="shared" si="3"/>
        <v>1.67</v>
      </c>
      <c r="F19" s="123">
        <f t="shared" si="4"/>
        <v>61973</v>
      </c>
      <c r="G19" s="123">
        <f t="shared" si="5"/>
        <v>41683</v>
      </c>
      <c r="H19" s="123">
        <f t="shared" si="6"/>
        <v>103656</v>
      </c>
    </row>
    <row r="20" spans="1:8" x14ac:dyDescent="0.25">
      <c r="A20" s="143" t="s">
        <v>287</v>
      </c>
      <c r="B20" s="80" t="str">
        <f t="shared" si="0"/>
        <v>SECRETARIA</v>
      </c>
      <c r="C20" s="80" t="str">
        <f t="shared" si="1"/>
        <v>ADMÓN</v>
      </c>
      <c r="D20" s="124">
        <f t="shared" si="2"/>
        <v>1300000</v>
      </c>
      <c r="E20" s="122">
        <f t="shared" si="3"/>
        <v>1.76</v>
      </c>
      <c r="F20" s="123">
        <f t="shared" si="4"/>
        <v>42740</v>
      </c>
      <c r="G20" s="123">
        <f t="shared" si="5"/>
        <v>32278</v>
      </c>
      <c r="H20" s="123">
        <f t="shared" si="6"/>
        <v>75018</v>
      </c>
    </row>
    <row r="21" spans="1:8" x14ac:dyDescent="0.25">
      <c r="A21" s="143" t="s">
        <v>288</v>
      </c>
      <c r="B21" s="80" t="str">
        <f t="shared" si="0"/>
        <v>MENSAJERO</v>
      </c>
      <c r="C21" s="80" t="str">
        <f t="shared" si="1"/>
        <v>ADMÓN</v>
      </c>
      <c r="D21" s="124">
        <f t="shared" si="2"/>
        <v>1300000</v>
      </c>
      <c r="E21" s="122">
        <f t="shared" si="3"/>
        <v>1.76</v>
      </c>
      <c r="F21" s="123">
        <f t="shared" si="4"/>
        <v>42740</v>
      </c>
      <c r="G21" s="123">
        <f t="shared" si="5"/>
        <v>32278</v>
      </c>
      <c r="H21" s="123">
        <f t="shared" si="6"/>
        <v>75018</v>
      </c>
    </row>
    <row r="22" spans="1:8" x14ac:dyDescent="0.25">
      <c r="A22" s="143" t="s">
        <v>289</v>
      </c>
      <c r="B22" s="80" t="str">
        <f t="shared" si="0"/>
        <v>VIGILANTE</v>
      </c>
      <c r="C22" s="80" t="str">
        <f t="shared" si="1"/>
        <v>ADMÓN</v>
      </c>
      <c r="D22" s="124">
        <f t="shared" si="2"/>
        <v>1300000</v>
      </c>
      <c r="E22" s="122">
        <f t="shared" si="3"/>
        <v>1.76</v>
      </c>
      <c r="F22" s="123">
        <f t="shared" si="4"/>
        <v>42740</v>
      </c>
      <c r="G22" s="123">
        <f t="shared" si="5"/>
        <v>32278</v>
      </c>
      <c r="H22" s="123">
        <f t="shared" si="6"/>
        <v>75018</v>
      </c>
    </row>
    <row r="23" spans="1:8" x14ac:dyDescent="0.25">
      <c r="A23" s="143" t="s">
        <v>290</v>
      </c>
      <c r="B23" s="80" t="str">
        <f t="shared" si="0"/>
        <v>TOPÓGRAFO</v>
      </c>
      <c r="C23" s="80" t="str">
        <f t="shared" si="1"/>
        <v>OBRA</v>
      </c>
      <c r="D23" s="124">
        <f t="shared" si="2"/>
        <v>6240000</v>
      </c>
      <c r="E23" s="122">
        <f t="shared" si="3"/>
        <v>1.5</v>
      </c>
      <c r="F23" s="123">
        <f t="shared" si="4"/>
        <v>205151</v>
      </c>
      <c r="G23" s="123">
        <f t="shared" si="5"/>
        <v>103475</v>
      </c>
      <c r="H23" s="123">
        <f t="shared" si="6"/>
        <v>308626</v>
      </c>
    </row>
    <row r="24" spans="1:8" x14ac:dyDescent="0.25">
      <c r="A24" s="143" t="s">
        <v>291</v>
      </c>
      <c r="B24" s="80" t="str">
        <f t="shared" si="0"/>
        <v>CADENERO 1</v>
      </c>
      <c r="C24" s="80" t="str">
        <f t="shared" si="1"/>
        <v>OBRA</v>
      </c>
      <c r="D24" s="124">
        <f t="shared" si="2"/>
        <v>3055000</v>
      </c>
      <c r="E24" s="122">
        <f t="shared" si="3"/>
        <v>1.53</v>
      </c>
      <c r="F24" s="123">
        <f t="shared" si="4"/>
        <v>100438</v>
      </c>
      <c r="G24" s="123">
        <f t="shared" si="5"/>
        <v>53307</v>
      </c>
      <c r="H24" s="123">
        <f t="shared" si="6"/>
        <v>153745</v>
      </c>
    </row>
    <row r="25" spans="1:8" x14ac:dyDescent="0.25">
      <c r="A25" s="143" t="s">
        <v>292</v>
      </c>
      <c r="B25" s="80" t="str">
        <f t="shared" si="0"/>
        <v>CADENERO 2</v>
      </c>
      <c r="C25" s="80" t="str">
        <f t="shared" si="1"/>
        <v>OBRA</v>
      </c>
      <c r="D25" s="124">
        <f t="shared" si="2"/>
        <v>1755000</v>
      </c>
      <c r="E25" s="122">
        <f t="shared" si="3"/>
        <v>1.7</v>
      </c>
      <c r="F25" s="123">
        <f t="shared" si="4"/>
        <v>57699</v>
      </c>
      <c r="G25" s="123">
        <f t="shared" si="5"/>
        <v>40337</v>
      </c>
      <c r="H25" s="123">
        <f t="shared" si="6"/>
        <v>98036</v>
      </c>
    </row>
    <row r="26" spans="1:8" x14ac:dyDescent="0.25">
      <c r="A26" s="93" t="s">
        <v>293</v>
      </c>
      <c r="B26" s="80" t="str">
        <f t="shared" si="0"/>
        <v>MAESTRO PRIMERO</v>
      </c>
      <c r="C26" s="80" t="str">
        <f t="shared" si="1"/>
        <v>OBRA</v>
      </c>
      <c r="D26" s="124">
        <f t="shared" si="2"/>
        <v>3900000</v>
      </c>
      <c r="E26" s="122">
        <f t="shared" si="3"/>
        <v>1.51</v>
      </c>
      <c r="F26" s="123">
        <f t="shared" si="4"/>
        <v>128219</v>
      </c>
      <c r="G26" s="123">
        <f t="shared" si="5"/>
        <v>65856</v>
      </c>
      <c r="H26" s="123">
        <f t="shared" si="6"/>
        <v>194075</v>
      </c>
    </row>
    <row r="27" spans="1:8" x14ac:dyDescent="0.25">
      <c r="A27" s="92" t="s">
        <v>294</v>
      </c>
      <c r="B27" s="80" t="str">
        <f t="shared" si="0"/>
        <v>MAESTRO SEGUNDO</v>
      </c>
      <c r="C27" s="80" t="str">
        <f t="shared" si="1"/>
        <v>OBRA</v>
      </c>
      <c r="D27" s="124">
        <f t="shared" si="2"/>
        <v>2990000</v>
      </c>
      <c r="E27" s="122">
        <f t="shared" si="3"/>
        <v>1.52</v>
      </c>
      <c r="F27" s="123">
        <f t="shared" si="4"/>
        <v>98301</v>
      </c>
      <c r="G27" s="123">
        <f t="shared" si="5"/>
        <v>51226</v>
      </c>
      <c r="H27" s="123">
        <f t="shared" si="6"/>
        <v>149527</v>
      </c>
    </row>
    <row r="28" spans="1:8" x14ac:dyDescent="0.25">
      <c r="A28" s="93" t="s">
        <v>295</v>
      </c>
      <c r="B28" s="80" t="str">
        <f t="shared" si="0"/>
        <v>OFICIAL ELÉCTRICO</v>
      </c>
      <c r="C28" s="80" t="str">
        <f t="shared" si="1"/>
        <v>OBRA</v>
      </c>
      <c r="D28" s="124">
        <f t="shared" si="2"/>
        <v>3575000</v>
      </c>
      <c r="E28" s="122">
        <f t="shared" si="3"/>
        <v>1.52</v>
      </c>
      <c r="F28" s="123">
        <f t="shared" si="4"/>
        <v>117534</v>
      </c>
      <c r="G28" s="123">
        <f t="shared" si="5"/>
        <v>61667</v>
      </c>
      <c r="H28" s="123">
        <f t="shared" si="6"/>
        <v>179201</v>
      </c>
    </row>
    <row r="29" spans="1:8" x14ac:dyDescent="0.25">
      <c r="A29" s="100" t="s">
        <v>296</v>
      </c>
      <c r="B29" s="80" t="str">
        <f t="shared" si="0"/>
        <v>AYUDANTE ELÉCTRICO</v>
      </c>
      <c r="C29" s="80" t="str">
        <f t="shared" si="1"/>
        <v>OBRA</v>
      </c>
      <c r="D29" s="124">
        <f t="shared" si="2"/>
        <v>1690000</v>
      </c>
      <c r="E29" s="122">
        <f t="shared" si="3"/>
        <v>1.71</v>
      </c>
      <c r="F29" s="123">
        <f t="shared" si="4"/>
        <v>55562</v>
      </c>
      <c r="G29" s="123">
        <f t="shared" si="5"/>
        <v>39292</v>
      </c>
      <c r="H29" s="123">
        <f t="shared" si="6"/>
        <v>94854</v>
      </c>
    </row>
    <row r="30" spans="1:8" x14ac:dyDescent="0.25">
      <c r="A30" s="100" t="s">
        <v>297</v>
      </c>
      <c r="B30" s="80" t="str">
        <f t="shared" si="0"/>
        <v>OFICIAL PLOMERO</v>
      </c>
      <c r="C30" s="80" t="str">
        <f t="shared" si="1"/>
        <v>OBRA</v>
      </c>
      <c r="D30" s="124">
        <f t="shared" si="2"/>
        <v>2600000</v>
      </c>
      <c r="E30" s="122">
        <f t="shared" si="3"/>
        <v>1.63</v>
      </c>
      <c r="F30" s="123">
        <f t="shared" si="4"/>
        <v>85479</v>
      </c>
      <c r="G30" s="123">
        <f t="shared" si="5"/>
        <v>53923</v>
      </c>
      <c r="H30" s="123">
        <f t="shared" si="6"/>
        <v>139402</v>
      </c>
    </row>
    <row r="31" spans="1:8" x14ac:dyDescent="0.25">
      <c r="A31" s="100" t="s">
        <v>298</v>
      </c>
      <c r="B31" s="80" t="str">
        <f t="shared" si="0"/>
        <v>AYUDANTE PLOMERO</v>
      </c>
      <c r="C31" s="80" t="str">
        <f t="shared" si="1"/>
        <v>OBRA</v>
      </c>
      <c r="D31" s="124">
        <f t="shared" si="2"/>
        <v>1560000</v>
      </c>
      <c r="E31" s="122">
        <f t="shared" si="3"/>
        <v>1.73</v>
      </c>
      <c r="F31" s="123">
        <f t="shared" si="4"/>
        <v>51288</v>
      </c>
      <c r="G31" s="123">
        <f t="shared" si="5"/>
        <v>37202</v>
      </c>
      <c r="H31" s="123">
        <f t="shared" si="6"/>
        <v>88490</v>
      </c>
    </row>
    <row r="32" spans="1:8" x14ac:dyDescent="0.25">
      <c r="A32" s="100" t="s">
        <v>299</v>
      </c>
      <c r="B32" s="80" t="str">
        <f t="shared" si="0"/>
        <v>OFICIAL CARPINTERO</v>
      </c>
      <c r="C32" s="80" t="str">
        <f t="shared" si="1"/>
        <v>OBRA</v>
      </c>
      <c r="D32" s="124">
        <f t="shared" si="2"/>
        <v>2600000</v>
      </c>
      <c r="E32" s="122">
        <f t="shared" si="3"/>
        <v>1.63</v>
      </c>
      <c r="F32" s="123">
        <f t="shared" si="4"/>
        <v>85479</v>
      </c>
      <c r="G32" s="123">
        <f t="shared" si="5"/>
        <v>53923</v>
      </c>
      <c r="H32" s="123">
        <f t="shared" si="6"/>
        <v>139402</v>
      </c>
    </row>
    <row r="33" spans="1:8" x14ac:dyDescent="0.25">
      <c r="A33" s="100" t="s">
        <v>300</v>
      </c>
      <c r="B33" s="80" t="str">
        <f t="shared" si="0"/>
        <v>AYUDANTE CARPINTERO</v>
      </c>
      <c r="C33" s="80" t="str">
        <f t="shared" si="1"/>
        <v>OBRA</v>
      </c>
      <c r="D33" s="124">
        <f t="shared" si="2"/>
        <v>1430000</v>
      </c>
      <c r="E33" s="122">
        <f t="shared" si="3"/>
        <v>1.75</v>
      </c>
      <c r="F33" s="123">
        <f t="shared" si="4"/>
        <v>47014</v>
      </c>
      <c r="G33" s="123">
        <f t="shared" si="5"/>
        <v>35112</v>
      </c>
      <c r="H33" s="123">
        <f t="shared" si="6"/>
        <v>82126</v>
      </c>
    </row>
    <row r="34" spans="1:8" x14ac:dyDescent="0.25">
      <c r="A34" s="100" t="s">
        <v>301</v>
      </c>
      <c r="B34" s="80" t="str">
        <f t="shared" si="0"/>
        <v>OFICIAL PINTOR</v>
      </c>
      <c r="C34" s="80" t="str">
        <f t="shared" si="1"/>
        <v>OBRA</v>
      </c>
      <c r="D34" s="124">
        <f t="shared" si="2"/>
        <v>2600000</v>
      </c>
      <c r="E34" s="122">
        <f t="shared" si="3"/>
        <v>1.63</v>
      </c>
      <c r="F34" s="123">
        <f t="shared" si="4"/>
        <v>85479</v>
      </c>
      <c r="G34" s="123">
        <f t="shared" si="5"/>
        <v>53923</v>
      </c>
      <c r="H34" s="123">
        <f t="shared" si="6"/>
        <v>139402</v>
      </c>
    </row>
    <row r="35" spans="1:8" x14ac:dyDescent="0.25">
      <c r="A35" s="100" t="s">
        <v>302</v>
      </c>
      <c r="B35" s="80" t="str">
        <f t="shared" si="0"/>
        <v>OFICIAL DE OBRA BLANCA</v>
      </c>
      <c r="C35" s="80" t="str">
        <f t="shared" si="1"/>
        <v>OBRA</v>
      </c>
      <c r="D35" s="124">
        <f t="shared" si="2"/>
        <v>2600000</v>
      </c>
      <c r="E35" s="122">
        <f t="shared" si="3"/>
        <v>1.63</v>
      </c>
      <c r="F35" s="123">
        <f t="shared" si="4"/>
        <v>85479</v>
      </c>
      <c r="G35" s="123">
        <f t="shared" si="5"/>
        <v>53923</v>
      </c>
      <c r="H35" s="123">
        <f t="shared" si="6"/>
        <v>139402</v>
      </c>
    </row>
    <row r="36" spans="1:8" x14ac:dyDescent="0.25">
      <c r="A36" s="100" t="s">
        <v>303</v>
      </c>
      <c r="B36" s="80" t="str">
        <f t="shared" si="0"/>
        <v>OFICIAL DE OBRA NEGRA</v>
      </c>
      <c r="C36" s="80" t="str">
        <f t="shared" si="1"/>
        <v>OBRA</v>
      </c>
      <c r="D36" s="124">
        <f t="shared" si="2"/>
        <v>2600000</v>
      </c>
      <c r="E36" s="122">
        <f t="shared" si="3"/>
        <v>1.63</v>
      </c>
      <c r="F36" s="123">
        <f t="shared" si="4"/>
        <v>85479</v>
      </c>
      <c r="G36" s="123">
        <f t="shared" si="5"/>
        <v>53923</v>
      </c>
      <c r="H36" s="123">
        <f t="shared" si="6"/>
        <v>139402</v>
      </c>
    </row>
    <row r="37" spans="1:8" x14ac:dyDescent="0.25">
      <c r="A37" s="100" t="s">
        <v>304</v>
      </c>
      <c r="B37" s="80" t="str">
        <f t="shared" si="0"/>
        <v>OFICIAL HIERRO</v>
      </c>
      <c r="C37" s="80" t="str">
        <f t="shared" si="1"/>
        <v>OBRA</v>
      </c>
      <c r="D37" s="124">
        <f t="shared" si="2"/>
        <v>2600000</v>
      </c>
      <c r="E37" s="122">
        <f t="shared" si="3"/>
        <v>1.63</v>
      </c>
      <c r="F37" s="123">
        <f t="shared" si="4"/>
        <v>85479</v>
      </c>
      <c r="G37" s="123">
        <f t="shared" si="5"/>
        <v>53923</v>
      </c>
      <c r="H37" s="123">
        <f t="shared" si="6"/>
        <v>139402</v>
      </c>
    </row>
    <row r="38" spans="1:8" x14ac:dyDescent="0.25">
      <c r="A38" s="100" t="s">
        <v>305</v>
      </c>
      <c r="B38" s="80" t="str">
        <f t="shared" si="0"/>
        <v>AYUDANTE ENTENDIDO</v>
      </c>
      <c r="C38" s="80" t="str">
        <f t="shared" si="1"/>
        <v>OBRA</v>
      </c>
      <c r="D38" s="124">
        <f t="shared" si="2"/>
        <v>1690000</v>
      </c>
      <c r="E38" s="122">
        <f t="shared" si="3"/>
        <v>1.71</v>
      </c>
      <c r="F38" s="123">
        <f t="shared" si="4"/>
        <v>55562</v>
      </c>
      <c r="G38" s="123">
        <f t="shared" si="5"/>
        <v>39292</v>
      </c>
      <c r="H38" s="123">
        <f t="shared" si="6"/>
        <v>94854</v>
      </c>
    </row>
    <row r="39" spans="1:8" x14ac:dyDescent="0.25">
      <c r="A39" s="100" t="s">
        <v>306</v>
      </c>
      <c r="B39" s="80" t="str">
        <f t="shared" si="0"/>
        <v>AYUDANTE RASO</v>
      </c>
      <c r="C39" s="80" t="str">
        <f t="shared" si="1"/>
        <v>OBRA</v>
      </c>
      <c r="D39" s="124">
        <f t="shared" si="2"/>
        <v>1300000</v>
      </c>
      <c r="E39" s="122">
        <f t="shared" si="3"/>
        <v>1.77</v>
      </c>
      <c r="F39" s="123">
        <f t="shared" si="4"/>
        <v>42740</v>
      </c>
      <c r="G39" s="123">
        <f t="shared" si="5"/>
        <v>33022</v>
      </c>
      <c r="H39" s="123">
        <f t="shared" si="6"/>
        <v>75762</v>
      </c>
    </row>
    <row r="40" spans="1:8" x14ac:dyDescent="0.25">
      <c r="A40" s="100" t="s">
        <v>307</v>
      </c>
      <c r="B40" s="80" t="str">
        <f t="shared" ref="B40:B61" si="7">IFERROR(IF(HLOOKUP($A40,FACTORPRESTACIONAL,2,0)="","",HLOOKUP($A40,FACTORPRESTACIONAL,2,0)),"")</f>
        <v>OPERADOR EQUIPO LIVIANO</v>
      </c>
      <c r="C40" s="80" t="str">
        <f t="shared" ref="C40:C61" si="8">IFERROR(IF(HLOOKUP($A40,FACTORPRESTACIONAL,2,0)="","",HLOOKUP($A40,FACTORPRESTACIONAL,3,0)),"")</f>
        <v>OBRA</v>
      </c>
      <c r="D40" s="124">
        <f t="shared" ref="D40:D61" si="9">IFERROR(IF(HLOOKUP($A40,FACTORPRESTACIONAL,2,0)="","",HLOOKUP($A40,FACTORPRESTACIONAL,5,0)),"")</f>
        <v>1690000</v>
      </c>
      <c r="E40" s="122">
        <f t="shared" ref="E40:E61" si="10">IFERROR(IF(HLOOKUP($A40,FACTORPRESTACIONAL,2,0)="","",HLOOKUP($A40,FACTORPRESTACIONAL,26,0)),"")</f>
        <v>1.71</v>
      </c>
      <c r="F40" s="123">
        <f t="shared" ref="F40:F61" si="11">IFERROR(IF(HLOOKUP($A40,FACTORPRESTACIONAL,2,0)="","",HLOOKUP($A40,FACTORPRESTACIONAL,24,0)),"")</f>
        <v>55562</v>
      </c>
      <c r="G40" s="123">
        <f t="shared" ref="G40:G61" si="12">IFERROR(IF(HLOOKUP($A40,FACTORPRESTACIONAL,2,0)="","",HLOOKUP($A40,FACTORPRESTACIONAL,25,0)),"")</f>
        <v>39292</v>
      </c>
      <c r="H40" s="123">
        <f t="shared" si="6"/>
        <v>94854</v>
      </c>
    </row>
    <row r="41" spans="1:8" x14ac:dyDescent="0.25">
      <c r="A41" s="100" t="s">
        <v>308</v>
      </c>
      <c r="B41" s="80" t="str">
        <f t="shared" si="7"/>
        <v>OPERADOR EQUIPO MEDIANO</v>
      </c>
      <c r="C41" s="80" t="str">
        <f t="shared" si="8"/>
        <v>OBRA</v>
      </c>
      <c r="D41" s="124">
        <f t="shared" si="9"/>
        <v>2925000</v>
      </c>
      <c r="E41" s="122">
        <f t="shared" si="10"/>
        <v>1.53</v>
      </c>
      <c r="F41" s="123">
        <f t="shared" si="11"/>
        <v>96164</v>
      </c>
      <c r="G41" s="123">
        <f t="shared" si="12"/>
        <v>51217</v>
      </c>
      <c r="H41" s="123">
        <f t="shared" si="6"/>
        <v>147381</v>
      </c>
    </row>
    <row r="42" spans="1:8" x14ac:dyDescent="0.25">
      <c r="A42" s="100" t="s">
        <v>309</v>
      </c>
      <c r="B42" s="80" t="str">
        <f t="shared" si="7"/>
        <v>OPERADOR EQUIPO PESADO</v>
      </c>
      <c r="C42" s="80" t="str">
        <f t="shared" si="8"/>
        <v>OBRA</v>
      </c>
      <c r="D42" s="124">
        <f t="shared" si="9"/>
        <v>4160000</v>
      </c>
      <c r="E42" s="122">
        <f t="shared" si="10"/>
        <v>1.52</v>
      </c>
      <c r="F42" s="123">
        <f t="shared" si="11"/>
        <v>136767</v>
      </c>
      <c r="G42" s="123">
        <f t="shared" si="12"/>
        <v>71072</v>
      </c>
      <c r="H42" s="123">
        <f t="shared" si="6"/>
        <v>207839</v>
      </c>
    </row>
    <row r="43" spans="1:8" x14ac:dyDescent="0.25">
      <c r="A43" s="100" t="s">
        <v>310</v>
      </c>
      <c r="B43" s="80" t="str">
        <f t="shared" si="7"/>
        <v>AUXILIAR HERRAMIENTA</v>
      </c>
      <c r="C43" s="80" t="str">
        <f t="shared" si="8"/>
        <v>OBRA</v>
      </c>
      <c r="D43" s="124">
        <f t="shared" si="9"/>
        <v>1300000</v>
      </c>
      <c r="E43" s="122">
        <f t="shared" si="10"/>
        <v>1.77</v>
      </c>
      <c r="F43" s="123">
        <f t="shared" si="11"/>
        <v>42740</v>
      </c>
      <c r="G43" s="123">
        <f t="shared" si="12"/>
        <v>33022</v>
      </c>
      <c r="H43" s="123">
        <f t="shared" si="6"/>
        <v>75762</v>
      </c>
    </row>
    <row r="44" spans="1:8" x14ac:dyDescent="0.25">
      <c r="A44" s="100" t="s">
        <v>311</v>
      </c>
      <c r="B44" s="80" t="str">
        <f t="shared" si="7"/>
        <v>PATIERO</v>
      </c>
      <c r="C44" s="80" t="str">
        <f t="shared" si="8"/>
        <v>OBRA</v>
      </c>
      <c r="D44" s="124">
        <f t="shared" si="9"/>
        <v>1300000</v>
      </c>
      <c r="E44" s="122">
        <f t="shared" si="10"/>
        <v>1.77</v>
      </c>
      <c r="F44" s="123">
        <f t="shared" si="11"/>
        <v>42740</v>
      </c>
      <c r="G44" s="123">
        <f t="shared" si="12"/>
        <v>33022</v>
      </c>
      <c r="H44" s="123">
        <f t="shared" si="6"/>
        <v>75762</v>
      </c>
    </row>
    <row r="45" spans="1:8" x14ac:dyDescent="0.25">
      <c r="A45" s="100" t="s">
        <v>312</v>
      </c>
      <c r="B45" s="80" t="str">
        <f t="shared" si="7"/>
        <v>AUXILIAR PARE-SIGA</v>
      </c>
      <c r="C45" s="80" t="str">
        <f t="shared" si="8"/>
        <v>OBRA</v>
      </c>
      <c r="D45" s="124">
        <f t="shared" si="9"/>
        <v>1300000</v>
      </c>
      <c r="E45" s="122">
        <f t="shared" si="10"/>
        <v>1.77</v>
      </c>
      <c r="F45" s="123">
        <f t="shared" si="11"/>
        <v>42740</v>
      </c>
      <c r="G45" s="123">
        <f t="shared" si="12"/>
        <v>33022</v>
      </c>
      <c r="H45" s="123">
        <f t="shared" si="6"/>
        <v>75762</v>
      </c>
    </row>
    <row r="46" spans="1:8" x14ac:dyDescent="0.25">
      <c r="A46" s="100" t="s">
        <v>313</v>
      </c>
      <c r="B46" s="80" t="str">
        <f t="shared" si="7"/>
        <v>INGENIERO SIG</v>
      </c>
      <c r="C46" s="80" t="str">
        <f t="shared" si="8"/>
        <v>ADMÓN</v>
      </c>
      <c r="D46" s="124">
        <f t="shared" si="9"/>
        <v>6500000</v>
      </c>
      <c r="E46" s="122">
        <f t="shared" si="10"/>
        <v>1.5</v>
      </c>
      <c r="F46" s="123">
        <f t="shared" si="11"/>
        <v>213699</v>
      </c>
      <c r="G46" s="123">
        <f t="shared" si="12"/>
        <v>106911</v>
      </c>
      <c r="H46" s="123">
        <f t="shared" si="6"/>
        <v>320610</v>
      </c>
    </row>
    <row r="47" spans="1:8" x14ac:dyDescent="0.25">
      <c r="A47" s="100" t="s">
        <v>314</v>
      </c>
      <c r="B47" s="80" t="str">
        <f t="shared" si="7"/>
        <v>TECNÓLOGO SIG</v>
      </c>
      <c r="C47" s="80" t="str">
        <f t="shared" si="8"/>
        <v>ADMÓN</v>
      </c>
      <c r="D47" s="124">
        <f t="shared" si="9"/>
        <v>2990000</v>
      </c>
      <c r="E47" s="122">
        <f t="shared" si="10"/>
        <v>1.51</v>
      </c>
      <c r="F47" s="123">
        <f t="shared" si="11"/>
        <v>98301</v>
      </c>
      <c r="G47" s="123">
        <f t="shared" si="12"/>
        <v>50482</v>
      </c>
      <c r="H47" s="123">
        <f t="shared" si="6"/>
        <v>148783</v>
      </c>
    </row>
    <row r="48" spans="1:8" x14ac:dyDescent="0.25">
      <c r="A48" s="100" t="s">
        <v>315</v>
      </c>
      <c r="B48" s="80" t="str">
        <f t="shared" si="7"/>
        <v>DIRECTOR DE CONSULTORÍA</v>
      </c>
      <c r="C48" s="80" t="str">
        <f t="shared" si="8"/>
        <v>ADMÓN</v>
      </c>
      <c r="D48" s="124">
        <f t="shared" si="9"/>
        <v>8710000</v>
      </c>
      <c r="E48" s="122">
        <f t="shared" si="10"/>
        <v>1.5</v>
      </c>
      <c r="F48" s="123">
        <f t="shared" si="11"/>
        <v>286356</v>
      </c>
      <c r="G48" s="123">
        <f t="shared" si="12"/>
        <v>142441</v>
      </c>
      <c r="H48" s="123">
        <f t="shared" si="6"/>
        <v>428797</v>
      </c>
    </row>
    <row r="49" spans="1:8" x14ac:dyDescent="0.25">
      <c r="A49" s="100" t="s">
        <v>316</v>
      </c>
      <c r="B49" s="80" t="str">
        <f t="shared" si="7"/>
        <v>DIBUJANTE</v>
      </c>
      <c r="C49" s="80" t="str">
        <f t="shared" si="8"/>
        <v>ADMÓN</v>
      </c>
      <c r="D49" s="124">
        <f t="shared" si="9"/>
        <v>2990000</v>
      </c>
      <c r="E49" s="122">
        <f t="shared" si="10"/>
        <v>1.51</v>
      </c>
      <c r="F49" s="123">
        <f t="shared" si="11"/>
        <v>98301</v>
      </c>
      <c r="G49" s="123">
        <f t="shared" si="12"/>
        <v>50482</v>
      </c>
      <c r="H49" s="123">
        <f t="shared" si="6"/>
        <v>148783</v>
      </c>
    </row>
    <row r="50" spans="1:8" x14ac:dyDescent="0.25">
      <c r="A50" s="100" t="s">
        <v>317</v>
      </c>
      <c r="B50" s="80" t="str">
        <f t="shared" si="7"/>
        <v>INGENIERO ESPECIALISTA GEOTECNIA</v>
      </c>
      <c r="C50" s="80" t="str">
        <f t="shared" si="8"/>
        <v>ADMÓN</v>
      </c>
      <c r="D50" s="124">
        <f t="shared" si="9"/>
        <v>7800000</v>
      </c>
      <c r="E50" s="122">
        <f t="shared" si="10"/>
        <v>1.5</v>
      </c>
      <c r="F50" s="123">
        <f t="shared" si="11"/>
        <v>256438</v>
      </c>
      <c r="G50" s="123">
        <f t="shared" si="12"/>
        <v>127811</v>
      </c>
      <c r="H50" s="123">
        <f t="shared" si="6"/>
        <v>384249</v>
      </c>
    </row>
    <row r="51" spans="1:8" x14ac:dyDescent="0.25">
      <c r="A51" s="100" t="s">
        <v>318</v>
      </c>
      <c r="B51" s="80" t="str">
        <f t="shared" si="7"/>
        <v>GEÓLOGO</v>
      </c>
      <c r="C51" s="80" t="str">
        <f t="shared" si="8"/>
        <v>ADMÓN</v>
      </c>
      <c r="D51" s="124">
        <f t="shared" si="9"/>
        <v>7150000</v>
      </c>
      <c r="E51" s="122">
        <f t="shared" si="10"/>
        <v>1.5</v>
      </c>
      <c r="F51" s="123">
        <f t="shared" si="11"/>
        <v>235068</v>
      </c>
      <c r="G51" s="123">
        <f t="shared" si="12"/>
        <v>117361</v>
      </c>
      <c r="H51" s="123">
        <f t="shared" si="6"/>
        <v>352429</v>
      </c>
    </row>
    <row r="52" spans="1:8" x14ac:dyDescent="0.25">
      <c r="A52" s="100" t="s">
        <v>319</v>
      </c>
      <c r="B52" s="80" t="str">
        <f t="shared" si="7"/>
        <v xml:space="preserve">ARQUITECTO ESPECIALISTA URBANISMO </v>
      </c>
      <c r="C52" s="80" t="str">
        <f t="shared" si="8"/>
        <v>ADMÓN</v>
      </c>
      <c r="D52" s="124">
        <f t="shared" si="9"/>
        <v>7800000</v>
      </c>
      <c r="E52" s="122">
        <f t="shared" si="10"/>
        <v>1.5</v>
      </c>
      <c r="F52" s="123">
        <f t="shared" si="11"/>
        <v>256438</v>
      </c>
      <c r="G52" s="123">
        <f t="shared" si="12"/>
        <v>127811</v>
      </c>
      <c r="H52" s="123">
        <f t="shared" si="6"/>
        <v>384249</v>
      </c>
    </row>
    <row r="53" spans="1:8" x14ac:dyDescent="0.25">
      <c r="A53" s="100" t="s">
        <v>320</v>
      </c>
      <c r="B53" s="80" t="str">
        <f t="shared" si="7"/>
        <v>ARQUITECTO ESPECIALISTA PAISAJISMO</v>
      </c>
      <c r="C53" s="80" t="str">
        <f t="shared" si="8"/>
        <v>ADMÓN</v>
      </c>
      <c r="D53" s="124">
        <f t="shared" si="9"/>
        <v>7800000</v>
      </c>
      <c r="E53" s="122">
        <f t="shared" si="10"/>
        <v>1.5</v>
      </c>
      <c r="F53" s="123">
        <f t="shared" si="11"/>
        <v>256438</v>
      </c>
      <c r="G53" s="123">
        <f t="shared" si="12"/>
        <v>127811</v>
      </c>
      <c r="H53" s="123">
        <f t="shared" si="6"/>
        <v>384249</v>
      </c>
    </row>
    <row r="54" spans="1:8" x14ac:dyDescent="0.25">
      <c r="A54" s="100" t="s">
        <v>321</v>
      </c>
      <c r="B54" s="80" t="str">
        <f t="shared" si="7"/>
        <v>ARQUITECTO DISEÑADOR</v>
      </c>
      <c r="C54" s="80" t="str">
        <f t="shared" si="8"/>
        <v>ADMÓN</v>
      </c>
      <c r="D54" s="124">
        <f t="shared" si="9"/>
        <v>7150000</v>
      </c>
      <c r="E54" s="122">
        <f t="shared" si="10"/>
        <v>1.5</v>
      </c>
      <c r="F54" s="123">
        <f t="shared" si="11"/>
        <v>235068</v>
      </c>
      <c r="G54" s="123">
        <f t="shared" si="12"/>
        <v>117361</v>
      </c>
      <c r="H54" s="123">
        <f t="shared" si="6"/>
        <v>352429</v>
      </c>
    </row>
    <row r="55" spans="1:8" x14ac:dyDescent="0.25">
      <c r="A55" s="100" t="s">
        <v>322</v>
      </c>
      <c r="B55" s="80" t="str">
        <f t="shared" si="7"/>
        <v>INGENIERO ESPECIALISTA ESTRUCTURAL</v>
      </c>
      <c r="C55" s="80" t="str">
        <f t="shared" si="8"/>
        <v>ADMÓN</v>
      </c>
      <c r="D55" s="124">
        <f t="shared" si="9"/>
        <v>7800000</v>
      </c>
      <c r="E55" s="122">
        <f t="shared" si="10"/>
        <v>1.5</v>
      </c>
      <c r="F55" s="123">
        <f t="shared" si="11"/>
        <v>256438</v>
      </c>
      <c r="G55" s="123">
        <f t="shared" si="12"/>
        <v>127811</v>
      </c>
      <c r="H55" s="123">
        <f t="shared" si="6"/>
        <v>384249</v>
      </c>
    </row>
    <row r="56" spans="1:8" x14ac:dyDescent="0.25">
      <c r="A56" s="100" t="s">
        <v>323</v>
      </c>
      <c r="B56" s="80" t="str">
        <f t="shared" si="7"/>
        <v>INGENIERO REVISOR ESTRUCTURAL</v>
      </c>
      <c r="C56" s="80" t="str">
        <f t="shared" si="8"/>
        <v>ADMÓN</v>
      </c>
      <c r="D56" s="124">
        <f t="shared" si="9"/>
        <v>7800000</v>
      </c>
      <c r="E56" s="122">
        <f t="shared" si="10"/>
        <v>1.5</v>
      </c>
      <c r="F56" s="123">
        <f t="shared" si="11"/>
        <v>256438</v>
      </c>
      <c r="G56" s="123">
        <f t="shared" si="12"/>
        <v>127811</v>
      </c>
      <c r="H56" s="123">
        <f t="shared" si="6"/>
        <v>384249</v>
      </c>
    </row>
    <row r="57" spans="1:8" x14ac:dyDescent="0.25">
      <c r="A57" s="100" t="s">
        <v>324</v>
      </c>
      <c r="B57" s="80" t="str">
        <f t="shared" si="7"/>
        <v>INGENIERO ESPECIALISTA HIDRÁULICO</v>
      </c>
      <c r="C57" s="80" t="str">
        <f t="shared" si="8"/>
        <v>ADMÓN</v>
      </c>
      <c r="D57" s="124">
        <f t="shared" si="9"/>
        <v>7800000</v>
      </c>
      <c r="E57" s="122">
        <f t="shared" si="10"/>
        <v>1.5</v>
      </c>
      <c r="F57" s="123">
        <f t="shared" si="11"/>
        <v>256438</v>
      </c>
      <c r="G57" s="123">
        <f t="shared" si="12"/>
        <v>127811</v>
      </c>
      <c r="H57" s="123">
        <f t="shared" si="6"/>
        <v>384249</v>
      </c>
    </row>
    <row r="58" spans="1:8" x14ac:dyDescent="0.25">
      <c r="A58" s="100" t="s">
        <v>325</v>
      </c>
      <c r="B58" s="80" t="str">
        <f t="shared" si="7"/>
        <v>INGENIERO ELECTRICISTA</v>
      </c>
      <c r="C58" s="80" t="str">
        <f t="shared" si="8"/>
        <v>ADMÓN</v>
      </c>
      <c r="D58" s="124">
        <f t="shared" si="9"/>
        <v>7150000</v>
      </c>
      <c r="E58" s="122">
        <f t="shared" si="10"/>
        <v>1.5</v>
      </c>
      <c r="F58" s="123">
        <f t="shared" si="11"/>
        <v>235068</v>
      </c>
      <c r="G58" s="123">
        <f t="shared" si="12"/>
        <v>117361</v>
      </c>
      <c r="H58" s="123">
        <f t="shared" si="6"/>
        <v>352429</v>
      </c>
    </row>
    <row r="59" spans="1:8" x14ac:dyDescent="0.25">
      <c r="A59" s="100" t="s">
        <v>326</v>
      </c>
      <c r="B59" s="80" t="str">
        <f t="shared" si="7"/>
        <v>INGENIERO AMBIENTAL</v>
      </c>
      <c r="C59" s="80" t="str">
        <f t="shared" si="8"/>
        <v>ADMÓN</v>
      </c>
      <c r="D59" s="124">
        <f t="shared" si="9"/>
        <v>7150000</v>
      </c>
      <c r="E59" s="122">
        <f t="shared" si="10"/>
        <v>1.5</v>
      </c>
      <c r="F59" s="123">
        <f t="shared" si="11"/>
        <v>235068</v>
      </c>
      <c r="G59" s="123">
        <f t="shared" si="12"/>
        <v>117361</v>
      </c>
      <c r="H59" s="123">
        <f t="shared" si="6"/>
        <v>352429</v>
      </c>
    </row>
    <row r="60" spans="1:8" x14ac:dyDescent="0.25">
      <c r="A60" s="100" t="s">
        <v>327</v>
      </c>
      <c r="B60" s="80" t="str">
        <f t="shared" si="7"/>
        <v>INGENIERO FORESTAL</v>
      </c>
      <c r="C60" s="80" t="str">
        <f t="shared" si="8"/>
        <v>ADMÓN</v>
      </c>
      <c r="D60" s="124">
        <f t="shared" si="9"/>
        <v>7150000</v>
      </c>
      <c r="E60" s="122">
        <f t="shared" si="10"/>
        <v>1.5</v>
      </c>
      <c r="F60" s="123">
        <f t="shared" si="11"/>
        <v>235068</v>
      </c>
      <c r="G60" s="123">
        <f t="shared" si="12"/>
        <v>117361</v>
      </c>
      <c r="H60" s="123">
        <f t="shared" si="6"/>
        <v>352429</v>
      </c>
    </row>
    <row r="61" spans="1:8" x14ac:dyDescent="0.25">
      <c r="A61" s="100" t="s">
        <v>328</v>
      </c>
      <c r="B61" s="80" t="str">
        <f t="shared" si="7"/>
        <v>TÉCNICO AMBIENTAL</v>
      </c>
      <c r="C61" s="80" t="str">
        <f t="shared" si="8"/>
        <v>ADMÓN</v>
      </c>
      <c r="D61" s="124">
        <f t="shared" si="9"/>
        <v>2301000</v>
      </c>
      <c r="E61" s="122">
        <f t="shared" si="10"/>
        <v>1.64</v>
      </c>
      <c r="F61" s="123">
        <f t="shared" si="11"/>
        <v>75649</v>
      </c>
      <c r="G61" s="123">
        <f t="shared" si="12"/>
        <v>48371</v>
      </c>
      <c r="H61" s="123">
        <f t="shared" si="6"/>
        <v>124020</v>
      </c>
    </row>
    <row r="70" spans="2:2" x14ac:dyDescent="0.25">
      <c r="B70" s="228" t="s">
        <v>787</v>
      </c>
    </row>
    <row r="71" spans="2:2" x14ac:dyDescent="0.25">
      <c r="B71" t="s">
        <v>599</v>
      </c>
    </row>
  </sheetData>
  <mergeCells count="5">
    <mergeCell ref="A1:F1"/>
    <mergeCell ref="G1:H5"/>
    <mergeCell ref="A2:F2"/>
    <mergeCell ref="A3:F3"/>
    <mergeCell ref="A5:F5"/>
  </mergeCells>
  <pageMargins left="0.7" right="0.7" top="0.75" bottom="0.75" header="0.3" footer="0.3"/>
  <pageSetup scale="62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D35"/>
  <sheetViews>
    <sheetView view="pageBreakPreview" zoomScale="85" zoomScaleNormal="100" zoomScaleSheetLayoutView="85" workbookViewId="0">
      <pane ySplit="7" topLeftCell="A8" activePane="bottomLeft" state="frozen"/>
      <selection pane="bottomLeft" activeCell="D8" sqref="D8"/>
    </sheetView>
  </sheetViews>
  <sheetFormatPr baseColWidth="10" defaultRowHeight="15" x14ac:dyDescent="0.25"/>
  <cols>
    <col min="2" max="2" width="60.7109375" customWidth="1"/>
    <col min="3" max="3" width="12.7109375" customWidth="1"/>
  </cols>
  <sheetData>
    <row r="1" spans="1:4" ht="26.25" x14ac:dyDescent="0.25">
      <c r="A1" s="437" t="s">
        <v>0</v>
      </c>
      <c r="B1" s="334"/>
      <c r="C1" s="451" t="s">
        <v>51</v>
      </c>
      <c r="D1" s="451"/>
    </row>
    <row r="2" spans="1:4" ht="21" x14ac:dyDescent="0.25">
      <c r="A2" s="444" t="str">
        <f>'DATOS INICIALES'!B6</f>
        <v>MUNICIPIO DE DABEIBA</v>
      </c>
      <c r="B2" s="345"/>
      <c r="C2" s="451"/>
      <c r="D2" s="451"/>
    </row>
    <row r="3" spans="1:4" ht="55.9" customHeight="1" x14ac:dyDescent="0.25">
      <c r="A3" s="452" t="str">
        <f>'DATOS INICIALES'!B3</f>
        <v>REPOSICIÓN, AMPLIACIÓN Y REPARACIÓN DE LUMINARIAS QUE HACEN PARTE DE LA RED DE ALUMBRADOPÚBLICO DEL PARQUE PRINCIPAL Y CORREGIMIENTO SAN JOSÉ DE URAMA DEL MUNICIPIO DE DABEIBA.</v>
      </c>
      <c r="B3" s="453"/>
      <c r="C3" s="451"/>
      <c r="D3" s="451"/>
    </row>
    <row r="4" spans="1:4" x14ac:dyDescent="0.25">
      <c r="A4" s="68"/>
      <c r="B4" s="4"/>
      <c r="C4" s="451"/>
      <c r="D4" s="451"/>
    </row>
    <row r="5" spans="1:4" ht="15.75" x14ac:dyDescent="0.25">
      <c r="A5" s="454" t="s">
        <v>221</v>
      </c>
      <c r="B5" s="455"/>
      <c r="C5" s="451"/>
      <c r="D5" s="451"/>
    </row>
    <row r="7" spans="1:4" ht="25.5" x14ac:dyDescent="0.25">
      <c r="A7" s="83" t="s">
        <v>56</v>
      </c>
      <c r="B7" s="83" t="s">
        <v>44</v>
      </c>
      <c r="C7" s="83" t="s">
        <v>45</v>
      </c>
      <c r="D7" s="84" t="s">
        <v>87</v>
      </c>
    </row>
    <row r="8" spans="1:4" s="212" customFormat="1" x14ac:dyDescent="0.25">
      <c r="A8" s="233" t="s">
        <v>222</v>
      </c>
      <c r="B8" s="234" t="s">
        <v>467</v>
      </c>
      <c r="C8" s="235" t="s">
        <v>223</v>
      </c>
      <c r="D8" s="236">
        <v>560</v>
      </c>
    </row>
    <row r="9" spans="1:4" s="212" customFormat="1" ht="25.5" x14ac:dyDescent="0.25">
      <c r="A9" s="233" t="s">
        <v>224</v>
      </c>
      <c r="B9" s="237" t="s">
        <v>555</v>
      </c>
      <c r="C9" s="235" t="s">
        <v>225</v>
      </c>
      <c r="D9" s="236">
        <v>6100</v>
      </c>
    </row>
    <row r="10" spans="1:4" x14ac:dyDescent="0.25">
      <c r="A10" s="233" t="s">
        <v>226</v>
      </c>
      <c r="B10" s="234" t="s">
        <v>227</v>
      </c>
      <c r="C10" s="235" t="s">
        <v>225</v>
      </c>
      <c r="D10" s="236">
        <v>1500</v>
      </c>
    </row>
    <row r="11" spans="1:4" x14ac:dyDescent="0.25">
      <c r="A11" s="233" t="s">
        <v>228</v>
      </c>
      <c r="B11" s="234" t="s">
        <v>229</v>
      </c>
      <c r="C11" s="235" t="s">
        <v>225</v>
      </c>
      <c r="D11" s="236">
        <v>1500</v>
      </c>
    </row>
    <row r="12" spans="1:4" x14ac:dyDescent="0.25">
      <c r="A12" s="233" t="s">
        <v>230</v>
      </c>
      <c r="B12" s="234" t="s">
        <v>231</v>
      </c>
      <c r="C12" s="235" t="s">
        <v>225</v>
      </c>
      <c r="D12" s="236">
        <v>1500</v>
      </c>
    </row>
    <row r="13" spans="1:4" x14ac:dyDescent="0.25">
      <c r="A13" s="233" t="s">
        <v>232</v>
      </c>
      <c r="B13" s="234" t="s">
        <v>233</v>
      </c>
      <c r="C13" s="235" t="s">
        <v>223</v>
      </c>
      <c r="D13" s="236">
        <v>1500</v>
      </c>
    </row>
    <row r="14" spans="1:4" x14ac:dyDescent="0.25">
      <c r="A14" s="233" t="s">
        <v>234</v>
      </c>
      <c r="B14" s="234" t="s">
        <v>463</v>
      </c>
      <c r="C14" s="235" t="s">
        <v>223</v>
      </c>
      <c r="D14" s="238">
        <v>4250</v>
      </c>
    </row>
    <row r="15" spans="1:4" x14ac:dyDescent="0.25">
      <c r="A15" s="233" t="s">
        <v>235</v>
      </c>
      <c r="B15" s="234" t="s">
        <v>464</v>
      </c>
      <c r="C15" s="235" t="s">
        <v>223</v>
      </c>
      <c r="D15" s="238">
        <v>2480</v>
      </c>
    </row>
    <row r="16" spans="1:4" x14ac:dyDescent="0.25">
      <c r="A16" s="233" t="s">
        <v>236</v>
      </c>
      <c r="B16" s="234" t="s">
        <v>465</v>
      </c>
      <c r="C16" s="235" t="s">
        <v>223</v>
      </c>
      <c r="D16" s="238">
        <v>1300</v>
      </c>
    </row>
    <row r="17" spans="1:4" x14ac:dyDescent="0.25">
      <c r="A17" s="233" t="s">
        <v>237</v>
      </c>
      <c r="B17" s="234" t="s">
        <v>466</v>
      </c>
      <c r="C17" s="235" t="s">
        <v>223</v>
      </c>
      <c r="D17" s="238">
        <v>860</v>
      </c>
    </row>
    <row r="18" spans="1:4" x14ac:dyDescent="0.25">
      <c r="A18" s="233" t="s">
        <v>238</v>
      </c>
      <c r="B18" s="234" t="s">
        <v>467</v>
      </c>
      <c r="C18" s="235" t="s">
        <v>223</v>
      </c>
      <c r="D18" s="238">
        <v>560</v>
      </c>
    </row>
    <row r="19" spans="1:4" x14ac:dyDescent="0.25">
      <c r="A19" s="233" t="s">
        <v>239</v>
      </c>
      <c r="B19" s="234" t="s">
        <v>468</v>
      </c>
      <c r="C19" s="235" t="s">
        <v>223</v>
      </c>
      <c r="D19" s="238">
        <v>280</v>
      </c>
    </row>
    <row r="20" spans="1:4" x14ac:dyDescent="0.25">
      <c r="A20" s="233" t="s">
        <v>240</v>
      </c>
      <c r="B20" s="234" t="s">
        <v>469</v>
      </c>
      <c r="C20" s="235" t="s">
        <v>225</v>
      </c>
      <c r="D20" s="238">
        <v>8930</v>
      </c>
    </row>
    <row r="21" spans="1:4" x14ac:dyDescent="0.25">
      <c r="A21" s="233" t="s">
        <v>241</v>
      </c>
      <c r="B21" s="234" t="s">
        <v>470</v>
      </c>
      <c r="C21" s="235" t="s">
        <v>225</v>
      </c>
      <c r="D21" s="238">
        <v>4220</v>
      </c>
    </row>
    <row r="22" spans="1:4" x14ac:dyDescent="0.25">
      <c r="A22" s="233" t="s">
        <v>242</v>
      </c>
      <c r="B22" s="234" t="s">
        <v>471</v>
      </c>
      <c r="C22" s="235" t="s">
        <v>225</v>
      </c>
      <c r="D22" s="238">
        <v>2210</v>
      </c>
    </row>
    <row r="23" spans="1:4" x14ac:dyDescent="0.25">
      <c r="A23" s="233" t="s">
        <v>243</v>
      </c>
      <c r="B23" s="234" t="s">
        <v>472</v>
      </c>
      <c r="C23" s="235" t="s">
        <v>225</v>
      </c>
      <c r="D23" s="238">
        <v>1460</v>
      </c>
    </row>
    <row r="24" spans="1:4" x14ac:dyDescent="0.25">
      <c r="A24" s="233" t="s">
        <v>244</v>
      </c>
      <c r="B24" s="234" t="s">
        <v>473</v>
      </c>
      <c r="C24" s="235" t="s">
        <v>225</v>
      </c>
      <c r="D24" s="238">
        <v>950</v>
      </c>
    </row>
    <row r="25" spans="1:4" x14ac:dyDescent="0.25">
      <c r="A25" s="233" t="s">
        <v>245</v>
      </c>
      <c r="B25" s="234" t="s">
        <v>474</v>
      </c>
      <c r="C25" s="235" t="s">
        <v>225</v>
      </c>
      <c r="D25" s="238">
        <v>480</v>
      </c>
    </row>
    <row r="26" spans="1:4" x14ac:dyDescent="0.25">
      <c r="A26" s="233" t="s">
        <v>246</v>
      </c>
      <c r="B26" s="234" t="s">
        <v>475</v>
      </c>
      <c r="C26" s="235" t="s">
        <v>154</v>
      </c>
      <c r="D26" s="238">
        <v>7700</v>
      </c>
    </row>
    <row r="27" spans="1:4" s="212" customFormat="1" x14ac:dyDescent="0.25">
      <c r="A27" s="233" t="s">
        <v>247</v>
      </c>
      <c r="B27" s="239" t="s">
        <v>554</v>
      </c>
      <c r="C27" s="235" t="s">
        <v>154</v>
      </c>
      <c r="D27" s="238">
        <v>950</v>
      </c>
    </row>
    <row r="34" spans="2:2" x14ac:dyDescent="0.25">
      <c r="B34" s="228" t="s">
        <v>787</v>
      </c>
    </row>
    <row r="35" spans="2:2" x14ac:dyDescent="0.25">
      <c r="B35" t="s">
        <v>599</v>
      </c>
    </row>
  </sheetData>
  <protectedRanges>
    <protectedRange sqref="D8:D13 B14:D27" name="Rango1"/>
  </protectedRanges>
  <autoFilter ref="A7:D7" xr:uid="{00000000-0009-0000-0000-000011000000}"/>
  <mergeCells count="5">
    <mergeCell ref="A1:B1"/>
    <mergeCell ref="C1:D5"/>
    <mergeCell ref="A2:B2"/>
    <mergeCell ref="A3:B3"/>
    <mergeCell ref="A5:B5"/>
  </mergeCells>
  <phoneticPr fontId="35" type="noConversion"/>
  <pageMargins left="0.7" right="0.7" top="0.75" bottom="0.75" header="0.3" footer="0.3"/>
  <pageSetup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E70"/>
  <sheetViews>
    <sheetView view="pageBreakPreview" zoomScale="85" zoomScaleNormal="100" zoomScaleSheetLayoutView="85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5" sqref="B5:O5"/>
    </sheetView>
  </sheetViews>
  <sheetFormatPr baseColWidth="10" defaultRowHeight="15" x14ac:dyDescent="0.25"/>
  <cols>
    <col min="1" max="1" width="23.42578125" bestFit="1" customWidth="1"/>
    <col min="2" max="2" width="23.42578125" style="118" customWidth="1"/>
    <col min="3" max="3" width="19.85546875" customWidth="1"/>
    <col min="4" max="4" width="20.85546875" customWidth="1"/>
    <col min="5" max="5" width="21.7109375" customWidth="1"/>
    <col min="6" max="8" width="20.85546875" bestFit="1" customWidth="1"/>
    <col min="9" max="9" width="20.42578125" bestFit="1" customWidth="1"/>
    <col min="10" max="10" width="21.42578125" bestFit="1" customWidth="1"/>
    <col min="11" max="11" width="20.85546875" bestFit="1" customWidth="1"/>
    <col min="12" max="16" width="20.42578125" bestFit="1" customWidth="1"/>
    <col min="17" max="17" width="20.85546875" bestFit="1" customWidth="1"/>
    <col min="18" max="18" width="20.140625" bestFit="1" customWidth="1"/>
    <col min="19" max="19" width="20.42578125" bestFit="1" customWidth="1"/>
    <col min="20" max="20" width="20.85546875" bestFit="1" customWidth="1"/>
    <col min="21" max="21" width="20.42578125" bestFit="1" customWidth="1"/>
    <col min="22" max="22" width="20.140625" bestFit="1" customWidth="1"/>
    <col min="23" max="26" width="20.42578125" bestFit="1" customWidth="1"/>
    <col min="27" max="27" width="19.7109375" bestFit="1" customWidth="1"/>
    <col min="28" max="34" width="20.42578125" bestFit="1" customWidth="1"/>
    <col min="35" max="36" width="20.85546875" bestFit="1" customWidth="1"/>
    <col min="37" max="41" width="20.42578125" bestFit="1" customWidth="1"/>
    <col min="42" max="42" width="21.42578125" bestFit="1" customWidth="1"/>
    <col min="43" max="43" width="20.42578125" bestFit="1" customWidth="1"/>
    <col min="44" max="44" width="20.140625" bestFit="1" customWidth="1"/>
    <col min="45" max="45" width="20.85546875" bestFit="1" customWidth="1"/>
    <col min="46" max="47" width="20.140625" bestFit="1" customWidth="1"/>
    <col min="48" max="48" width="20.85546875" bestFit="1" customWidth="1"/>
    <col min="49" max="51" width="20.140625" bestFit="1" customWidth="1"/>
    <col min="52" max="54" width="20.85546875" bestFit="1" customWidth="1"/>
    <col min="55" max="55" width="20.42578125" bestFit="1" customWidth="1"/>
    <col min="56" max="56" width="15.5703125" customWidth="1"/>
    <col min="57" max="57" width="16.28515625" customWidth="1"/>
  </cols>
  <sheetData>
    <row r="1" spans="1:57" ht="26.25" x14ac:dyDescent="0.25">
      <c r="A1" s="498"/>
      <c r="B1" s="437" t="s">
        <v>0</v>
      </c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 t="s">
        <v>0</v>
      </c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 t="s">
        <v>0</v>
      </c>
      <c r="AE1" s="437"/>
      <c r="AF1" s="437"/>
      <c r="AG1" s="437"/>
      <c r="AH1" s="437"/>
      <c r="AI1" s="437"/>
      <c r="AJ1" s="437"/>
      <c r="AK1" s="437"/>
      <c r="AL1" s="437"/>
      <c r="AM1" s="437"/>
      <c r="AN1" s="437"/>
      <c r="AO1" s="437"/>
      <c r="AP1" s="437"/>
      <c r="AQ1" s="437"/>
      <c r="AR1" s="437" t="s">
        <v>0</v>
      </c>
      <c r="AS1" s="437"/>
      <c r="AT1" s="437"/>
      <c r="AU1" s="437"/>
      <c r="AV1" s="437"/>
      <c r="AW1" s="437"/>
      <c r="AX1" s="437"/>
      <c r="AY1" s="437"/>
      <c r="AZ1" s="437"/>
      <c r="BA1" s="437"/>
      <c r="BB1" s="437"/>
      <c r="BC1" s="437"/>
      <c r="BD1" s="437"/>
      <c r="BE1" s="437"/>
    </row>
    <row r="2" spans="1:57" ht="21" x14ac:dyDescent="0.25">
      <c r="A2" s="498"/>
      <c r="B2" s="444" t="str">
        <f>'DATOS INICIALES'!$B$2</f>
        <v>MUNICIPIO DE DABEIBA</v>
      </c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 t="str">
        <f>'DATOS INICIALES'!$B$2</f>
        <v>MUNICIPIO DE DABEIBA</v>
      </c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 t="str">
        <f>'DATOS INICIALES'!$B$2</f>
        <v>MUNICIPIO DE DABEIBA</v>
      </c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 t="str">
        <f>'DATOS INICIALES'!$B$2</f>
        <v>MUNICIPIO DE DABEIBA</v>
      </c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/>
      <c r="BE2" s="444"/>
    </row>
    <row r="3" spans="1:57" ht="18" customHeight="1" x14ac:dyDescent="0.25">
      <c r="A3" s="498"/>
      <c r="B3" s="452" t="str">
        <f>'DATOS INICIALES'!$B$3</f>
        <v>REPOSICIÓN, AMPLIACIÓN Y REPARACIÓN DE LUMINARIAS QUE HACEN PARTE DE LA RED DE ALUMBRADOPÚBLICO DEL PARQUE PRINCIPAL Y CORREGIMIENTO SAN JOSÉ DE URAMA DEL MUNICIPIO DE DABEIBA.</v>
      </c>
      <c r="C3" s="452"/>
      <c r="D3" s="452"/>
      <c r="E3" s="452"/>
      <c r="F3" s="452"/>
      <c r="G3" s="452"/>
      <c r="H3" s="452"/>
      <c r="I3" s="452"/>
      <c r="J3" s="452"/>
      <c r="K3" s="452"/>
      <c r="L3" s="452"/>
      <c r="M3" s="452"/>
      <c r="N3" s="452"/>
      <c r="O3" s="452"/>
      <c r="P3" s="452" t="str">
        <f>'DATOS INICIALES'!$B$3</f>
        <v>REPOSICIÓN, AMPLIACIÓN Y REPARACIÓN DE LUMINARIAS QUE HACEN PARTE DE LA RED DE ALUMBRADOPÚBLICO DEL PARQUE PRINCIPAL Y CORREGIMIENTO SAN JOSÉ DE URAMA DEL MUNICIPIO DE DABEIBA.</v>
      </c>
      <c r="Q3" s="452"/>
      <c r="R3" s="452"/>
      <c r="S3" s="452"/>
      <c r="T3" s="452"/>
      <c r="U3" s="452"/>
      <c r="V3" s="452"/>
      <c r="W3" s="452"/>
      <c r="X3" s="452"/>
      <c r="Y3" s="452"/>
      <c r="Z3" s="452"/>
      <c r="AA3" s="452"/>
      <c r="AB3" s="452"/>
      <c r="AC3" s="452"/>
      <c r="AD3" s="452" t="str">
        <f>'DATOS INICIALES'!$B$3</f>
        <v>REPOSICIÓN, AMPLIACIÓN Y REPARACIÓN DE LUMINARIAS QUE HACEN PARTE DE LA RED DE ALUMBRADOPÚBLICO DEL PARQUE PRINCIPAL Y CORREGIMIENTO SAN JOSÉ DE URAMA DEL MUNICIPIO DE DABEIBA.</v>
      </c>
      <c r="AE3" s="452"/>
      <c r="AF3" s="452"/>
      <c r="AG3" s="452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 t="str">
        <f>'DATOS INICIALES'!$B$3</f>
        <v>REPOSICIÓN, AMPLIACIÓN Y REPARACIÓN DE LUMINARIAS QUE HACEN PARTE DE LA RED DE ALUMBRADOPÚBLICO DEL PARQUE PRINCIPAL Y CORREGIMIENTO SAN JOSÉ DE URAMA DEL MUNICIPIO DE DABEIBA.</v>
      </c>
      <c r="AS3" s="452"/>
      <c r="AT3" s="452"/>
      <c r="AU3" s="452"/>
      <c r="AV3" s="452"/>
      <c r="AW3" s="452"/>
      <c r="AX3" s="452"/>
      <c r="AY3" s="452"/>
      <c r="AZ3" s="452"/>
      <c r="BA3" s="452"/>
      <c r="BB3" s="452"/>
      <c r="BC3" s="452"/>
      <c r="BD3" s="452"/>
      <c r="BE3" s="452"/>
    </row>
    <row r="4" spans="1:57" x14ac:dyDescent="0.25">
      <c r="A4" s="498"/>
      <c r="B4" s="113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/>
      <c r="BB4" s="101"/>
      <c r="BC4" s="101"/>
      <c r="BD4" s="101"/>
      <c r="BE4" s="101"/>
    </row>
    <row r="5" spans="1:57" ht="15.75" x14ac:dyDescent="0.25">
      <c r="A5" s="498"/>
      <c r="B5" s="454" t="s">
        <v>255</v>
      </c>
      <c r="C5" s="454"/>
      <c r="D5" s="454"/>
      <c r="E5" s="454"/>
      <c r="F5" s="454"/>
      <c r="G5" s="454"/>
      <c r="H5" s="454"/>
      <c r="I5" s="454"/>
      <c r="J5" s="454"/>
      <c r="K5" s="454"/>
      <c r="L5" s="454"/>
      <c r="M5" s="454"/>
      <c r="N5" s="454"/>
      <c r="O5" s="454"/>
      <c r="P5" s="454" t="s">
        <v>255</v>
      </c>
      <c r="Q5" s="454"/>
      <c r="R5" s="454"/>
      <c r="S5" s="454"/>
      <c r="T5" s="454"/>
      <c r="U5" s="454"/>
      <c r="V5" s="454"/>
      <c r="W5" s="454"/>
      <c r="X5" s="454"/>
      <c r="Y5" s="454"/>
      <c r="Z5" s="454"/>
      <c r="AA5" s="454"/>
      <c r="AB5" s="454"/>
      <c r="AC5" s="454"/>
      <c r="AD5" s="454" t="s">
        <v>255</v>
      </c>
      <c r="AE5" s="454"/>
      <c r="AF5" s="454"/>
      <c r="AG5" s="454"/>
      <c r="AH5" s="454"/>
      <c r="AI5" s="454"/>
      <c r="AJ5" s="454"/>
      <c r="AK5" s="454"/>
      <c r="AL5" s="454"/>
      <c r="AM5" s="454"/>
      <c r="AN5" s="454"/>
      <c r="AO5" s="454"/>
      <c r="AP5" s="454"/>
      <c r="AQ5" s="454"/>
      <c r="AR5" s="454" t="s">
        <v>255</v>
      </c>
      <c r="AS5" s="454"/>
      <c r="AT5" s="454"/>
      <c r="AU5" s="454"/>
      <c r="AV5" s="454"/>
      <c r="AW5" s="454"/>
      <c r="AX5" s="454"/>
      <c r="AY5" s="454"/>
      <c r="AZ5" s="454"/>
      <c r="BA5" s="454"/>
      <c r="BB5" s="454"/>
      <c r="BC5" s="454"/>
      <c r="BD5" s="454"/>
      <c r="BE5" s="454"/>
    </row>
    <row r="7" spans="1:57" x14ac:dyDescent="0.25">
      <c r="A7" s="102" t="s">
        <v>56</v>
      </c>
      <c r="B7" s="114" t="s">
        <v>275</v>
      </c>
      <c r="C7" s="110" t="s">
        <v>276</v>
      </c>
      <c r="D7" s="110" t="s">
        <v>277</v>
      </c>
      <c r="E7" s="110" t="s">
        <v>278</v>
      </c>
      <c r="F7" s="110" t="s">
        <v>279</v>
      </c>
      <c r="G7" s="110" t="s">
        <v>280</v>
      </c>
      <c r="H7" s="110" t="s">
        <v>281</v>
      </c>
      <c r="I7" s="110" t="s">
        <v>282</v>
      </c>
      <c r="J7" s="110" t="s">
        <v>283</v>
      </c>
      <c r="K7" s="110" t="s">
        <v>284</v>
      </c>
      <c r="L7" s="110" t="s">
        <v>285</v>
      </c>
      <c r="M7" s="110" t="s">
        <v>286</v>
      </c>
      <c r="N7" s="110" t="s">
        <v>287</v>
      </c>
      <c r="O7" s="110" t="s">
        <v>288</v>
      </c>
      <c r="P7" s="110" t="s">
        <v>289</v>
      </c>
      <c r="Q7" s="110" t="s">
        <v>290</v>
      </c>
      <c r="R7" s="110" t="s">
        <v>291</v>
      </c>
      <c r="S7" s="110" t="s">
        <v>292</v>
      </c>
      <c r="T7" s="110" t="s">
        <v>293</v>
      </c>
      <c r="U7" s="110" t="s">
        <v>294</v>
      </c>
      <c r="V7" s="110" t="s">
        <v>295</v>
      </c>
      <c r="W7" s="110" t="s">
        <v>296</v>
      </c>
      <c r="X7" s="110" t="s">
        <v>297</v>
      </c>
      <c r="Y7" s="110" t="s">
        <v>298</v>
      </c>
      <c r="Z7" s="110" t="s">
        <v>299</v>
      </c>
      <c r="AA7" s="110" t="s">
        <v>300</v>
      </c>
      <c r="AB7" s="110" t="s">
        <v>301</v>
      </c>
      <c r="AC7" s="110" t="s">
        <v>302</v>
      </c>
      <c r="AD7" s="110" t="s">
        <v>303</v>
      </c>
      <c r="AE7" s="110" t="s">
        <v>304</v>
      </c>
      <c r="AF7" s="110" t="s">
        <v>305</v>
      </c>
      <c r="AG7" s="110" t="s">
        <v>306</v>
      </c>
      <c r="AH7" s="110" t="s">
        <v>307</v>
      </c>
      <c r="AI7" s="110" t="s">
        <v>308</v>
      </c>
      <c r="AJ7" s="110" t="s">
        <v>309</v>
      </c>
      <c r="AK7" s="110" t="s">
        <v>310</v>
      </c>
      <c r="AL7" s="110" t="s">
        <v>311</v>
      </c>
      <c r="AM7" s="110" t="s">
        <v>312</v>
      </c>
      <c r="AN7" s="110" t="s">
        <v>313</v>
      </c>
      <c r="AO7" s="110" t="s">
        <v>314</v>
      </c>
      <c r="AP7" s="110" t="s">
        <v>315</v>
      </c>
      <c r="AQ7" s="110" t="s">
        <v>316</v>
      </c>
      <c r="AR7" s="110" t="s">
        <v>317</v>
      </c>
      <c r="AS7" s="110" t="s">
        <v>318</v>
      </c>
      <c r="AT7" s="110" t="s">
        <v>319</v>
      </c>
      <c r="AU7" s="110" t="s">
        <v>320</v>
      </c>
      <c r="AV7" s="110" t="s">
        <v>321</v>
      </c>
      <c r="AW7" s="110" t="s">
        <v>322</v>
      </c>
      <c r="AX7" s="110" t="s">
        <v>323</v>
      </c>
      <c r="AY7" s="110" t="s">
        <v>324</v>
      </c>
      <c r="AZ7" s="110" t="s">
        <v>325</v>
      </c>
      <c r="BA7" s="110" t="s">
        <v>326</v>
      </c>
      <c r="BB7" s="110" t="s">
        <v>327</v>
      </c>
      <c r="BC7" s="110" t="s">
        <v>328</v>
      </c>
      <c r="BD7" s="110" t="s">
        <v>329</v>
      </c>
      <c r="BE7" s="110" t="s">
        <v>330</v>
      </c>
    </row>
    <row r="8" spans="1:57" ht="36" x14ac:dyDescent="0.25">
      <c r="A8" s="103" t="s">
        <v>249</v>
      </c>
      <c r="B8" s="115" t="s">
        <v>331</v>
      </c>
      <c r="C8" s="71" t="s">
        <v>332</v>
      </c>
      <c r="D8" s="71" t="s">
        <v>333</v>
      </c>
      <c r="E8" s="71" t="s">
        <v>334</v>
      </c>
      <c r="F8" s="71" t="s">
        <v>335</v>
      </c>
      <c r="G8" s="71" t="s">
        <v>336</v>
      </c>
      <c r="H8" s="71" t="s">
        <v>337</v>
      </c>
      <c r="I8" s="71" t="s">
        <v>338</v>
      </c>
      <c r="J8" s="71" t="s">
        <v>339</v>
      </c>
      <c r="K8" s="71" t="s">
        <v>340</v>
      </c>
      <c r="L8" s="71" t="s">
        <v>341</v>
      </c>
      <c r="M8" s="71" t="s">
        <v>342</v>
      </c>
      <c r="N8" s="71" t="s">
        <v>343</v>
      </c>
      <c r="O8" s="71" t="s">
        <v>344</v>
      </c>
      <c r="P8" s="71" t="s">
        <v>345</v>
      </c>
      <c r="Q8" s="71" t="s">
        <v>73</v>
      </c>
      <c r="R8" s="71" t="s">
        <v>74</v>
      </c>
      <c r="S8" s="71" t="s">
        <v>75</v>
      </c>
      <c r="T8" s="71" t="s">
        <v>346</v>
      </c>
      <c r="U8" s="71" t="s">
        <v>347</v>
      </c>
      <c r="V8" s="71" t="s">
        <v>348</v>
      </c>
      <c r="W8" s="71" t="s">
        <v>349</v>
      </c>
      <c r="X8" s="71" t="s">
        <v>350</v>
      </c>
      <c r="Y8" s="71" t="s">
        <v>351</v>
      </c>
      <c r="Z8" s="71" t="s">
        <v>352</v>
      </c>
      <c r="AA8" s="71" t="s">
        <v>353</v>
      </c>
      <c r="AB8" s="71" t="s">
        <v>354</v>
      </c>
      <c r="AC8" s="71" t="s">
        <v>355</v>
      </c>
      <c r="AD8" s="71" t="s">
        <v>356</v>
      </c>
      <c r="AE8" s="71" t="s">
        <v>357</v>
      </c>
      <c r="AF8" s="71" t="s">
        <v>358</v>
      </c>
      <c r="AG8" s="71" t="s">
        <v>359</v>
      </c>
      <c r="AH8" s="71" t="s">
        <v>360</v>
      </c>
      <c r="AI8" s="71" t="s">
        <v>361</v>
      </c>
      <c r="AJ8" s="71" t="s">
        <v>362</v>
      </c>
      <c r="AK8" s="71" t="s">
        <v>363</v>
      </c>
      <c r="AL8" s="71" t="s">
        <v>364</v>
      </c>
      <c r="AM8" s="71" t="s">
        <v>365</v>
      </c>
      <c r="AN8" s="71" t="s">
        <v>366</v>
      </c>
      <c r="AO8" s="71" t="s">
        <v>367</v>
      </c>
      <c r="AP8" s="71" t="s">
        <v>368</v>
      </c>
      <c r="AQ8" s="71" t="s">
        <v>369</v>
      </c>
      <c r="AR8" s="71" t="s">
        <v>370</v>
      </c>
      <c r="AS8" s="71" t="s">
        <v>371</v>
      </c>
      <c r="AT8" s="71" t="s">
        <v>372</v>
      </c>
      <c r="AU8" s="71" t="s">
        <v>373</v>
      </c>
      <c r="AV8" s="71" t="s">
        <v>374</v>
      </c>
      <c r="AW8" s="71" t="s">
        <v>375</v>
      </c>
      <c r="AX8" s="71" t="s">
        <v>376</v>
      </c>
      <c r="AY8" s="71" t="s">
        <v>377</v>
      </c>
      <c r="AZ8" s="71" t="s">
        <v>378</v>
      </c>
      <c r="BA8" s="71" t="s">
        <v>379</v>
      </c>
      <c r="BB8" s="71" t="s">
        <v>380</v>
      </c>
      <c r="BC8" s="71" t="s">
        <v>381</v>
      </c>
      <c r="BD8" s="111"/>
      <c r="BE8" s="111"/>
    </row>
    <row r="9" spans="1:57" x14ac:dyDescent="0.25">
      <c r="A9" s="104" t="s">
        <v>250</v>
      </c>
      <c r="B9" s="116" t="s">
        <v>382</v>
      </c>
      <c r="C9" s="21" t="s">
        <v>382</v>
      </c>
      <c r="D9" s="21" t="s">
        <v>382</v>
      </c>
      <c r="E9" s="21" t="s">
        <v>382</v>
      </c>
      <c r="F9" s="21" t="s">
        <v>382</v>
      </c>
      <c r="G9" s="21" t="s">
        <v>382</v>
      </c>
      <c r="H9" s="21" t="s">
        <v>382</v>
      </c>
      <c r="I9" s="21" t="s">
        <v>382</v>
      </c>
      <c r="J9" s="21" t="s">
        <v>382</v>
      </c>
      <c r="K9" s="21" t="s">
        <v>382</v>
      </c>
      <c r="L9" s="21" t="s">
        <v>382</v>
      </c>
      <c r="M9" s="21" t="s">
        <v>382</v>
      </c>
      <c r="N9" s="21" t="s">
        <v>382</v>
      </c>
      <c r="O9" s="21" t="s">
        <v>382</v>
      </c>
      <c r="P9" s="21" t="s">
        <v>382</v>
      </c>
      <c r="Q9" s="21" t="s">
        <v>383</v>
      </c>
      <c r="R9" s="21" t="s">
        <v>383</v>
      </c>
      <c r="S9" s="21" t="s">
        <v>383</v>
      </c>
      <c r="T9" s="21" t="s">
        <v>383</v>
      </c>
      <c r="U9" s="21" t="s">
        <v>383</v>
      </c>
      <c r="V9" s="21" t="s">
        <v>383</v>
      </c>
      <c r="W9" s="21" t="s">
        <v>383</v>
      </c>
      <c r="X9" s="21" t="s">
        <v>383</v>
      </c>
      <c r="Y9" s="21" t="s">
        <v>383</v>
      </c>
      <c r="Z9" s="21" t="s">
        <v>383</v>
      </c>
      <c r="AA9" s="21" t="s">
        <v>383</v>
      </c>
      <c r="AB9" s="21" t="s">
        <v>383</v>
      </c>
      <c r="AC9" s="21" t="s">
        <v>383</v>
      </c>
      <c r="AD9" s="21" t="s">
        <v>383</v>
      </c>
      <c r="AE9" s="21" t="s">
        <v>383</v>
      </c>
      <c r="AF9" s="21" t="s">
        <v>383</v>
      </c>
      <c r="AG9" s="21" t="s">
        <v>383</v>
      </c>
      <c r="AH9" s="21" t="s">
        <v>383</v>
      </c>
      <c r="AI9" s="21" t="s">
        <v>383</v>
      </c>
      <c r="AJ9" s="21" t="s">
        <v>383</v>
      </c>
      <c r="AK9" s="21" t="s">
        <v>383</v>
      </c>
      <c r="AL9" s="21" t="s">
        <v>383</v>
      </c>
      <c r="AM9" s="21" t="s">
        <v>383</v>
      </c>
      <c r="AN9" s="21" t="s">
        <v>382</v>
      </c>
      <c r="AO9" s="21" t="s">
        <v>382</v>
      </c>
      <c r="AP9" s="21" t="s">
        <v>382</v>
      </c>
      <c r="AQ9" s="21" t="s">
        <v>382</v>
      </c>
      <c r="AR9" s="21" t="s">
        <v>382</v>
      </c>
      <c r="AS9" s="21" t="s">
        <v>382</v>
      </c>
      <c r="AT9" s="21" t="s">
        <v>382</v>
      </c>
      <c r="AU9" s="21" t="s">
        <v>382</v>
      </c>
      <c r="AV9" s="21" t="s">
        <v>382</v>
      </c>
      <c r="AW9" s="21" t="s">
        <v>382</v>
      </c>
      <c r="AX9" s="21" t="s">
        <v>382</v>
      </c>
      <c r="AY9" s="21" t="s">
        <v>382</v>
      </c>
      <c r="AZ9" s="21" t="s">
        <v>382</v>
      </c>
      <c r="BA9" s="21" t="s">
        <v>382</v>
      </c>
      <c r="BB9" s="21" t="s">
        <v>382</v>
      </c>
      <c r="BC9" s="21" t="s">
        <v>382</v>
      </c>
      <c r="BD9" s="111"/>
      <c r="BE9" s="111"/>
    </row>
    <row r="10" spans="1:57" ht="22.15" customHeight="1" x14ac:dyDescent="0.25">
      <c r="A10" s="105" t="s">
        <v>256</v>
      </c>
      <c r="B10" s="117">
        <v>5</v>
      </c>
      <c r="C10" s="87">
        <v>5</v>
      </c>
      <c r="D10" s="87">
        <v>4</v>
      </c>
      <c r="E10" s="87">
        <v>4</v>
      </c>
      <c r="F10" s="87">
        <v>3</v>
      </c>
      <c r="G10" s="87">
        <v>3</v>
      </c>
      <c r="H10" s="87">
        <v>2.2999999999999998</v>
      </c>
      <c r="I10" s="87">
        <v>1.77</v>
      </c>
      <c r="J10" s="87">
        <v>6.7</v>
      </c>
      <c r="K10" s="87">
        <v>4.5999999999999996</v>
      </c>
      <c r="L10" s="87">
        <v>1.85</v>
      </c>
      <c r="M10" s="87">
        <v>1.45</v>
      </c>
      <c r="N10" s="87">
        <v>1</v>
      </c>
      <c r="O10" s="87">
        <v>1</v>
      </c>
      <c r="P10" s="112">
        <v>1</v>
      </c>
      <c r="Q10" s="87">
        <v>4.8</v>
      </c>
      <c r="R10" s="87">
        <v>2.35</v>
      </c>
      <c r="S10" s="87">
        <v>1.35</v>
      </c>
      <c r="T10" s="87">
        <v>3</v>
      </c>
      <c r="U10" s="87">
        <v>2.2999999999999998</v>
      </c>
      <c r="V10" s="87">
        <v>2.75</v>
      </c>
      <c r="W10" s="87">
        <v>1.3</v>
      </c>
      <c r="X10" s="87">
        <v>2</v>
      </c>
      <c r="Y10" s="87">
        <v>1.2</v>
      </c>
      <c r="Z10" s="87">
        <v>2</v>
      </c>
      <c r="AA10" s="87">
        <v>1.1000000000000001</v>
      </c>
      <c r="AB10" s="87">
        <v>2</v>
      </c>
      <c r="AC10" s="87">
        <v>2</v>
      </c>
      <c r="AD10" s="87">
        <v>2</v>
      </c>
      <c r="AE10" s="87">
        <v>2</v>
      </c>
      <c r="AF10" s="87">
        <v>1.3</v>
      </c>
      <c r="AG10" s="87">
        <v>1</v>
      </c>
      <c r="AH10" s="87">
        <v>1.3</v>
      </c>
      <c r="AI10" s="87">
        <v>2.25</v>
      </c>
      <c r="AJ10" s="87">
        <v>3.2</v>
      </c>
      <c r="AK10" s="87">
        <v>1</v>
      </c>
      <c r="AL10" s="87">
        <v>1</v>
      </c>
      <c r="AM10" s="87">
        <v>1</v>
      </c>
      <c r="AN10" s="87">
        <v>5</v>
      </c>
      <c r="AO10" s="87">
        <v>2.2999999999999998</v>
      </c>
      <c r="AP10" s="87">
        <v>6.7</v>
      </c>
      <c r="AQ10" s="87">
        <v>2.2999999999999998</v>
      </c>
      <c r="AR10" s="87">
        <v>6</v>
      </c>
      <c r="AS10" s="87">
        <v>5.5</v>
      </c>
      <c r="AT10" s="87">
        <v>6</v>
      </c>
      <c r="AU10" s="87">
        <v>6</v>
      </c>
      <c r="AV10" s="87">
        <v>5.5</v>
      </c>
      <c r="AW10" s="87">
        <v>6</v>
      </c>
      <c r="AX10" s="87">
        <v>6</v>
      </c>
      <c r="AY10" s="87">
        <v>6</v>
      </c>
      <c r="AZ10" s="87">
        <v>5.5</v>
      </c>
      <c r="BA10" s="87">
        <v>5.5</v>
      </c>
      <c r="BB10" s="87">
        <v>5.5</v>
      </c>
      <c r="BC10" s="87">
        <v>1.77</v>
      </c>
      <c r="BD10" s="87"/>
      <c r="BE10" s="87"/>
    </row>
    <row r="11" spans="1:57" x14ac:dyDescent="0.25">
      <c r="A11" s="106" t="s">
        <v>257</v>
      </c>
      <c r="B11" s="124">
        <f>ROUND(B10*'DATOS INICIALES'!$B$12,0)</f>
        <v>6500000</v>
      </c>
      <c r="C11" s="124">
        <f>ROUND(C10*'DATOS INICIALES'!$B$12,0)</f>
        <v>6500000</v>
      </c>
      <c r="D11" s="124">
        <f>ROUND(D10*'DATOS INICIALES'!$B$12,0)</f>
        <v>5200000</v>
      </c>
      <c r="E11" s="124">
        <f>ROUND(E10*'DATOS INICIALES'!$B$12,0)</f>
        <v>5200000</v>
      </c>
      <c r="F11" s="124">
        <f>ROUND(F10*'DATOS INICIALES'!$B$12,0)</f>
        <v>3900000</v>
      </c>
      <c r="G11" s="124">
        <f>ROUND(G10*'DATOS INICIALES'!$B$12,0)</f>
        <v>3900000</v>
      </c>
      <c r="H11" s="124">
        <f>ROUND(H10*'DATOS INICIALES'!$B$12,0)</f>
        <v>2990000</v>
      </c>
      <c r="I11" s="124">
        <f>ROUND(I10*'DATOS INICIALES'!$B$12,0)</f>
        <v>2301000</v>
      </c>
      <c r="J11" s="124">
        <f>ROUND(J10*'DATOS INICIALES'!$B$12,0)</f>
        <v>8710000</v>
      </c>
      <c r="K11" s="124">
        <f>ROUND(K10*'DATOS INICIALES'!$B$12,0)</f>
        <v>5980000</v>
      </c>
      <c r="L11" s="124">
        <f>ROUND(L10*'DATOS INICIALES'!$B$12,0)</f>
        <v>2405000</v>
      </c>
      <c r="M11" s="124">
        <f>ROUND(M10*'DATOS INICIALES'!$B$12,0)</f>
        <v>1885000</v>
      </c>
      <c r="N11" s="124">
        <f>ROUND(N10*'DATOS INICIALES'!$B$12,0)</f>
        <v>1300000</v>
      </c>
      <c r="O11" s="124">
        <f>ROUND(O10*'DATOS INICIALES'!$B$12,0)</f>
        <v>1300000</v>
      </c>
      <c r="P11" s="124">
        <f>ROUND(P10*'DATOS INICIALES'!$B$12,0)</f>
        <v>1300000</v>
      </c>
      <c r="Q11" s="124">
        <f>ROUND(Q10*'DATOS INICIALES'!$B$12,0)</f>
        <v>6240000</v>
      </c>
      <c r="R11" s="124">
        <f>ROUND(R10*'DATOS INICIALES'!$B$12,0)</f>
        <v>3055000</v>
      </c>
      <c r="S11" s="124">
        <f>ROUND(S10*'DATOS INICIALES'!$B$12,0)</f>
        <v>1755000</v>
      </c>
      <c r="T11" s="124">
        <f>ROUND(T10*'DATOS INICIALES'!$B$12,0)</f>
        <v>3900000</v>
      </c>
      <c r="U11" s="124">
        <f>ROUND(U10*'DATOS INICIALES'!$B$12,0)</f>
        <v>2990000</v>
      </c>
      <c r="V11" s="124">
        <f>ROUND(V10*'DATOS INICIALES'!$B$12,0)</f>
        <v>3575000</v>
      </c>
      <c r="W11" s="124">
        <f>ROUND(W10*'DATOS INICIALES'!$B$12,0)</f>
        <v>1690000</v>
      </c>
      <c r="X11" s="124">
        <f>ROUND(X10*'DATOS INICIALES'!$B$12,0)</f>
        <v>2600000</v>
      </c>
      <c r="Y11" s="124">
        <f>ROUND(Y10*'DATOS INICIALES'!$B$12,0)</f>
        <v>1560000</v>
      </c>
      <c r="Z11" s="124">
        <f>ROUND(Z10*'DATOS INICIALES'!$B$12,0)</f>
        <v>2600000</v>
      </c>
      <c r="AA11" s="124">
        <f>ROUND(AA10*'DATOS INICIALES'!$B$12,0)</f>
        <v>1430000</v>
      </c>
      <c r="AB11" s="124">
        <f>ROUND(AB10*'DATOS INICIALES'!$B$12,0)</f>
        <v>2600000</v>
      </c>
      <c r="AC11" s="124">
        <f>ROUND(AC10*'DATOS INICIALES'!$B$12,0)</f>
        <v>2600000</v>
      </c>
      <c r="AD11" s="124">
        <f>ROUND(AD10*'DATOS INICIALES'!$B$12,0)</f>
        <v>2600000</v>
      </c>
      <c r="AE11" s="124">
        <f>ROUND(AE10*'DATOS INICIALES'!$B$12,0)</f>
        <v>2600000</v>
      </c>
      <c r="AF11" s="124">
        <f>ROUND(AF10*'DATOS INICIALES'!$B$12,0)</f>
        <v>1690000</v>
      </c>
      <c r="AG11" s="124">
        <f>ROUND(AG10*'DATOS INICIALES'!$B$12,0)</f>
        <v>1300000</v>
      </c>
      <c r="AH11" s="124">
        <f>ROUND(AH10*'DATOS INICIALES'!$B$12,0)</f>
        <v>1690000</v>
      </c>
      <c r="AI11" s="124">
        <f>ROUND(AI10*'DATOS INICIALES'!$B$12,0)</f>
        <v>2925000</v>
      </c>
      <c r="AJ11" s="124">
        <f>ROUND(AJ10*'DATOS INICIALES'!$B$12,0)</f>
        <v>4160000</v>
      </c>
      <c r="AK11" s="124">
        <f>ROUND(AK10*'DATOS INICIALES'!$B$12,0)</f>
        <v>1300000</v>
      </c>
      <c r="AL11" s="124">
        <f>ROUND(AL10*'DATOS INICIALES'!$B$12,0)</f>
        <v>1300000</v>
      </c>
      <c r="AM11" s="124">
        <f>ROUND(AM10*'DATOS INICIALES'!$B$12,0)</f>
        <v>1300000</v>
      </c>
      <c r="AN11" s="124">
        <f>ROUND(AN10*'DATOS INICIALES'!$B$12,0)</f>
        <v>6500000</v>
      </c>
      <c r="AO11" s="124">
        <f>ROUND(AO10*'DATOS INICIALES'!$B$12,0)</f>
        <v>2990000</v>
      </c>
      <c r="AP11" s="124">
        <f>ROUND(AP10*'DATOS INICIALES'!$B$12,0)</f>
        <v>8710000</v>
      </c>
      <c r="AQ11" s="124">
        <f>ROUND(AQ10*'DATOS INICIALES'!$B$12,0)</f>
        <v>2990000</v>
      </c>
      <c r="AR11" s="124">
        <f>ROUND(AR10*'DATOS INICIALES'!$B$12,0)</f>
        <v>7800000</v>
      </c>
      <c r="AS11" s="124">
        <f>ROUND(AS10*'DATOS INICIALES'!$B$12,0)</f>
        <v>7150000</v>
      </c>
      <c r="AT11" s="124">
        <f>ROUND(AT10*'DATOS INICIALES'!$B$12,0)</f>
        <v>7800000</v>
      </c>
      <c r="AU11" s="124">
        <f>ROUND(AU10*'DATOS INICIALES'!$B$12,0)</f>
        <v>7800000</v>
      </c>
      <c r="AV11" s="124">
        <f>ROUND(AV10*'DATOS INICIALES'!$B$12,0)</f>
        <v>7150000</v>
      </c>
      <c r="AW11" s="124">
        <f>ROUND(AW10*'DATOS INICIALES'!$B$12,0)</f>
        <v>7800000</v>
      </c>
      <c r="AX11" s="124">
        <f>ROUND(AX10*'DATOS INICIALES'!$B$12,0)</f>
        <v>7800000</v>
      </c>
      <c r="AY11" s="124">
        <f>ROUND(AY10*'DATOS INICIALES'!$B$12,0)</f>
        <v>7800000</v>
      </c>
      <c r="AZ11" s="124">
        <f>ROUND(AZ10*'DATOS INICIALES'!$B$12,0)</f>
        <v>7150000</v>
      </c>
      <c r="BA11" s="124">
        <f>ROUND(BA10*'DATOS INICIALES'!$B$12,0)</f>
        <v>7150000</v>
      </c>
      <c r="BB11" s="124">
        <f>ROUND(BB10*'DATOS INICIALES'!$B$12,0)</f>
        <v>7150000</v>
      </c>
      <c r="BC11" s="124">
        <f>ROUND(BC10*'DATOS INICIALES'!$B$12,0)</f>
        <v>2301000</v>
      </c>
      <c r="BD11" s="124">
        <f>ROUND(BD10*'DATOS INICIALES'!$B$12,0)</f>
        <v>0</v>
      </c>
      <c r="BE11" s="124">
        <f>ROUND(BE10*'DATOS INICIALES'!$B$12,0)</f>
        <v>0</v>
      </c>
    </row>
    <row r="12" spans="1:57" x14ac:dyDescent="0.25">
      <c r="A12" s="106" t="s">
        <v>258</v>
      </c>
      <c r="B12" s="124">
        <f>IF(B10&lt;=2,'DATOS INICIALES'!$B$13,0)</f>
        <v>0</v>
      </c>
      <c r="C12" s="124">
        <f>IF(C10&lt;=2,'DATOS INICIALES'!$B$13,0)</f>
        <v>0</v>
      </c>
      <c r="D12" s="124">
        <f>IF(D10&lt;=2,'DATOS INICIALES'!$B$13,0)</f>
        <v>0</v>
      </c>
      <c r="E12" s="124">
        <f>IF(E10&lt;=2,'DATOS INICIALES'!$B$13,0)</f>
        <v>0</v>
      </c>
      <c r="F12" s="124">
        <f>IF(F10&lt;=2,'DATOS INICIALES'!$B$13,0)</f>
        <v>0</v>
      </c>
      <c r="G12" s="124">
        <f>IF(G10&lt;=2,'DATOS INICIALES'!$B$13,0)</f>
        <v>0</v>
      </c>
      <c r="H12" s="124">
        <f>IF(H10&lt;=2,'DATOS INICIALES'!$B$13,0)</f>
        <v>0</v>
      </c>
      <c r="I12" s="124">
        <f>IF(I10&lt;=2,'DATOS INICIALES'!$B$13,0)</f>
        <v>162000</v>
      </c>
      <c r="J12" s="124">
        <f>IF(J10&lt;=2,'DATOS INICIALES'!$B$13,0)</f>
        <v>0</v>
      </c>
      <c r="K12" s="124">
        <f>IF(K10&lt;=2,'DATOS INICIALES'!$B$13,0)</f>
        <v>0</v>
      </c>
      <c r="L12" s="124">
        <f>IF(L10&lt;=2,'DATOS INICIALES'!$B$13,0)</f>
        <v>162000</v>
      </c>
      <c r="M12" s="124">
        <f>IF(M10&lt;=2,'DATOS INICIALES'!$B$13,0)</f>
        <v>162000</v>
      </c>
      <c r="N12" s="124">
        <f>IF(N10&lt;=2,'DATOS INICIALES'!$B$13,0)</f>
        <v>162000</v>
      </c>
      <c r="O12" s="124">
        <f>IF(O10&lt;=2,'DATOS INICIALES'!$B$13,0)</f>
        <v>162000</v>
      </c>
      <c r="P12" s="124">
        <f>IF(P10&lt;=2,'DATOS INICIALES'!$B$13,0)</f>
        <v>162000</v>
      </c>
      <c r="Q12" s="124">
        <f>IF(Q10&lt;=2,'DATOS INICIALES'!$B$13,0)</f>
        <v>0</v>
      </c>
      <c r="R12" s="124">
        <f>IF(R10&lt;=2,'DATOS INICIALES'!$B$13,0)</f>
        <v>0</v>
      </c>
      <c r="S12" s="124">
        <f>IF(S10&lt;=2,'DATOS INICIALES'!$B$13,0)</f>
        <v>162000</v>
      </c>
      <c r="T12" s="124">
        <f>IF(T10&lt;=2,'DATOS INICIALES'!$B$13,0)</f>
        <v>0</v>
      </c>
      <c r="U12" s="124">
        <f>IF(U10&lt;=2,'DATOS INICIALES'!$B$13,0)</f>
        <v>0</v>
      </c>
      <c r="V12" s="124">
        <f>IF(V10&lt;=2,'DATOS INICIALES'!$B$13,0)</f>
        <v>0</v>
      </c>
      <c r="W12" s="124">
        <f>IF(W10&lt;=2,'DATOS INICIALES'!$B$13,0)</f>
        <v>162000</v>
      </c>
      <c r="X12" s="124">
        <f>IF(X10&lt;=2,'DATOS INICIALES'!$B$13,0)</f>
        <v>162000</v>
      </c>
      <c r="Y12" s="124">
        <f>IF(Y10&lt;=2,'DATOS INICIALES'!$B$13,0)</f>
        <v>162000</v>
      </c>
      <c r="Z12" s="124">
        <f>IF(Z10&lt;=2,'DATOS INICIALES'!$B$13,0)</f>
        <v>162000</v>
      </c>
      <c r="AA12" s="124">
        <f>IF(AA10&lt;=2,'DATOS INICIALES'!$B$13,0)</f>
        <v>162000</v>
      </c>
      <c r="AB12" s="124">
        <f>IF(AB10&lt;=2,'DATOS INICIALES'!$B$13,0)</f>
        <v>162000</v>
      </c>
      <c r="AC12" s="124">
        <f>IF(AC10&lt;=2,'DATOS INICIALES'!$B$13,0)</f>
        <v>162000</v>
      </c>
      <c r="AD12" s="124">
        <f>IF(AD10&lt;=2,'DATOS INICIALES'!$B$13,0)</f>
        <v>162000</v>
      </c>
      <c r="AE12" s="124">
        <f>IF(AE10&lt;=2,'DATOS INICIALES'!$B$13,0)</f>
        <v>162000</v>
      </c>
      <c r="AF12" s="124">
        <f>IF(AF10&lt;=2,'DATOS INICIALES'!$B$13,0)</f>
        <v>162000</v>
      </c>
      <c r="AG12" s="124">
        <f>IF(AG10&lt;=2,'DATOS INICIALES'!$B$13,0)</f>
        <v>162000</v>
      </c>
      <c r="AH12" s="124">
        <f>IF(AH10&lt;=2,'DATOS INICIALES'!$B$13,0)</f>
        <v>162000</v>
      </c>
      <c r="AI12" s="124">
        <f>IF(AI10&lt;=2,'DATOS INICIALES'!$B$13,0)</f>
        <v>0</v>
      </c>
      <c r="AJ12" s="124">
        <f>IF(AJ10&lt;=2,'DATOS INICIALES'!$B$13,0)</f>
        <v>0</v>
      </c>
      <c r="AK12" s="124">
        <f>IF(AK10&lt;=2,'DATOS INICIALES'!$B$13,0)</f>
        <v>162000</v>
      </c>
      <c r="AL12" s="124">
        <f>IF(AL10&lt;=2,'DATOS INICIALES'!$B$13,0)</f>
        <v>162000</v>
      </c>
      <c r="AM12" s="124">
        <f>IF(AM10&lt;=2,'DATOS INICIALES'!$B$13,0)</f>
        <v>162000</v>
      </c>
      <c r="AN12" s="124">
        <f>IF(AN10&lt;=2,'DATOS INICIALES'!$B$13,0)</f>
        <v>0</v>
      </c>
      <c r="AO12" s="124">
        <f>IF(AO10&lt;=2,'DATOS INICIALES'!$B$13,0)</f>
        <v>0</v>
      </c>
      <c r="AP12" s="124">
        <f>IF(AP10&lt;=2,'DATOS INICIALES'!$B$13,0)</f>
        <v>0</v>
      </c>
      <c r="AQ12" s="124">
        <f>IF(AQ10&lt;=2,'DATOS INICIALES'!$B$13,0)</f>
        <v>0</v>
      </c>
      <c r="AR12" s="124">
        <f>IF(AR10&lt;=2,'DATOS INICIALES'!$B$13,0)</f>
        <v>0</v>
      </c>
      <c r="AS12" s="124">
        <f>IF(AS10&lt;=2,'DATOS INICIALES'!$B$13,0)</f>
        <v>0</v>
      </c>
      <c r="AT12" s="124">
        <f>IF(AT10&lt;=2,'DATOS INICIALES'!$B$13,0)</f>
        <v>0</v>
      </c>
      <c r="AU12" s="124">
        <f>IF(AU10&lt;=2,'DATOS INICIALES'!$B$13,0)</f>
        <v>0</v>
      </c>
      <c r="AV12" s="124">
        <f>IF(AV10&lt;=2,'DATOS INICIALES'!$B$13,0)</f>
        <v>0</v>
      </c>
      <c r="AW12" s="124">
        <f>IF(AW10&lt;=2,'DATOS INICIALES'!$B$13,0)</f>
        <v>0</v>
      </c>
      <c r="AX12" s="124">
        <f>IF(AX10&lt;=2,'DATOS INICIALES'!$B$13,0)</f>
        <v>0</v>
      </c>
      <c r="AY12" s="124">
        <f>IF(AY10&lt;=2,'DATOS INICIALES'!$B$13,0)</f>
        <v>0</v>
      </c>
      <c r="AZ12" s="124">
        <f>IF(AZ10&lt;=2,'DATOS INICIALES'!$B$13,0)</f>
        <v>0</v>
      </c>
      <c r="BA12" s="124">
        <f>IF(BA10&lt;=2,'DATOS INICIALES'!$B$13,0)</f>
        <v>0</v>
      </c>
      <c r="BB12" s="124">
        <f>IF(BB10&lt;=2,'DATOS INICIALES'!$B$13,0)</f>
        <v>0</v>
      </c>
      <c r="BC12" s="124">
        <f>IF(BC10&lt;=2,'DATOS INICIALES'!$B$13,0)</f>
        <v>162000</v>
      </c>
      <c r="BD12" s="124">
        <f>IF(BD10&lt;=2,'DATOS INICIALES'!$B$13,0)</f>
        <v>162000</v>
      </c>
      <c r="BE12" s="124">
        <f>IF(BE10&lt;=2,'DATOS INICIALES'!$B$13,0)</f>
        <v>162000</v>
      </c>
    </row>
    <row r="13" spans="1:57" ht="24" x14ac:dyDescent="0.25">
      <c r="A13" s="107" t="s">
        <v>259</v>
      </c>
      <c r="B13" s="124">
        <f>+ROUND(B11*12,0)</f>
        <v>78000000</v>
      </c>
      <c r="C13" s="124">
        <f t="shared" ref="C13:BE13" si="0">+ROUND(C11*12,0)</f>
        <v>78000000</v>
      </c>
      <c r="D13" s="124">
        <f t="shared" si="0"/>
        <v>62400000</v>
      </c>
      <c r="E13" s="124">
        <f t="shared" si="0"/>
        <v>62400000</v>
      </c>
      <c r="F13" s="124">
        <f t="shared" si="0"/>
        <v>46800000</v>
      </c>
      <c r="G13" s="124">
        <f t="shared" si="0"/>
        <v>46800000</v>
      </c>
      <c r="H13" s="124">
        <f t="shared" si="0"/>
        <v>35880000</v>
      </c>
      <c r="I13" s="124">
        <f t="shared" si="0"/>
        <v>27612000</v>
      </c>
      <c r="J13" s="124">
        <f t="shared" si="0"/>
        <v>104520000</v>
      </c>
      <c r="K13" s="124">
        <f t="shared" si="0"/>
        <v>71760000</v>
      </c>
      <c r="L13" s="124">
        <f t="shared" si="0"/>
        <v>28860000</v>
      </c>
      <c r="M13" s="124">
        <f t="shared" si="0"/>
        <v>22620000</v>
      </c>
      <c r="N13" s="124">
        <f t="shared" si="0"/>
        <v>15600000</v>
      </c>
      <c r="O13" s="124">
        <f t="shared" si="0"/>
        <v>15600000</v>
      </c>
      <c r="P13" s="124">
        <f t="shared" si="0"/>
        <v>15600000</v>
      </c>
      <c r="Q13" s="124">
        <f t="shared" si="0"/>
        <v>74880000</v>
      </c>
      <c r="R13" s="124">
        <f t="shared" si="0"/>
        <v>36660000</v>
      </c>
      <c r="S13" s="124">
        <f t="shared" si="0"/>
        <v>21060000</v>
      </c>
      <c r="T13" s="124">
        <f t="shared" si="0"/>
        <v>46800000</v>
      </c>
      <c r="U13" s="124">
        <f t="shared" si="0"/>
        <v>35880000</v>
      </c>
      <c r="V13" s="124">
        <f t="shared" si="0"/>
        <v>42900000</v>
      </c>
      <c r="W13" s="124">
        <f t="shared" si="0"/>
        <v>20280000</v>
      </c>
      <c r="X13" s="124">
        <f t="shared" si="0"/>
        <v>31200000</v>
      </c>
      <c r="Y13" s="124">
        <f t="shared" si="0"/>
        <v>18720000</v>
      </c>
      <c r="Z13" s="124">
        <f t="shared" si="0"/>
        <v>31200000</v>
      </c>
      <c r="AA13" s="124">
        <f t="shared" si="0"/>
        <v>17160000</v>
      </c>
      <c r="AB13" s="124">
        <f t="shared" si="0"/>
        <v>31200000</v>
      </c>
      <c r="AC13" s="124">
        <f t="shared" si="0"/>
        <v>31200000</v>
      </c>
      <c r="AD13" s="124">
        <f t="shared" si="0"/>
        <v>31200000</v>
      </c>
      <c r="AE13" s="124">
        <f t="shared" si="0"/>
        <v>31200000</v>
      </c>
      <c r="AF13" s="124">
        <f t="shared" si="0"/>
        <v>20280000</v>
      </c>
      <c r="AG13" s="124">
        <f t="shared" si="0"/>
        <v>15600000</v>
      </c>
      <c r="AH13" s="124">
        <f t="shared" si="0"/>
        <v>20280000</v>
      </c>
      <c r="AI13" s="124">
        <f t="shared" si="0"/>
        <v>35100000</v>
      </c>
      <c r="AJ13" s="124">
        <f t="shared" si="0"/>
        <v>49920000</v>
      </c>
      <c r="AK13" s="124">
        <f t="shared" si="0"/>
        <v>15600000</v>
      </c>
      <c r="AL13" s="124">
        <f t="shared" si="0"/>
        <v>15600000</v>
      </c>
      <c r="AM13" s="124">
        <f t="shared" si="0"/>
        <v>15600000</v>
      </c>
      <c r="AN13" s="124">
        <f t="shared" si="0"/>
        <v>78000000</v>
      </c>
      <c r="AO13" s="124">
        <f t="shared" si="0"/>
        <v>35880000</v>
      </c>
      <c r="AP13" s="124">
        <f t="shared" si="0"/>
        <v>104520000</v>
      </c>
      <c r="AQ13" s="124">
        <f t="shared" si="0"/>
        <v>35880000</v>
      </c>
      <c r="AR13" s="124">
        <f t="shared" si="0"/>
        <v>93600000</v>
      </c>
      <c r="AS13" s="124">
        <f t="shared" si="0"/>
        <v>85800000</v>
      </c>
      <c r="AT13" s="124">
        <f t="shared" si="0"/>
        <v>93600000</v>
      </c>
      <c r="AU13" s="124">
        <f t="shared" si="0"/>
        <v>93600000</v>
      </c>
      <c r="AV13" s="124">
        <f t="shared" si="0"/>
        <v>85800000</v>
      </c>
      <c r="AW13" s="124">
        <f t="shared" si="0"/>
        <v>93600000</v>
      </c>
      <c r="AX13" s="124">
        <f t="shared" si="0"/>
        <v>93600000</v>
      </c>
      <c r="AY13" s="124">
        <f t="shared" si="0"/>
        <v>93600000</v>
      </c>
      <c r="AZ13" s="124">
        <f t="shared" si="0"/>
        <v>85800000</v>
      </c>
      <c r="BA13" s="124">
        <f t="shared" si="0"/>
        <v>85800000</v>
      </c>
      <c r="BB13" s="124">
        <f t="shared" si="0"/>
        <v>85800000</v>
      </c>
      <c r="BC13" s="124">
        <f t="shared" si="0"/>
        <v>27612000</v>
      </c>
      <c r="BD13" s="124">
        <f t="shared" si="0"/>
        <v>0</v>
      </c>
      <c r="BE13" s="124">
        <f t="shared" si="0"/>
        <v>0</v>
      </c>
    </row>
    <row r="14" spans="1:57" ht="36" x14ac:dyDescent="0.25">
      <c r="A14" s="107" t="s">
        <v>260</v>
      </c>
      <c r="B14" s="124">
        <f>+ROUND(B12*12,0)</f>
        <v>0</v>
      </c>
      <c r="C14" s="124">
        <f t="shared" ref="C14:BE14" si="1">+ROUND(C12*12,0)</f>
        <v>0</v>
      </c>
      <c r="D14" s="124">
        <f t="shared" si="1"/>
        <v>0</v>
      </c>
      <c r="E14" s="124">
        <f t="shared" si="1"/>
        <v>0</v>
      </c>
      <c r="F14" s="124">
        <f t="shared" si="1"/>
        <v>0</v>
      </c>
      <c r="G14" s="124">
        <f t="shared" si="1"/>
        <v>0</v>
      </c>
      <c r="H14" s="124">
        <f t="shared" si="1"/>
        <v>0</v>
      </c>
      <c r="I14" s="124">
        <f t="shared" si="1"/>
        <v>1944000</v>
      </c>
      <c r="J14" s="124">
        <f t="shared" si="1"/>
        <v>0</v>
      </c>
      <c r="K14" s="124">
        <f t="shared" si="1"/>
        <v>0</v>
      </c>
      <c r="L14" s="124">
        <f t="shared" si="1"/>
        <v>1944000</v>
      </c>
      <c r="M14" s="124">
        <f t="shared" si="1"/>
        <v>1944000</v>
      </c>
      <c r="N14" s="124">
        <f t="shared" si="1"/>
        <v>1944000</v>
      </c>
      <c r="O14" s="124">
        <f t="shared" si="1"/>
        <v>1944000</v>
      </c>
      <c r="P14" s="124">
        <f t="shared" si="1"/>
        <v>1944000</v>
      </c>
      <c r="Q14" s="124">
        <f t="shared" si="1"/>
        <v>0</v>
      </c>
      <c r="R14" s="124">
        <f t="shared" si="1"/>
        <v>0</v>
      </c>
      <c r="S14" s="124">
        <f t="shared" si="1"/>
        <v>1944000</v>
      </c>
      <c r="T14" s="124">
        <f t="shared" si="1"/>
        <v>0</v>
      </c>
      <c r="U14" s="124">
        <f t="shared" si="1"/>
        <v>0</v>
      </c>
      <c r="V14" s="124">
        <f t="shared" si="1"/>
        <v>0</v>
      </c>
      <c r="W14" s="124">
        <f t="shared" si="1"/>
        <v>1944000</v>
      </c>
      <c r="X14" s="124">
        <f t="shared" si="1"/>
        <v>1944000</v>
      </c>
      <c r="Y14" s="124">
        <f t="shared" si="1"/>
        <v>1944000</v>
      </c>
      <c r="Z14" s="124">
        <f t="shared" si="1"/>
        <v>1944000</v>
      </c>
      <c r="AA14" s="124">
        <f t="shared" si="1"/>
        <v>1944000</v>
      </c>
      <c r="AB14" s="124">
        <f t="shared" si="1"/>
        <v>1944000</v>
      </c>
      <c r="AC14" s="124">
        <f t="shared" si="1"/>
        <v>1944000</v>
      </c>
      <c r="AD14" s="124">
        <f t="shared" si="1"/>
        <v>1944000</v>
      </c>
      <c r="AE14" s="124">
        <f t="shared" si="1"/>
        <v>1944000</v>
      </c>
      <c r="AF14" s="124">
        <f t="shared" si="1"/>
        <v>1944000</v>
      </c>
      <c r="AG14" s="124">
        <f t="shared" si="1"/>
        <v>1944000</v>
      </c>
      <c r="AH14" s="124">
        <f t="shared" si="1"/>
        <v>1944000</v>
      </c>
      <c r="AI14" s="124">
        <f t="shared" si="1"/>
        <v>0</v>
      </c>
      <c r="AJ14" s="124">
        <f t="shared" si="1"/>
        <v>0</v>
      </c>
      <c r="AK14" s="124">
        <f t="shared" si="1"/>
        <v>1944000</v>
      </c>
      <c r="AL14" s="124">
        <f t="shared" si="1"/>
        <v>1944000</v>
      </c>
      <c r="AM14" s="124">
        <f t="shared" si="1"/>
        <v>1944000</v>
      </c>
      <c r="AN14" s="124">
        <f t="shared" si="1"/>
        <v>0</v>
      </c>
      <c r="AO14" s="124">
        <f t="shared" si="1"/>
        <v>0</v>
      </c>
      <c r="AP14" s="124">
        <f t="shared" si="1"/>
        <v>0</v>
      </c>
      <c r="AQ14" s="124">
        <f t="shared" si="1"/>
        <v>0</v>
      </c>
      <c r="AR14" s="124">
        <f t="shared" si="1"/>
        <v>0</v>
      </c>
      <c r="AS14" s="124">
        <f t="shared" si="1"/>
        <v>0</v>
      </c>
      <c r="AT14" s="124">
        <f t="shared" si="1"/>
        <v>0</v>
      </c>
      <c r="AU14" s="124">
        <f t="shared" si="1"/>
        <v>0</v>
      </c>
      <c r="AV14" s="124">
        <f t="shared" si="1"/>
        <v>0</v>
      </c>
      <c r="AW14" s="124">
        <f t="shared" si="1"/>
        <v>0</v>
      </c>
      <c r="AX14" s="124">
        <f t="shared" si="1"/>
        <v>0</v>
      </c>
      <c r="AY14" s="124">
        <f t="shared" si="1"/>
        <v>0</v>
      </c>
      <c r="AZ14" s="124">
        <f t="shared" si="1"/>
        <v>0</v>
      </c>
      <c r="BA14" s="124">
        <f t="shared" si="1"/>
        <v>0</v>
      </c>
      <c r="BB14" s="124">
        <f t="shared" si="1"/>
        <v>0</v>
      </c>
      <c r="BC14" s="124">
        <f t="shared" si="1"/>
        <v>1944000</v>
      </c>
      <c r="BD14" s="124">
        <f t="shared" si="1"/>
        <v>1944000</v>
      </c>
      <c r="BE14" s="124">
        <f t="shared" si="1"/>
        <v>1944000</v>
      </c>
    </row>
    <row r="15" spans="1:57" ht="24" x14ac:dyDescent="0.25">
      <c r="A15" s="107" t="s">
        <v>384</v>
      </c>
      <c r="B15" s="124">
        <f>ROUND((B13+B14)*0.12,0)</f>
        <v>9360000</v>
      </c>
      <c r="C15" s="124">
        <f t="shared" ref="C15:BE15" si="2">ROUND((C13+C14)*0.12,0)</f>
        <v>9360000</v>
      </c>
      <c r="D15" s="124">
        <f t="shared" si="2"/>
        <v>7488000</v>
      </c>
      <c r="E15" s="124">
        <f t="shared" si="2"/>
        <v>7488000</v>
      </c>
      <c r="F15" s="124">
        <f t="shared" si="2"/>
        <v>5616000</v>
      </c>
      <c r="G15" s="124">
        <f t="shared" si="2"/>
        <v>5616000</v>
      </c>
      <c r="H15" s="124">
        <f t="shared" si="2"/>
        <v>4305600</v>
      </c>
      <c r="I15" s="124">
        <f t="shared" si="2"/>
        <v>3546720</v>
      </c>
      <c r="J15" s="124">
        <f t="shared" si="2"/>
        <v>12542400</v>
      </c>
      <c r="K15" s="124">
        <f t="shared" si="2"/>
        <v>8611200</v>
      </c>
      <c r="L15" s="124">
        <f t="shared" si="2"/>
        <v>3696480</v>
      </c>
      <c r="M15" s="124">
        <f t="shared" si="2"/>
        <v>2947680</v>
      </c>
      <c r="N15" s="124">
        <f t="shared" si="2"/>
        <v>2105280</v>
      </c>
      <c r="O15" s="124">
        <f t="shared" si="2"/>
        <v>2105280</v>
      </c>
      <c r="P15" s="124">
        <f t="shared" si="2"/>
        <v>2105280</v>
      </c>
      <c r="Q15" s="124">
        <f t="shared" si="2"/>
        <v>8985600</v>
      </c>
      <c r="R15" s="124">
        <f t="shared" si="2"/>
        <v>4399200</v>
      </c>
      <c r="S15" s="124">
        <f t="shared" si="2"/>
        <v>2760480</v>
      </c>
      <c r="T15" s="124">
        <f t="shared" si="2"/>
        <v>5616000</v>
      </c>
      <c r="U15" s="124">
        <f t="shared" si="2"/>
        <v>4305600</v>
      </c>
      <c r="V15" s="124">
        <f t="shared" si="2"/>
        <v>5148000</v>
      </c>
      <c r="W15" s="124">
        <f t="shared" si="2"/>
        <v>2666880</v>
      </c>
      <c r="X15" s="124">
        <f t="shared" si="2"/>
        <v>3977280</v>
      </c>
      <c r="Y15" s="124">
        <f t="shared" si="2"/>
        <v>2479680</v>
      </c>
      <c r="Z15" s="124">
        <f t="shared" si="2"/>
        <v>3977280</v>
      </c>
      <c r="AA15" s="124">
        <f t="shared" si="2"/>
        <v>2292480</v>
      </c>
      <c r="AB15" s="124">
        <f t="shared" si="2"/>
        <v>3977280</v>
      </c>
      <c r="AC15" s="124">
        <f t="shared" si="2"/>
        <v>3977280</v>
      </c>
      <c r="AD15" s="124">
        <f t="shared" si="2"/>
        <v>3977280</v>
      </c>
      <c r="AE15" s="124">
        <f t="shared" si="2"/>
        <v>3977280</v>
      </c>
      <c r="AF15" s="124">
        <f t="shared" si="2"/>
        <v>2666880</v>
      </c>
      <c r="AG15" s="124">
        <f t="shared" si="2"/>
        <v>2105280</v>
      </c>
      <c r="AH15" s="124">
        <f t="shared" si="2"/>
        <v>2666880</v>
      </c>
      <c r="AI15" s="124">
        <f t="shared" si="2"/>
        <v>4212000</v>
      </c>
      <c r="AJ15" s="124">
        <f t="shared" si="2"/>
        <v>5990400</v>
      </c>
      <c r="AK15" s="124">
        <f t="shared" si="2"/>
        <v>2105280</v>
      </c>
      <c r="AL15" s="124">
        <f t="shared" si="2"/>
        <v>2105280</v>
      </c>
      <c r="AM15" s="124">
        <f t="shared" si="2"/>
        <v>2105280</v>
      </c>
      <c r="AN15" s="124">
        <f t="shared" si="2"/>
        <v>9360000</v>
      </c>
      <c r="AO15" s="124">
        <f t="shared" si="2"/>
        <v>4305600</v>
      </c>
      <c r="AP15" s="124">
        <f t="shared" si="2"/>
        <v>12542400</v>
      </c>
      <c r="AQ15" s="124">
        <f t="shared" si="2"/>
        <v>4305600</v>
      </c>
      <c r="AR15" s="124">
        <f t="shared" si="2"/>
        <v>11232000</v>
      </c>
      <c r="AS15" s="124">
        <f t="shared" si="2"/>
        <v>10296000</v>
      </c>
      <c r="AT15" s="124">
        <f t="shared" si="2"/>
        <v>11232000</v>
      </c>
      <c r="AU15" s="124">
        <f t="shared" si="2"/>
        <v>11232000</v>
      </c>
      <c r="AV15" s="124">
        <f t="shared" si="2"/>
        <v>10296000</v>
      </c>
      <c r="AW15" s="124">
        <f t="shared" si="2"/>
        <v>11232000</v>
      </c>
      <c r="AX15" s="124">
        <f t="shared" si="2"/>
        <v>11232000</v>
      </c>
      <c r="AY15" s="124">
        <f t="shared" si="2"/>
        <v>11232000</v>
      </c>
      <c r="AZ15" s="124">
        <f t="shared" si="2"/>
        <v>10296000</v>
      </c>
      <c r="BA15" s="124">
        <f t="shared" si="2"/>
        <v>10296000</v>
      </c>
      <c r="BB15" s="124">
        <f t="shared" si="2"/>
        <v>10296000</v>
      </c>
      <c r="BC15" s="124">
        <f t="shared" si="2"/>
        <v>3546720</v>
      </c>
      <c r="BD15" s="124">
        <f t="shared" si="2"/>
        <v>233280</v>
      </c>
      <c r="BE15" s="124">
        <f t="shared" si="2"/>
        <v>233280</v>
      </c>
    </row>
    <row r="16" spans="1:57" ht="24" x14ac:dyDescent="0.25">
      <c r="A16" s="107" t="s">
        <v>261</v>
      </c>
      <c r="B16" s="124">
        <f>ROUND(B15*0.12,0)</f>
        <v>1123200</v>
      </c>
      <c r="C16" s="124">
        <f t="shared" ref="C16:BE16" si="3">ROUND(C15*0.12,0)</f>
        <v>1123200</v>
      </c>
      <c r="D16" s="124">
        <f t="shared" si="3"/>
        <v>898560</v>
      </c>
      <c r="E16" s="124">
        <f t="shared" si="3"/>
        <v>898560</v>
      </c>
      <c r="F16" s="124">
        <f t="shared" si="3"/>
        <v>673920</v>
      </c>
      <c r="G16" s="124">
        <f t="shared" si="3"/>
        <v>673920</v>
      </c>
      <c r="H16" s="124">
        <f t="shared" si="3"/>
        <v>516672</v>
      </c>
      <c r="I16" s="124">
        <f t="shared" si="3"/>
        <v>425606</v>
      </c>
      <c r="J16" s="124">
        <f t="shared" si="3"/>
        <v>1505088</v>
      </c>
      <c r="K16" s="124">
        <f t="shared" si="3"/>
        <v>1033344</v>
      </c>
      <c r="L16" s="124">
        <f t="shared" si="3"/>
        <v>443578</v>
      </c>
      <c r="M16" s="124">
        <f t="shared" si="3"/>
        <v>353722</v>
      </c>
      <c r="N16" s="124">
        <f t="shared" si="3"/>
        <v>252634</v>
      </c>
      <c r="O16" s="124">
        <f t="shared" si="3"/>
        <v>252634</v>
      </c>
      <c r="P16" s="124">
        <f t="shared" si="3"/>
        <v>252634</v>
      </c>
      <c r="Q16" s="124">
        <f t="shared" si="3"/>
        <v>1078272</v>
      </c>
      <c r="R16" s="124">
        <f t="shared" si="3"/>
        <v>527904</v>
      </c>
      <c r="S16" s="124">
        <f t="shared" si="3"/>
        <v>331258</v>
      </c>
      <c r="T16" s="124">
        <f t="shared" si="3"/>
        <v>673920</v>
      </c>
      <c r="U16" s="124">
        <f t="shared" si="3"/>
        <v>516672</v>
      </c>
      <c r="V16" s="124">
        <f t="shared" si="3"/>
        <v>617760</v>
      </c>
      <c r="W16" s="124">
        <f t="shared" si="3"/>
        <v>320026</v>
      </c>
      <c r="X16" s="124">
        <f t="shared" si="3"/>
        <v>477274</v>
      </c>
      <c r="Y16" s="124">
        <f t="shared" si="3"/>
        <v>297562</v>
      </c>
      <c r="Z16" s="124">
        <f t="shared" si="3"/>
        <v>477274</v>
      </c>
      <c r="AA16" s="124">
        <f t="shared" si="3"/>
        <v>275098</v>
      </c>
      <c r="AB16" s="124">
        <f t="shared" si="3"/>
        <v>477274</v>
      </c>
      <c r="AC16" s="124">
        <f t="shared" si="3"/>
        <v>477274</v>
      </c>
      <c r="AD16" s="124">
        <f t="shared" si="3"/>
        <v>477274</v>
      </c>
      <c r="AE16" s="124">
        <f t="shared" si="3"/>
        <v>477274</v>
      </c>
      <c r="AF16" s="124">
        <f t="shared" si="3"/>
        <v>320026</v>
      </c>
      <c r="AG16" s="124">
        <f t="shared" si="3"/>
        <v>252634</v>
      </c>
      <c r="AH16" s="124">
        <f t="shared" si="3"/>
        <v>320026</v>
      </c>
      <c r="AI16" s="124">
        <f t="shared" si="3"/>
        <v>505440</v>
      </c>
      <c r="AJ16" s="124">
        <f t="shared" si="3"/>
        <v>718848</v>
      </c>
      <c r="AK16" s="124">
        <f t="shared" si="3"/>
        <v>252634</v>
      </c>
      <c r="AL16" s="124">
        <f t="shared" si="3"/>
        <v>252634</v>
      </c>
      <c r="AM16" s="124">
        <f t="shared" si="3"/>
        <v>252634</v>
      </c>
      <c r="AN16" s="124">
        <f t="shared" si="3"/>
        <v>1123200</v>
      </c>
      <c r="AO16" s="124">
        <f t="shared" si="3"/>
        <v>516672</v>
      </c>
      <c r="AP16" s="124">
        <f t="shared" si="3"/>
        <v>1505088</v>
      </c>
      <c r="AQ16" s="124">
        <f t="shared" si="3"/>
        <v>516672</v>
      </c>
      <c r="AR16" s="124">
        <f t="shared" si="3"/>
        <v>1347840</v>
      </c>
      <c r="AS16" s="124">
        <f t="shared" si="3"/>
        <v>1235520</v>
      </c>
      <c r="AT16" s="124">
        <f t="shared" si="3"/>
        <v>1347840</v>
      </c>
      <c r="AU16" s="124">
        <f t="shared" si="3"/>
        <v>1347840</v>
      </c>
      <c r="AV16" s="124">
        <f t="shared" si="3"/>
        <v>1235520</v>
      </c>
      <c r="AW16" s="124">
        <f t="shared" si="3"/>
        <v>1347840</v>
      </c>
      <c r="AX16" s="124">
        <f t="shared" si="3"/>
        <v>1347840</v>
      </c>
      <c r="AY16" s="124">
        <f t="shared" si="3"/>
        <v>1347840</v>
      </c>
      <c r="AZ16" s="124">
        <f t="shared" si="3"/>
        <v>1235520</v>
      </c>
      <c r="BA16" s="124">
        <f t="shared" si="3"/>
        <v>1235520</v>
      </c>
      <c r="BB16" s="124">
        <f t="shared" si="3"/>
        <v>1235520</v>
      </c>
      <c r="BC16" s="124">
        <f t="shared" si="3"/>
        <v>425606</v>
      </c>
      <c r="BD16" s="124">
        <f t="shared" si="3"/>
        <v>27994</v>
      </c>
      <c r="BE16" s="124">
        <f t="shared" si="3"/>
        <v>27994</v>
      </c>
    </row>
    <row r="17" spans="1:57" ht="24" x14ac:dyDescent="0.25">
      <c r="A17" s="107" t="s">
        <v>262</v>
      </c>
      <c r="B17" s="124">
        <f>ROUND((B11+B12)/2,0)</f>
        <v>3250000</v>
      </c>
      <c r="C17" s="124">
        <f t="shared" ref="C17:BE17" si="4">ROUND((C11+C12)/2,0)</f>
        <v>3250000</v>
      </c>
      <c r="D17" s="124">
        <f t="shared" si="4"/>
        <v>2600000</v>
      </c>
      <c r="E17" s="124">
        <f t="shared" si="4"/>
        <v>2600000</v>
      </c>
      <c r="F17" s="124">
        <f t="shared" si="4"/>
        <v>1950000</v>
      </c>
      <c r="G17" s="124">
        <f t="shared" si="4"/>
        <v>1950000</v>
      </c>
      <c r="H17" s="124">
        <f t="shared" si="4"/>
        <v>1495000</v>
      </c>
      <c r="I17" s="124">
        <f t="shared" si="4"/>
        <v>1231500</v>
      </c>
      <c r="J17" s="124">
        <f t="shared" si="4"/>
        <v>4355000</v>
      </c>
      <c r="K17" s="124">
        <f t="shared" si="4"/>
        <v>2990000</v>
      </c>
      <c r="L17" s="124">
        <f t="shared" si="4"/>
        <v>1283500</v>
      </c>
      <c r="M17" s="124">
        <f t="shared" si="4"/>
        <v>1023500</v>
      </c>
      <c r="N17" s="124">
        <f t="shared" si="4"/>
        <v>731000</v>
      </c>
      <c r="O17" s="124">
        <f t="shared" si="4"/>
        <v>731000</v>
      </c>
      <c r="P17" s="124">
        <f t="shared" si="4"/>
        <v>731000</v>
      </c>
      <c r="Q17" s="124">
        <f t="shared" si="4"/>
        <v>3120000</v>
      </c>
      <c r="R17" s="124">
        <f t="shared" si="4"/>
        <v>1527500</v>
      </c>
      <c r="S17" s="124">
        <f t="shared" si="4"/>
        <v>958500</v>
      </c>
      <c r="T17" s="124">
        <f t="shared" si="4"/>
        <v>1950000</v>
      </c>
      <c r="U17" s="124">
        <f t="shared" si="4"/>
        <v>1495000</v>
      </c>
      <c r="V17" s="124">
        <f t="shared" si="4"/>
        <v>1787500</v>
      </c>
      <c r="W17" s="124">
        <f t="shared" si="4"/>
        <v>926000</v>
      </c>
      <c r="X17" s="124">
        <f t="shared" si="4"/>
        <v>1381000</v>
      </c>
      <c r="Y17" s="124">
        <f t="shared" si="4"/>
        <v>861000</v>
      </c>
      <c r="Z17" s="124">
        <f t="shared" si="4"/>
        <v>1381000</v>
      </c>
      <c r="AA17" s="124">
        <f t="shared" si="4"/>
        <v>796000</v>
      </c>
      <c r="AB17" s="124">
        <f t="shared" si="4"/>
        <v>1381000</v>
      </c>
      <c r="AC17" s="124">
        <f t="shared" si="4"/>
        <v>1381000</v>
      </c>
      <c r="AD17" s="124">
        <f t="shared" si="4"/>
        <v>1381000</v>
      </c>
      <c r="AE17" s="124">
        <f t="shared" si="4"/>
        <v>1381000</v>
      </c>
      <c r="AF17" s="124">
        <f t="shared" si="4"/>
        <v>926000</v>
      </c>
      <c r="AG17" s="124">
        <f t="shared" si="4"/>
        <v>731000</v>
      </c>
      <c r="AH17" s="124">
        <f t="shared" si="4"/>
        <v>926000</v>
      </c>
      <c r="AI17" s="124">
        <f t="shared" si="4"/>
        <v>1462500</v>
      </c>
      <c r="AJ17" s="124">
        <f t="shared" si="4"/>
        <v>2080000</v>
      </c>
      <c r="AK17" s="124">
        <f t="shared" si="4"/>
        <v>731000</v>
      </c>
      <c r="AL17" s="124">
        <f t="shared" si="4"/>
        <v>731000</v>
      </c>
      <c r="AM17" s="124">
        <f t="shared" si="4"/>
        <v>731000</v>
      </c>
      <c r="AN17" s="124">
        <f t="shared" si="4"/>
        <v>3250000</v>
      </c>
      <c r="AO17" s="124">
        <f t="shared" si="4"/>
        <v>1495000</v>
      </c>
      <c r="AP17" s="124">
        <f t="shared" si="4"/>
        <v>4355000</v>
      </c>
      <c r="AQ17" s="124">
        <f t="shared" si="4"/>
        <v>1495000</v>
      </c>
      <c r="AR17" s="124">
        <f t="shared" si="4"/>
        <v>3900000</v>
      </c>
      <c r="AS17" s="124">
        <f t="shared" si="4"/>
        <v>3575000</v>
      </c>
      <c r="AT17" s="124">
        <f t="shared" si="4"/>
        <v>3900000</v>
      </c>
      <c r="AU17" s="124">
        <f t="shared" si="4"/>
        <v>3900000</v>
      </c>
      <c r="AV17" s="124">
        <f t="shared" si="4"/>
        <v>3575000</v>
      </c>
      <c r="AW17" s="124">
        <f t="shared" si="4"/>
        <v>3900000</v>
      </c>
      <c r="AX17" s="124">
        <f t="shared" si="4"/>
        <v>3900000</v>
      </c>
      <c r="AY17" s="124">
        <f t="shared" si="4"/>
        <v>3900000</v>
      </c>
      <c r="AZ17" s="124">
        <f t="shared" si="4"/>
        <v>3575000</v>
      </c>
      <c r="BA17" s="124">
        <f t="shared" si="4"/>
        <v>3575000</v>
      </c>
      <c r="BB17" s="124">
        <f t="shared" si="4"/>
        <v>3575000</v>
      </c>
      <c r="BC17" s="124">
        <f t="shared" si="4"/>
        <v>1231500</v>
      </c>
      <c r="BD17" s="124">
        <f t="shared" si="4"/>
        <v>81000</v>
      </c>
      <c r="BE17" s="124">
        <f t="shared" si="4"/>
        <v>81000</v>
      </c>
    </row>
    <row r="18" spans="1:57" ht="24" x14ac:dyDescent="0.25">
      <c r="A18" s="107" t="s">
        <v>263</v>
      </c>
      <c r="B18" s="124">
        <f>B11+B12</f>
        <v>6500000</v>
      </c>
      <c r="C18" s="124">
        <f t="shared" ref="C18:BE18" si="5">C11+C12</f>
        <v>6500000</v>
      </c>
      <c r="D18" s="124">
        <f t="shared" si="5"/>
        <v>5200000</v>
      </c>
      <c r="E18" s="124">
        <f t="shared" si="5"/>
        <v>5200000</v>
      </c>
      <c r="F18" s="124">
        <f t="shared" si="5"/>
        <v>3900000</v>
      </c>
      <c r="G18" s="124">
        <f t="shared" si="5"/>
        <v>3900000</v>
      </c>
      <c r="H18" s="124">
        <f t="shared" si="5"/>
        <v>2990000</v>
      </c>
      <c r="I18" s="124">
        <f t="shared" si="5"/>
        <v>2463000</v>
      </c>
      <c r="J18" s="124">
        <f t="shared" si="5"/>
        <v>8710000</v>
      </c>
      <c r="K18" s="124">
        <f t="shared" si="5"/>
        <v>5980000</v>
      </c>
      <c r="L18" s="124">
        <f t="shared" si="5"/>
        <v>2567000</v>
      </c>
      <c r="M18" s="124">
        <f t="shared" si="5"/>
        <v>2047000</v>
      </c>
      <c r="N18" s="124">
        <f t="shared" si="5"/>
        <v>1462000</v>
      </c>
      <c r="O18" s="124">
        <f t="shared" si="5"/>
        <v>1462000</v>
      </c>
      <c r="P18" s="124">
        <f t="shared" si="5"/>
        <v>1462000</v>
      </c>
      <c r="Q18" s="124">
        <f t="shared" si="5"/>
        <v>6240000</v>
      </c>
      <c r="R18" s="124">
        <f t="shared" si="5"/>
        <v>3055000</v>
      </c>
      <c r="S18" s="124">
        <f t="shared" si="5"/>
        <v>1917000</v>
      </c>
      <c r="T18" s="124">
        <f t="shared" si="5"/>
        <v>3900000</v>
      </c>
      <c r="U18" s="124">
        <f t="shared" si="5"/>
        <v>2990000</v>
      </c>
      <c r="V18" s="124">
        <f t="shared" si="5"/>
        <v>3575000</v>
      </c>
      <c r="W18" s="124">
        <f t="shared" si="5"/>
        <v>1852000</v>
      </c>
      <c r="X18" s="124">
        <f t="shared" si="5"/>
        <v>2762000</v>
      </c>
      <c r="Y18" s="124">
        <f t="shared" si="5"/>
        <v>1722000</v>
      </c>
      <c r="Z18" s="124">
        <f t="shared" si="5"/>
        <v>2762000</v>
      </c>
      <c r="AA18" s="124">
        <f t="shared" si="5"/>
        <v>1592000</v>
      </c>
      <c r="AB18" s="124">
        <f t="shared" si="5"/>
        <v>2762000</v>
      </c>
      <c r="AC18" s="124">
        <f t="shared" si="5"/>
        <v>2762000</v>
      </c>
      <c r="AD18" s="124">
        <f t="shared" si="5"/>
        <v>2762000</v>
      </c>
      <c r="AE18" s="124">
        <f t="shared" si="5"/>
        <v>2762000</v>
      </c>
      <c r="AF18" s="124">
        <f t="shared" si="5"/>
        <v>1852000</v>
      </c>
      <c r="AG18" s="124">
        <f t="shared" si="5"/>
        <v>1462000</v>
      </c>
      <c r="AH18" s="124">
        <f t="shared" si="5"/>
        <v>1852000</v>
      </c>
      <c r="AI18" s="124">
        <f t="shared" si="5"/>
        <v>2925000</v>
      </c>
      <c r="AJ18" s="124">
        <f t="shared" si="5"/>
        <v>4160000</v>
      </c>
      <c r="AK18" s="124">
        <f t="shared" si="5"/>
        <v>1462000</v>
      </c>
      <c r="AL18" s="124">
        <f t="shared" si="5"/>
        <v>1462000</v>
      </c>
      <c r="AM18" s="124">
        <f t="shared" si="5"/>
        <v>1462000</v>
      </c>
      <c r="AN18" s="124">
        <f t="shared" si="5"/>
        <v>6500000</v>
      </c>
      <c r="AO18" s="124">
        <f t="shared" si="5"/>
        <v>2990000</v>
      </c>
      <c r="AP18" s="124">
        <f t="shared" si="5"/>
        <v>8710000</v>
      </c>
      <c r="AQ18" s="124">
        <f t="shared" si="5"/>
        <v>2990000</v>
      </c>
      <c r="AR18" s="124">
        <f t="shared" si="5"/>
        <v>7800000</v>
      </c>
      <c r="AS18" s="124">
        <f t="shared" si="5"/>
        <v>7150000</v>
      </c>
      <c r="AT18" s="124">
        <f t="shared" si="5"/>
        <v>7800000</v>
      </c>
      <c r="AU18" s="124">
        <f t="shared" si="5"/>
        <v>7800000</v>
      </c>
      <c r="AV18" s="124">
        <f t="shared" si="5"/>
        <v>7150000</v>
      </c>
      <c r="AW18" s="124">
        <f t="shared" si="5"/>
        <v>7800000</v>
      </c>
      <c r="AX18" s="124">
        <f t="shared" si="5"/>
        <v>7800000</v>
      </c>
      <c r="AY18" s="124">
        <f t="shared" si="5"/>
        <v>7800000</v>
      </c>
      <c r="AZ18" s="124">
        <f t="shared" si="5"/>
        <v>7150000</v>
      </c>
      <c r="BA18" s="124">
        <f t="shared" si="5"/>
        <v>7150000</v>
      </c>
      <c r="BB18" s="124">
        <f t="shared" si="5"/>
        <v>7150000</v>
      </c>
      <c r="BC18" s="124">
        <f t="shared" si="5"/>
        <v>2463000</v>
      </c>
      <c r="BD18" s="124">
        <f t="shared" si="5"/>
        <v>162000</v>
      </c>
      <c r="BE18" s="124">
        <f t="shared" si="5"/>
        <v>162000</v>
      </c>
    </row>
    <row r="19" spans="1:57" ht="36" x14ac:dyDescent="0.25">
      <c r="A19" s="107" t="s">
        <v>264</v>
      </c>
      <c r="B19" s="124">
        <f>ROUND(('DATOS INICIALES'!$B$12*12)/40,0)</f>
        <v>390000</v>
      </c>
      <c r="C19" s="124">
        <f>ROUND(('DATOS INICIALES'!$B$12*12)/40,0)</f>
        <v>390000</v>
      </c>
      <c r="D19" s="124">
        <f>ROUND(('DATOS INICIALES'!$B$12*12)/40,0)</f>
        <v>390000</v>
      </c>
      <c r="E19" s="124">
        <f>ROUND(('DATOS INICIALES'!$B$12*12)/40,0)</f>
        <v>390000</v>
      </c>
      <c r="F19" s="124">
        <f>ROUND(('DATOS INICIALES'!$B$12*12)/40,0)</f>
        <v>390000</v>
      </c>
      <c r="G19" s="124">
        <f>ROUND(('DATOS INICIALES'!$B$12*12)/40,0)</f>
        <v>390000</v>
      </c>
      <c r="H19" s="124">
        <f>ROUND(('DATOS INICIALES'!$B$12*12)/40,0)</f>
        <v>390000</v>
      </c>
      <c r="I19" s="124">
        <f>ROUND(('DATOS INICIALES'!$B$12*12)/40,0)</f>
        <v>390000</v>
      </c>
      <c r="J19" s="124">
        <f>ROUND(('DATOS INICIALES'!$B$12*12)/40,0)</f>
        <v>390000</v>
      </c>
      <c r="K19" s="124">
        <f>ROUND(('DATOS INICIALES'!$B$12*12)/40,0)</f>
        <v>390000</v>
      </c>
      <c r="L19" s="124">
        <f>ROUND(('DATOS INICIALES'!$B$12*12)/40,0)</f>
        <v>390000</v>
      </c>
      <c r="M19" s="124">
        <f>ROUND(('DATOS INICIALES'!$B$12*12)/40,0)</f>
        <v>390000</v>
      </c>
      <c r="N19" s="124">
        <f>ROUND(('DATOS INICIALES'!$B$12*12)/40,0)</f>
        <v>390000</v>
      </c>
      <c r="O19" s="124">
        <f>ROUND(('DATOS INICIALES'!$B$12*12)/40,0)</f>
        <v>390000</v>
      </c>
      <c r="P19" s="124">
        <f>ROUND(('DATOS INICIALES'!$B$12*12)/40,0)</f>
        <v>390000</v>
      </c>
      <c r="Q19" s="124">
        <f>ROUND(('DATOS INICIALES'!$B$12*12)/40,0)</f>
        <v>390000</v>
      </c>
      <c r="R19" s="124">
        <f>ROUND(('DATOS INICIALES'!$B$12*12)/40,0)</f>
        <v>390000</v>
      </c>
      <c r="S19" s="124">
        <f>ROUND(('DATOS INICIALES'!$B$12*12)/40,0)</f>
        <v>390000</v>
      </c>
      <c r="T19" s="124">
        <f>ROUND(('DATOS INICIALES'!$B$12*12)/40,0)</f>
        <v>390000</v>
      </c>
      <c r="U19" s="124">
        <f>ROUND(('DATOS INICIALES'!$B$12*12)/40,0)</f>
        <v>390000</v>
      </c>
      <c r="V19" s="124">
        <f>ROUND(('DATOS INICIALES'!$B$12*12)/40,0)</f>
        <v>390000</v>
      </c>
      <c r="W19" s="124">
        <f>ROUND(('DATOS INICIALES'!$B$12*12)/40,0)</f>
        <v>390000</v>
      </c>
      <c r="X19" s="124">
        <f>ROUND(('DATOS INICIALES'!$B$12*12)/40,0)</f>
        <v>390000</v>
      </c>
      <c r="Y19" s="124">
        <f>ROUND(('DATOS INICIALES'!$B$12*12)/40,0)</f>
        <v>390000</v>
      </c>
      <c r="Z19" s="124">
        <f>ROUND(('DATOS INICIALES'!$B$12*12)/40,0)</f>
        <v>390000</v>
      </c>
      <c r="AA19" s="124">
        <f>ROUND(('DATOS INICIALES'!$B$12*12)/40,0)</f>
        <v>390000</v>
      </c>
      <c r="AB19" s="124">
        <f>ROUND(('DATOS INICIALES'!$B$12*12)/40,0)</f>
        <v>390000</v>
      </c>
      <c r="AC19" s="124">
        <f>ROUND(('DATOS INICIALES'!$B$12*12)/40,0)</f>
        <v>390000</v>
      </c>
      <c r="AD19" s="124">
        <f>ROUND(('DATOS INICIALES'!$B$12*12)/40,0)</f>
        <v>390000</v>
      </c>
      <c r="AE19" s="124">
        <f>ROUND(('DATOS INICIALES'!$B$12*12)/40,0)</f>
        <v>390000</v>
      </c>
      <c r="AF19" s="124">
        <f>ROUND(('DATOS INICIALES'!$B$12*12)/40,0)</f>
        <v>390000</v>
      </c>
      <c r="AG19" s="124">
        <f>ROUND(('DATOS INICIALES'!$B$12*12)/40,0)</f>
        <v>390000</v>
      </c>
      <c r="AH19" s="124">
        <f>ROUND(('DATOS INICIALES'!$B$12*12)/40,0)</f>
        <v>390000</v>
      </c>
      <c r="AI19" s="124">
        <f>ROUND(('DATOS INICIALES'!$B$12*12)/40,0)</f>
        <v>390000</v>
      </c>
      <c r="AJ19" s="124">
        <f>ROUND(('DATOS INICIALES'!$B$12*12)/40,0)</f>
        <v>390000</v>
      </c>
      <c r="AK19" s="124">
        <f>ROUND(('DATOS INICIALES'!$B$12*12)/40,0)</f>
        <v>390000</v>
      </c>
      <c r="AL19" s="124">
        <f>ROUND(('DATOS INICIALES'!$B$12*12)/40,0)</f>
        <v>390000</v>
      </c>
      <c r="AM19" s="124">
        <f>ROUND(('DATOS INICIALES'!$B$12*12)/40,0)</f>
        <v>390000</v>
      </c>
      <c r="AN19" s="124">
        <f>ROUND(('DATOS INICIALES'!$B$12*12)/40,0)</f>
        <v>390000</v>
      </c>
      <c r="AO19" s="124">
        <f>ROUND(('DATOS INICIALES'!$B$12*12)/40,0)</f>
        <v>390000</v>
      </c>
      <c r="AP19" s="124">
        <f>ROUND(('DATOS INICIALES'!$B$12*12)/40,0)</f>
        <v>390000</v>
      </c>
      <c r="AQ19" s="124">
        <f>ROUND(('DATOS INICIALES'!$B$12*12)/40,0)</f>
        <v>390000</v>
      </c>
      <c r="AR19" s="124">
        <f>ROUND(('DATOS INICIALES'!$B$12*12)/40,0)</f>
        <v>390000</v>
      </c>
      <c r="AS19" s="124">
        <f>ROUND(('DATOS INICIALES'!$B$12*12)/40,0)</f>
        <v>390000</v>
      </c>
      <c r="AT19" s="124">
        <f>ROUND(('DATOS INICIALES'!$B$12*12)/40,0)</f>
        <v>390000</v>
      </c>
      <c r="AU19" s="124">
        <f>ROUND(('DATOS INICIALES'!$B$12*12)/40,0)</f>
        <v>390000</v>
      </c>
      <c r="AV19" s="124">
        <f>ROUND(('DATOS INICIALES'!$B$12*12)/40,0)</f>
        <v>390000</v>
      </c>
      <c r="AW19" s="124">
        <f>ROUND(('DATOS INICIALES'!$B$12*12)/40,0)</f>
        <v>390000</v>
      </c>
      <c r="AX19" s="124">
        <f>ROUND(('DATOS INICIALES'!$B$12*12)/40,0)</f>
        <v>390000</v>
      </c>
      <c r="AY19" s="124">
        <f>ROUND(('DATOS INICIALES'!$B$12*12)/40,0)</f>
        <v>390000</v>
      </c>
      <c r="AZ19" s="124">
        <f>ROUND(('DATOS INICIALES'!$B$12*12)/40,0)</f>
        <v>390000</v>
      </c>
      <c r="BA19" s="124">
        <f>ROUND(('DATOS INICIALES'!$B$12*12)/40,0)</f>
        <v>390000</v>
      </c>
      <c r="BB19" s="124">
        <f>ROUND(('DATOS INICIALES'!$B$12*12)/40,0)</f>
        <v>390000</v>
      </c>
      <c r="BC19" s="124">
        <f>ROUND(('DATOS INICIALES'!$B$12*12)/40,0)</f>
        <v>390000</v>
      </c>
      <c r="BD19" s="124">
        <f>ROUND(('DATOS INICIALES'!$B$12*12)/40,0)</f>
        <v>390000</v>
      </c>
      <c r="BE19" s="124">
        <f>ROUND(('DATOS INICIALES'!$B$12*12)/40,0)</f>
        <v>390000</v>
      </c>
    </row>
    <row r="20" spans="1:57" ht="24" x14ac:dyDescent="0.25">
      <c r="A20" s="107" t="s">
        <v>265</v>
      </c>
      <c r="B20" s="124">
        <f>IF('DATOS INICIALES'!B14="NO",('FACTOR PRESTACIONAL'!B13+'FACTOR PRESTACIONAL'!B14)*0.085,0)</f>
        <v>0</v>
      </c>
      <c r="C20" s="124">
        <f>IF('DATOS INICIALES'!C14="NO",('FACTOR PRESTACIONAL'!C13+'FACTOR PRESTACIONAL'!C14)*0.085,0)</f>
        <v>0</v>
      </c>
      <c r="D20" s="124">
        <f>IF('DATOS INICIALES'!D14="NO",('FACTOR PRESTACIONAL'!D13+'FACTOR PRESTACIONAL'!D14)*0.085,0)</f>
        <v>0</v>
      </c>
      <c r="E20" s="124">
        <f>IF('DATOS INICIALES'!E14="NO",('FACTOR PRESTACIONAL'!E13+'FACTOR PRESTACIONAL'!E14)*0.085,0)</f>
        <v>0</v>
      </c>
      <c r="F20" s="124">
        <f>IF('DATOS INICIALES'!F14="NO",('FACTOR PRESTACIONAL'!F13+'FACTOR PRESTACIONAL'!F14)*0.085,0)</f>
        <v>0</v>
      </c>
      <c r="G20" s="124">
        <f>IF('DATOS INICIALES'!G14="NO",('FACTOR PRESTACIONAL'!G13+'FACTOR PRESTACIONAL'!G14)*0.085,0)</f>
        <v>0</v>
      </c>
      <c r="H20" s="124">
        <f>IF('DATOS INICIALES'!H14="NO",('FACTOR PRESTACIONAL'!H13+'FACTOR PRESTACIONAL'!H14)*0.085,0)</f>
        <v>0</v>
      </c>
      <c r="I20" s="124">
        <f>IF('DATOS INICIALES'!I14="NO",('FACTOR PRESTACIONAL'!I13+'FACTOR PRESTACIONAL'!I14)*0.085,0)</f>
        <v>0</v>
      </c>
      <c r="J20" s="124">
        <f>IF('DATOS INICIALES'!J14="NO",('FACTOR PRESTACIONAL'!J13+'FACTOR PRESTACIONAL'!J14)*0.085,0)</f>
        <v>0</v>
      </c>
      <c r="K20" s="124">
        <f>IF('DATOS INICIALES'!K14="NO",('FACTOR PRESTACIONAL'!K13+'FACTOR PRESTACIONAL'!K14)*0.085,0)</f>
        <v>0</v>
      </c>
      <c r="L20" s="124">
        <f>IF('DATOS INICIALES'!L14="NO",('FACTOR PRESTACIONAL'!L13+'FACTOR PRESTACIONAL'!L14)*0.085,0)</f>
        <v>0</v>
      </c>
      <c r="M20" s="124">
        <f>IF('DATOS INICIALES'!M14="NO",('FACTOR PRESTACIONAL'!M13+'FACTOR PRESTACIONAL'!M14)*0.085,0)</f>
        <v>0</v>
      </c>
      <c r="N20" s="124">
        <f>IF('DATOS INICIALES'!N14="NO",('FACTOR PRESTACIONAL'!N13+'FACTOR PRESTACIONAL'!N14)*0.085,0)</f>
        <v>0</v>
      </c>
      <c r="O20" s="124">
        <f>IF('DATOS INICIALES'!O14="NO",('FACTOR PRESTACIONAL'!O13+'FACTOR PRESTACIONAL'!O14)*0.085,0)</f>
        <v>0</v>
      </c>
      <c r="P20" s="124">
        <f>IF('DATOS INICIALES'!P14="NO",('FACTOR PRESTACIONAL'!P13+'FACTOR PRESTACIONAL'!P14)*0.085,0)</f>
        <v>0</v>
      </c>
      <c r="Q20" s="124">
        <f>IF('DATOS INICIALES'!Q14="NO",('FACTOR PRESTACIONAL'!Q13+'FACTOR PRESTACIONAL'!Q14)*0.085,0)</f>
        <v>0</v>
      </c>
      <c r="R20" s="124">
        <f>IF('DATOS INICIALES'!R14="NO",('FACTOR PRESTACIONAL'!R13+'FACTOR PRESTACIONAL'!R14)*0.085,0)</f>
        <v>0</v>
      </c>
      <c r="S20" s="124">
        <f>IF('DATOS INICIALES'!S14="NO",('FACTOR PRESTACIONAL'!S13+'FACTOR PRESTACIONAL'!S14)*0.085,0)</f>
        <v>0</v>
      </c>
      <c r="T20" s="124">
        <f>IF('DATOS INICIALES'!T14="NO",('FACTOR PRESTACIONAL'!T13+'FACTOR PRESTACIONAL'!T14)*0.085,0)</f>
        <v>0</v>
      </c>
      <c r="U20" s="124">
        <f>IF('DATOS INICIALES'!U14="NO",('FACTOR PRESTACIONAL'!U13+'FACTOR PRESTACIONAL'!U14)*0.085,0)</f>
        <v>0</v>
      </c>
      <c r="V20" s="124">
        <f>IF('DATOS INICIALES'!V14="NO",('FACTOR PRESTACIONAL'!V13+'FACTOR PRESTACIONAL'!V14)*0.085,0)</f>
        <v>0</v>
      </c>
      <c r="W20" s="124">
        <f>IF('DATOS INICIALES'!W14="NO",('FACTOR PRESTACIONAL'!W13+'FACTOR PRESTACIONAL'!W14)*0.085,0)</f>
        <v>0</v>
      </c>
      <c r="X20" s="124">
        <f>IF('DATOS INICIALES'!X14="NO",('FACTOR PRESTACIONAL'!X13+'FACTOR PRESTACIONAL'!X14)*0.085,0)</f>
        <v>0</v>
      </c>
      <c r="Y20" s="124">
        <f>IF('DATOS INICIALES'!Y14="NO",('FACTOR PRESTACIONAL'!Y13+'FACTOR PRESTACIONAL'!Y14)*0.085,0)</f>
        <v>0</v>
      </c>
      <c r="Z20" s="124">
        <f>IF('DATOS INICIALES'!Z14="NO",('FACTOR PRESTACIONAL'!Z13+'FACTOR PRESTACIONAL'!Z14)*0.085,0)</f>
        <v>0</v>
      </c>
      <c r="AA20" s="124">
        <f>IF('DATOS INICIALES'!AA14="NO",('FACTOR PRESTACIONAL'!AA13+'FACTOR PRESTACIONAL'!AA14)*0.085,0)</f>
        <v>0</v>
      </c>
      <c r="AB20" s="124">
        <f>IF('DATOS INICIALES'!AB14="NO",('FACTOR PRESTACIONAL'!AB13+'FACTOR PRESTACIONAL'!AB14)*0.085,0)</f>
        <v>0</v>
      </c>
      <c r="AC20" s="124">
        <f>IF('DATOS INICIALES'!AC14="NO",('FACTOR PRESTACIONAL'!AC13+'FACTOR PRESTACIONAL'!AC14)*0.085,0)</f>
        <v>0</v>
      </c>
      <c r="AD20" s="124">
        <f>IF('DATOS INICIALES'!AD14="NO",('FACTOR PRESTACIONAL'!AD13+'FACTOR PRESTACIONAL'!AD14)*0.085,0)</f>
        <v>0</v>
      </c>
      <c r="AE20" s="124">
        <f>IF('DATOS INICIALES'!AE14="NO",('FACTOR PRESTACIONAL'!AE13+'FACTOR PRESTACIONAL'!AE14)*0.085,0)</f>
        <v>0</v>
      </c>
      <c r="AF20" s="124">
        <f>IF('DATOS INICIALES'!AF14="NO",('FACTOR PRESTACIONAL'!AF13+'FACTOR PRESTACIONAL'!AF14)*0.085,0)</f>
        <v>0</v>
      </c>
      <c r="AG20" s="124">
        <f>IF('DATOS INICIALES'!AG14="NO",('FACTOR PRESTACIONAL'!AG13+'FACTOR PRESTACIONAL'!AG14)*0.085,0)</f>
        <v>0</v>
      </c>
      <c r="AH20" s="124">
        <f>IF('DATOS INICIALES'!AH14="NO",('FACTOR PRESTACIONAL'!AH13+'FACTOR PRESTACIONAL'!AH14)*0.085,0)</f>
        <v>0</v>
      </c>
      <c r="AI20" s="124">
        <f>IF('DATOS INICIALES'!AI14="NO",('FACTOR PRESTACIONAL'!AI13+'FACTOR PRESTACIONAL'!AI14)*0.085,0)</f>
        <v>0</v>
      </c>
      <c r="AJ20" s="124">
        <f>IF('DATOS INICIALES'!AJ14="NO",('FACTOR PRESTACIONAL'!AJ13+'FACTOR PRESTACIONAL'!AJ14)*0.085,0)</f>
        <v>0</v>
      </c>
      <c r="AK20" s="124">
        <f>IF('DATOS INICIALES'!AK14="NO",('FACTOR PRESTACIONAL'!AK13+'FACTOR PRESTACIONAL'!AK14)*0.085,0)</f>
        <v>0</v>
      </c>
      <c r="AL20" s="124">
        <f>IF('DATOS INICIALES'!AL14="NO",('FACTOR PRESTACIONAL'!AL13+'FACTOR PRESTACIONAL'!AL14)*0.085,0)</f>
        <v>0</v>
      </c>
      <c r="AM20" s="124">
        <f>IF('DATOS INICIALES'!AM14="NO",('FACTOR PRESTACIONAL'!AM13+'FACTOR PRESTACIONAL'!AM14)*0.085,0)</f>
        <v>0</v>
      </c>
      <c r="AN20" s="124">
        <f>IF('DATOS INICIALES'!AN14="NO",('FACTOR PRESTACIONAL'!AN13+'FACTOR PRESTACIONAL'!AN14)*0.085,0)</f>
        <v>0</v>
      </c>
      <c r="AO20" s="124">
        <f>IF('DATOS INICIALES'!AO14="NO",('FACTOR PRESTACIONAL'!AO13+'FACTOR PRESTACIONAL'!AO14)*0.085,0)</f>
        <v>0</v>
      </c>
      <c r="AP20" s="124">
        <f>IF('DATOS INICIALES'!AP14="NO",('FACTOR PRESTACIONAL'!AP13+'FACTOR PRESTACIONAL'!AP14)*0.085,0)</f>
        <v>0</v>
      </c>
      <c r="AQ20" s="124">
        <f>IF('DATOS INICIALES'!AQ14="NO",('FACTOR PRESTACIONAL'!AQ13+'FACTOR PRESTACIONAL'!AQ14)*0.085,0)</f>
        <v>0</v>
      </c>
      <c r="AR20" s="124">
        <f>IF('DATOS INICIALES'!AR14="NO",('FACTOR PRESTACIONAL'!AR13+'FACTOR PRESTACIONAL'!AR14)*0.085,0)</f>
        <v>0</v>
      </c>
      <c r="AS20" s="124">
        <f>IF('DATOS INICIALES'!AS14="NO",('FACTOR PRESTACIONAL'!AS13+'FACTOR PRESTACIONAL'!AS14)*0.085,0)</f>
        <v>0</v>
      </c>
      <c r="AT20" s="124">
        <f>IF('DATOS INICIALES'!AT14="NO",('FACTOR PRESTACIONAL'!AT13+'FACTOR PRESTACIONAL'!AT14)*0.085,0)</f>
        <v>0</v>
      </c>
      <c r="AU20" s="124">
        <f>IF('DATOS INICIALES'!AU14="NO",('FACTOR PRESTACIONAL'!AU13+'FACTOR PRESTACIONAL'!AU14)*0.085,0)</f>
        <v>0</v>
      </c>
      <c r="AV20" s="124">
        <f>IF('DATOS INICIALES'!AV14="NO",('FACTOR PRESTACIONAL'!AV13+'FACTOR PRESTACIONAL'!AV14)*0.085,0)</f>
        <v>0</v>
      </c>
      <c r="AW20" s="124">
        <f>IF('DATOS INICIALES'!AW14="NO",('FACTOR PRESTACIONAL'!AW13+'FACTOR PRESTACIONAL'!AW14)*0.085,0)</f>
        <v>0</v>
      </c>
      <c r="AX20" s="124">
        <f>IF('DATOS INICIALES'!AX14="NO",('FACTOR PRESTACIONAL'!AX13+'FACTOR PRESTACIONAL'!AX14)*0.085,0)</f>
        <v>0</v>
      </c>
      <c r="AY20" s="124">
        <f>IF('DATOS INICIALES'!AY14="NO",('FACTOR PRESTACIONAL'!AY13+'FACTOR PRESTACIONAL'!AY14)*0.085,0)</f>
        <v>0</v>
      </c>
      <c r="AZ20" s="124">
        <f>IF('DATOS INICIALES'!AZ14="NO",('FACTOR PRESTACIONAL'!AZ13+'FACTOR PRESTACIONAL'!AZ14)*0.085,0)</f>
        <v>0</v>
      </c>
      <c r="BA20" s="124">
        <f>IF('DATOS INICIALES'!BA14="NO",('FACTOR PRESTACIONAL'!BA13+'FACTOR PRESTACIONAL'!BA14)*0.085,0)</f>
        <v>0</v>
      </c>
      <c r="BB20" s="124">
        <f>IF('DATOS INICIALES'!BB14="NO",('FACTOR PRESTACIONAL'!BB13+'FACTOR PRESTACIONAL'!BB14)*0.085,0)</f>
        <v>0</v>
      </c>
      <c r="BC20" s="124">
        <f>IF('DATOS INICIALES'!BC14="NO",('FACTOR PRESTACIONAL'!BC13+'FACTOR PRESTACIONAL'!BC14)*0.085,0)</f>
        <v>0</v>
      </c>
      <c r="BD20" s="124">
        <f>IF('DATOS INICIALES'!BD14="NO",('FACTOR PRESTACIONAL'!BD13+'FACTOR PRESTACIONAL'!BD14)*0.085,0)</f>
        <v>0</v>
      </c>
      <c r="BE20" s="124">
        <f>IF('DATOS INICIALES'!BE14="NO",('FACTOR PRESTACIONAL'!BE13+'FACTOR PRESTACIONAL'!BE14)*0.085,0)</f>
        <v>0</v>
      </c>
    </row>
    <row r="21" spans="1:57" ht="24" x14ac:dyDescent="0.25">
      <c r="A21" s="107" t="s">
        <v>266</v>
      </c>
      <c r="B21" s="124">
        <f>ROUND((B13+B14)*0.12,0)</f>
        <v>9360000</v>
      </c>
      <c r="C21" s="124">
        <f t="shared" ref="C21:BE21" si="6">ROUND((C13+C14)*0.12,0)</f>
        <v>9360000</v>
      </c>
      <c r="D21" s="124">
        <f t="shared" si="6"/>
        <v>7488000</v>
      </c>
      <c r="E21" s="124">
        <f t="shared" si="6"/>
        <v>7488000</v>
      </c>
      <c r="F21" s="124">
        <f t="shared" si="6"/>
        <v>5616000</v>
      </c>
      <c r="G21" s="124">
        <f t="shared" si="6"/>
        <v>5616000</v>
      </c>
      <c r="H21" s="124">
        <f t="shared" si="6"/>
        <v>4305600</v>
      </c>
      <c r="I21" s="124">
        <f t="shared" si="6"/>
        <v>3546720</v>
      </c>
      <c r="J21" s="124">
        <f t="shared" si="6"/>
        <v>12542400</v>
      </c>
      <c r="K21" s="124">
        <f t="shared" si="6"/>
        <v>8611200</v>
      </c>
      <c r="L21" s="124">
        <f t="shared" si="6"/>
        <v>3696480</v>
      </c>
      <c r="M21" s="124">
        <f t="shared" si="6"/>
        <v>2947680</v>
      </c>
      <c r="N21" s="124">
        <f t="shared" si="6"/>
        <v>2105280</v>
      </c>
      <c r="O21" s="124">
        <f t="shared" si="6"/>
        <v>2105280</v>
      </c>
      <c r="P21" s="124">
        <f t="shared" si="6"/>
        <v>2105280</v>
      </c>
      <c r="Q21" s="124">
        <f t="shared" si="6"/>
        <v>8985600</v>
      </c>
      <c r="R21" s="124">
        <f t="shared" si="6"/>
        <v>4399200</v>
      </c>
      <c r="S21" s="124">
        <f t="shared" si="6"/>
        <v>2760480</v>
      </c>
      <c r="T21" s="124">
        <f t="shared" si="6"/>
        <v>5616000</v>
      </c>
      <c r="U21" s="124">
        <f t="shared" si="6"/>
        <v>4305600</v>
      </c>
      <c r="V21" s="124">
        <f t="shared" si="6"/>
        <v>5148000</v>
      </c>
      <c r="W21" s="124">
        <f t="shared" si="6"/>
        <v>2666880</v>
      </c>
      <c r="X21" s="124">
        <f t="shared" si="6"/>
        <v>3977280</v>
      </c>
      <c r="Y21" s="124">
        <f t="shared" si="6"/>
        <v>2479680</v>
      </c>
      <c r="Z21" s="124">
        <f t="shared" si="6"/>
        <v>3977280</v>
      </c>
      <c r="AA21" s="124">
        <f t="shared" si="6"/>
        <v>2292480</v>
      </c>
      <c r="AB21" s="124">
        <f t="shared" si="6"/>
        <v>3977280</v>
      </c>
      <c r="AC21" s="124">
        <f t="shared" si="6"/>
        <v>3977280</v>
      </c>
      <c r="AD21" s="124">
        <f t="shared" si="6"/>
        <v>3977280</v>
      </c>
      <c r="AE21" s="124">
        <f t="shared" si="6"/>
        <v>3977280</v>
      </c>
      <c r="AF21" s="124">
        <f t="shared" si="6"/>
        <v>2666880</v>
      </c>
      <c r="AG21" s="124">
        <f t="shared" si="6"/>
        <v>2105280</v>
      </c>
      <c r="AH21" s="124">
        <f t="shared" si="6"/>
        <v>2666880</v>
      </c>
      <c r="AI21" s="124">
        <f t="shared" si="6"/>
        <v>4212000</v>
      </c>
      <c r="AJ21" s="124">
        <f t="shared" si="6"/>
        <v>5990400</v>
      </c>
      <c r="AK21" s="124">
        <f t="shared" si="6"/>
        <v>2105280</v>
      </c>
      <c r="AL21" s="124">
        <f t="shared" si="6"/>
        <v>2105280</v>
      </c>
      <c r="AM21" s="124">
        <f t="shared" si="6"/>
        <v>2105280</v>
      </c>
      <c r="AN21" s="124">
        <f t="shared" si="6"/>
        <v>9360000</v>
      </c>
      <c r="AO21" s="124">
        <f t="shared" si="6"/>
        <v>4305600</v>
      </c>
      <c r="AP21" s="124">
        <f t="shared" si="6"/>
        <v>12542400</v>
      </c>
      <c r="AQ21" s="124">
        <f t="shared" si="6"/>
        <v>4305600</v>
      </c>
      <c r="AR21" s="124">
        <f t="shared" si="6"/>
        <v>11232000</v>
      </c>
      <c r="AS21" s="124">
        <f t="shared" si="6"/>
        <v>10296000</v>
      </c>
      <c r="AT21" s="124">
        <f t="shared" si="6"/>
        <v>11232000</v>
      </c>
      <c r="AU21" s="124">
        <f t="shared" si="6"/>
        <v>11232000</v>
      </c>
      <c r="AV21" s="124">
        <f t="shared" si="6"/>
        <v>10296000</v>
      </c>
      <c r="AW21" s="124">
        <f t="shared" si="6"/>
        <v>11232000</v>
      </c>
      <c r="AX21" s="124">
        <f t="shared" si="6"/>
        <v>11232000</v>
      </c>
      <c r="AY21" s="124">
        <f t="shared" si="6"/>
        <v>11232000</v>
      </c>
      <c r="AZ21" s="124">
        <f t="shared" si="6"/>
        <v>10296000</v>
      </c>
      <c r="BA21" s="124">
        <f t="shared" si="6"/>
        <v>10296000</v>
      </c>
      <c r="BB21" s="124">
        <f t="shared" si="6"/>
        <v>10296000</v>
      </c>
      <c r="BC21" s="124">
        <f t="shared" si="6"/>
        <v>3546720</v>
      </c>
      <c r="BD21" s="124">
        <f t="shared" si="6"/>
        <v>233280</v>
      </c>
      <c r="BE21" s="124">
        <f t="shared" si="6"/>
        <v>233280</v>
      </c>
    </row>
    <row r="22" spans="1:57" ht="24" x14ac:dyDescent="0.25">
      <c r="A22" s="107" t="s">
        <v>267</v>
      </c>
      <c r="B22" s="124">
        <f>ROUND((B13+B14)*'DATOS INICIALES'!$B$17,0)</f>
        <v>5428800</v>
      </c>
      <c r="C22" s="124">
        <f>ROUND((C13+C14)*'DATOS INICIALES'!$B$17,0)</f>
        <v>5428800</v>
      </c>
      <c r="D22" s="124">
        <f>ROUND((D13+D14)*'DATOS INICIALES'!$B$17,0)</f>
        <v>4343040</v>
      </c>
      <c r="E22" s="124">
        <f>ROUND((E13+E14)*'DATOS INICIALES'!$B$17,0)</f>
        <v>4343040</v>
      </c>
      <c r="F22" s="124">
        <f>ROUND((F13+F14)*'DATOS INICIALES'!$B$17,0)</f>
        <v>3257280</v>
      </c>
      <c r="G22" s="124">
        <f>ROUND((G13+G14)*'DATOS INICIALES'!$B$17,0)</f>
        <v>3257280</v>
      </c>
      <c r="H22" s="124">
        <f>ROUND((H13+H14)*'DATOS INICIALES'!$B$17,0)</f>
        <v>2497248</v>
      </c>
      <c r="I22" s="124">
        <f>ROUND((I13+I14)*'DATOS INICIALES'!$B$17,0)</f>
        <v>2057098</v>
      </c>
      <c r="J22" s="124">
        <f>ROUND((J13+J14)*'DATOS INICIALES'!$B$17,0)</f>
        <v>7274592</v>
      </c>
      <c r="K22" s="124">
        <f>ROUND((K13+K14)*'DATOS INICIALES'!$B$17,0)</f>
        <v>4994496</v>
      </c>
      <c r="L22" s="124">
        <f>ROUND((L13+L14)*'DATOS INICIALES'!$B$17,0)</f>
        <v>2143958</v>
      </c>
      <c r="M22" s="124">
        <f>ROUND((M13+M14)*'DATOS INICIALES'!$B$17,0)</f>
        <v>1709654</v>
      </c>
      <c r="N22" s="124">
        <f>ROUND((N13+N14)*'DATOS INICIALES'!$B$17,0)</f>
        <v>1221062</v>
      </c>
      <c r="O22" s="124">
        <f>ROUND((O13+O14)*'DATOS INICIALES'!$B$17,0)</f>
        <v>1221062</v>
      </c>
      <c r="P22" s="124">
        <f>ROUND((P13+P14)*'DATOS INICIALES'!$B$17,0)</f>
        <v>1221062</v>
      </c>
      <c r="Q22" s="124">
        <f>ROUND((Q13+Q14)*'DATOS INICIALES'!$B$17,0)</f>
        <v>5211648</v>
      </c>
      <c r="R22" s="124">
        <f>ROUND((R13+R14)*'DATOS INICIALES'!$B$17,0)</f>
        <v>2551536</v>
      </c>
      <c r="S22" s="124">
        <f>ROUND((S13+S14)*'DATOS INICIALES'!$B$17,0)</f>
        <v>1601078</v>
      </c>
      <c r="T22" s="124">
        <f>ROUND((T13+T14)*'DATOS INICIALES'!$B$17,0)</f>
        <v>3257280</v>
      </c>
      <c r="U22" s="124">
        <f>ROUND((U13+U14)*'DATOS INICIALES'!$B$17,0)</f>
        <v>2497248</v>
      </c>
      <c r="V22" s="124">
        <f>ROUND((V13+V14)*'DATOS INICIALES'!$B$17,0)</f>
        <v>2985840</v>
      </c>
      <c r="W22" s="124">
        <f>ROUND((W13+W14)*'DATOS INICIALES'!$B$17,0)</f>
        <v>1546790</v>
      </c>
      <c r="X22" s="124">
        <f>ROUND((X13+X14)*'DATOS INICIALES'!$B$17,0)</f>
        <v>2306822</v>
      </c>
      <c r="Y22" s="124">
        <f>ROUND((Y13+Y14)*'DATOS INICIALES'!$B$17,0)</f>
        <v>1438214</v>
      </c>
      <c r="Z22" s="124">
        <f>ROUND((Z13+Z14)*'DATOS INICIALES'!$B$17,0)</f>
        <v>2306822</v>
      </c>
      <c r="AA22" s="124">
        <f>ROUND((AA13+AA14)*'DATOS INICIALES'!$B$17,0)</f>
        <v>1329638</v>
      </c>
      <c r="AB22" s="124">
        <f>ROUND((AB13+AB14)*'DATOS INICIALES'!$B$17,0)</f>
        <v>2306822</v>
      </c>
      <c r="AC22" s="124">
        <f>ROUND((AC13+AC14)*'DATOS INICIALES'!$B$17,0)</f>
        <v>2306822</v>
      </c>
      <c r="AD22" s="124">
        <f>ROUND((AD13+AD14)*'DATOS INICIALES'!$B$17,0)</f>
        <v>2306822</v>
      </c>
      <c r="AE22" s="124">
        <f>ROUND((AE13+AE14)*'DATOS INICIALES'!$B$17,0)</f>
        <v>2306822</v>
      </c>
      <c r="AF22" s="124">
        <f>ROUND((AF13+AF14)*'DATOS INICIALES'!$B$17,0)</f>
        <v>1546790</v>
      </c>
      <c r="AG22" s="124">
        <f>ROUND((AG13+AG14)*'DATOS INICIALES'!$B$17,0)</f>
        <v>1221062</v>
      </c>
      <c r="AH22" s="124">
        <f>ROUND((AH13+AH14)*'DATOS INICIALES'!$B$17,0)</f>
        <v>1546790</v>
      </c>
      <c r="AI22" s="124">
        <f>ROUND((AI13+AI14)*'DATOS INICIALES'!$B$17,0)</f>
        <v>2442960</v>
      </c>
      <c r="AJ22" s="124">
        <f>ROUND((AJ13+AJ14)*'DATOS INICIALES'!$B$17,0)</f>
        <v>3474432</v>
      </c>
      <c r="AK22" s="124">
        <f>ROUND((AK13+AK14)*'DATOS INICIALES'!$B$17,0)</f>
        <v>1221062</v>
      </c>
      <c r="AL22" s="124">
        <f>ROUND((AL13+AL14)*'DATOS INICIALES'!$B$17,0)</f>
        <v>1221062</v>
      </c>
      <c r="AM22" s="124">
        <f>ROUND((AM13+AM14)*'DATOS INICIALES'!$B$17,0)</f>
        <v>1221062</v>
      </c>
      <c r="AN22" s="124">
        <f>ROUND((AN13+AN14)*'DATOS INICIALES'!$B$17,0)</f>
        <v>5428800</v>
      </c>
      <c r="AO22" s="124">
        <f>ROUND((AO13+AO14)*'DATOS INICIALES'!$B$17,0)</f>
        <v>2497248</v>
      </c>
      <c r="AP22" s="124">
        <f>ROUND((AP13+AP14)*'DATOS INICIALES'!$B$17,0)</f>
        <v>7274592</v>
      </c>
      <c r="AQ22" s="124">
        <f>ROUND((AQ13+AQ14)*'DATOS INICIALES'!$B$17,0)</f>
        <v>2497248</v>
      </c>
      <c r="AR22" s="124">
        <f>ROUND((AR13+AR14)*'DATOS INICIALES'!$B$17,0)</f>
        <v>6514560</v>
      </c>
      <c r="AS22" s="124">
        <f>ROUND((AS13+AS14)*'DATOS INICIALES'!$B$17,0)</f>
        <v>5971680</v>
      </c>
      <c r="AT22" s="124">
        <f>ROUND((AT13+AT14)*'DATOS INICIALES'!$B$17,0)</f>
        <v>6514560</v>
      </c>
      <c r="AU22" s="124">
        <f>ROUND((AU13+AU14)*'DATOS INICIALES'!$B$17,0)</f>
        <v>6514560</v>
      </c>
      <c r="AV22" s="124">
        <f>ROUND((AV13+AV14)*'DATOS INICIALES'!$B$17,0)</f>
        <v>5971680</v>
      </c>
      <c r="AW22" s="124">
        <f>ROUND((AW13+AW14)*'DATOS INICIALES'!$B$17,0)</f>
        <v>6514560</v>
      </c>
      <c r="AX22" s="124">
        <f>ROUND((AX13+AX14)*'DATOS INICIALES'!$B$17,0)</f>
        <v>6514560</v>
      </c>
      <c r="AY22" s="124">
        <f>ROUND((AY13+AY14)*'DATOS INICIALES'!$B$17,0)</f>
        <v>6514560</v>
      </c>
      <c r="AZ22" s="124">
        <f>ROUND((AZ13+AZ14)*'DATOS INICIALES'!$B$17,0)</f>
        <v>5971680</v>
      </c>
      <c r="BA22" s="124">
        <f>ROUND((BA13+BA14)*'DATOS INICIALES'!$B$17,0)</f>
        <v>5971680</v>
      </c>
      <c r="BB22" s="124">
        <f>ROUND((BB13+BB14)*'DATOS INICIALES'!$B$17,0)</f>
        <v>5971680</v>
      </c>
      <c r="BC22" s="124">
        <f>ROUND((BC13+BC14)*'DATOS INICIALES'!$B$17,0)</f>
        <v>2057098</v>
      </c>
      <c r="BD22" s="124">
        <f>ROUND((BD13+BD14)*'DATOS INICIALES'!$B$17,0)</f>
        <v>135302</v>
      </c>
      <c r="BE22" s="124">
        <f>ROUND((BE13+BE14)*'DATOS INICIALES'!$B$17,0)</f>
        <v>135302</v>
      </c>
    </row>
    <row r="23" spans="1:57" ht="24" x14ac:dyDescent="0.25">
      <c r="A23" s="107" t="s">
        <v>268</v>
      </c>
      <c r="B23" s="124">
        <f>ROUND((B13+B14)*0.04,0)</f>
        <v>3120000</v>
      </c>
      <c r="C23" s="124">
        <f t="shared" ref="C23:BE23" si="7">ROUND((C13+C14)*0.04,0)</f>
        <v>3120000</v>
      </c>
      <c r="D23" s="124">
        <f t="shared" si="7"/>
        <v>2496000</v>
      </c>
      <c r="E23" s="124">
        <f t="shared" si="7"/>
        <v>2496000</v>
      </c>
      <c r="F23" s="124">
        <f t="shared" si="7"/>
        <v>1872000</v>
      </c>
      <c r="G23" s="124">
        <f t="shared" si="7"/>
        <v>1872000</v>
      </c>
      <c r="H23" s="124">
        <f t="shared" si="7"/>
        <v>1435200</v>
      </c>
      <c r="I23" s="124">
        <f t="shared" si="7"/>
        <v>1182240</v>
      </c>
      <c r="J23" s="124">
        <f t="shared" si="7"/>
        <v>4180800</v>
      </c>
      <c r="K23" s="124">
        <f t="shared" si="7"/>
        <v>2870400</v>
      </c>
      <c r="L23" s="124">
        <f t="shared" si="7"/>
        <v>1232160</v>
      </c>
      <c r="M23" s="124">
        <f t="shared" si="7"/>
        <v>982560</v>
      </c>
      <c r="N23" s="124">
        <f t="shared" si="7"/>
        <v>701760</v>
      </c>
      <c r="O23" s="124">
        <f t="shared" si="7"/>
        <v>701760</v>
      </c>
      <c r="P23" s="124">
        <f t="shared" si="7"/>
        <v>701760</v>
      </c>
      <c r="Q23" s="124">
        <f t="shared" si="7"/>
        <v>2995200</v>
      </c>
      <c r="R23" s="124">
        <f t="shared" si="7"/>
        <v>1466400</v>
      </c>
      <c r="S23" s="124">
        <f t="shared" si="7"/>
        <v>920160</v>
      </c>
      <c r="T23" s="124">
        <f t="shared" si="7"/>
        <v>1872000</v>
      </c>
      <c r="U23" s="124">
        <f t="shared" si="7"/>
        <v>1435200</v>
      </c>
      <c r="V23" s="124">
        <f t="shared" si="7"/>
        <v>1716000</v>
      </c>
      <c r="W23" s="124">
        <f t="shared" si="7"/>
        <v>888960</v>
      </c>
      <c r="X23" s="124">
        <f t="shared" si="7"/>
        <v>1325760</v>
      </c>
      <c r="Y23" s="124">
        <f t="shared" si="7"/>
        <v>826560</v>
      </c>
      <c r="Z23" s="124">
        <f t="shared" si="7"/>
        <v>1325760</v>
      </c>
      <c r="AA23" s="124">
        <f t="shared" si="7"/>
        <v>764160</v>
      </c>
      <c r="AB23" s="124">
        <f t="shared" si="7"/>
        <v>1325760</v>
      </c>
      <c r="AC23" s="124">
        <f t="shared" si="7"/>
        <v>1325760</v>
      </c>
      <c r="AD23" s="124">
        <f t="shared" si="7"/>
        <v>1325760</v>
      </c>
      <c r="AE23" s="124">
        <f t="shared" si="7"/>
        <v>1325760</v>
      </c>
      <c r="AF23" s="124">
        <f t="shared" si="7"/>
        <v>888960</v>
      </c>
      <c r="AG23" s="124">
        <f t="shared" si="7"/>
        <v>701760</v>
      </c>
      <c r="AH23" s="124">
        <f t="shared" si="7"/>
        <v>888960</v>
      </c>
      <c r="AI23" s="124">
        <f t="shared" si="7"/>
        <v>1404000</v>
      </c>
      <c r="AJ23" s="124">
        <f t="shared" si="7"/>
        <v>1996800</v>
      </c>
      <c r="AK23" s="124">
        <f t="shared" si="7"/>
        <v>701760</v>
      </c>
      <c r="AL23" s="124">
        <f t="shared" si="7"/>
        <v>701760</v>
      </c>
      <c r="AM23" s="124">
        <f t="shared" si="7"/>
        <v>701760</v>
      </c>
      <c r="AN23" s="124">
        <f t="shared" si="7"/>
        <v>3120000</v>
      </c>
      <c r="AO23" s="124">
        <f t="shared" si="7"/>
        <v>1435200</v>
      </c>
      <c r="AP23" s="124">
        <f t="shared" si="7"/>
        <v>4180800</v>
      </c>
      <c r="AQ23" s="124">
        <f t="shared" si="7"/>
        <v>1435200</v>
      </c>
      <c r="AR23" s="124">
        <f t="shared" si="7"/>
        <v>3744000</v>
      </c>
      <c r="AS23" s="124">
        <f t="shared" si="7"/>
        <v>3432000</v>
      </c>
      <c r="AT23" s="124">
        <f t="shared" si="7"/>
        <v>3744000</v>
      </c>
      <c r="AU23" s="124">
        <f t="shared" si="7"/>
        <v>3744000</v>
      </c>
      <c r="AV23" s="124">
        <f t="shared" si="7"/>
        <v>3432000</v>
      </c>
      <c r="AW23" s="124">
        <f t="shared" si="7"/>
        <v>3744000</v>
      </c>
      <c r="AX23" s="124">
        <f t="shared" si="7"/>
        <v>3744000</v>
      </c>
      <c r="AY23" s="124">
        <f t="shared" si="7"/>
        <v>3744000</v>
      </c>
      <c r="AZ23" s="124">
        <f t="shared" si="7"/>
        <v>3432000</v>
      </c>
      <c r="BA23" s="124">
        <f t="shared" si="7"/>
        <v>3432000</v>
      </c>
      <c r="BB23" s="124">
        <f t="shared" si="7"/>
        <v>3432000</v>
      </c>
      <c r="BC23" s="124">
        <f t="shared" si="7"/>
        <v>1182240</v>
      </c>
      <c r="BD23" s="124">
        <f t="shared" si="7"/>
        <v>77760</v>
      </c>
      <c r="BE23" s="124">
        <f t="shared" si="7"/>
        <v>77760</v>
      </c>
    </row>
    <row r="24" spans="1:57" ht="24" x14ac:dyDescent="0.25">
      <c r="A24" s="107" t="s">
        <v>269</v>
      </c>
      <c r="B24" s="124">
        <f>IF('DATOS INICIALES'!B14="NO",('FACTOR PRESTACIONAL'!B13+'FACTOR PRESTACIONAL'!B14)*0.02,0)</f>
        <v>0</v>
      </c>
      <c r="C24" s="124">
        <f>IF('DATOS INICIALES'!C14="NO",('FACTOR PRESTACIONAL'!C13+'FACTOR PRESTACIONAL'!C14)*0.02,0)</f>
        <v>0</v>
      </c>
      <c r="D24" s="124">
        <f>IF('DATOS INICIALES'!D14="NO",('FACTOR PRESTACIONAL'!D13+'FACTOR PRESTACIONAL'!D14)*0.02,0)</f>
        <v>0</v>
      </c>
      <c r="E24" s="124">
        <f>IF('DATOS INICIALES'!E14="NO",('FACTOR PRESTACIONAL'!E13+'FACTOR PRESTACIONAL'!E14)*0.02,0)</f>
        <v>0</v>
      </c>
      <c r="F24" s="124">
        <f>IF('DATOS INICIALES'!F14="NO",('FACTOR PRESTACIONAL'!F13+'FACTOR PRESTACIONAL'!F14)*0.02,0)</f>
        <v>0</v>
      </c>
      <c r="G24" s="124">
        <f>IF('DATOS INICIALES'!G14="NO",('FACTOR PRESTACIONAL'!G13+'FACTOR PRESTACIONAL'!G14)*0.02,0)</f>
        <v>0</v>
      </c>
      <c r="H24" s="124">
        <f>IF('DATOS INICIALES'!H14="NO",('FACTOR PRESTACIONAL'!H13+'FACTOR PRESTACIONAL'!H14)*0.02,0)</f>
        <v>0</v>
      </c>
      <c r="I24" s="124">
        <f>IF('DATOS INICIALES'!I14="NO",('FACTOR PRESTACIONAL'!I13+'FACTOR PRESTACIONAL'!I14)*0.02,0)</f>
        <v>0</v>
      </c>
      <c r="J24" s="124">
        <f>IF('DATOS INICIALES'!J14="NO",('FACTOR PRESTACIONAL'!J13+'FACTOR PRESTACIONAL'!J14)*0.02,0)</f>
        <v>0</v>
      </c>
      <c r="K24" s="124">
        <f>IF('DATOS INICIALES'!K14="NO",('FACTOR PRESTACIONAL'!K13+'FACTOR PRESTACIONAL'!K14)*0.02,0)</f>
        <v>0</v>
      </c>
      <c r="L24" s="124">
        <f>IF('DATOS INICIALES'!L14="NO",('FACTOR PRESTACIONAL'!L13+'FACTOR PRESTACIONAL'!L14)*0.02,0)</f>
        <v>0</v>
      </c>
      <c r="M24" s="124">
        <f>IF('DATOS INICIALES'!M14="NO",('FACTOR PRESTACIONAL'!M13+'FACTOR PRESTACIONAL'!M14)*0.02,0)</f>
        <v>0</v>
      </c>
      <c r="N24" s="124">
        <f>IF('DATOS INICIALES'!N14="NO",('FACTOR PRESTACIONAL'!N13+'FACTOR PRESTACIONAL'!N14)*0.02,0)</f>
        <v>0</v>
      </c>
      <c r="O24" s="124">
        <f>IF('DATOS INICIALES'!O14="NO",('FACTOR PRESTACIONAL'!O13+'FACTOR PRESTACIONAL'!O14)*0.02,0)</f>
        <v>0</v>
      </c>
      <c r="P24" s="124">
        <f>IF('DATOS INICIALES'!P14="NO",('FACTOR PRESTACIONAL'!P13+'FACTOR PRESTACIONAL'!P14)*0.02,0)</f>
        <v>0</v>
      </c>
      <c r="Q24" s="124">
        <f>IF('DATOS INICIALES'!Q14="NO",('FACTOR PRESTACIONAL'!Q13+'FACTOR PRESTACIONAL'!Q14)*0.02,0)</f>
        <v>0</v>
      </c>
      <c r="R24" s="124">
        <f>IF('DATOS INICIALES'!R14="NO",('FACTOR PRESTACIONAL'!R13+'FACTOR PRESTACIONAL'!R14)*0.02,0)</f>
        <v>0</v>
      </c>
      <c r="S24" s="124">
        <f>IF('DATOS INICIALES'!S14="NO",('FACTOR PRESTACIONAL'!S13+'FACTOR PRESTACIONAL'!S14)*0.02,0)</f>
        <v>0</v>
      </c>
      <c r="T24" s="124">
        <f>IF('DATOS INICIALES'!T14="NO",('FACTOR PRESTACIONAL'!T13+'FACTOR PRESTACIONAL'!T14)*0.02,0)</f>
        <v>0</v>
      </c>
      <c r="U24" s="124">
        <f>IF('DATOS INICIALES'!U14="NO",('FACTOR PRESTACIONAL'!U13+'FACTOR PRESTACIONAL'!U14)*0.02,0)</f>
        <v>0</v>
      </c>
      <c r="V24" s="124">
        <f>IF('DATOS INICIALES'!V14="NO",('FACTOR PRESTACIONAL'!V13+'FACTOR PRESTACIONAL'!V14)*0.02,0)</f>
        <v>0</v>
      </c>
      <c r="W24" s="124">
        <f>IF('DATOS INICIALES'!W14="NO",('FACTOR PRESTACIONAL'!W13+'FACTOR PRESTACIONAL'!W14)*0.02,0)</f>
        <v>0</v>
      </c>
      <c r="X24" s="124">
        <f>IF('DATOS INICIALES'!X14="NO",('FACTOR PRESTACIONAL'!X13+'FACTOR PRESTACIONAL'!X14)*0.02,0)</f>
        <v>0</v>
      </c>
      <c r="Y24" s="124">
        <f>IF('DATOS INICIALES'!Y14="NO",('FACTOR PRESTACIONAL'!Y13+'FACTOR PRESTACIONAL'!Y14)*0.02,0)</f>
        <v>0</v>
      </c>
      <c r="Z24" s="124">
        <f>IF('DATOS INICIALES'!Z14="NO",('FACTOR PRESTACIONAL'!Z13+'FACTOR PRESTACIONAL'!Z14)*0.02,0)</f>
        <v>0</v>
      </c>
      <c r="AA24" s="124">
        <f>IF('DATOS INICIALES'!AA14="NO",('FACTOR PRESTACIONAL'!AA13+'FACTOR PRESTACIONAL'!AA14)*0.02,0)</f>
        <v>0</v>
      </c>
      <c r="AB24" s="124">
        <f>IF('DATOS INICIALES'!AB14="NO",('FACTOR PRESTACIONAL'!AB13+'FACTOR PRESTACIONAL'!AB14)*0.02,0)</f>
        <v>0</v>
      </c>
      <c r="AC24" s="124">
        <f>IF('DATOS INICIALES'!AC14="NO",('FACTOR PRESTACIONAL'!AC13+'FACTOR PRESTACIONAL'!AC14)*0.02,0)</f>
        <v>0</v>
      </c>
      <c r="AD24" s="124">
        <f>IF('DATOS INICIALES'!AD14="NO",('FACTOR PRESTACIONAL'!AD13+'FACTOR PRESTACIONAL'!AD14)*0.02,0)</f>
        <v>0</v>
      </c>
      <c r="AE24" s="124">
        <f>IF('DATOS INICIALES'!AE14="NO",('FACTOR PRESTACIONAL'!AE13+'FACTOR PRESTACIONAL'!AE14)*0.02,0)</f>
        <v>0</v>
      </c>
      <c r="AF24" s="124">
        <f>IF('DATOS INICIALES'!AF14="NO",('FACTOR PRESTACIONAL'!AF13+'FACTOR PRESTACIONAL'!AF14)*0.02,0)</f>
        <v>0</v>
      </c>
      <c r="AG24" s="124">
        <f>IF('DATOS INICIALES'!AG14="NO",('FACTOR PRESTACIONAL'!AG13+'FACTOR PRESTACIONAL'!AG14)*0.02,0)</f>
        <v>0</v>
      </c>
      <c r="AH24" s="124">
        <f>IF('DATOS INICIALES'!AH14="NO",('FACTOR PRESTACIONAL'!AH13+'FACTOR PRESTACIONAL'!AH14)*0.02,0)</f>
        <v>0</v>
      </c>
      <c r="AI24" s="124">
        <f>IF('DATOS INICIALES'!AI14="NO",('FACTOR PRESTACIONAL'!AI13+'FACTOR PRESTACIONAL'!AI14)*0.02,0)</f>
        <v>0</v>
      </c>
      <c r="AJ24" s="124">
        <f>IF('DATOS INICIALES'!AJ14="NO",('FACTOR PRESTACIONAL'!AJ13+'FACTOR PRESTACIONAL'!AJ14)*0.02,0)</f>
        <v>0</v>
      </c>
      <c r="AK24" s="124">
        <f>IF('DATOS INICIALES'!AK14="NO",('FACTOR PRESTACIONAL'!AK13+'FACTOR PRESTACIONAL'!AK14)*0.02,0)</f>
        <v>0</v>
      </c>
      <c r="AL24" s="124">
        <f>IF('DATOS INICIALES'!AL14="NO",('FACTOR PRESTACIONAL'!AL13+'FACTOR PRESTACIONAL'!AL14)*0.02,0)</f>
        <v>0</v>
      </c>
      <c r="AM24" s="124">
        <f>IF('DATOS INICIALES'!AM14="NO",('FACTOR PRESTACIONAL'!AM13+'FACTOR PRESTACIONAL'!AM14)*0.02,0)</f>
        <v>0</v>
      </c>
      <c r="AN24" s="124">
        <f>IF('DATOS INICIALES'!AN14="NO",('FACTOR PRESTACIONAL'!AN13+'FACTOR PRESTACIONAL'!AN14)*0.02,0)</f>
        <v>0</v>
      </c>
      <c r="AO24" s="124">
        <f>IF('DATOS INICIALES'!AO14="NO",('FACTOR PRESTACIONAL'!AO13+'FACTOR PRESTACIONAL'!AO14)*0.02,0)</f>
        <v>0</v>
      </c>
      <c r="AP24" s="124">
        <f>IF('DATOS INICIALES'!AP14="NO",('FACTOR PRESTACIONAL'!AP13+'FACTOR PRESTACIONAL'!AP14)*0.02,0)</f>
        <v>0</v>
      </c>
      <c r="AQ24" s="124">
        <f>IF('DATOS INICIALES'!AQ14="NO",('FACTOR PRESTACIONAL'!AQ13+'FACTOR PRESTACIONAL'!AQ14)*0.02,0)</f>
        <v>0</v>
      </c>
      <c r="AR24" s="124">
        <f>IF('DATOS INICIALES'!AR14="NO",('FACTOR PRESTACIONAL'!AR13+'FACTOR PRESTACIONAL'!AR14)*0.02,0)</f>
        <v>0</v>
      </c>
      <c r="AS24" s="124">
        <f>IF('DATOS INICIALES'!AS14="NO",('FACTOR PRESTACIONAL'!AS13+'FACTOR PRESTACIONAL'!AS14)*0.02,0)</f>
        <v>0</v>
      </c>
      <c r="AT24" s="124">
        <f>IF('DATOS INICIALES'!AT14="NO",('FACTOR PRESTACIONAL'!AT13+'FACTOR PRESTACIONAL'!AT14)*0.02,0)</f>
        <v>0</v>
      </c>
      <c r="AU24" s="124">
        <f>IF('DATOS INICIALES'!AU14="NO",('FACTOR PRESTACIONAL'!AU13+'FACTOR PRESTACIONAL'!AU14)*0.02,0)</f>
        <v>0</v>
      </c>
      <c r="AV24" s="124">
        <f>IF('DATOS INICIALES'!AV14="NO",('FACTOR PRESTACIONAL'!AV13+'FACTOR PRESTACIONAL'!AV14)*0.02,0)</f>
        <v>0</v>
      </c>
      <c r="AW24" s="124">
        <f>IF('DATOS INICIALES'!AW14="NO",('FACTOR PRESTACIONAL'!AW13+'FACTOR PRESTACIONAL'!AW14)*0.02,0)</f>
        <v>0</v>
      </c>
      <c r="AX24" s="124">
        <f>IF('DATOS INICIALES'!AX14="NO",('FACTOR PRESTACIONAL'!AX13+'FACTOR PRESTACIONAL'!AX14)*0.02,0)</f>
        <v>0</v>
      </c>
      <c r="AY24" s="124">
        <f>IF('DATOS INICIALES'!AY14="NO",('FACTOR PRESTACIONAL'!AY13+'FACTOR PRESTACIONAL'!AY14)*0.02,0)</f>
        <v>0</v>
      </c>
      <c r="AZ24" s="124">
        <f>IF('DATOS INICIALES'!AZ14="NO",('FACTOR PRESTACIONAL'!AZ13+'FACTOR PRESTACIONAL'!AZ14)*0.02,0)</f>
        <v>0</v>
      </c>
      <c r="BA24" s="124">
        <f>IF('DATOS INICIALES'!BA14="NO",('FACTOR PRESTACIONAL'!BA13+'FACTOR PRESTACIONAL'!BA14)*0.02,0)</f>
        <v>0</v>
      </c>
      <c r="BB24" s="124">
        <f>IF('DATOS INICIALES'!BB14="NO",('FACTOR PRESTACIONAL'!BB13+'FACTOR PRESTACIONAL'!BB14)*0.02,0)</f>
        <v>0</v>
      </c>
      <c r="BC24" s="124">
        <f>IF('DATOS INICIALES'!BC14="NO",('FACTOR PRESTACIONAL'!BC13+'FACTOR PRESTACIONAL'!BC14)*0.02,0)</f>
        <v>0</v>
      </c>
      <c r="BD24" s="124">
        <f>IF('DATOS INICIALES'!BD14="NO",('FACTOR PRESTACIONAL'!BD13+'FACTOR PRESTACIONAL'!BD14)*0.02,0)</f>
        <v>0</v>
      </c>
      <c r="BE24" s="124">
        <f>IF('DATOS INICIALES'!BE14="NO",('FACTOR PRESTACIONAL'!BE13+'FACTOR PRESTACIONAL'!BE14)*0.02,0)</f>
        <v>0</v>
      </c>
    </row>
    <row r="25" spans="1:57" ht="24" x14ac:dyDescent="0.25">
      <c r="A25" s="107" t="s">
        <v>270</v>
      </c>
      <c r="B25" s="124">
        <f>IF('DATOS INICIALES'!B14="NO",('FACTOR PRESTACIONAL'!B13+'FACTOR PRESTACIONAL'!B14)*0.03,0)</f>
        <v>0</v>
      </c>
      <c r="C25" s="124">
        <f>IF('DATOS INICIALES'!C14="NO",('FACTOR PRESTACIONAL'!C13+'FACTOR PRESTACIONAL'!C14)*0.03,0)</f>
        <v>0</v>
      </c>
      <c r="D25" s="124">
        <f>IF('DATOS INICIALES'!D14="NO",('FACTOR PRESTACIONAL'!D13+'FACTOR PRESTACIONAL'!D14)*0.03,0)</f>
        <v>0</v>
      </c>
      <c r="E25" s="124">
        <f>IF('DATOS INICIALES'!E14="NO",('FACTOR PRESTACIONAL'!E13+'FACTOR PRESTACIONAL'!E14)*0.03,0)</f>
        <v>0</v>
      </c>
      <c r="F25" s="124">
        <f>IF('DATOS INICIALES'!F14="NO",('FACTOR PRESTACIONAL'!F13+'FACTOR PRESTACIONAL'!F14)*0.03,0)</f>
        <v>0</v>
      </c>
      <c r="G25" s="124">
        <f>IF('DATOS INICIALES'!G14="NO",('FACTOR PRESTACIONAL'!G13+'FACTOR PRESTACIONAL'!G14)*0.03,0)</f>
        <v>0</v>
      </c>
      <c r="H25" s="124">
        <f>IF('DATOS INICIALES'!H14="NO",('FACTOR PRESTACIONAL'!H13+'FACTOR PRESTACIONAL'!H14)*0.03,0)</f>
        <v>0</v>
      </c>
      <c r="I25" s="124">
        <f>IF('DATOS INICIALES'!I14="NO",('FACTOR PRESTACIONAL'!I13+'FACTOR PRESTACIONAL'!I14)*0.03,0)</f>
        <v>0</v>
      </c>
      <c r="J25" s="124">
        <f>IF('DATOS INICIALES'!J14="NO",('FACTOR PRESTACIONAL'!J13+'FACTOR PRESTACIONAL'!J14)*0.03,0)</f>
        <v>0</v>
      </c>
      <c r="K25" s="124">
        <f>IF('DATOS INICIALES'!K14="NO",('FACTOR PRESTACIONAL'!K13+'FACTOR PRESTACIONAL'!K14)*0.03,0)</f>
        <v>0</v>
      </c>
      <c r="L25" s="124">
        <f>IF('DATOS INICIALES'!L14="NO",('FACTOR PRESTACIONAL'!L13+'FACTOR PRESTACIONAL'!L14)*0.03,0)</f>
        <v>0</v>
      </c>
      <c r="M25" s="124">
        <f>IF('DATOS INICIALES'!M14="NO",('FACTOR PRESTACIONAL'!M13+'FACTOR PRESTACIONAL'!M14)*0.03,0)</f>
        <v>0</v>
      </c>
      <c r="N25" s="124">
        <f>IF('DATOS INICIALES'!N14="NO",('FACTOR PRESTACIONAL'!N13+'FACTOR PRESTACIONAL'!N14)*0.03,0)</f>
        <v>0</v>
      </c>
      <c r="O25" s="124">
        <f>IF('DATOS INICIALES'!O14="NO",('FACTOR PRESTACIONAL'!O13+'FACTOR PRESTACIONAL'!O14)*0.03,0)</f>
        <v>0</v>
      </c>
      <c r="P25" s="124">
        <f>IF('DATOS INICIALES'!P14="NO",('FACTOR PRESTACIONAL'!P13+'FACTOR PRESTACIONAL'!P14)*0.03,0)</f>
        <v>0</v>
      </c>
      <c r="Q25" s="124">
        <f>IF('DATOS INICIALES'!Q14="NO",('FACTOR PRESTACIONAL'!Q13+'FACTOR PRESTACIONAL'!Q14)*0.03,0)</f>
        <v>0</v>
      </c>
      <c r="R25" s="124">
        <f>IF('DATOS INICIALES'!R14="NO",('FACTOR PRESTACIONAL'!R13+'FACTOR PRESTACIONAL'!R14)*0.03,0)</f>
        <v>0</v>
      </c>
      <c r="S25" s="124">
        <f>IF('DATOS INICIALES'!S14="NO",('FACTOR PRESTACIONAL'!S13+'FACTOR PRESTACIONAL'!S14)*0.03,0)</f>
        <v>0</v>
      </c>
      <c r="T25" s="124">
        <f>IF('DATOS INICIALES'!T14="NO",('FACTOR PRESTACIONAL'!T13+'FACTOR PRESTACIONAL'!T14)*0.03,0)</f>
        <v>0</v>
      </c>
      <c r="U25" s="124">
        <f>IF('DATOS INICIALES'!U14="NO",('FACTOR PRESTACIONAL'!U13+'FACTOR PRESTACIONAL'!U14)*0.03,0)</f>
        <v>0</v>
      </c>
      <c r="V25" s="124">
        <f>IF('DATOS INICIALES'!V14="NO",('FACTOR PRESTACIONAL'!V13+'FACTOR PRESTACIONAL'!V14)*0.03,0)</f>
        <v>0</v>
      </c>
      <c r="W25" s="124">
        <f>IF('DATOS INICIALES'!W14="NO",('FACTOR PRESTACIONAL'!W13+'FACTOR PRESTACIONAL'!W14)*0.03,0)</f>
        <v>0</v>
      </c>
      <c r="X25" s="124">
        <f>IF('DATOS INICIALES'!X14="NO",('FACTOR PRESTACIONAL'!X13+'FACTOR PRESTACIONAL'!X14)*0.03,0)</f>
        <v>0</v>
      </c>
      <c r="Y25" s="124">
        <f>IF('DATOS INICIALES'!Y14="NO",('FACTOR PRESTACIONAL'!Y13+'FACTOR PRESTACIONAL'!Y14)*0.03,0)</f>
        <v>0</v>
      </c>
      <c r="Z25" s="124">
        <f>IF('DATOS INICIALES'!Z14="NO",('FACTOR PRESTACIONAL'!Z13+'FACTOR PRESTACIONAL'!Z14)*0.03,0)</f>
        <v>0</v>
      </c>
      <c r="AA25" s="124">
        <f>IF('DATOS INICIALES'!AA14="NO",('FACTOR PRESTACIONAL'!AA13+'FACTOR PRESTACIONAL'!AA14)*0.03,0)</f>
        <v>0</v>
      </c>
      <c r="AB25" s="124">
        <f>IF('DATOS INICIALES'!AB14="NO",('FACTOR PRESTACIONAL'!AB13+'FACTOR PRESTACIONAL'!AB14)*0.03,0)</f>
        <v>0</v>
      </c>
      <c r="AC25" s="124">
        <f>IF('DATOS INICIALES'!AC14="NO",('FACTOR PRESTACIONAL'!AC13+'FACTOR PRESTACIONAL'!AC14)*0.03,0)</f>
        <v>0</v>
      </c>
      <c r="AD25" s="124">
        <f>IF('DATOS INICIALES'!AD14="NO",('FACTOR PRESTACIONAL'!AD13+'FACTOR PRESTACIONAL'!AD14)*0.03,0)</f>
        <v>0</v>
      </c>
      <c r="AE25" s="124">
        <f>IF('DATOS INICIALES'!AE14="NO",('FACTOR PRESTACIONAL'!AE13+'FACTOR PRESTACIONAL'!AE14)*0.03,0)</f>
        <v>0</v>
      </c>
      <c r="AF25" s="124">
        <f>IF('DATOS INICIALES'!AF14="NO",('FACTOR PRESTACIONAL'!AF13+'FACTOR PRESTACIONAL'!AF14)*0.03,0)</f>
        <v>0</v>
      </c>
      <c r="AG25" s="124">
        <f>IF('DATOS INICIALES'!AG14="NO",('FACTOR PRESTACIONAL'!AG13+'FACTOR PRESTACIONAL'!AG14)*0.03,0)</f>
        <v>0</v>
      </c>
      <c r="AH25" s="124">
        <f>IF('DATOS INICIALES'!AH14="NO",('FACTOR PRESTACIONAL'!AH13+'FACTOR PRESTACIONAL'!AH14)*0.03,0)</f>
        <v>0</v>
      </c>
      <c r="AI25" s="124">
        <f>IF('DATOS INICIALES'!AI14="NO",('FACTOR PRESTACIONAL'!AI13+'FACTOR PRESTACIONAL'!AI14)*0.03,0)</f>
        <v>0</v>
      </c>
      <c r="AJ25" s="124">
        <f>IF('DATOS INICIALES'!AJ14="NO",('FACTOR PRESTACIONAL'!AJ13+'FACTOR PRESTACIONAL'!AJ14)*0.03,0)</f>
        <v>0</v>
      </c>
      <c r="AK25" s="124">
        <f>IF('DATOS INICIALES'!AK14="NO",('FACTOR PRESTACIONAL'!AK13+'FACTOR PRESTACIONAL'!AK14)*0.03,0)</f>
        <v>0</v>
      </c>
      <c r="AL25" s="124">
        <f>IF('DATOS INICIALES'!AL14="NO",('FACTOR PRESTACIONAL'!AL13+'FACTOR PRESTACIONAL'!AL14)*0.03,0)</f>
        <v>0</v>
      </c>
      <c r="AM25" s="124">
        <f>IF('DATOS INICIALES'!AM14="NO",('FACTOR PRESTACIONAL'!AM13+'FACTOR PRESTACIONAL'!AM14)*0.03,0)</f>
        <v>0</v>
      </c>
      <c r="AN25" s="124">
        <f>IF('DATOS INICIALES'!AN14="NO",('FACTOR PRESTACIONAL'!AN13+'FACTOR PRESTACIONAL'!AN14)*0.03,0)</f>
        <v>0</v>
      </c>
      <c r="AO25" s="124">
        <f>IF('DATOS INICIALES'!AO14="NO",('FACTOR PRESTACIONAL'!AO13+'FACTOR PRESTACIONAL'!AO14)*0.03,0)</f>
        <v>0</v>
      </c>
      <c r="AP25" s="124">
        <f>IF('DATOS INICIALES'!AP14="NO",('FACTOR PRESTACIONAL'!AP13+'FACTOR PRESTACIONAL'!AP14)*0.03,0)</f>
        <v>0</v>
      </c>
      <c r="AQ25" s="124">
        <f>IF('DATOS INICIALES'!AQ14="NO",('FACTOR PRESTACIONAL'!AQ13+'FACTOR PRESTACIONAL'!AQ14)*0.03,0)</f>
        <v>0</v>
      </c>
      <c r="AR25" s="124">
        <f>IF('DATOS INICIALES'!AR14="NO",('FACTOR PRESTACIONAL'!AR13+'FACTOR PRESTACIONAL'!AR14)*0.03,0)</f>
        <v>0</v>
      </c>
      <c r="AS25" s="124">
        <f>IF('DATOS INICIALES'!AS14="NO",('FACTOR PRESTACIONAL'!AS13+'FACTOR PRESTACIONAL'!AS14)*0.03,0)</f>
        <v>0</v>
      </c>
      <c r="AT25" s="124">
        <f>IF('DATOS INICIALES'!AT14="NO",('FACTOR PRESTACIONAL'!AT13+'FACTOR PRESTACIONAL'!AT14)*0.03,0)</f>
        <v>0</v>
      </c>
      <c r="AU25" s="124">
        <f>IF('DATOS INICIALES'!AU14="NO",('FACTOR PRESTACIONAL'!AU13+'FACTOR PRESTACIONAL'!AU14)*0.03,0)</f>
        <v>0</v>
      </c>
      <c r="AV25" s="124">
        <f>IF('DATOS INICIALES'!AV14="NO",('FACTOR PRESTACIONAL'!AV13+'FACTOR PRESTACIONAL'!AV14)*0.03,0)</f>
        <v>0</v>
      </c>
      <c r="AW25" s="124">
        <f>IF('DATOS INICIALES'!AW14="NO",('FACTOR PRESTACIONAL'!AW13+'FACTOR PRESTACIONAL'!AW14)*0.03,0)</f>
        <v>0</v>
      </c>
      <c r="AX25" s="124">
        <f>IF('DATOS INICIALES'!AX14="NO",('FACTOR PRESTACIONAL'!AX13+'FACTOR PRESTACIONAL'!AX14)*0.03,0)</f>
        <v>0</v>
      </c>
      <c r="AY25" s="124">
        <f>IF('DATOS INICIALES'!AY14="NO",('FACTOR PRESTACIONAL'!AY13+'FACTOR PRESTACIONAL'!AY14)*0.03,0)</f>
        <v>0</v>
      </c>
      <c r="AZ25" s="124">
        <f>IF('DATOS INICIALES'!AZ14="NO",('FACTOR PRESTACIONAL'!AZ13+'FACTOR PRESTACIONAL'!AZ14)*0.03,0)</f>
        <v>0</v>
      </c>
      <c r="BA25" s="124">
        <f>IF('DATOS INICIALES'!BA14="NO",('FACTOR PRESTACIONAL'!BA13+'FACTOR PRESTACIONAL'!BA14)*0.03,0)</f>
        <v>0</v>
      </c>
      <c r="BB25" s="124">
        <f>IF('DATOS INICIALES'!BB14="NO",('FACTOR PRESTACIONAL'!BB13+'FACTOR PRESTACIONAL'!BB14)*0.03,0)</f>
        <v>0</v>
      </c>
      <c r="BC25" s="124">
        <f>IF('DATOS INICIALES'!BC14="NO",('FACTOR PRESTACIONAL'!BC13+'FACTOR PRESTACIONAL'!BC14)*0.03,0)</f>
        <v>0</v>
      </c>
      <c r="BD25" s="124">
        <f>IF('DATOS INICIALES'!BD14="NO",('FACTOR PRESTACIONAL'!BD13+'FACTOR PRESTACIONAL'!BD14)*0.03,0)</f>
        <v>0</v>
      </c>
      <c r="BE25" s="124">
        <f>IF('DATOS INICIALES'!BE14="NO",('FACTOR PRESTACIONAL'!BE13+'FACTOR PRESTACIONAL'!BE14)*0.03,0)</f>
        <v>0</v>
      </c>
    </row>
    <row r="26" spans="1:57" ht="21.6" customHeight="1" x14ac:dyDescent="0.25">
      <c r="A26" s="107" t="s">
        <v>271</v>
      </c>
      <c r="B26" s="124">
        <v>100000</v>
      </c>
      <c r="C26" s="124">
        <v>100000</v>
      </c>
      <c r="D26" s="124">
        <v>100000</v>
      </c>
      <c r="E26" s="124">
        <v>100000</v>
      </c>
      <c r="F26" s="124">
        <v>100000</v>
      </c>
      <c r="G26" s="124">
        <v>100000</v>
      </c>
      <c r="H26" s="124">
        <v>100000</v>
      </c>
      <c r="I26" s="124">
        <v>100000</v>
      </c>
      <c r="J26" s="124">
        <v>100000</v>
      </c>
      <c r="K26" s="124">
        <v>100000</v>
      </c>
      <c r="L26" s="124">
        <v>100000</v>
      </c>
      <c r="M26" s="124">
        <v>100000</v>
      </c>
      <c r="N26" s="124">
        <v>100000</v>
      </c>
      <c r="O26" s="124">
        <v>100000</v>
      </c>
      <c r="P26" s="124">
        <v>100000</v>
      </c>
      <c r="Q26" s="124">
        <v>100000</v>
      </c>
      <c r="R26" s="124">
        <v>100000</v>
      </c>
      <c r="S26" s="124">
        <v>100000</v>
      </c>
      <c r="T26" s="124">
        <v>100000</v>
      </c>
      <c r="U26" s="124">
        <v>100000</v>
      </c>
      <c r="V26" s="124">
        <v>100000</v>
      </c>
      <c r="W26" s="124">
        <v>100000</v>
      </c>
      <c r="X26" s="124">
        <v>100000</v>
      </c>
      <c r="Y26" s="124">
        <v>100000</v>
      </c>
      <c r="Z26" s="124">
        <v>100000</v>
      </c>
      <c r="AA26" s="124">
        <v>100000</v>
      </c>
      <c r="AB26" s="124">
        <v>100000</v>
      </c>
      <c r="AC26" s="124">
        <v>100000</v>
      </c>
      <c r="AD26" s="124">
        <v>100000</v>
      </c>
      <c r="AE26" s="124">
        <v>100000</v>
      </c>
      <c r="AF26" s="124">
        <v>100000</v>
      </c>
      <c r="AG26" s="124">
        <v>100000</v>
      </c>
      <c r="AH26" s="124">
        <v>100000</v>
      </c>
      <c r="AI26" s="124">
        <v>100000</v>
      </c>
      <c r="AJ26" s="124">
        <v>100000</v>
      </c>
      <c r="AK26" s="124">
        <v>100000</v>
      </c>
      <c r="AL26" s="124">
        <v>100000</v>
      </c>
      <c r="AM26" s="124">
        <v>100000</v>
      </c>
      <c r="AN26" s="124">
        <v>100000</v>
      </c>
      <c r="AO26" s="124">
        <v>100000</v>
      </c>
      <c r="AP26" s="124">
        <v>100000</v>
      </c>
      <c r="AQ26" s="124">
        <v>100000</v>
      </c>
      <c r="AR26" s="124">
        <v>100000</v>
      </c>
      <c r="AS26" s="124">
        <v>100000</v>
      </c>
      <c r="AT26" s="124">
        <v>100000</v>
      </c>
      <c r="AU26" s="124">
        <v>100000</v>
      </c>
      <c r="AV26" s="124">
        <v>100000</v>
      </c>
      <c r="AW26" s="124">
        <v>100000</v>
      </c>
      <c r="AX26" s="124">
        <v>100000</v>
      </c>
      <c r="AY26" s="124">
        <v>100000</v>
      </c>
      <c r="AZ26" s="124">
        <v>100000</v>
      </c>
      <c r="BA26" s="124">
        <v>100000</v>
      </c>
      <c r="BB26" s="124">
        <v>100000</v>
      </c>
      <c r="BC26" s="124">
        <v>100000</v>
      </c>
      <c r="BD26" s="124">
        <v>100000</v>
      </c>
      <c r="BE26" s="124">
        <v>100000</v>
      </c>
    </row>
    <row r="27" spans="1:57" x14ac:dyDescent="0.25">
      <c r="A27" s="107" t="s">
        <v>272</v>
      </c>
      <c r="B27" s="124">
        <f>IF(B10&lt;=2,$C$43,0)</f>
        <v>0</v>
      </c>
      <c r="C27" s="124">
        <f t="shared" ref="C27:BE27" si="8">IF(C10&lt;=2,$C$43,0)</f>
        <v>0</v>
      </c>
      <c r="D27" s="124">
        <f t="shared" si="8"/>
        <v>0</v>
      </c>
      <c r="E27" s="124">
        <f t="shared" si="8"/>
        <v>0</v>
      </c>
      <c r="F27" s="124">
        <f t="shared" si="8"/>
        <v>0</v>
      </c>
      <c r="G27" s="124">
        <f t="shared" si="8"/>
        <v>0</v>
      </c>
      <c r="H27" s="124">
        <f t="shared" si="8"/>
        <v>0</v>
      </c>
      <c r="I27" s="124">
        <f t="shared" si="8"/>
        <v>378000</v>
      </c>
      <c r="J27" s="124">
        <f t="shared" si="8"/>
        <v>0</v>
      </c>
      <c r="K27" s="124">
        <f t="shared" si="8"/>
        <v>0</v>
      </c>
      <c r="L27" s="124">
        <f t="shared" si="8"/>
        <v>378000</v>
      </c>
      <c r="M27" s="124">
        <f t="shared" si="8"/>
        <v>378000</v>
      </c>
      <c r="N27" s="124">
        <f t="shared" si="8"/>
        <v>378000</v>
      </c>
      <c r="O27" s="124">
        <f t="shared" si="8"/>
        <v>378000</v>
      </c>
      <c r="P27" s="124">
        <f t="shared" si="8"/>
        <v>378000</v>
      </c>
      <c r="Q27" s="124">
        <f t="shared" si="8"/>
        <v>0</v>
      </c>
      <c r="R27" s="124">
        <f>IF(R10&lt;=2.35,$C$43,0)</f>
        <v>378000</v>
      </c>
      <c r="S27" s="124">
        <f t="shared" si="8"/>
        <v>378000</v>
      </c>
      <c r="T27" s="124">
        <f t="shared" si="8"/>
        <v>0</v>
      </c>
      <c r="U27" s="124">
        <f t="shared" si="8"/>
        <v>0</v>
      </c>
      <c r="V27" s="124">
        <f>IF(V10&lt;=2.75,$C$43,0)</f>
        <v>378000</v>
      </c>
      <c r="W27" s="124">
        <f t="shared" si="8"/>
        <v>378000</v>
      </c>
      <c r="X27" s="124">
        <f t="shared" si="8"/>
        <v>378000</v>
      </c>
      <c r="Y27" s="124">
        <f t="shared" si="8"/>
        <v>378000</v>
      </c>
      <c r="Z27" s="124">
        <f t="shared" si="8"/>
        <v>378000</v>
      </c>
      <c r="AA27" s="124">
        <f t="shared" si="8"/>
        <v>378000</v>
      </c>
      <c r="AB27" s="124">
        <f t="shared" si="8"/>
        <v>378000</v>
      </c>
      <c r="AC27" s="124">
        <f t="shared" si="8"/>
        <v>378000</v>
      </c>
      <c r="AD27" s="124">
        <f t="shared" si="8"/>
        <v>378000</v>
      </c>
      <c r="AE27" s="124">
        <f t="shared" si="8"/>
        <v>378000</v>
      </c>
      <c r="AF27" s="124">
        <f t="shared" si="8"/>
        <v>378000</v>
      </c>
      <c r="AG27" s="124">
        <f t="shared" si="8"/>
        <v>378000</v>
      </c>
      <c r="AH27" s="124">
        <f t="shared" si="8"/>
        <v>378000</v>
      </c>
      <c r="AI27" s="124">
        <f>IF(AI10&lt;=2.25,$C$43,0)</f>
        <v>378000</v>
      </c>
      <c r="AJ27" s="124">
        <f>IF(AJ10&lt;=3.2,$C$43,0)</f>
        <v>378000</v>
      </c>
      <c r="AK27" s="124">
        <f t="shared" si="8"/>
        <v>378000</v>
      </c>
      <c r="AL27" s="124">
        <f t="shared" si="8"/>
        <v>378000</v>
      </c>
      <c r="AM27" s="124">
        <f t="shared" si="8"/>
        <v>378000</v>
      </c>
      <c r="AN27" s="124">
        <f t="shared" si="8"/>
        <v>0</v>
      </c>
      <c r="AO27" s="124">
        <f t="shared" si="8"/>
        <v>0</v>
      </c>
      <c r="AP27" s="124">
        <f t="shared" si="8"/>
        <v>0</v>
      </c>
      <c r="AQ27" s="124">
        <f t="shared" si="8"/>
        <v>0</v>
      </c>
      <c r="AR27" s="124">
        <f t="shared" si="8"/>
        <v>0</v>
      </c>
      <c r="AS27" s="124">
        <f t="shared" si="8"/>
        <v>0</v>
      </c>
      <c r="AT27" s="124">
        <f t="shared" si="8"/>
        <v>0</v>
      </c>
      <c r="AU27" s="124">
        <f t="shared" si="8"/>
        <v>0</v>
      </c>
      <c r="AV27" s="124">
        <f t="shared" si="8"/>
        <v>0</v>
      </c>
      <c r="AW27" s="124">
        <f t="shared" si="8"/>
        <v>0</v>
      </c>
      <c r="AX27" s="124">
        <f t="shared" si="8"/>
        <v>0</v>
      </c>
      <c r="AY27" s="124">
        <f t="shared" si="8"/>
        <v>0</v>
      </c>
      <c r="AZ27" s="124">
        <f t="shared" si="8"/>
        <v>0</v>
      </c>
      <c r="BA27" s="124">
        <f t="shared" si="8"/>
        <v>0</v>
      </c>
      <c r="BB27" s="124">
        <f t="shared" si="8"/>
        <v>0</v>
      </c>
      <c r="BC27" s="124">
        <f t="shared" si="8"/>
        <v>378000</v>
      </c>
      <c r="BD27" s="124">
        <f t="shared" si="8"/>
        <v>378000</v>
      </c>
      <c r="BE27" s="124">
        <f t="shared" si="8"/>
        <v>378000</v>
      </c>
    </row>
    <row r="28" spans="1:57" ht="24" x14ac:dyDescent="0.25">
      <c r="A28" s="107" t="s">
        <v>273</v>
      </c>
      <c r="B28" s="124">
        <f>IF(B9="ADMÓN",$F$70,$F$59)</f>
        <v>390500</v>
      </c>
      <c r="C28" s="124">
        <f t="shared" ref="C28:BE28" si="9">IF(C9="ADMÓN",$F$70,$F$59)</f>
        <v>390500</v>
      </c>
      <c r="D28" s="124">
        <f t="shared" si="9"/>
        <v>390500</v>
      </c>
      <c r="E28" s="124">
        <f t="shared" si="9"/>
        <v>390500</v>
      </c>
      <c r="F28" s="124">
        <f t="shared" si="9"/>
        <v>390500</v>
      </c>
      <c r="G28" s="124">
        <f t="shared" si="9"/>
        <v>390500</v>
      </c>
      <c r="H28" s="124">
        <f t="shared" si="9"/>
        <v>390500</v>
      </c>
      <c r="I28" s="124">
        <f t="shared" si="9"/>
        <v>390500</v>
      </c>
      <c r="J28" s="124">
        <f t="shared" si="9"/>
        <v>390500</v>
      </c>
      <c r="K28" s="124">
        <f t="shared" si="9"/>
        <v>390500</v>
      </c>
      <c r="L28" s="124">
        <f t="shared" si="9"/>
        <v>390500</v>
      </c>
      <c r="M28" s="124">
        <f t="shared" si="9"/>
        <v>390500</v>
      </c>
      <c r="N28" s="124">
        <f t="shared" si="9"/>
        <v>390500</v>
      </c>
      <c r="O28" s="124">
        <f t="shared" si="9"/>
        <v>390500</v>
      </c>
      <c r="P28" s="124">
        <f t="shared" si="9"/>
        <v>390500</v>
      </c>
      <c r="Q28" s="124">
        <f t="shared" si="9"/>
        <v>662200</v>
      </c>
      <c r="R28" s="124">
        <f t="shared" si="9"/>
        <v>662200</v>
      </c>
      <c r="S28" s="124">
        <f t="shared" si="9"/>
        <v>662200</v>
      </c>
      <c r="T28" s="124">
        <f t="shared" si="9"/>
        <v>662200</v>
      </c>
      <c r="U28" s="124">
        <f t="shared" si="9"/>
        <v>662200</v>
      </c>
      <c r="V28" s="124">
        <f t="shared" si="9"/>
        <v>662200</v>
      </c>
      <c r="W28" s="124">
        <f t="shared" si="9"/>
        <v>662200</v>
      </c>
      <c r="X28" s="124">
        <f t="shared" si="9"/>
        <v>662200</v>
      </c>
      <c r="Y28" s="124">
        <f t="shared" si="9"/>
        <v>662200</v>
      </c>
      <c r="Z28" s="124">
        <f t="shared" si="9"/>
        <v>662200</v>
      </c>
      <c r="AA28" s="124">
        <f t="shared" si="9"/>
        <v>662200</v>
      </c>
      <c r="AB28" s="124">
        <f t="shared" si="9"/>
        <v>662200</v>
      </c>
      <c r="AC28" s="124">
        <f t="shared" si="9"/>
        <v>662200</v>
      </c>
      <c r="AD28" s="124">
        <f t="shared" si="9"/>
        <v>662200</v>
      </c>
      <c r="AE28" s="124">
        <f t="shared" si="9"/>
        <v>662200</v>
      </c>
      <c r="AF28" s="124">
        <f t="shared" si="9"/>
        <v>662200</v>
      </c>
      <c r="AG28" s="124">
        <f t="shared" si="9"/>
        <v>662200</v>
      </c>
      <c r="AH28" s="124">
        <f t="shared" si="9"/>
        <v>662200</v>
      </c>
      <c r="AI28" s="124">
        <f t="shared" si="9"/>
        <v>662200</v>
      </c>
      <c r="AJ28" s="124">
        <f t="shared" si="9"/>
        <v>662200</v>
      </c>
      <c r="AK28" s="124">
        <f t="shared" si="9"/>
        <v>662200</v>
      </c>
      <c r="AL28" s="124">
        <f t="shared" si="9"/>
        <v>662200</v>
      </c>
      <c r="AM28" s="124">
        <f t="shared" si="9"/>
        <v>662200</v>
      </c>
      <c r="AN28" s="124">
        <f t="shared" si="9"/>
        <v>390500</v>
      </c>
      <c r="AO28" s="124">
        <f t="shared" si="9"/>
        <v>390500</v>
      </c>
      <c r="AP28" s="124">
        <f t="shared" si="9"/>
        <v>390500</v>
      </c>
      <c r="AQ28" s="124">
        <f t="shared" si="9"/>
        <v>390500</v>
      </c>
      <c r="AR28" s="124">
        <f t="shared" si="9"/>
        <v>390500</v>
      </c>
      <c r="AS28" s="124">
        <f t="shared" si="9"/>
        <v>390500</v>
      </c>
      <c r="AT28" s="124">
        <f t="shared" si="9"/>
        <v>390500</v>
      </c>
      <c r="AU28" s="124">
        <f t="shared" si="9"/>
        <v>390500</v>
      </c>
      <c r="AV28" s="124">
        <f t="shared" si="9"/>
        <v>390500</v>
      </c>
      <c r="AW28" s="124">
        <f t="shared" si="9"/>
        <v>390500</v>
      </c>
      <c r="AX28" s="124">
        <f t="shared" si="9"/>
        <v>390500</v>
      </c>
      <c r="AY28" s="124">
        <f t="shared" si="9"/>
        <v>390500</v>
      </c>
      <c r="AZ28" s="124">
        <f t="shared" si="9"/>
        <v>390500</v>
      </c>
      <c r="BA28" s="124">
        <f t="shared" si="9"/>
        <v>390500</v>
      </c>
      <c r="BB28" s="124">
        <f t="shared" si="9"/>
        <v>390500</v>
      </c>
      <c r="BC28" s="124">
        <f t="shared" si="9"/>
        <v>390500</v>
      </c>
      <c r="BD28" s="124">
        <f t="shared" si="9"/>
        <v>662200</v>
      </c>
      <c r="BE28" s="124">
        <f t="shared" si="9"/>
        <v>662200</v>
      </c>
    </row>
    <row r="29" spans="1:57" x14ac:dyDescent="0.25">
      <c r="A29" s="108" t="s">
        <v>274</v>
      </c>
      <c r="B29" s="141">
        <f>SUM(B13:B28)</f>
        <v>117022500</v>
      </c>
      <c r="C29" s="141">
        <f t="shared" ref="C29:BE29" si="10">SUM(C13:C28)</f>
        <v>117022500</v>
      </c>
      <c r="D29" s="141">
        <f t="shared" si="10"/>
        <v>93794100</v>
      </c>
      <c r="E29" s="141">
        <f t="shared" si="10"/>
        <v>93794100</v>
      </c>
      <c r="F29" s="141">
        <f t="shared" si="10"/>
        <v>70565700</v>
      </c>
      <c r="G29" s="141">
        <f t="shared" si="10"/>
        <v>70565700</v>
      </c>
      <c r="H29" s="141">
        <f t="shared" si="10"/>
        <v>54305820</v>
      </c>
      <c r="I29" s="141">
        <f t="shared" si="10"/>
        <v>45267384</v>
      </c>
      <c r="J29" s="141">
        <f t="shared" si="10"/>
        <v>156510780</v>
      </c>
      <c r="K29" s="141">
        <f t="shared" si="10"/>
        <v>107731140</v>
      </c>
      <c r="L29" s="141">
        <f t="shared" si="10"/>
        <v>47125656</v>
      </c>
      <c r="M29" s="141">
        <f t="shared" si="10"/>
        <v>37834296</v>
      </c>
      <c r="N29" s="141">
        <f t="shared" si="10"/>
        <v>27381516</v>
      </c>
      <c r="O29" s="141">
        <f t="shared" si="10"/>
        <v>27381516</v>
      </c>
      <c r="P29" s="141">
        <f t="shared" si="10"/>
        <v>27381516</v>
      </c>
      <c r="Q29" s="141">
        <f t="shared" si="10"/>
        <v>112648520</v>
      </c>
      <c r="R29" s="141">
        <f t="shared" si="10"/>
        <v>56116940</v>
      </c>
      <c r="S29" s="141">
        <f t="shared" si="10"/>
        <v>35783156</v>
      </c>
      <c r="T29" s="141">
        <f t="shared" si="10"/>
        <v>70837400</v>
      </c>
      <c r="U29" s="141">
        <f t="shared" si="10"/>
        <v>54577520</v>
      </c>
      <c r="V29" s="141">
        <f t="shared" si="10"/>
        <v>65408300</v>
      </c>
      <c r="W29" s="141">
        <f t="shared" si="10"/>
        <v>34621736</v>
      </c>
      <c r="X29" s="141">
        <f t="shared" si="10"/>
        <v>50881616</v>
      </c>
      <c r="Y29" s="141">
        <f t="shared" si="10"/>
        <v>32298896</v>
      </c>
      <c r="Z29" s="141">
        <f t="shared" si="10"/>
        <v>50881616</v>
      </c>
      <c r="AA29" s="141">
        <f t="shared" si="10"/>
        <v>29976056</v>
      </c>
      <c r="AB29" s="141">
        <f t="shared" si="10"/>
        <v>50881616</v>
      </c>
      <c r="AC29" s="141">
        <f t="shared" si="10"/>
        <v>50881616</v>
      </c>
      <c r="AD29" s="141">
        <f t="shared" si="10"/>
        <v>50881616</v>
      </c>
      <c r="AE29" s="141">
        <f t="shared" si="10"/>
        <v>50881616</v>
      </c>
      <c r="AF29" s="141">
        <f t="shared" si="10"/>
        <v>34621736</v>
      </c>
      <c r="AG29" s="141">
        <f t="shared" si="10"/>
        <v>27653216</v>
      </c>
      <c r="AH29" s="141">
        <f t="shared" si="10"/>
        <v>34621736</v>
      </c>
      <c r="AI29" s="141">
        <f t="shared" si="10"/>
        <v>53794100</v>
      </c>
      <c r="AJ29" s="141">
        <f t="shared" si="10"/>
        <v>75861080</v>
      </c>
      <c r="AK29" s="141">
        <f t="shared" si="10"/>
        <v>27653216</v>
      </c>
      <c r="AL29" s="141">
        <f t="shared" si="10"/>
        <v>27653216</v>
      </c>
      <c r="AM29" s="141">
        <f t="shared" si="10"/>
        <v>27653216</v>
      </c>
      <c r="AN29" s="141">
        <f t="shared" si="10"/>
        <v>117022500</v>
      </c>
      <c r="AO29" s="141">
        <f t="shared" si="10"/>
        <v>54305820</v>
      </c>
      <c r="AP29" s="141">
        <f t="shared" si="10"/>
        <v>156510780</v>
      </c>
      <c r="AQ29" s="141">
        <f t="shared" si="10"/>
        <v>54305820</v>
      </c>
      <c r="AR29" s="141">
        <f t="shared" si="10"/>
        <v>140250900</v>
      </c>
      <c r="AS29" s="141">
        <f t="shared" si="10"/>
        <v>128636700</v>
      </c>
      <c r="AT29" s="141">
        <f t="shared" si="10"/>
        <v>140250900</v>
      </c>
      <c r="AU29" s="141">
        <f t="shared" si="10"/>
        <v>140250900</v>
      </c>
      <c r="AV29" s="141">
        <f t="shared" si="10"/>
        <v>128636700</v>
      </c>
      <c r="AW29" s="141">
        <f t="shared" si="10"/>
        <v>140250900</v>
      </c>
      <c r="AX29" s="141">
        <f t="shared" si="10"/>
        <v>140250900</v>
      </c>
      <c r="AY29" s="141">
        <f t="shared" si="10"/>
        <v>140250900</v>
      </c>
      <c r="AZ29" s="141">
        <f t="shared" si="10"/>
        <v>128636700</v>
      </c>
      <c r="BA29" s="141">
        <f t="shared" si="10"/>
        <v>128636700</v>
      </c>
      <c r="BB29" s="141">
        <f t="shared" si="10"/>
        <v>128636700</v>
      </c>
      <c r="BC29" s="141">
        <f t="shared" si="10"/>
        <v>45267384</v>
      </c>
      <c r="BD29" s="141">
        <f t="shared" si="10"/>
        <v>4424816</v>
      </c>
      <c r="BE29" s="141">
        <f t="shared" si="10"/>
        <v>4424816</v>
      </c>
    </row>
    <row r="30" spans="1:57" x14ac:dyDescent="0.25">
      <c r="A30" s="108" t="s">
        <v>253</v>
      </c>
      <c r="B30" s="141">
        <f>ROUND(B13/365,0)</f>
        <v>213699</v>
      </c>
      <c r="C30" s="141">
        <f t="shared" ref="C30:BE30" si="11">ROUND(C13/365,0)</f>
        <v>213699</v>
      </c>
      <c r="D30" s="141">
        <f t="shared" si="11"/>
        <v>170959</v>
      </c>
      <c r="E30" s="141">
        <f t="shared" si="11"/>
        <v>170959</v>
      </c>
      <c r="F30" s="141">
        <f t="shared" si="11"/>
        <v>128219</v>
      </c>
      <c r="G30" s="141">
        <f t="shared" si="11"/>
        <v>128219</v>
      </c>
      <c r="H30" s="141">
        <f t="shared" si="11"/>
        <v>98301</v>
      </c>
      <c r="I30" s="141">
        <f t="shared" si="11"/>
        <v>75649</v>
      </c>
      <c r="J30" s="141">
        <f t="shared" si="11"/>
        <v>286356</v>
      </c>
      <c r="K30" s="141">
        <f t="shared" si="11"/>
        <v>196603</v>
      </c>
      <c r="L30" s="141">
        <f t="shared" si="11"/>
        <v>79068</v>
      </c>
      <c r="M30" s="141">
        <f t="shared" si="11"/>
        <v>61973</v>
      </c>
      <c r="N30" s="141">
        <f t="shared" si="11"/>
        <v>42740</v>
      </c>
      <c r="O30" s="141">
        <f t="shared" si="11"/>
        <v>42740</v>
      </c>
      <c r="P30" s="141">
        <f t="shared" si="11"/>
        <v>42740</v>
      </c>
      <c r="Q30" s="141">
        <f t="shared" si="11"/>
        <v>205151</v>
      </c>
      <c r="R30" s="141">
        <f t="shared" si="11"/>
        <v>100438</v>
      </c>
      <c r="S30" s="141">
        <f t="shared" si="11"/>
        <v>57699</v>
      </c>
      <c r="T30" s="141">
        <f t="shared" si="11"/>
        <v>128219</v>
      </c>
      <c r="U30" s="141">
        <f t="shared" si="11"/>
        <v>98301</v>
      </c>
      <c r="V30" s="141">
        <f t="shared" si="11"/>
        <v>117534</v>
      </c>
      <c r="W30" s="141">
        <f t="shared" si="11"/>
        <v>55562</v>
      </c>
      <c r="X30" s="141">
        <f t="shared" si="11"/>
        <v>85479</v>
      </c>
      <c r="Y30" s="141">
        <f t="shared" si="11"/>
        <v>51288</v>
      </c>
      <c r="Z30" s="141">
        <f t="shared" si="11"/>
        <v>85479</v>
      </c>
      <c r="AA30" s="141">
        <f t="shared" si="11"/>
        <v>47014</v>
      </c>
      <c r="AB30" s="141">
        <f t="shared" si="11"/>
        <v>85479</v>
      </c>
      <c r="AC30" s="141">
        <f t="shared" si="11"/>
        <v>85479</v>
      </c>
      <c r="AD30" s="141">
        <f t="shared" si="11"/>
        <v>85479</v>
      </c>
      <c r="AE30" s="141">
        <f t="shared" si="11"/>
        <v>85479</v>
      </c>
      <c r="AF30" s="141">
        <f t="shared" si="11"/>
        <v>55562</v>
      </c>
      <c r="AG30" s="141">
        <f t="shared" si="11"/>
        <v>42740</v>
      </c>
      <c r="AH30" s="141">
        <f t="shared" si="11"/>
        <v>55562</v>
      </c>
      <c r="AI30" s="141">
        <f t="shared" si="11"/>
        <v>96164</v>
      </c>
      <c r="AJ30" s="141">
        <f t="shared" si="11"/>
        <v>136767</v>
      </c>
      <c r="AK30" s="141">
        <f t="shared" si="11"/>
        <v>42740</v>
      </c>
      <c r="AL30" s="141">
        <f t="shared" si="11"/>
        <v>42740</v>
      </c>
      <c r="AM30" s="141">
        <f t="shared" si="11"/>
        <v>42740</v>
      </c>
      <c r="AN30" s="141">
        <f t="shared" si="11"/>
        <v>213699</v>
      </c>
      <c r="AO30" s="141">
        <f t="shared" si="11"/>
        <v>98301</v>
      </c>
      <c r="AP30" s="141">
        <f t="shared" si="11"/>
        <v>286356</v>
      </c>
      <c r="AQ30" s="141">
        <f t="shared" si="11"/>
        <v>98301</v>
      </c>
      <c r="AR30" s="141">
        <f t="shared" si="11"/>
        <v>256438</v>
      </c>
      <c r="AS30" s="141">
        <f t="shared" si="11"/>
        <v>235068</v>
      </c>
      <c r="AT30" s="141">
        <f t="shared" si="11"/>
        <v>256438</v>
      </c>
      <c r="AU30" s="141">
        <f t="shared" si="11"/>
        <v>256438</v>
      </c>
      <c r="AV30" s="141">
        <f t="shared" si="11"/>
        <v>235068</v>
      </c>
      <c r="AW30" s="141">
        <f t="shared" si="11"/>
        <v>256438</v>
      </c>
      <c r="AX30" s="141">
        <f t="shared" si="11"/>
        <v>256438</v>
      </c>
      <c r="AY30" s="141">
        <f t="shared" si="11"/>
        <v>256438</v>
      </c>
      <c r="AZ30" s="141">
        <f t="shared" si="11"/>
        <v>235068</v>
      </c>
      <c r="BA30" s="141">
        <f t="shared" si="11"/>
        <v>235068</v>
      </c>
      <c r="BB30" s="141">
        <f t="shared" si="11"/>
        <v>235068</v>
      </c>
      <c r="BC30" s="141">
        <f t="shared" si="11"/>
        <v>75649</v>
      </c>
      <c r="BD30" s="141">
        <f t="shared" si="11"/>
        <v>0</v>
      </c>
      <c r="BE30" s="141">
        <f t="shared" si="11"/>
        <v>0</v>
      </c>
    </row>
    <row r="31" spans="1:57" x14ac:dyDescent="0.25">
      <c r="A31" s="108" t="s">
        <v>254</v>
      </c>
      <c r="B31" s="141">
        <f>ROUND((B29/365-B30),0)</f>
        <v>106911</v>
      </c>
      <c r="C31" s="141">
        <f t="shared" ref="C31:BE31" si="12">ROUND((C29/365-C30),0)</f>
        <v>106911</v>
      </c>
      <c r="D31" s="141">
        <f t="shared" si="12"/>
        <v>86011</v>
      </c>
      <c r="E31" s="141">
        <f t="shared" si="12"/>
        <v>86011</v>
      </c>
      <c r="F31" s="141">
        <f t="shared" si="12"/>
        <v>65112</v>
      </c>
      <c r="G31" s="141">
        <f t="shared" si="12"/>
        <v>65112</v>
      </c>
      <c r="H31" s="141">
        <f t="shared" si="12"/>
        <v>50482</v>
      </c>
      <c r="I31" s="141">
        <f t="shared" si="12"/>
        <v>48371</v>
      </c>
      <c r="J31" s="141">
        <f t="shared" si="12"/>
        <v>142441</v>
      </c>
      <c r="K31" s="141">
        <f t="shared" si="12"/>
        <v>98551</v>
      </c>
      <c r="L31" s="141">
        <f t="shared" si="12"/>
        <v>50043</v>
      </c>
      <c r="M31" s="141">
        <f t="shared" si="12"/>
        <v>41683</v>
      </c>
      <c r="N31" s="141">
        <f t="shared" si="12"/>
        <v>32278</v>
      </c>
      <c r="O31" s="141">
        <f t="shared" si="12"/>
        <v>32278</v>
      </c>
      <c r="P31" s="141">
        <f t="shared" si="12"/>
        <v>32278</v>
      </c>
      <c r="Q31" s="141">
        <f t="shared" si="12"/>
        <v>103475</v>
      </c>
      <c r="R31" s="141">
        <f t="shared" si="12"/>
        <v>53307</v>
      </c>
      <c r="S31" s="141">
        <f t="shared" si="12"/>
        <v>40337</v>
      </c>
      <c r="T31" s="141">
        <f t="shared" si="12"/>
        <v>65856</v>
      </c>
      <c r="U31" s="141">
        <f t="shared" si="12"/>
        <v>51226</v>
      </c>
      <c r="V31" s="141">
        <f t="shared" si="12"/>
        <v>61667</v>
      </c>
      <c r="W31" s="141">
        <f t="shared" si="12"/>
        <v>39292</v>
      </c>
      <c r="X31" s="141">
        <f t="shared" si="12"/>
        <v>53923</v>
      </c>
      <c r="Y31" s="141">
        <f t="shared" si="12"/>
        <v>37202</v>
      </c>
      <c r="Z31" s="141">
        <f t="shared" si="12"/>
        <v>53923</v>
      </c>
      <c r="AA31" s="141">
        <f t="shared" si="12"/>
        <v>35112</v>
      </c>
      <c r="AB31" s="141">
        <f t="shared" si="12"/>
        <v>53923</v>
      </c>
      <c r="AC31" s="141">
        <f t="shared" si="12"/>
        <v>53923</v>
      </c>
      <c r="AD31" s="141">
        <f t="shared" si="12"/>
        <v>53923</v>
      </c>
      <c r="AE31" s="141">
        <f t="shared" si="12"/>
        <v>53923</v>
      </c>
      <c r="AF31" s="141">
        <f t="shared" si="12"/>
        <v>39292</v>
      </c>
      <c r="AG31" s="141">
        <f t="shared" si="12"/>
        <v>33022</v>
      </c>
      <c r="AH31" s="141">
        <f t="shared" si="12"/>
        <v>39292</v>
      </c>
      <c r="AI31" s="141">
        <f t="shared" si="12"/>
        <v>51217</v>
      </c>
      <c r="AJ31" s="141">
        <f t="shared" si="12"/>
        <v>71072</v>
      </c>
      <c r="AK31" s="141">
        <f t="shared" si="12"/>
        <v>33022</v>
      </c>
      <c r="AL31" s="141">
        <f t="shared" si="12"/>
        <v>33022</v>
      </c>
      <c r="AM31" s="141">
        <f t="shared" si="12"/>
        <v>33022</v>
      </c>
      <c r="AN31" s="141">
        <f t="shared" si="12"/>
        <v>106911</v>
      </c>
      <c r="AO31" s="141">
        <f t="shared" si="12"/>
        <v>50482</v>
      </c>
      <c r="AP31" s="141">
        <f t="shared" si="12"/>
        <v>142441</v>
      </c>
      <c r="AQ31" s="141">
        <f t="shared" si="12"/>
        <v>50482</v>
      </c>
      <c r="AR31" s="141">
        <f t="shared" si="12"/>
        <v>127811</v>
      </c>
      <c r="AS31" s="141">
        <f t="shared" si="12"/>
        <v>117361</v>
      </c>
      <c r="AT31" s="141">
        <f t="shared" si="12"/>
        <v>127811</v>
      </c>
      <c r="AU31" s="141">
        <f t="shared" si="12"/>
        <v>127811</v>
      </c>
      <c r="AV31" s="141">
        <f t="shared" si="12"/>
        <v>117361</v>
      </c>
      <c r="AW31" s="141">
        <f t="shared" si="12"/>
        <v>127811</v>
      </c>
      <c r="AX31" s="141">
        <f t="shared" si="12"/>
        <v>127811</v>
      </c>
      <c r="AY31" s="141">
        <f t="shared" si="12"/>
        <v>127811</v>
      </c>
      <c r="AZ31" s="141">
        <f t="shared" si="12"/>
        <v>117361</v>
      </c>
      <c r="BA31" s="141">
        <f t="shared" si="12"/>
        <v>117361</v>
      </c>
      <c r="BB31" s="141">
        <f t="shared" si="12"/>
        <v>117361</v>
      </c>
      <c r="BC31" s="141">
        <f t="shared" si="12"/>
        <v>48371</v>
      </c>
      <c r="BD31" s="141">
        <f t="shared" si="12"/>
        <v>12123</v>
      </c>
      <c r="BE31" s="141">
        <f t="shared" si="12"/>
        <v>12123</v>
      </c>
    </row>
    <row r="32" spans="1:57" ht="27.6" customHeight="1" x14ac:dyDescent="0.25">
      <c r="A32" s="109" t="s">
        <v>252</v>
      </c>
      <c r="B32" s="142">
        <f>IFERROR(ROUND((B29/B13),2),0)</f>
        <v>1.5</v>
      </c>
      <c r="C32" s="142">
        <f t="shared" ref="C32:BE32" si="13">IFERROR(ROUND((C29/C13),2),0)</f>
        <v>1.5</v>
      </c>
      <c r="D32" s="142">
        <f t="shared" si="13"/>
        <v>1.5</v>
      </c>
      <c r="E32" s="142">
        <f t="shared" si="13"/>
        <v>1.5</v>
      </c>
      <c r="F32" s="142">
        <f t="shared" si="13"/>
        <v>1.51</v>
      </c>
      <c r="G32" s="142">
        <f t="shared" si="13"/>
        <v>1.51</v>
      </c>
      <c r="H32" s="142">
        <f t="shared" si="13"/>
        <v>1.51</v>
      </c>
      <c r="I32" s="142">
        <f t="shared" si="13"/>
        <v>1.64</v>
      </c>
      <c r="J32" s="142">
        <f t="shared" si="13"/>
        <v>1.5</v>
      </c>
      <c r="K32" s="142">
        <f t="shared" si="13"/>
        <v>1.5</v>
      </c>
      <c r="L32" s="142">
        <f t="shared" si="13"/>
        <v>1.63</v>
      </c>
      <c r="M32" s="142">
        <f t="shared" si="13"/>
        <v>1.67</v>
      </c>
      <c r="N32" s="142">
        <f t="shared" si="13"/>
        <v>1.76</v>
      </c>
      <c r="O32" s="142">
        <f t="shared" si="13"/>
        <v>1.76</v>
      </c>
      <c r="P32" s="142">
        <f t="shared" si="13"/>
        <v>1.76</v>
      </c>
      <c r="Q32" s="142">
        <f t="shared" si="13"/>
        <v>1.5</v>
      </c>
      <c r="R32" s="142">
        <f t="shared" si="13"/>
        <v>1.53</v>
      </c>
      <c r="S32" s="142">
        <f t="shared" si="13"/>
        <v>1.7</v>
      </c>
      <c r="T32" s="142">
        <f t="shared" si="13"/>
        <v>1.51</v>
      </c>
      <c r="U32" s="142">
        <f t="shared" si="13"/>
        <v>1.52</v>
      </c>
      <c r="V32" s="142">
        <f t="shared" si="13"/>
        <v>1.52</v>
      </c>
      <c r="W32" s="142">
        <f t="shared" si="13"/>
        <v>1.71</v>
      </c>
      <c r="X32" s="142">
        <f t="shared" si="13"/>
        <v>1.63</v>
      </c>
      <c r="Y32" s="142">
        <f t="shared" si="13"/>
        <v>1.73</v>
      </c>
      <c r="Z32" s="142">
        <f t="shared" si="13"/>
        <v>1.63</v>
      </c>
      <c r="AA32" s="142">
        <f t="shared" si="13"/>
        <v>1.75</v>
      </c>
      <c r="AB32" s="142">
        <f t="shared" si="13"/>
        <v>1.63</v>
      </c>
      <c r="AC32" s="142">
        <f t="shared" si="13"/>
        <v>1.63</v>
      </c>
      <c r="AD32" s="142">
        <f t="shared" si="13"/>
        <v>1.63</v>
      </c>
      <c r="AE32" s="142">
        <f t="shared" si="13"/>
        <v>1.63</v>
      </c>
      <c r="AF32" s="142">
        <f t="shared" si="13"/>
        <v>1.71</v>
      </c>
      <c r="AG32" s="142">
        <f t="shared" si="13"/>
        <v>1.77</v>
      </c>
      <c r="AH32" s="142">
        <f t="shared" si="13"/>
        <v>1.71</v>
      </c>
      <c r="AI32" s="142">
        <f t="shared" si="13"/>
        <v>1.53</v>
      </c>
      <c r="AJ32" s="142">
        <f t="shared" si="13"/>
        <v>1.52</v>
      </c>
      <c r="AK32" s="142">
        <f t="shared" si="13"/>
        <v>1.77</v>
      </c>
      <c r="AL32" s="142">
        <f t="shared" si="13"/>
        <v>1.77</v>
      </c>
      <c r="AM32" s="142">
        <f t="shared" si="13"/>
        <v>1.77</v>
      </c>
      <c r="AN32" s="142">
        <f t="shared" si="13"/>
        <v>1.5</v>
      </c>
      <c r="AO32" s="142">
        <f t="shared" si="13"/>
        <v>1.51</v>
      </c>
      <c r="AP32" s="142">
        <f t="shared" si="13"/>
        <v>1.5</v>
      </c>
      <c r="AQ32" s="142">
        <f t="shared" si="13"/>
        <v>1.51</v>
      </c>
      <c r="AR32" s="142">
        <f t="shared" si="13"/>
        <v>1.5</v>
      </c>
      <c r="AS32" s="142">
        <f t="shared" si="13"/>
        <v>1.5</v>
      </c>
      <c r="AT32" s="142">
        <f t="shared" si="13"/>
        <v>1.5</v>
      </c>
      <c r="AU32" s="142">
        <f t="shared" si="13"/>
        <v>1.5</v>
      </c>
      <c r="AV32" s="142">
        <f t="shared" si="13"/>
        <v>1.5</v>
      </c>
      <c r="AW32" s="142">
        <f t="shared" si="13"/>
        <v>1.5</v>
      </c>
      <c r="AX32" s="142">
        <f t="shared" si="13"/>
        <v>1.5</v>
      </c>
      <c r="AY32" s="142">
        <f t="shared" si="13"/>
        <v>1.5</v>
      </c>
      <c r="AZ32" s="142">
        <f t="shared" si="13"/>
        <v>1.5</v>
      </c>
      <c r="BA32" s="142">
        <f t="shared" si="13"/>
        <v>1.5</v>
      </c>
      <c r="BB32" s="142">
        <f t="shared" si="13"/>
        <v>1.5</v>
      </c>
      <c r="BC32" s="142">
        <f t="shared" si="13"/>
        <v>1.64</v>
      </c>
      <c r="BD32" s="142">
        <f t="shared" si="13"/>
        <v>0</v>
      </c>
      <c r="BE32" s="142">
        <f t="shared" si="13"/>
        <v>0</v>
      </c>
    </row>
    <row r="33" spans="1:10" x14ac:dyDescent="0.25">
      <c r="H33" s="140"/>
      <c r="J33" s="140"/>
    </row>
    <row r="37" spans="1:10" s="17" customFormat="1" x14ac:dyDescent="0.25">
      <c r="A37" s="125" t="s">
        <v>44</v>
      </c>
      <c r="B37" s="126" t="s">
        <v>45</v>
      </c>
      <c r="C37" s="125" t="s">
        <v>385</v>
      </c>
      <c r="D37" s="500" t="s">
        <v>386</v>
      </c>
      <c r="E37" s="500"/>
    </row>
    <row r="38" spans="1:10" ht="26.45" customHeight="1" x14ac:dyDescent="0.25">
      <c r="A38" s="127" t="s">
        <v>387</v>
      </c>
      <c r="B38" s="128" t="s">
        <v>390</v>
      </c>
      <c r="C38" s="128">
        <v>56000</v>
      </c>
      <c r="D38" s="501" t="s">
        <v>395</v>
      </c>
      <c r="E38" s="502"/>
    </row>
    <row r="39" spans="1:10" ht="25.15" customHeight="1" x14ac:dyDescent="0.25">
      <c r="A39" s="127" t="s">
        <v>388</v>
      </c>
      <c r="B39" s="128" t="s">
        <v>391</v>
      </c>
      <c r="C39" s="128">
        <v>35000</v>
      </c>
      <c r="D39" s="501" t="s">
        <v>396</v>
      </c>
      <c r="E39" s="502"/>
    </row>
    <row r="40" spans="1:10" ht="28.15" customHeight="1" x14ac:dyDescent="0.25">
      <c r="A40" s="127" t="s">
        <v>389</v>
      </c>
      <c r="B40" s="128" t="s">
        <v>391</v>
      </c>
      <c r="C40" s="128">
        <v>35000</v>
      </c>
      <c r="D40" s="501" t="s">
        <v>397</v>
      </c>
      <c r="E40" s="502"/>
    </row>
    <row r="41" spans="1:10" x14ac:dyDescent="0.25">
      <c r="A41" s="499" t="s">
        <v>392</v>
      </c>
      <c r="B41" s="499"/>
      <c r="C41" s="129">
        <f>SUM(C38:C40)</f>
        <v>126000</v>
      </c>
    </row>
    <row r="42" spans="1:10" x14ac:dyDescent="0.25">
      <c r="A42" s="499" t="s">
        <v>393</v>
      </c>
      <c r="B42" s="499"/>
      <c r="C42" s="128">
        <v>3</v>
      </c>
    </row>
    <row r="43" spans="1:10" x14ac:dyDescent="0.25">
      <c r="A43" s="499" t="s">
        <v>394</v>
      </c>
      <c r="B43" s="499"/>
      <c r="C43" s="130">
        <f>C41*C42</f>
        <v>378000</v>
      </c>
    </row>
    <row r="46" spans="1:10" x14ac:dyDescent="0.25">
      <c r="A46" s="503" t="s">
        <v>398</v>
      </c>
      <c r="B46" s="503"/>
      <c r="C46" s="503"/>
      <c r="D46" s="503"/>
      <c r="E46" s="503"/>
      <c r="F46" s="503"/>
      <c r="G46" s="503"/>
      <c r="H46" s="503"/>
      <c r="I46" s="503"/>
      <c r="J46" s="503"/>
    </row>
    <row r="47" spans="1:10" x14ac:dyDescent="0.25">
      <c r="A47" s="504" t="s">
        <v>44</v>
      </c>
      <c r="B47" s="504"/>
      <c r="C47" s="131" t="s">
        <v>45</v>
      </c>
      <c r="D47" s="131" t="s">
        <v>46</v>
      </c>
      <c r="E47" s="131" t="s">
        <v>399</v>
      </c>
      <c r="F47" s="132" t="s">
        <v>400</v>
      </c>
      <c r="G47" s="505" t="s">
        <v>386</v>
      </c>
      <c r="H47" s="505"/>
      <c r="I47" s="505"/>
      <c r="J47" s="505"/>
    </row>
    <row r="48" spans="1:10" ht="21" customHeight="1" x14ac:dyDescent="0.25">
      <c r="A48" s="506" t="s">
        <v>401</v>
      </c>
      <c r="B48" s="507"/>
      <c r="C48" s="73" t="s">
        <v>208</v>
      </c>
      <c r="D48" s="73">
        <v>1</v>
      </c>
      <c r="E48" s="133">
        <v>13000</v>
      </c>
      <c r="F48" s="134">
        <f t="shared" ref="F48:F58" si="14">+D48*E48</f>
        <v>13000</v>
      </c>
      <c r="G48" s="508" t="s">
        <v>402</v>
      </c>
      <c r="H48" s="501"/>
      <c r="I48" s="501"/>
      <c r="J48" s="502"/>
    </row>
    <row r="49" spans="1:10" ht="23.45" customHeight="1" x14ac:dyDescent="0.25">
      <c r="A49" s="506" t="s">
        <v>403</v>
      </c>
      <c r="B49" s="507"/>
      <c r="C49" s="73" t="s">
        <v>208</v>
      </c>
      <c r="D49" s="73">
        <v>2</v>
      </c>
      <c r="E49" s="133">
        <v>9000</v>
      </c>
      <c r="F49" s="134">
        <f t="shared" si="14"/>
        <v>18000</v>
      </c>
      <c r="G49" s="508" t="s">
        <v>404</v>
      </c>
      <c r="H49" s="501"/>
      <c r="I49" s="501"/>
      <c r="J49" s="502"/>
    </row>
    <row r="50" spans="1:10" ht="27" customHeight="1" x14ac:dyDescent="0.25">
      <c r="A50" s="509" t="s">
        <v>405</v>
      </c>
      <c r="B50" s="510"/>
      <c r="C50" s="82" t="s">
        <v>406</v>
      </c>
      <c r="D50" s="73">
        <v>5.2</v>
      </c>
      <c r="E50" s="133">
        <v>14000</v>
      </c>
      <c r="F50" s="134">
        <f t="shared" si="14"/>
        <v>72800</v>
      </c>
      <c r="G50" s="508" t="s">
        <v>407</v>
      </c>
      <c r="H50" s="501"/>
      <c r="I50" s="501"/>
      <c r="J50" s="502"/>
    </row>
    <row r="51" spans="1:10" ht="22.15" customHeight="1" x14ac:dyDescent="0.25">
      <c r="A51" s="509" t="s">
        <v>408</v>
      </c>
      <c r="B51" s="510"/>
      <c r="C51" s="82" t="s">
        <v>406</v>
      </c>
      <c r="D51" s="73">
        <v>26</v>
      </c>
      <c r="E51" s="133">
        <v>5000</v>
      </c>
      <c r="F51" s="134">
        <f t="shared" si="14"/>
        <v>130000</v>
      </c>
      <c r="G51" s="508" t="s">
        <v>409</v>
      </c>
      <c r="H51" s="501"/>
      <c r="I51" s="501"/>
      <c r="J51" s="502"/>
    </row>
    <row r="52" spans="1:10" ht="25.9" customHeight="1" x14ac:dyDescent="0.25">
      <c r="A52" s="509" t="s">
        <v>410</v>
      </c>
      <c r="B52" s="510"/>
      <c r="C52" s="82" t="s">
        <v>406</v>
      </c>
      <c r="D52" s="73">
        <v>1.3</v>
      </c>
      <c r="E52" s="133">
        <v>41000</v>
      </c>
      <c r="F52" s="134">
        <f t="shared" si="14"/>
        <v>53300</v>
      </c>
      <c r="G52" s="508" t="s">
        <v>411</v>
      </c>
      <c r="H52" s="501"/>
      <c r="I52" s="501"/>
      <c r="J52" s="502"/>
    </row>
    <row r="53" spans="1:10" ht="24.6" customHeight="1" x14ac:dyDescent="0.25">
      <c r="A53" s="509" t="s">
        <v>412</v>
      </c>
      <c r="B53" s="510"/>
      <c r="C53" s="82" t="s">
        <v>208</v>
      </c>
      <c r="D53" s="73">
        <v>4</v>
      </c>
      <c r="E53" s="133">
        <v>23000</v>
      </c>
      <c r="F53" s="134">
        <f t="shared" si="14"/>
        <v>92000</v>
      </c>
      <c r="G53" s="508" t="s">
        <v>413</v>
      </c>
      <c r="H53" s="501"/>
      <c r="I53" s="501"/>
      <c r="J53" s="502"/>
    </row>
    <row r="54" spans="1:10" ht="35.450000000000003" customHeight="1" x14ac:dyDescent="0.25">
      <c r="A54" s="509" t="s">
        <v>414</v>
      </c>
      <c r="B54" s="510"/>
      <c r="C54" s="82" t="s">
        <v>208</v>
      </c>
      <c r="D54" s="73">
        <v>0.60000000000000009</v>
      </c>
      <c r="E54" s="133">
        <v>25000</v>
      </c>
      <c r="F54" s="134">
        <f t="shared" si="14"/>
        <v>15000.000000000002</v>
      </c>
      <c r="G54" s="508" t="s">
        <v>415</v>
      </c>
      <c r="H54" s="501"/>
      <c r="I54" s="501"/>
      <c r="J54" s="502"/>
    </row>
    <row r="55" spans="1:10" ht="27.6" customHeight="1" x14ac:dyDescent="0.25">
      <c r="A55" s="509" t="s">
        <v>416</v>
      </c>
      <c r="B55" s="510"/>
      <c r="C55" s="82" t="s">
        <v>208</v>
      </c>
      <c r="D55" s="73">
        <v>10.4</v>
      </c>
      <c r="E55" s="133">
        <v>5000</v>
      </c>
      <c r="F55" s="134">
        <f t="shared" si="14"/>
        <v>52000</v>
      </c>
      <c r="G55" s="508" t="s">
        <v>417</v>
      </c>
      <c r="H55" s="501"/>
      <c r="I55" s="501"/>
      <c r="J55" s="502"/>
    </row>
    <row r="56" spans="1:10" ht="37.15" customHeight="1" x14ac:dyDescent="0.25">
      <c r="A56" s="509" t="s">
        <v>418</v>
      </c>
      <c r="B56" s="510"/>
      <c r="C56" s="82" t="s">
        <v>208</v>
      </c>
      <c r="D56" s="73">
        <v>52</v>
      </c>
      <c r="E56" s="133">
        <v>2400</v>
      </c>
      <c r="F56" s="134">
        <f t="shared" si="14"/>
        <v>124800</v>
      </c>
      <c r="G56" s="508" t="s">
        <v>419</v>
      </c>
      <c r="H56" s="501"/>
      <c r="I56" s="501"/>
      <c r="J56" s="502"/>
    </row>
    <row r="57" spans="1:10" ht="30" customHeight="1" x14ac:dyDescent="0.25">
      <c r="A57" s="509" t="s">
        <v>420</v>
      </c>
      <c r="B57" s="510"/>
      <c r="C57" s="82" t="s">
        <v>208</v>
      </c>
      <c r="D57" s="73">
        <v>1.2</v>
      </c>
      <c r="E57" s="133">
        <v>24000</v>
      </c>
      <c r="F57" s="134">
        <f t="shared" si="14"/>
        <v>28800</v>
      </c>
      <c r="G57" s="508" t="s">
        <v>421</v>
      </c>
      <c r="H57" s="501"/>
      <c r="I57" s="501"/>
      <c r="J57" s="502"/>
    </row>
    <row r="58" spans="1:10" ht="34.15" customHeight="1" x14ac:dyDescent="0.25">
      <c r="A58" s="509" t="s">
        <v>422</v>
      </c>
      <c r="B58" s="510"/>
      <c r="C58" s="82" t="s">
        <v>208</v>
      </c>
      <c r="D58" s="73">
        <v>0.25</v>
      </c>
      <c r="E58" s="133">
        <v>250000</v>
      </c>
      <c r="F58" s="134">
        <f t="shared" si="14"/>
        <v>62500</v>
      </c>
      <c r="G58" s="508" t="s">
        <v>423</v>
      </c>
      <c r="H58" s="501"/>
      <c r="I58" s="501"/>
      <c r="J58" s="502"/>
    </row>
    <row r="59" spans="1:10" x14ac:dyDescent="0.25">
      <c r="A59" s="511" t="s">
        <v>424</v>
      </c>
      <c r="B59" s="511"/>
      <c r="C59" s="135"/>
      <c r="D59" s="136"/>
      <c r="E59" s="137"/>
      <c r="F59" s="138">
        <f>SUM(F48:F58)</f>
        <v>662200</v>
      </c>
      <c r="G59" s="139"/>
      <c r="H59" s="139"/>
      <c r="I59" s="139"/>
      <c r="J59" s="139"/>
    </row>
    <row r="61" spans="1:10" x14ac:dyDescent="0.25">
      <c r="A61" s="503" t="s">
        <v>425</v>
      </c>
      <c r="B61" s="503"/>
      <c r="C61" s="503"/>
      <c r="D61" s="503"/>
      <c r="E61" s="503"/>
      <c r="F61" s="503"/>
      <c r="G61" s="503"/>
      <c r="H61" s="503"/>
      <c r="I61" s="503"/>
      <c r="J61" s="503"/>
    </row>
    <row r="62" spans="1:10" x14ac:dyDescent="0.25">
      <c r="A62" s="504" t="s">
        <v>44</v>
      </c>
      <c r="B62" s="504"/>
      <c r="C62" s="131" t="s">
        <v>45</v>
      </c>
      <c r="D62" s="131" t="s">
        <v>46</v>
      </c>
      <c r="E62" s="131" t="s">
        <v>399</v>
      </c>
      <c r="F62" s="132" t="s">
        <v>400</v>
      </c>
      <c r="G62" s="505" t="s">
        <v>386</v>
      </c>
      <c r="H62" s="505"/>
      <c r="I62" s="505"/>
      <c r="J62" s="505"/>
    </row>
    <row r="63" spans="1:10" ht="28.15" customHeight="1" x14ac:dyDescent="0.25">
      <c r="A63" s="506" t="s">
        <v>401</v>
      </c>
      <c r="B63" s="507"/>
      <c r="C63" s="73" t="s">
        <v>208</v>
      </c>
      <c r="D63" s="73">
        <v>1</v>
      </c>
      <c r="E63" s="133">
        <v>23000</v>
      </c>
      <c r="F63" s="134">
        <f t="shared" ref="F63:F69" si="15">+D63*E63</f>
        <v>23000</v>
      </c>
      <c r="G63" s="508" t="s">
        <v>426</v>
      </c>
      <c r="H63" s="501"/>
      <c r="I63" s="501"/>
      <c r="J63" s="502"/>
    </row>
    <row r="64" spans="1:10" ht="28.15" customHeight="1" x14ac:dyDescent="0.25">
      <c r="A64" s="506" t="s">
        <v>403</v>
      </c>
      <c r="B64" s="507"/>
      <c r="C64" s="73" t="s">
        <v>208</v>
      </c>
      <c r="D64" s="73">
        <v>2</v>
      </c>
      <c r="E64" s="133">
        <v>9000</v>
      </c>
      <c r="F64" s="134">
        <f t="shared" si="15"/>
        <v>18000</v>
      </c>
      <c r="G64" s="508" t="s">
        <v>404</v>
      </c>
      <c r="H64" s="501"/>
      <c r="I64" s="501"/>
      <c r="J64" s="502"/>
    </row>
    <row r="65" spans="1:10" ht="30" customHeight="1" x14ac:dyDescent="0.25">
      <c r="A65" s="509" t="s">
        <v>416</v>
      </c>
      <c r="B65" s="510"/>
      <c r="C65" s="82" t="s">
        <v>208</v>
      </c>
      <c r="D65" s="73">
        <v>2</v>
      </c>
      <c r="E65" s="133">
        <v>17900</v>
      </c>
      <c r="F65" s="134">
        <f t="shared" si="15"/>
        <v>35800</v>
      </c>
      <c r="G65" s="508" t="s">
        <v>427</v>
      </c>
      <c r="H65" s="501"/>
      <c r="I65" s="501"/>
      <c r="J65" s="502"/>
    </row>
    <row r="66" spans="1:10" ht="28.9" customHeight="1" x14ac:dyDescent="0.25">
      <c r="A66" s="509" t="s">
        <v>428</v>
      </c>
      <c r="B66" s="510"/>
      <c r="C66" s="82" t="s">
        <v>208</v>
      </c>
      <c r="D66" s="73">
        <v>2</v>
      </c>
      <c r="E66" s="133">
        <v>14000</v>
      </c>
      <c r="F66" s="134">
        <f t="shared" si="15"/>
        <v>28000</v>
      </c>
      <c r="G66" s="508" t="s">
        <v>429</v>
      </c>
      <c r="H66" s="501"/>
      <c r="I66" s="501"/>
      <c r="J66" s="502"/>
    </row>
    <row r="67" spans="1:10" ht="27" customHeight="1" x14ac:dyDescent="0.25">
      <c r="A67" s="509" t="s">
        <v>418</v>
      </c>
      <c r="B67" s="510"/>
      <c r="C67" s="82" t="s">
        <v>208</v>
      </c>
      <c r="D67" s="73">
        <v>12</v>
      </c>
      <c r="E67" s="133">
        <v>3600</v>
      </c>
      <c r="F67" s="134">
        <f t="shared" si="15"/>
        <v>43200</v>
      </c>
      <c r="G67" s="508" t="s">
        <v>430</v>
      </c>
      <c r="H67" s="501"/>
      <c r="I67" s="501"/>
      <c r="J67" s="502"/>
    </row>
    <row r="68" spans="1:10" ht="32.450000000000003" customHeight="1" x14ac:dyDescent="0.25">
      <c r="A68" s="509" t="s">
        <v>412</v>
      </c>
      <c r="B68" s="510"/>
      <c r="C68" s="82" t="s">
        <v>208</v>
      </c>
      <c r="D68" s="73">
        <v>2</v>
      </c>
      <c r="E68" s="133">
        <v>90000</v>
      </c>
      <c r="F68" s="134">
        <f t="shared" si="15"/>
        <v>180000</v>
      </c>
      <c r="G68" s="508" t="s">
        <v>431</v>
      </c>
      <c r="H68" s="501"/>
      <c r="I68" s="501"/>
      <c r="J68" s="502"/>
    </row>
    <row r="69" spans="1:10" ht="28.9" customHeight="1" x14ac:dyDescent="0.25">
      <c r="A69" s="509" t="s">
        <v>422</v>
      </c>
      <c r="B69" s="510"/>
      <c r="C69" s="82" t="s">
        <v>208</v>
      </c>
      <c r="D69" s="73">
        <v>0.25</v>
      </c>
      <c r="E69" s="133">
        <v>250000</v>
      </c>
      <c r="F69" s="134">
        <f t="shared" si="15"/>
        <v>62500</v>
      </c>
      <c r="G69" s="508" t="s">
        <v>423</v>
      </c>
      <c r="H69" s="501"/>
      <c r="I69" s="501"/>
      <c r="J69" s="502"/>
    </row>
    <row r="70" spans="1:10" x14ac:dyDescent="0.25">
      <c r="A70" s="511" t="s">
        <v>424</v>
      </c>
      <c r="B70" s="511"/>
      <c r="C70" s="135"/>
      <c r="D70" s="136"/>
      <c r="E70" s="137"/>
      <c r="F70" s="138">
        <f>SUM(F63:F69)</f>
        <v>390500</v>
      </c>
      <c r="G70" s="139"/>
      <c r="H70" s="139"/>
      <c r="I70" s="139"/>
      <c r="J70" s="139"/>
    </row>
  </sheetData>
  <protectedRanges>
    <protectedRange sqref="B10:BC10 BD8:BE10" name="Rango1"/>
  </protectedRanges>
  <mergeCells count="68">
    <mergeCell ref="A69:B69"/>
    <mergeCell ref="G69:J69"/>
    <mergeCell ref="A70:B70"/>
    <mergeCell ref="A66:B66"/>
    <mergeCell ref="G66:J66"/>
    <mergeCell ref="A67:B67"/>
    <mergeCell ref="G67:J67"/>
    <mergeCell ref="A68:B68"/>
    <mergeCell ref="G68:J68"/>
    <mergeCell ref="A63:B63"/>
    <mergeCell ref="G63:J63"/>
    <mergeCell ref="A64:B64"/>
    <mergeCell ref="G64:J64"/>
    <mergeCell ref="A65:B65"/>
    <mergeCell ref="G65:J65"/>
    <mergeCell ref="A58:B58"/>
    <mergeCell ref="G58:J58"/>
    <mergeCell ref="A59:B59"/>
    <mergeCell ref="A61:J61"/>
    <mergeCell ref="A62:B62"/>
    <mergeCell ref="G62:J62"/>
    <mergeCell ref="A55:B55"/>
    <mergeCell ref="G55:J55"/>
    <mergeCell ref="A56:B56"/>
    <mergeCell ref="G56:J56"/>
    <mergeCell ref="A57:B57"/>
    <mergeCell ref="G57:J57"/>
    <mergeCell ref="A52:B52"/>
    <mergeCell ref="G52:J52"/>
    <mergeCell ref="A53:B53"/>
    <mergeCell ref="G53:J53"/>
    <mergeCell ref="A54:B54"/>
    <mergeCell ref="G54:J54"/>
    <mergeCell ref="A49:B49"/>
    <mergeCell ref="G49:J49"/>
    <mergeCell ref="A50:B50"/>
    <mergeCell ref="G50:J50"/>
    <mergeCell ref="A51:B51"/>
    <mergeCell ref="G51:J51"/>
    <mergeCell ref="A46:J46"/>
    <mergeCell ref="A47:B47"/>
    <mergeCell ref="G47:J47"/>
    <mergeCell ref="A48:B48"/>
    <mergeCell ref="G48:J48"/>
    <mergeCell ref="AD5:AQ5"/>
    <mergeCell ref="A41:B41"/>
    <mergeCell ref="A42:B42"/>
    <mergeCell ref="A43:B43"/>
    <mergeCell ref="D37:E37"/>
    <mergeCell ref="D38:E38"/>
    <mergeCell ref="D39:E39"/>
    <mergeCell ref="D40:E40"/>
    <mergeCell ref="AR5:BE5"/>
    <mergeCell ref="A1:A5"/>
    <mergeCell ref="B1:O1"/>
    <mergeCell ref="P1:AC1"/>
    <mergeCell ref="AD1:AQ1"/>
    <mergeCell ref="AR1:BE1"/>
    <mergeCell ref="B2:O2"/>
    <mergeCell ref="P2:AC2"/>
    <mergeCell ref="AD2:AQ2"/>
    <mergeCell ref="AR2:BE2"/>
    <mergeCell ref="B3:O3"/>
    <mergeCell ref="P3:AC3"/>
    <mergeCell ref="AD3:AQ3"/>
    <mergeCell ref="AR3:BE3"/>
    <mergeCell ref="B5:O5"/>
    <mergeCell ref="P5:AC5"/>
  </mergeCells>
  <conditionalFormatting sqref="AK8:AO10">
    <cfRule type="cellIs" dxfId="0" priority="1" operator="equal">
      <formula>0</formula>
    </cfRule>
  </conditionalFormatting>
  <dataValidations count="2">
    <dataValidation type="decimal" allowBlank="1" showInputMessage="1" showErrorMessage="1" sqref="AM10:AO10" xr:uid="{00000000-0002-0000-1200-000000000000}">
      <formula1>1</formula1>
      <formula2>9.99</formula2>
    </dataValidation>
    <dataValidation type="list" allowBlank="1" showInputMessage="1" showErrorMessage="1" sqref="B9:BE9" xr:uid="{00000000-0002-0000-1200-000001000000}">
      <formula1>"ADMÓN,OBRA"</formula1>
    </dataValidation>
  </dataValidations>
  <pageMargins left="0.7" right="0.7" top="0.75" bottom="0.75" header="0.3" footer="0.3"/>
  <pageSetup scale="99" orientation="portrait" horizontalDpi="4294967292" r:id="rId1"/>
  <rowBreaks count="1" manualBreakCount="1">
    <brk id="32" max="54" man="1"/>
  </rowBreaks>
  <colBreaks count="1" manualBreakCount="1">
    <brk id="55" max="104857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D30"/>
  <sheetViews>
    <sheetView view="pageBreakPreview" topLeftCell="A13" zoomScale="85" zoomScaleNormal="100" zoomScaleSheetLayoutView="85" workbookViewId="0">
      <selection activeCell="B18" sqref="B18"/>
    </sheetView>
  </sheetViews>
  <sheetFormatPr baseColWidth="10" defaultRowHeight="15" x14ac:dyDescent="0.25"/>
  <cols>
    <col min="2" max="2" width="73.140625" customWidth="1"/>
    <col min="3" max="3" width="15.42578125" customWidth="1"/>
    <col min="4" max="4" width="17.28515625" customWidth="1"/>
  </cols>
  <sheetData>
    <row r="1" spans="1:4" ht="26.25" x14ac:dyDescent="0.25">
      <c r="A1" s="437" t="s">
        <v>0</v>
      </c>
      <c r="B1" s="437"/>
      <c r="C1" s="451" t="s">
        <v>51</v>
      </c>
      <c r="D1" s="451"/>
    </row>
    <row r="2" spans="1:4" ht="21" x14ac:dyDescent="0.25">
      <c r="A2" s="444" t="str">
        <f>'DATOS INICIALES'!B6</f>
        <v>MUNICIPIO DE DABEIBA</v>
      </c>
      <c r="B2" s="444"/>
      <c r="C2" s="451"/>
      <c r="D2" s="451"/>
    </row>
    <row r="3" spans="1:4" ht="56.45" customHeight="1" x14ac:dyDescent="0.25">
      <c r="A3" s="452" t="str">
        <f>'DATOS INICIALES'!B3</f>
        <v>REPOSICIÓN, AMPLIACIÓN Y REPARACIÓN DE LUMINARIAS QUE HACEN PARTE DE LA RED DE ALUMBRADOPÚBLICO DEL PARQUE PRINCIPAL Y CORREGIMIENTO SAN JOSÉ DE URAMA DEL MUNICIPIO DE DABEIBA.</v>
      </c>
      <c r="B3" s="452"/>
      <c r="C3" s="451"/>
      <c r="D3" s="451"/>
    </row>
    <row r="4" spans="1:4" ht="7.9" customHeight="1" x14ac:dyDescent="0.25">
      <c r="A4" s="151"/>
      <c r="B4" s="152"/>
      <c r="C4" s="451"/>
      <c r="D4" s="451"/>
    </row>
    <row r="5" spans="1:4" ht="15.75" x14ac:dyDescent="0.25">
      <c r="A5" s="454" t="s">
        <v>600</v>
      </c>
      <c r="B5" s="454"/>
      <c r="C5" s="451"/>
      <c r="D5" s="451"/>
    </row>
    <row r="6" spans="1:4" ht="9.6" customHeight="1" x14ac:dyDescent="0.25">
      <c r="A6" s="512"/>
      <c r="B6" s="512"/>
      <c r="C6" s="512"/>
      <c r="D6" s="512"/>
    </row>
    <row r="7" spans="1:4" x14ac:dyDescent="0.25">
      <c r="A7" s="83" t="s">
        <v>56</v>
      </c>
      <c r="B7" s="83" t="s">
        <v>44</v>
      </c>
      <c r="C7" s="83" t="s">
        <v>45</v>
      </c>
      <c r="D7" s="84" t="s">
        <v>87</v>
      </c>
    </row>
    <row r="8" spans="1:4" ht="25.5" x14ac:dyDescent="0.25">
      <c r="A8" s="92" t="s">
        <v>432</v>
      </c>
      <c r="B8" s="95" t="s">
        <v>433</v>
      </c>
      <c r="C8" s="96" t="s">
        <v>208</v>
      </c>
      <c r="D8" s="94">
        <v>100000</v>
      </c>
    </row>
    <row r="9" spans="1:4" x14ac:dyDescent="0.25">
      <c r="A9" s="147" t="s">
        <v>434</v>
      </c>
      <c r="B9" s="95" t="s">
        <v>435</v>
      </c>
      <c r="C9" s="96" t="s">
        <v>97</v>
      </c>
      <c r="D9" s="94">
        <v>400000</v>
      </c>
    </row>
    <row r="10" spans="1:4" x14ac:dyDescent="0.25">
      <c r="A10" s="92" t="s">
        <v>436</v>
      </c>
      <c r="B10" s="148" t="s">
        <v>437</v>
      </c>
      <c r="C10" s="149" t="s">
        <v>91</v>
      </c>
      <c r="D10" s="150">
        <v>516617.33808219177</v>
      </c>
    </row>
    <row r="11" spans="1:4" x14ac:dyDescent="0.25">
      <c r="A11" s="147" t="s">
        <v>438</v>
      </c>
      <c r="B11" s="148" t="s">
        <v>439</v>
      </c>
      <c r="C11" s="149" t="s">
        <v>91</v>
      </c>
      <c r="D11" s="150">
        <v>447639.43886027398</v>
      </c>
    </row>
    <row r="12" spans="1:4" x14ac:dyDescent="0.25">
      <c r="A12" s="92" t="s">
        <v>440</v>
      </c>
      <c r="B12" s="95" t="s">
        <v>441</v>
      </c>
      <c r="C12" s="149" t="s">
        <v>208</v>
      </c>
      <c r="D12" s="94">
        <v>72000</v>
      </c>
    </row>
    <row r="13" spans="1:4" x14ac:dyDescent="0.25">
      <c r="A13" s="92" t="s">
        <v>442</v>
      </c>
      <c r="B13" s="95" t="s">
        <v>443</v>
      </c>
      <c r="C13" s="96" t="s">
        <v>154</v>
      </c>
      <c r="D13" s="94">
        <v>5000</v>
      </c>
    </row>
    <row r="14" spans="1:4" x14ac:dyDescent="0.25">
      <c r="A14" s="147" t="s">
        <v>444</v>
      </c>
      <c r="B14" s="148" t="s">
        <v>445</v>
      </c>
      <c r="C14" s="149" t="s">
        <v>208</v>
      </c>
      <c r="D14" s="94">
        <v>79000</v>
      </c>
    </row>
    <row r="15" spans="1:4" ht="25.5" x14ac:dyDescent="0.25">
      <c r="A15" s="92" t="s">
        <v>446</v>
      </c>
      <c r="B15" s="95" t="s">
        <v>447</v>
      </c>
      <c r="C15" s="149" t="s">
        <v>208</v>
      </c>
      <c r="D15" s="94">
        <v>500000</v>
      </c>
    </row>
    <row r="16" spans="1:4" ht="25.5" x14ac:dyDescent="0.25">
      <c r="A16" s="147" t="s">
        <v>448</v>
      </c>
      <c r="B16" s="95" t="s">
        <v>449</v>
      </c>
      <c r="C16" s="149" t="s">
        <v>208</v>
      </c>
      <c r="D16" s="94">
        <v>115000</v>
      </c>
    </row>
    <row r="17" spans="1:4" x14ac:dyDescent="0.25">
      <c r="A17" s="92" t="s">
        <v>450</v>
      </c>
      <c r="B17" s="148" t="s">
        <v>451</v>
      </c>
      <c r="C17" s="149" t="s">
        <v>208</v>
      </c>
      <c r="D17" s="94">
        <v>107000</v>
      </c>
    </row>
    <row r="18" spans="1:4" ht="25.5" x14ac:dyDescent="0.25">
      <c r="A18" s="147" t="s">
        <v>452</v>
      </c>
      <c r="B18" s="95" t="s">
        <v>453</v>
      </c>
      <c r="C18" s="149" t="s">
        <v>208</v>
      </c>
      <c r="D18" s="94">
        <v>368000</v>
      </c>
    </row>
    <row r="19" spans="1:4" ht="38.25" x14ac:dyDescent="0.25">
      <c r="A19" s="92" t="s">
        <v>454</v>
      </c>
      <c r="B19" s="95" t="s">
        <v>455</v>
      </c>
      <c r="C19" s="149" t="s">
        <v>208</v>
      </c>
      <c r="D19" s="94">
        <v>147000</v>
      </c>
    </row>
    <row r="20" spans="1:4" x14ac:dyDescent="0.25">
      <c r="A20" s="147" t="s">
        <v>456</v>
      </c>
      <c r="B20" s="95" t="s">
        <v>457</v>
      </c>
      <c r="C20" s="149" t="s">
        <v>208</v>
      </c>
      <c r="D20" s="94">
        <v>12000</v>
      </c>
    </row>
    <row r="21" spans="1:4" x14ac:dyDescent="0.25">
      <c r="A21" s="92" t="s">
        <v>458</v>
      </c>
      <c r="B21" s="148" t="s">
        <v>459</v>
      </c>
      <c r="C21" s="149" t="s">
        <v>208</v>
      </c>
      <c r="D21" s="94">
        <v>145000</v>
      </c>
    </row>
    <row r="29" spans="1:4" x14ac:dyDescent="0.25">
      <c r="B29" s="228" t="s">
        <v>787</v>
      </c>
    </row>
    <row r="30" spans="1:4" x14ac:dyDescent="0.25">
      <c r="B30" t="s">
        <v>599</v>
      </c>
    </row>
  </sheetData>
  <protectedRanges>
    <protectedRange sqref="B8:C9 B10:D21" name="Rango1_1"/>
  </protectedRanges>
  <mergeCells count="6">
    <mergeCell ref="A6:D6"/>
    <mergeCell ref="A1:B1"/>
    <mergeCell ref="C1:D5"/>
    <mergeCell ref="A2:B2"/>
    <mergeCell ref="A3:B3"/>
    <mergeCell ref="A5:B5"/>
  </mergeCells>
  <pageMargins left="0.7" right="0.7" top="0.75" bottom="0.75" header="0.3" footer="0.3"/>
  <pageSetup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24</vt:i4>
      </vt:variant>
    </vt:vector>
  </HeadingPairs>
  <TitlesOfParts>
    <vt:vector size="38" baseType="lpstr">
      <vt:lpstr>DATOS INICIALES</vt:lpstr>
      <vt:lpstr>FICHA TECNICA</vt:lpstr>
      <vt:lpstr>PRESUPUESTO</vt:lpstr>
      <vt:lpstr>MEMORIAS</vt:lpstr>
      <vt:lpstr>APU</vt:lpstr>
      <vt:lpstr>AU</vt:lpstr>
      <vt:lpstr>INSUMOS MATERIALES</vt:lpstr>
      <vt:lpstr>APU AUXILIARES</vt:lpstr>
      <vt:lpstr>INSUMOS EQUIPOS</vt:lpstr>
      <vt:lpstr>POLIZAS OBRA</vt:lpstr>
      <vt:lpstr>INSUMOS MANO DE OBRA</vt:lpstr>
      <vt:lpstr>INSUMOS TRANSPORTES</vt:lpstr>
      <vt:lpstr>FACTOR PRESTACIONAL</vt:lpstr>
      <vt:lpstr>INSUMOS SERVICIOS</vt:lpstr>
      <vt:lpstr>APU</vt:lpstr>
      <vt:lpstr>APUAUXILIARES</vt:lpstr>
      <vt:lpstr>APU!Área_de_impresión</vt:lpstr>
      <vt:lpstr>'DATOS INICIALES'!Área_de_impresión</vt:lpstr>
      <vt:lpstr>'FACTOR PRESTACIONAL'!Área_de_impresión</vt:lpstr>
      <vt:lpstr>'FICHA TECNICA'!Área_de_impresión</vt:lpstr>
      <vt:lpstr>'INSUMOS MANO DE OBRA'!Área_de_impresión</vt:lpstr>
      <vt:lpstr>'INSUMOS MATERIALES'!Área_de_impresión</vt:lpstr>
      <vt:lpstr>MEMORIAS!Área_de_impresión</vt:lpstr>
      <vt:lpstr>PRESUPUESTO!Área_de_impresión</vt:lpstr>
      <vt:lpstr>CODIGOEQUIPOS</vt:lpstr>
      <vt:lpstr>CODIGOMATERIALES</vt:lpstr>
      <vt:lpstr>CODIGOSMANODEOBRA</vt:lpstr>
      <vt:lpstr>CODIGOSSERVICIOS</vt:lpstr>
      <vt:lpstr>CODIGOTRANSPORTES</vt:lpstr>
      <vt:lpstr>FACTORPRESTACIONAL</vt:lpstr>
      <vt:lpstr>INSUMOSEQUIPOS</vt:lpstr>
      <vt:lpstr>INSUMOSMANODEOBRA</vt:lpstr>
      <vt:lpstr>INSUMOSMATERIALES</vt:lpstr>
      <vt:lpstr>INSUMOSSERVICIOS</vt:lpstr>
      <vt:lpstr>INSUMOSTRANSPORTES</vt:lpstr>
      <vt:lpstr>MEMORIAS</vt:lpstr>
      <vt:lpstr>'FICHA TECNICA'!PRESUPUESTO</vt:lpstr>
      <vt:lpstr>PRESUPUESTO!PRESUPUESTO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MARLON</dc:creator>
  <cp:lastModifiedBy>usuario</cp:lastModifiedBy>
  <cp:lastPrinted>2024-12-06T21:28:25Z</cp:lastPrinted>
  <dcterms:created xsi:type="dcterms:W3CDTF">2021-02-18T21:50:49Z</dcterms:created>
  <dcterms:modified xsi:type="dcterms:W3CDTF">2024-12-11T20:54:08Z</dcterms:modified>
</cp:coreProperties>
</file>