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data" ContentType="application/vnd.openxmlformats-officedocument.model+data"/>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esar\Desktop\ALCALDIA SUBA\SUBA 2024\FORMULACION 2024\EDUCACION\PROYECTO 1957\"/>
    </mc:Choice>
  </mc:AlternateContent>
  <bookViews>
    <workbookView xWindow="0" yWindow="0" windowWidth="20490" windowHeight="7050" activeTab="2"/>
  </bookViews>
  <sheets>
    <sheet name="Códigos UNSPSC" sheetId="2" r:id="rId1"/>
    <sheet name="Cotización" sheetId="1" r:id="rId2"/>
    <sheet name="Estudio de mercado" sheetId="3" r:id="rId3"/>
    <sheet name="TABLA DINAMICA" sheetId="4" r:id="rId4"/>
  </sheets>
  <externalReferences>
    <externalReference r:id="rId5"/>
    <externalReference r:id="rId6"/>
  </externalReferences>
  <definedNames>
    <definedName name="_xlnm._FilterDatabase" localSheetId="1" hidden="1">Cotización!$A$7:$L$38</definedName>
    <definedName name="_xlnm._FilterDatabase" localSheetId="2" hidden="1">'Estudio de mercado'!$C$1:$C$82</definedName>
    <definedName name="_xlcn.WorksheetConnection_EstudiodemercadoA2AD791" hidden="1">'Estudio de mercado'!$A$2:$AD$79</definedName>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[1]LISTAS!$B$5:$B$10</definedName>
    <definedName name="ESTADODOS">[1]LISTAS!$B$6:$B$10</definedName>
    <definedName name="ETAPA">#REF!</definedName>
    <definedName name="FGKJHLKHKJÑ">#REF!</definedName>
    <definedName name="GGGGGGGGGGGGG">#REF!</definedName>
    <definedName name="IED">#REF!</definedName>
    <definedName name="INDICADOR">[2]listas!$S$216:$S$275</definedName>
    <definedName name="LINEA">#REF!</definedName>
    <definedName name="Mipymes">#REF!</definedName>
    <definedName name="NIVEL">#REF!</definedName>
    <definedName name="SECTOR">#REF!</definedName>
    <definedName name="Sedes_culturales">#REF!</definedName>
    <definedName name="TEMA">#REF!</definedName>
    <definedName name="TEMAGEO">#REF!</definedName>
    <definedName name="TIPODECODIGO">#REF!</definedName>
  </definedNames>
  <calcPr calcId="162913" concurrentCalc="0"/>
  <pivotCaches>
    <pivotCache cacheId="27" r:id="rId7"/>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Rango" name="Rango" connection="WorksheetConnection_Estudio de mercado!$A$2:$AD$79"/>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75" i="3" l="1"/>
  <c r="P73" i="3"/>
  <c r="O47" i="3"/>
  <c r="J47" i="3"/>
  <c r="T47" i="3"/>
  <c r="L53" i="3"/>
  <c r="M53" i="3"/>
  <c r="T70" i="3"/>
  <c r="T62" i="3"/>
  <c r="J28" i="3"/>
  <c r="T28" i="3"/>
  <c r="T25" i="3"/>
  <c r="T23" i="3"/>
  <c r="T69" i="3"/>
  <c r="T61" i="3"/>
  <c r="T24" i="3"/>
  <c r="V20" i="3"/>
  <c r="Q20" i="3"/>
  <c r="L20" i="3"/>
  <c r="T27" i="3"/>
  <c r="J27" i="3"/>
  <c r="T76" i="3"/>
  <c r="J76" i="3"/>
  <c r="L66" i="3"/>
  <c r="M66" i="3"/>
  <c r="L6" i="3"/>
  <c r="L7" i="3"/>
  <c r="L5" i="3"/>
  <c r="Q6" i="3"/>
  <c r="Q7" i="3"/>
  <c r="Q5" i="3"/>
  <c r="V6" i="3"/>
  <c r="V7" i="3"/>
  <c r="V5" i="3"/>
  <c r="T54" i="3"/>
  <c r="J54" i="3"/>
  <c r="T48" i="3"/>
  <c r="J48" i="3"/>
  <c r="V66" i="3"/>
  <c r="Q66" i="3"/>
  <c r="L67" i="3"/>
  <c r="V60" i="3"/>
  <c r="L60" i="3"/>
  <c r="L54" i="3"/>
  <c r="L52" i="3"/>
  <c r="L46" i="3"/>
  <c r="L45" i="3"/>
  <c r="V44" i="3"/>
  <c r="Q44" i="3"/>
  <c r="L44" i="3"/>
  <c r="V43" i="3"/>
  <c r="Q43" i="3"/>
  <c r="L43" i="3"/>
  <c r="P26" i="3"/>
  <c r="X17" i="3"/>
  <c r="Z17" i="3"/>
  <c r="X14" i="3"/>
  <c r="AA14" i="3"/>
  <c r="X13" i="3"/>
  <c r="AA13" i="3"/>
  <c r="X12" i="3"/>
  <c r="AA12" i="3"/>
  <c r="X11" i="3"/>
  <c r="AA11" i="3"/>
  <c r="X10" i="3"/>
  <c r="AA10" i="3"/>
  <c r="V14" i="3"/>
  <c r="V13" i="3"/>
  <c r="V12" i="3"/>
  <c r="V11" i="3"/>
  <c r="V10" i="3"/>
  <c r="Q10" i="3"/>
  <c r="Q11" i="3"/>
  <c r="Q12" i="3"/>
  <c r="Q13" i="3"/>
  <c r="Q14" i="3"/>
  <c r="L10" i="3"/>
  <c r="X4" i="3"/>
  <c r="Z4" i="3"/>
  <c r="AB4" i="3"/>
  <c r="L3" i="3"/>
  <c r="AA4" i="3"/>
  <c r="AA15" i="3"/>
  <c r="Y10" i="3"/>
  <c r="Z10" i="3"/>
  <c r="AB10" i="3"/>
  <c r="V76" i="3"/>
  <c r="P72" i="3"/>
  <c r="P71" i="3"/>
  <c r="P65" i="3"/>
  <c r="P57" i="3"/>
  <c r="P51" i="3"/>
  <c r="P46" i="3"/>
  <c r="X21" i="3"/>
  <c r="K4" i="3"/>
  <c r="X77" i="3"/>
  <c r="AA77" i="3"/>
  <c r="X74" i="3"/>
  <c r="AA74" i="3"/>
  <c r="X76" i="3"/>
  <c r="AA76" i="3"/>
  <c r="X75" i="3"/>
  <c r="X73" i="3"/>
  <c r="X72" i="3"/>
  <c r="X71" i="3"/>
  <c r="X70" i="3"/>
  <c r="AA70" i="3"/>
  <c r="X69" i="3"/>
  <c r="Y69" i="3"/>
  <c r="Z69" i="3"/>
  <c r="AB69" i="3"/>
  <c r="X68" i="3"/>
  <c r="Y68" i="3"/>
  <c r="Z68" i="3"/>
  <c r="AB68" i="3"/>
  <c r="X67" i="3"/>
  <c r="AA67" i="3"/>
  <c r="X66" i="3"/>
  <c r="X65" i="3"/>
  <c r="X62" i="3"/>
  <c r="X61" i="3"/>
  <c r="Y61" i="3"/>
  <c r="X60" i="3"/>
  <c r="AA60" i="3"/>
  <c r="X59" i="3"/>
  <c r="AA59" i="3"/>
  <c r="X58" i="3"/>
  <c r="X57" i="3"/>
  <c r="X54" i="3"/>
  <c r="AA54" i="3"/>
  <c r="X52" i="3"/>
  <c r="AA52" i="3"/>
  <c r="X53" i="3"/>
  <c r="AA53" i="3"/>
  <c r="X51" i="3"/>
  <c r="AA51" i="3"/>
  <c r="X48" i="3"/>
  <c r="AA48" i="3"/>
  <c r="X47" i="3"/>
  <c r="AA47" i="3"/>
  <c r="X46" i="3"/>
  <c r="AA46" i="3"/>
  <c r="X45" i="3"/>
  <c r="X41" i="3"/>
  <c r="X44" i="3"/>
  <c r="AA44" i="3"/>
  <c r="X43" i="3"/>
  <c r="AA43" i="3"/>
  <c r="X42" i="3"/>
  <c r="AA42" i="3"/>
  <c r="X40" i="3"/>
  <c r="AA40" i="3"/>
  <c r="X39" i="3"/>
  <c r="AA39" i="3"/>
  <c r="X38" i="3"/>
  <c r="X18" i="3"/>
  <c r="Y18" i="3"/>
  <c r="X19" i="3"/>
  <c r="X20" i="3"/>
  <c r="AA20" i="3"/>
  <c r="Y21" i="3"/>
  <c r="Z21" i="3"/>
  <c r="AB21" i="3"/>
  <c r="X22" i="3"/>
  <c r="Y22" i="3"/>
  <c r="X23" i="3"/>
  <c r="X24" i="3"/>
  <c r="Y24" i="3"/>
  <c r="X25" i="3"/>
  <c r="X26" i="3"/>
  <c r="X27" i="3"/>
  <c r="X28" i="3"/>
  <c r="AA28" i="3"/>
  <c r="X29" i="3"/>
  <c r="Y29" i="3"/>
  <c r="Z29" i="3"/>
  <c r="AB29" i="3"/>
  <c r="X30" i="3"/>
  <c r="Y30" i="3"/>
  <c r="X31" i="3"/>
  <c r="Y31" i="3"/>
  <c r="X32" i="3"/>
  <c r="AA32" i="3"/>
  <c r="X33" i="3"/>
  <c r="X34" i="3"/>
  <c r="AA34" i="3"/>
  <c r="X35" i="3"/>
  <c r="Y12" i="3"/>
  <c r="Z12" i="3"/>
  <c r="AB12" i="3"/>
  <c r="Y13" i="3"/>
  <c r="Z13" i="3"/>
  <c r="AB13" i="3"/>
  <c r="Y14" i="3"/>
  <c r="Z14" i="3"/>
  <c r="AB14" i="3"/>
  <c r="X5" i="3"/>
  <c r="AA5" i="3"/>
  <c r="X6" i="3"/>
  <c r="AA6" i="3"/>
  <c r="X7" i="3"/>
  <c r="AA7" i="3"/>
  <c r="X3" i="3"/>
  <c r="Z3" i="3"/>
  <c r="AB3" i="3"/>
  <c r="V75" i="3"/>
  <c r="T75" i="3"/>
  <c r="U75" i="3"/>
  <c r="W75" i="3"/>
  <c r="V77" i="3"/>
  <c r="T77" i="3"/>
  <c r="U77" i="3"/>
  <c r="W77" i="3"/>
  <c r="U76" i="3"/>
  <c r="W76" i="3"/>
  <c r="V74" i="3"/>
  <c r="T74" i="3"/>
  <c r="U74" i="3"/>
  <c r="W74" i="3"/>
  <c r="T73" i="3"/>
  <c r="U73" i="3"/>
  <c r="T72" i="3"/>
  <c r="U72" i="3"/>
  <c r="T71" i="3"/>
  <c r="U71" i="3"/>
  <c r="V70" i="3"/>
  <c r="U70" i="3"/>
  <c r="W70" i="3"/>
  <c r="V69" i="3"/>
  <c r="U69" i="3"/>
  <c r="W69" i="3"/>
  <c r="V68" i="3"/>
  <c r="T68" i="3"/>
  <c r="U68" i="3"/>
  <c r="W68" i="3"/>
  <c r="V67" i="3"/>
  <c r="T67" i="3"/>
  <c r="U67" i="3"/>
  <c r="W67" i="3"/>
  <c r="T66" i="3"/>
  <c r="U66" i="3"/>
  <c r="W66" i="3"/>
  <c r="T65" i="3"/>
  <c r="U65" i="3"/>
  <c r="V62" i="3"/>
  <c r="U62" i="3"/>
  <c r="W62" i="3"/>
  <c r="V61" i="3"/>
  <c r="U61" i="3"/>
  <c r="W61" i="3"/>
  <c r="T60" i="3"/>
  <c r="U60" i="3"/>
  <c r="W60" i="3"/>
  <c r="T58" i="3"/>
  <c r="U58" i="3"/>
  <c r="T57" i="3"/>
  <c r="U57" i="3"/>
  <c r="V59" i="3"/>
  <c r="T59" i="3"/>
  <c r="U59" i="3"/>
  <c r="W59" i="3"/>
  <c r="V54" i="3"/>
  <c r="U54" i="3"/>
  <c r="W54" i="3"/>
  <c r="V53" i="3"/>
  <c r="T53" i="3"/>
  <c r="U53" i="3"/>
  <c r="W53" i="3"/>
  <c r="V52" i="3"/>
  <c r="T52" i="3"/>
  <c r="U52" i="3"/>
  <c r="W52" i="3"/>
  <c r="V51" i="3"/>
  <c r="T51" i="3"/>
  <c r="U51" i="3"/>
  <c r="W51" i="3"/>
  <c r="V47" i="3"/>
  <c r="V48" i="3"/>
  <c r="V46" i="3"/>
  <c r="T46" i="3"/>
  <c r="U46" i="3"/>
  <c r="W46" i="3"/>
  <c r="T42" i="3"/>
  <c r="U42" i="3"/>
  <c r="W42" i="3"/>
  <c r="V42" i="3"/>
  <c r="T38" i="3"/>
  <c r="U38" i="3"/>
  <c r="U48" i="3"/>
  <c r="W48" i="3"/>
  <c r="U47" i="3"/>
  <c r="W47" i="3"/>
  <c r="V45" i="3"/>
  <c r="T45" i="3"/>
  <c r="U45" i="3"/>
  <c r="W45" i="3"/>
  <c r="T44" i="3"/>
  <c r="U44" i="3"/>
  <c r="W44" i="3"/>
  <c r="T43" i="3"/>
  <c r="U43" i="3"/>
  <c r="W43" i="3"/>
  <c r="V41" i="3"/>
  <c r="T41" i="3"/>
  <c r="U41" i="3"/>
  <c r="W41" i="3"/>
  <c r="V40" i="3"/>
  <c r="T40" i="3"/>
  <c r="U40" i="3"/>
  <c r="W40" i="3"/>
  <c r="V39" i="3"/>
  <c r="T39" i="3"/>
  <c r="U39" i="3"/>
  <c r="W39" i="3"/>
  <c r="V35" i="3"/>
  <c r="T35" i="3"/>
  <c r="U35" i="3"/>
  <c r="W35" i="3"/>
  <c r="V33" i="3"/>
  <c r="V34" i="3"/>
  <c r="V32" i="3"/>
  <c r="T34" i="3"/>
  <c r="U34" i="3"/>
  <c r="W34" i="3"/>
  <c r="T33" i="3"/>
  <c r="U33" i="3"/>
  <c r="W33" i="3"/>
  <c r="T32" i="3"/>
  <c r="U32" i="3"/>
  <c r="W32" i="3"/>
  <c r="V31" i="3"/>
  <c r="T31" i="3"/>
  <c r="U31" i="3"/>
  <c r="W31" i="3"/>
  <c r="V30" i="3"/>
  <c r="T30" i="3"/>
  <c r="U30" i="3"/>
  <c r="W30" i="3"/>
  <c r="V29" i="3"/>
  <c r="T29" i="3"/>
  <c r="U29" i="3"/>
  <c r="W29" i="3"/>
  <c r="V28" i="3"/>
  <c r="U28" i="3"/>
  <c r="W28" i="3"/>
  <c r="U27" i="3"/>
  <c r="T26" i="3"/>
  <c r="U26" i="3"/>
  <c r="V24" i="3"/>
  <c r="V25" i="3"/>
  <c r="U25" i="3"/>
  <c r="W25" i="3"/>
  <c r="U24" i="3"/>
  <c r="W24" i="3"/>
  <c r="V23" i="3"/>
  <c r="U23" i="3"/>
  <c r="W23" i="3"/>
  <c r="V22" i="3"/>
  <c r="T22" i="3"/>
  <c r="U22" i="3"/>
  <c r="W22" i="3"/>
  <c r="V21" i="3"/>
  <c r="T21" i="3"/>
  <c r="U21" i="3"/>
  <c r="W21" i="3"/>
  <c r="T19" i="3"/>
  <c r="U19" i="3"/>
  <c r="T20" i="3"/>
  <c r="U20" i="3"/>
  <c r="W20" i="3"/>
  <c r="V18" i="3"/>
  <c r="T18" i="3"/>
  <c r="U18" i="3"/>
  <c r="W18" i="3"/>
  <c r="T17" i="3"/>
  <c r="U17" i="3"/>
  <c r="L11" i="3"/>
  <c r="T14" i="3"/>
  <c r="U14" i="3"/>
  <c r="W14" i="3"/>
  <c r="T13" i="3"/>
  <c r="U13" i="3"/>
  <c r="W13" i="3"/>
  <c r="T12" i="3"/>
  <c r="U12" i="3"/>
  <c r="W12" i="3"/>
  <c r="T11" i="3"/>
  <c r="U11" i="3"/>
  <c r="W11" i="3"/>
  <c r="T10" i="3"/>
  <c r="U10" i="3"/>
  <c r="W10" i="3"/>
  <c r="V4" i="3"/>
  <c r="V3" i="3"/>
  <c r="T7" i="3"/>
  <c r="U7" i="3"/>
  <c r="W7" i="3"/>
  <c r="T6" i="3"/>
  <c r="U6" i="3"/>
  <c r="W6" i="3"/>
  <c r="T5" i="3"/>
  <c r="U5" i="3"/>
  <c r="W5" i="3"/>
  <c r="T4" i="3"/>
  <c r="U4" i="3"/>
  <c r="W4" i="3"/>
  <c r="T3" i="3"/>
  <c r="U3" i="3"/>
  <c r="W3" i="3"/>
  <c r="Y25" i="3"/>
  <c r="Z25" i="3"/>
  <c r="AB25" i="3"/>
  <c r="AA25" i="3"/>
  <c r="Y28" i="3"/>
  <c r="Z28" i="3"/>
  <c r="AB28" i="3"/>
  <c r="Z75" i="3"/>
  <c r="AB75" i="3"/>
  <c r="AA75" i="3"/>
  <c r="AA29" i="3"/>
  <c r="AA68" i="3"/>
  <c r="Z72" i="3"/>
  <c r="AA24" i="3"/>
  <c r="Z66" i="3"/>
  <c r="AB66" i="3"/>
  <c r="AA66" i="3"/>
  <c r="Y62" i="3"/>
  <c r="Z62" i="3"/>
  <c r="AB62" i="3"/>
  <c r="Y41" i="3"/>
  <c r="Z41" i="3"/>
  <c r="AB41" i="3"/>
  <c r="Y45" i="3"/>
  <c r="Z45" i="3"/>
  <c r="AB45" i="3"/>
  <c r="AA62" i="3"/>
  <c r="Y23" i="3"/>
  <c r="Z23" i="3"/>
  <c r="AB23" i="3"/>
  <c r="AA21" i="3"/>
  <c r="Y20" i="3"/>
  <c r="Z20" i="3"/>
  <c r="AB20" i="3"/>
  <c r="AA41" i="3"/>
  <c r="AA45" i="3"/>
  <c r="Y47" i="3"/>
  <c r="Z47" i="3"/>
  <c r="AB47" i="3"/>
  <c r="Y48" i="3"/>
  <c r="Z48" i="3"/>
  <c r="AB48" i="3"/>
  <c r="Y52" i="3"/>
  <c r="Z52" i="3"/>
  <c r="AB52" i="3"/>
  <c r="Y54" i="3"/>
  <c r="Z54" i="3"/>
  <c r="AB54" i="3"/>
  <c r="Z33" i="3"/>
  <c r="AB33" i="3"/>
  <c r="AA33" i="3"/>
  <c r="Y77" i="3"/>
  <c r="Z77" i="3"/>
  <c r="AB77" i="3"/>
  <c r="Z5" i="3"/>
  <c r="AB5" i="3"/>
  <c r="Y35" i="3"/>
  <c r="Z35" i="3"/>
  <c r="AB35" i="3"/>
  <c r="Y27" i="3"/>
  <c r="Z27" i="3"/>
  <c r="Z7" i="3"/>
  <c r="AB7" i="3"/>
  <c r="Z73" i="3"/>
  <c r="Z67" i="3"/>
  <c r="AB67" i="3"/>
  <c r="Z58" i="3"/>
  <c r="Z53" i="3"/>
  <c r="AB53" i="3"/>
  <c r="AA55" i="3"/>
  <c r="Z44" i="3"/>
  <c r="AB44" i="3"/>
  <c r="Z32" i="3"/>
  <c r="AB32" i="3"/>
  <c r="Z71" i="3"/>
  <c r="Z65" i="3"/>
  <c r="Z57" i="3"/>
  <c r="Z46" i="3"/>
  <c r="AB46" i="3"/>
  <c r="Z38" i="3"/>
  <c r="Z31" i="3"/>
  <c r="AB31" i="3"/>
  <c r="Y60" i="3"/>
  <c r="Z60" i="3"/>
  <c r="AB60" i="3"/>
  <c r="Z24" i="3"/>
  <c r="AB24" i="3"/>
  <c r="AA69" i="3"/>
  <c r="Z19" i="3"/>
  <c r="Y11" i="3"/>
  <c r="Z11" i="3"/>
  <c r="AB11" i="3"/>
  <c r="AB15" i="3"/>
  <c r="AA3" i="3"/>
  <c r="Y74" i="3"/>
  <c r="Z74" i="3"/>
  <c r="AB74" i="3"/>
  <c r="Y76" i="3"/>
  <c r="Z76" i="3"/>
  <c r="AB76" i="3"/>
  <c r="Y70" i="3"/>
  <c r="Z70" i="3"/>
  <c r="AB70" i="3"/>
  <c r="Z61" i="3"/>
  <c r="AB61" i="3"/>
  <c r="Y59" i="3"/>
  <c r="Z59" i="3"/>
  <c r="AB59" i="3"/>
  <c r="AA61" i="3"/>
  <c r="Z51" i="3"/>
  <c r="AB51" i="3"/>
  <c r="Z43" i="3"/>
  <c r="AB43" i="3"/>
  <c r="Z42" i="3"/>
  <c r="AB42" i="3"/>
  <c r="Y40" i="3"/>
  <c r="Z40" i="3"/>
  <c r="AB40" i="3"/>
  <c r="Z39" i="3"/>
  <c r="AB39" i="3"/>
  <c r="AA22" i="3"/>
  <c r="AA18" i="3"/>
  <c r="AA35" i="3"/>
  <c r="Z34" i="3"/>
  <c r="AB34" i="3"/>
  <c r="AA31" i="3"/>
  <c r="Z30" i="3"/>
  <c r="AB30" i="3"/>
  <c r="Z26" i="3"/>
  <c r="AA23" i="3"/>
  <c r="Z22" i="3"/>
  <c r="AB22" i="3"/>
  <c r="Z18" i="3"/>
  <c r="AB18" i="3"/>
  <c r="AA30" i="3"/>
  <c r="Z6" i="3"/>
  <c r="AB6" i="3"/>
  <c r="AB8" i="3"/>
  <c r="AB55" i="3"/>
  <c r="W55" i="3"/>
  <c r="V55" i="3"/>
  <c r="W15" i="3"/>
  <c r="V15" i="3"/>
  <c r="W8" i="3"/>
  <c r="V8" i="3"/>
  <c r="Q74" i="3"/>
  <c r="Q77" i="3"/>
  <c r="O77" i="3"/>
  <c r="P77" i="3"/>
  <c r="R77" i="3"/>
  <c r="Q76" i="3"/>
  <c r="O76" i="3"/>
  <c r="P76" i="3"/>
  <c r="R76" i="3"/>
  <c r="Q75" i="3"/>
  <c r="R75" i="3"/>
  <c r="O74" i="3"/>
  <c r="P74" i="3"/>
  <c r="R74" i="3"/>
  <c r="Q70" i="3"/>
  <c r="O70" i="3"/>
  <c r="P70" i="3"/>
  <c r="R70" i="3"/>
  <c r="Q69" i="3"/>
  <c r="O69" i="3"/>
  <c r="P69" i="3"/>
  <c r="R69" i="3"/>
  <c r="Q68" i="3"/>
  <c r="O68" i="3"/>
  <c r="P68" i="3"/>
  <c r="R68" i="3"/>
  <c r="Q67" i="3"/>
  <c r="P67" i="3"/>
  <c r="R67" i="3"/>
  <c r="P66" i="3"/>
  <c r="R66" i="3"/>
  <c r="Q62" i="3"/>
  <c r="O62" i="3"/>
  <c r="P62" i="3"/>
  <c r="R62" i="3"/>
  <c r="Q61" i="3"/>
  <c r="O61" i="3"/>
  <c r="P61" i="3"/>
  <c r="R61" i="3"/>
  <c r="Q60" i="3"/>
  <c r="O60" i="3"/>
  <c r="P60" i="3"/>
  <c r="R60" i="3"/>
  <c r="Q59" i="3"/>
  <c r="O59" i="3"/>
  <c r="P59" i="3"/>
  <c r="R59" i="3"/>
  <c r="P58" i="3"/>
  <c r="Q54" i="3"/>
  <c r="O54" i="3"/>
  <c r="P54" i="3"/>
  <c r="R54" i="3"/>
  <c r="Q53" i="3"/>
  <c r="P53" i="3"/>
  <c r="R53" i="3"/>
  <c r="Q52" i="3"/>
  <c r="O52" i="3"/>
  <c r="P52" i="3"/>
  <c r="R52" i="3"/>
  <c r="Q51" i="3"/>
  <c r="R51" i="3"/>
  <c r="Q48" i="3"/>
  <c r="O48" i="3"/>
  <c r="P48" i="3"/>
  <c r="R48" i="3"/>
  <c r="Q47" i="3"/>
  <c r="P47" i="3"/>
  <c r="R47" i="3"/>
  <c r="Q46" i="3"/>
  <c r="R46" i="3"/>
  <c r="Q45" i="3"/>
  <c r="O45" i="3"/>
  <c r="P45" i="3"/>
  <c r="R45" i="3"/>
  <c r="P44" i="3"/>
  <c r="R44" i="3"/>
  <c r="P43" i="3"/>
  <c r="R43" i="3"/>
  <c r="Q42" i="3"/>
  <c r="P42" i="3"/>
  <c r="R42" i="3"/>
  <c r="Q41" i="3"/>
  <c r="O41" i="3"/>
  <c r="P41" i="3"/>
  <c r="R41" i="3"/>
  <c r="Q40" i="3"/>
  <c r="O40" i="3"/>
  <c r="P40" i="3"/>
  <c r="R40" i="3"/>
  <c r="Q39" i="3"/>
  <c r="P39" i="3"/>
  <c r="R39" i="3"/>
  <c r="P38" i="3"/>
  <c r="Q35" i="3"/>
  <c r="O35" i="3"/>
  <c r="P35" i="3"/>
  <c r="R35" i="3"/>
  <c r="Q34" i="3"/>
  <c r="P34" i="3"/>
  <c r="R34" i="3"/>
  <c r="Q33" i="3"/>
  <c r="P33" i="3"/>
  <c r="R33" i="3"/>
  <c r="Q32" i="3"/>
  <c r="P32" i="3"/>
  <c r="R32" i="3"/>
  <c r="Q31" i="3"/>
  <c r="O31" i="3"/>
  <c r="P31" i="3"/>
  <c r="R31" i="3"/>
  <c r="Q30" i="3"/>
  <c r="O30" i="3"/>
  <c r="P30" i="3"/>
  <c r="R30" i="3"/>
  <c r="Q29" i="3"/>
  <c r="O29" i="3"/>
  <c r="P29" i="3"/>
  <c r="R29" i="3"/>
  <c r="Q28" i="3"/>
  <c r="O28" i="3"/>
  <c r="P28" i="3"/>
  <c r="R28" i="3"/>
  <c r="O27" i="3"/>
  <c r="P27" i="3"/>
  <c r="Q25" i="3"/>
  <c r="O25" i="3"/>
  <c r="P25" i="3"/>
  <c r="R25" i="3"/>
  <c r="Q24" i="3"/>
  <c r="O24" i="3"/>
  <c r="P24" i="3"/>
  <c r="R24" i="3"/>
  <c r="Q23" i="3"/>
  <c r="O23" i="3"/>
  <c r="P23" i="3"/>
  <c r="R23" i="3"/>
  <c r="Q22" i="3"/>
  <c r="O22" i="3"/>
  <c r="P22" i="3"/>
  <c r="R22" i="3"/>
  <c r="Q21" i="3"/>
  <c r="O21" i="3"/>
  <c r="P21" i="3"/>
  <c r="R21" i="3"/>
  <c r="O20" i="3"/>
  <c r="P19" i="3"/>
  <c r="Q18" i="3"/>
  <c r="O18" i="3"/>
  <c r="P18" i="3"/>
  <c r="R18" i="3"/>
  <c r="P17" i="3"/>
  <c r="Q55" i="3"/>
  <c r="R55" i="3"/>
  <c r="P20" i="3"/>
  <c r="R20" i="3"/>
  <c r="L30" i="3"/>
  <c r="J30" i="3"/>
  <c r="K30" i="3"/>
  <c r="M30" i="3"/>
  <c r="AC30" i="3"/>
  <c r="AD30" i="3"/>
  <c r="G73" i="3"/>
  <c r="G72" i="3"/>
  <c r="G58" i="3"/>
  <c r="G27" i="3"/>
  <c r="G26" i="3"/>
  <c r="K54" i="3"/>
  <c r="M54" i="3"/>
  <c r="AC54" i="3"/>
  <c r="AD54" i="3"/>
  <c r="G57" i="3"/>
  <c r="L42" i="3"/>
  <c r="K42" i="3"/>
  <c r="L39" i="3"/>
  <c r="K39" i="3"/>
  <c r="M39" i="3"/>
  <c r="AC39" i="3"/>
  <c r="AD39" i="3"/>
  <c r="L41" i="3"/>
  <c r="J41" i="3"/>
  <c r="K41" i="3"/>
  <c r="M41" i="3"/>
  <c r="AC41" i="3"/>
  <c r="AD41" i="3"/>
  <c r="AA57" i="3"/>
  <c r="AB57" i="3"/>
  <c r="Q26" i="3"/>
  <c r="L26" i="3"/>
  <c r="R26" i="3"/>
  <c r="AA26" i="3"/>
  <c r="AB26" i="3"/>
  <c r="AA27" i="3"/>
  <c r="AB27" i="3"/>
  <c r="AA58" i="3"/>
  <c r="AB58" i="3"/>
  <c r="AA72" i="3"/>
  <c r="AB72" i="3"/>
  <c r="AA73" i="3"/>
  <c r="AB73" i="3"/>
  <c r="M42" i="3"/>
  <c r="AC42" i="3"/>
  <c r="AD42" i="3"/>
  <c r="V72" i="3"/>
  <c r="W72" i="3"/>
  <c r="Q72" i="3"/>
  <c r="R72" i="3"/>
  <c r="V57" i="3"/>
  <c r="W57" i="3"/>
  <c r="Q57" i="3"/>
  <c r="R57" i="3"/>
  <c r="V26" i="3"/>
  <c r="W26" i="3"/>
  <c r="V73" i="3"/>
  <c r="W73" i="3"/>
  <c r="R73" i="3"/>
  <c r="Q73" i="3"/>
  <c r="V27" i="3"/>
  <c r="W27" i="3"/>
  <c r="Q27" i="3"/>
  <c r="R27" i="3"/>
  <c r="V58" i="3"/>
  <c r="W58" i="3"/>
  <c r="Q58" i="3"/>
  <c r="R58" i="3"/>
  <c r="L77" i="3"/>
  <c r="J77" i="3"/>
  <c r="K77" i="3"/>
  <c r="M77" i="3"/>
  <c r="AC77" i="3"/>
  <c r="AD77" i="3"/>
  <c r="L76" i="3"/>
  <c r="K76" i="3"/>
  <c r="L75" i="3"/>
  <c r="J75" i="3"/>
  <c r="K75" i="3"/>
  <c r="M75" i="3"/>
  <c r="AC75" i="3"/>
  <c r="AD75" i="3"/>
  <c r="J73" i="3"/>
  <c r="K73" i="3"/>
  <c r="M73" i="3"/>
  <c r="L72" i="3"/>
  <c r="J72" i="3"/>
  <c r="K72" i="3"/>
  <c r="M72" i="3"/>
  <c r="J71" i="3"/>
  <c r="K71" i="3"/>
  <c r="L74" i="3"/>
  <c r="J74" i="3"/>
  <c r="K74" i="3"/>
  <c r="M74" i="3"/>
  <c r="AC74" i="3"/>
  <c r="AD74" i="3"/>
  <c r="L73" i="3"/>
  <c r="G71" i="3"/>
  <c r="J67" i="3"/>
  <c r="K67" i="3"/>
  <c r="M67" i="3"/>
  <c r="J66" i="3"/>
  <c r="J65" i="3"/>
  <c r="K65" i="3"/>
  <c r="G65" i="3"/>
  <c r="L70" i="3"/>
  <c r="J70" i="3"/>
  <c r="K70" i="3"/>
  <c r="M70" i="3"/>
  <c r="AC70" i="3"/>
  <c r="AD70" i="3"/>
  <c r="L69" i="3"/>
  <c r="J69" i="3"/>
  <c r="K69" i="3"/>
  <c r="M69" i="3"/>
  <c r="AC69" i="3"/>
  <c r="AD69" i="3"/>
  <c r="L68" i="3"/>
  <c r="J68" i="3"/>
  <c r="K68" i="3"/>
  <c r="M68" i="3"/>
  <c r="AC68" i="3"/>
  <c r="AD68" i="3"/>
  <c r="L62" i="3"/>
  <c r="J62" i="3"/>
  <c r="K62" i="3"/>
  <c r="M62" i="3"/>
  <c r="AC62" i="3"/>
  <c r="AD62" i="3"/>
  <c r="L61" i="3"/>
  <c r="J61" i="3"/>
  <c r="K61" i="3"/>
  <c r="M61" i="3"/>
  <c r="AC61" i="3"/>
  <c r="AD61" i="3"/>
  <c r="J60" i="3"/>
  <c r="K60" i="3"/>
  <c r="L59" i="3"/>
  <c r="J59" i="3"/>
  <c r="K59" i="3"/>
  <c r="M59" i="3"/>
  <c r="AC59" i="3"/>
  <c r="AD59" i="3"/>
  <c r="J58" i="3"/>
  <c r="K58" i="3"/>
  <c r="L58" i="3"/>
  <c r="L57" i="3"/>
  <c r="K57" i="3"/>
  <c r="M57" i="3"/>
  <c r="J53" i="3"/>
  <c r="AC53" i="3"/>
  <c r="AD53" i="3"/>
  <c r="K51" i="3"/>
  <c r="M51" i="3"/>
  <c r="L51" i="3"/>
  <c r="J52" i="3"/>
  <c r="K52" i="3"/>
  <c r="M52" i="3"/>
  <c r="AC52" i="3"/>
  <c r="AD52" i="3"/>
  <c r="J45" i="3"/>
  <c r="K45" i="3"/>
  <c r="M45" i="3"/>
  <c r="AC45" i="3"/>
  <c r="AD45" i="3"/>
  <c r="J44" i="3"/>
  <c r="K44" i="3"/>
  <c r="M44" i="3"/>
  <c r="AC44" i="3"/>
  <c r="AD44" i="3"/>
  <c r="J43" i="3"/>
  <c r="K43" i="3"/>
  <c r="M43" i="3"/>
  <c r="AC43" i="3"/>
  <c r="AD43" i="3"/>
  <c r="L48" i="3"/>
  <c r="K48" i="3"/>
  <c r="L47" i="3"/>
  <c r="K47" i="3"/>
  <c r="M47" i="3"/>
  <c r="K46" i="3"/>
  <c r="M46" i="3"/>
  <c r="AC46" i="3"/>
  <c r="AD46" i="3"/>
  <c r="L40" i="3"/>
  <c r="J40" i="3"/>
  <c r="K40" i="3"/>
  <c r="M40" i="3"/>
  <c r="AC40" i="3"/>
  <c r="AD40" i="3"/>
  <c r="K38" i="3"/>
  <c r="G38" i="3"/>
  <c r="L35" i="3"/>
  <c r="J35" i="3"/>
  <c r="K35" i="3"/>
  <c r="M35" i="3"/>
  <c r="AC35" i="3"/>
  <c r="AD35" i="3"/>
  <c r="L34" i="3"/>
  <c r="J34" i="3"/>
  <c r="K34" i="3"/>
  <c r="M34" i="3"/>
  <c r="AC34" i="3"/>
  <c r="AD34" i="3"/>
  <c r="L33" i="3"/>
  <c r="J33" i="3"/>
  <c r="K33" i="3"/>
  <c r="M33" i="3"/>
  <c r="AC33" i="3"/>
  <c r="AD33" i="3"/>
  <c r="L32" i="3"/>
  <c r="J32" i="3"/>
  <c r="K32" i="3"/>
  <c r="M32" i="3"/>
  <c r="AC32" i="3"/>
  <c r="AD32" i="3"/>
  <c r="L31" i="3"/>
  <c r="J31" i="3"/>
  <c r="K31" i="3"/>
  <c r="M31" i="3"/>
  <c r="AC31" i="3"/>
  <c r="AD31" i="3"/>
  <c r="J29" i="3"/>
  <c r="K29" i="3"/>
  <c r="M29" i="3"/>
  <c r="AC29" i="3"/>
  <c r="AD29" i="3"/>
  <c r="L29" i="3"/>
  <c r="K28" i="3"/>
  <c r="M28" i="3"/>
  <c r="L28" i="3"/>
  <c r="K26" i="3"/>
  <c r="M26" i="3"/>
  <c r="L27" i="3"/>
  <c r="G19" i="3"/>
  <c r="K27" i="3"/>
  <c r="M27" i="3"/>
  <c r="G17" i="3"/>
  <c r="V17" i="3"/>
  <c r="Q17" i="3"/>
  <c r="L17" i="3"/>
  <c r="AA17" i="3"/>
  <c r="AB17" i="3"/>
  <c r="Q19" i="3"/>
  <c r="L19" i="3"/>
  <c r="AA19" i="3"/>
  <c r="AB19" i="3"/>
  <c r="R19" i="3"/>
  <c r="AA38" i="3"/>
  <c r="AA49" i="3"/>
  <c r="AB38" i="3"/>
  <c r="AB49" i="3"/>
  <c r="Q65" i="3"/>
  <c r="L65" i="3"/>
  <c r="AA65" i="3"/>
  <c r="AB65" i="3"/>
  <c r="M65" i="3"/>
  <c r="AA71" i="3"/>
  <c r="AB71" i="3"/>
  <c r="AB63" i="3"/>
  <c r="AA63" i="3"/>
  <c r="AC47" i="3"/>
  <c r="AD47" i="3"/>
  <c r="AC28" i="3"/>
  <c r="AD28" i="3"/>
  <c r="M76" i="3"/>
  <c r="AC76" i="3"/>
  <c r="AD76" i="3"/>
  <c r="M48" i="3"/>
  <c r="AC48" i="3"/>
  <c r="AC66" i="3"/>
  <c r="AD66" i="3"/>
  <c r="M60" i="3"/>
  <c r="AC60" i="3"/>
  <c r="AD60" i="3"/>
  <c r="V63" i="3"/>
  <c r="AC73" i="3"/>
  <c r="AD73" i="3"/>
  <c r="AC27" i="3"/>
  <c r="AD27" i="3"/>
  <c r="AC26" i="3"/>
  <c r="AD26" i="3"/>
  <c r="AC72" i="3"/>
  <c r="AD72" i="3"/>
  <c r="Q63" i="3"/>
  <c r="L63" i="3"/>
  <c r="AC57" i="3"/>
  <c r="AD57" i="3"/>
  <c r="L55" i="3"/>
  <c r="M55" i="3"/>
  <c r="AC51" i="3"/>
  <c r="L71" i="3"/>
  <c r="V71" i="3"/>
  <c r="W71" i="3"/>
  <c r="Q71" i="3"/>
  <c r="R71" i="3"/>
  <c r="W63" i="3"/>
  <c r="W17" i="3"/>
  <c r="R17" i="3"/>
  <c r="L38" i="3"/>
  <c r="L49" i="3"/>
  <c r="V38" i="3"/>
  <c r="V49" i="3"/>
  <c r="W38" i="3"/>
  <c r="W49" i="3"/>
  <c r="Q38" i="3"/>
  <c r="Q49" i="3"/>
  <c r="R38" i="3"/>
  <c r="R49" i="3"/>
  <c r="V65" i="3"/>
  <c r="W65" i="3"/>
  <c r="R65" i="3"/>
  <c r="V19" i="3"/>
  <c r="W19" i="3"/>
  <c r="R63" i="3"/>
  <c r="M71" i="3"/>
  <c r="AC67" i="3"/>
  <c r="AD67" i="3"/>
  <c r="M58" i="3"/>
  <c r="M38" i="3"/>
  <c r="AB78" i="3"/>
  <c r="AA78" i="3"/>
  <c r="AD48" i="3"/>
  <c r="M49" i="3"/>
  <c r="V78" i="3"/>
  <c r="AC71" i="3"/>
  <c r="AD71" i="3"/>
  <c r="L78" i="3"/>
  <c r="M63" i="3"/>
  <c r="AC58" i="3"/>
  <c r="AD58" i="3"/>
  <c r="AD51" i="3"/>
  <c r="R78" i="3"/>
  <c r="AC65" i="3"/>
  <c r="AC38" i="3"/>
  <c r="Q78" i="3"/>
  <c r="V36" i="3"/>
  <c r="W78" i="3"/>
  <c r="W36" i="3"/>
  <c r="M78" i="3"/>
  <c r="J21" i="3"/>
  <c r="K21" i="3"/>
  <c r="M21" i="3"/>
  <c r="AC21" i="3"/>
  <c r="AD21" i="3"/>
  <c r="J22" i="3"/>
  <c r="K22" i="3"/>
  <c r="M22" i="3"/>
  <c r="AC22" i="3"/>
  <c r="AD22" i="3"/>
  <c r="J23" i="3"/>
  <c r="K23" i="3"/>
  <c r="M23" i="3"/>
  <c r="AC23" i="3"/>
  <c r="AD23" i="3"/>
  <c r="J24" i="3"/>
  <c r="K24" i="3"/>
  <c r="M24" i="3"/>
  <c r="AC24" i="3"/>
  <c r="AD24" i="3"/>
  <c r="J25" i="3"/>
  <c r="K25" i="3"/>
  <c r="M25" i="3"/>
  <c r="AC25" i="3"/>
  <c r="AD25" i="3"/>
  <c r="J20" i="3"/>
  <c r="K20" i="3"/>
  <c r="K19" i="3"/>
  <c r="L21" i="3"/>
  <c r="L22" i="3"/>
  <c r="L23" i="3"/>
  <c r="L24" i="3"/>
  <c r="L25" i="3"/>
  <c r="M20" i="3"/>
  <c r="AC20" i="3"/>
  <c r="AD20" i="3"/>
  <c r="M19" i="3"/>
  <c r="AC19" i="3"/>
  <c r="AD19" i="3"/>
  <c r="AD65" i="3"/>
  <c r="AD38" i="3"/>
  <c r="O14" i="3"/>
  <c r="P14" i="3"/>
  <c r="R14" i="3"/>
  <c r="J14" i="3"/>
  <c r="K14" i="3"/>
  <c r="M14" i="3"/>
  <c r="L14" i="3"/>
  <c r="O11" i="3"/>
  <c r="P11" i="3"/>
  <c r="R11" i="3"/>
  <c r="O12" i="3"/>
  <c r="P12" i="3"/>
  <c r="R12" i="3"/>
  <c r="O13" i="3"/>
  <c r="P13" i="3"/>
  <c r="R13" i="3"/>
  <c r="O10" i="3"/>
  <c r="P10" i="3"/>
  <c r="R10" i="3"/>
  <c r="K5" i="3"/>
  <c r="M5" i="3"/>
  <c r="K6" i="3"/>
  <c r="M6" i="3"/>
  <c r="K7" i="3"/>
  <c r="M7" i="3"/>
  <c r="K3" i="3"/>
  <c r="M3" i="3"/>
  <c r="Q4" i="3"/>
  <c r="Q3" i="3"/>
  <c r="P5" i="3"/>
  <c r="R5" i="3"/>
  <c r="P6" i="3"/>
  <c r="R6" i="3"/>
  <c r="P7" i="3"/>
  <c r="R7" i="3"/>
  <c r="P4" i="3"/>
  <c r="R4" i="3"/>
  <c r="P3" i="3"/>
  <c r="R3" i="3"/>
  <c r="AC14" i="3"/>
  <c r="AD14" i="3"/>
  <c r="Q8" i="3"/>
  <c r="R8" i="3"/>
  <c r="R15" i="3"/>
  <c r="Q15" i="3"/>
  <c r="L18" i="3"/>
  <c r="L36" i="3"/>
  <c r="J18" i="3"/>
  <c r="K18" i="3"/>
  <c r="M18" i="3"/>
  <c r="AC18" i="3"/>
  <c r="K17" i="3"/>
  <c r="M17" i="3"/>
  <c r="L12" i="3"/>
  <c r="L13" i="3"/>
  <c r="J11" i="3"/>
  <c r="K11" i="3"/>
  <c r="M11" i="3"/>
  <c r="AC11" i="3"/>
  <c r="AD11" i="3"/>
  <c r="J12" i="3"/>
  <c r="K12" i="3"/>
  <c r="M12" i="3"/>
  <c r="AC12" i="3"/>
  <c r="AD12" i="3"/>
  <c r="J13" i="3"/>
  <c r="K13" i="3"/>
  <c r="M13" i="3"/>
  <c r="AC13" i="3"/>
  <c r="AD13" i="3"/>
  <c r="J10" i="3"/>
  <c r="K10" i="3"/>
  <c r="AC5" i="3"/>
  <c r="AD5" i="3"/>
  <c r="M4" i="3"/>
  <c r="AC4" i="3"/>
  <c r="AD4" i="3"/>
  <c r="L4" i="3"/>
  <c r="AC6" i="3"/>
  <c r="AD6" i="3"/>
  <c r="AC7" i="3"/>
  <c r="AD7" i="3"/>
  <c r="AD18" i="3"/>
  <c r="M10" i="3"/>
  <c r="AC10" i="3"/>
  <c r="AD10" i="3"/>
  <c r="AC17" i="3"/>
  <c r="AD17" i="3"/>
  <c r="AA8" i="3"/>
  <c r="M36" i="3"/>
  <c r="L8" i="3"/>
  <c r="M15" i="3"/>
  <c r="L15" i="3"/>
  <c r="M8" i="3"/>
  <c r="L79" i="3"/>
  <c r="M79" i="3"/>
  <c r="D21" i="1"/>
  <c r="L50" i="1"/>
  <c r="K50" i="1"/>
  <c r="F38" i="1"/>
  <c r="AC3" i="3"/>
  <c r="V79" i="3"/>
  <c r="AA36" i="3"/>
  <c r="AA79" i="3"/>
  <c r="Q36" i="3"/>
  <c r="Q79" i="3"/>
  <c r="V80" i="3"/>
  <c r="AD3" i="3"/>
  <c r="AB36" i="3"/>
  <c r="AB79" i="3"/>
  <c r="R36" i="3"/>
  <c r="R79" i="3"/>
  <c r="AB82" i="3"/>
  <c r="W79" i="3"/>
  <c r="W80" i="3"/>
</calcChain>
</file>

<file path=xl/comments1.xml><?xml version="1.0" encoding="utf-8"?>
<comments xmlns="http://schemas.openxmlformats.org/spreadsheetml/2006/main">
  <authors>
    <author>tc={B4E793C9-87B9-4172-9C90-E9E40997B86E}</author>
    <author>tc={E998290A-4318-4A28-8AFE-B1BFE1EA207B}</author>
  </authors>
  <commentList>
    <comment ref="X1"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r>
      </text>
    </comment>
    <comment ref="A63"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Sugiero que aquí se coloque la palabra total para entender de que tratan los valores de esta fila</t>
        </r>
      </text>
    </comment>
  </commentList>
</comments>
</file>

<file path=xl/connections.xml><?xml version="1.0" encoding="utf-8"?>
<connections xmlns="http://schemas.openxmlformats.org/spreadsheetml/2006/main">
  <connection id="1" keepAlive="1" name="ThisWorkbookDataModel" description="Modelo de dato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name="WorksheetConnection_Estudio de mercado!$A$2:$AD$79" type="102" refreshedVersion="6" minRefreshableVersion="5">
    <extLst>
      <ext xmlns:x15="http://schemas.microsoft.com/office/spreadsheetml/2010/11/main" uri="{DE250136-89BD-433C-8126-D09CA5730AF9}">
        <x15:connection id="Rango" autoDelete="1">
          <x15:rangePr sourceName="_xlcn.WorksheetConnection_EstudiodemercadoA2AD791"/>
        </x15:connection>
      </ext>
    </extLst>
  </connection>
</connections>
</file>

<file path=xl/sharedStrings.xml><?xml version="1.0" encoding="utf-8"?>
<sst xmlns="http://schemas.openxmlformats.org/spreadsheetml/2006/main" count="557" uniqueCount="228">
  <si>
    <t>FORMATO SOLICITUD DE COTIZACIÓN</t>
  </si>
  <si>
    <t>ALCALDÍA LOCAL DE SUBA</t>
  </si>
  <si>
    <t>ADVERTENCIA</t>
  </si>
  <si>
    <t>La cotización recibida servirá de base para la elaboración de un estudio de mercado, y por tanto, no constituye en si misma una oferta y consecuentemente NO obliga a ninguna de las partes.</t>
  </si>
  <si>
    <t>OBJETO</t>
  </si>
  <si>
    <t>“PRESTAR LOS SERVICIOS PROFESIONALES PARA PROMOVER EL FORTALECIMIENTO DE LA ALIANZA ESCUELA, FAMILIA Y COMUNIDAD, EN EL MARCO DEL PROYECTO DE INVERSIÓN 1957 "CONSTRUYENDO NUESTRA INFANCIA LOCAL" DE LA LOCALIDAD DE SUBA.”</t>
  </si>
  <si>
    <t>VALIDEZ DE LA CONTRATACIÓN</t>
  </si>
  <si>
    <t>Se solicita que la cotización tenga validez minimo 3 Meses a partir de su expedición.</t>
  </si>
  <si>
    <t>ESPECIFICACIONES TECNICAS</t>
  </si>
  <si>
    <t xml:space="preserve">Para visualizar las especificaciones tecnicas dirijase a la pestaña Cotización </t>
  </si>
  <si>
    <t>CONDICIONES DE CONTRATACIÓN</t>
  </si>
  <si>
    <t>PLAZO</t>
  </si>
  <si>
    <t>CODIGOS UNSPSC</t>
  </si>
  <si>
    <t xml:space="preserve">SEGMENTO </t>
  </si>
  <si>
    <t>FAMILIA</t>
  </si>
  <si>
    <t>CLASE</t>
  </si>
  <si>
    <t xml:space="preserve">NOMBRE </t>
  </si>
  <si>
    <t>93000000 </t>
  </si>
  <si>
    <t>93140000 </t>
  </si>
  <si>
    <t>93141500 </t>
  </si>
  <si>
    <t>Servicios de Política Social </t>
  </si>
  <si>
    <t>93141700 </t>
  </si>
  <si>
    <t>Organizaciones de eventos culturales </t>
  </si>
  <si>
    <t>80140000 </t>
  </si>
  <si>
    <t>80141600 </t>
  </si>
  <si>
    <t>Gestión de eventos </t>
  </si>
  <si>
    <r>
      <t>8</t>
    </r>
    <r>
      <rPr>
        <sz val="12"/>
        <rFont val="Garamond"/>
        <family val="1"/>
      </rPr>
      <t>0000000 </t>
    </r>
  </si>
  <si>
    <t>80100000 </t>
  </si>
  <si>
    <t>80101600 </t>
  </si>
  <si>
    <t>Gerencia de proyectos </t>
  </si>
  <si>
    <t>Solicita y elabora:</t>
  </si>
  <si>
    <t>Revisó:</t>
  </si>
  <si>
    <t>ESPECIFICACIONES TECNICAS PARA COTIZACIÓN -PROCESO DE COTIZACIÓN FDLS</t>
  </si>
  <si>
    <t>DIRIGIDA A ALCALDÍA LOCAL DE SUBA - NIT 899.999.061-9</t>
  </si>
  <si>
    <t>PROVEEDOR</t>
  </si>
  <si>
    <t>TELEFONO CONTACTO</t>
  </si>
  <si>
    <t>Logo Proveedor (Opcional)</t>
  </si>
  <si>
    <t>NIT</t>
  </si>
  <si>
    <t>CORREO CONTACTO</t>
  </si>
  <si>
    <t>DIRECCIÓN</t>
  </si>
  <si>
    <t>PAGINA WEB</t>
  </si>
  <si>
    <t>Ítem</t>
  </si>
  <si>
    <t>Materiales e Insumos</t>
  </si>
  <si>
    <t>Descripción</t>
  </si>
  <si>
    <t>Cantidad</t>
  </si>
  <si>
    <t>Unidad de medida</t>
  </si>
  <si>
    <t>Tiempo</t>
  </si>
  <si>
    <t>Valor unitario sin IVA</t>
  </si>
  <si>
    <t>Valor IVA</t>
  </si>
  <si>
    <t>Valor unitario con IVA</t>
  </si>
  <si>
    <t>Valor total Sin IVA</t>
  </si>
  <si>
    <t>Valor total con IVA</t>
  </si>
  <si>
    <t>COORDINADOR GENERAL</t>
  </si>
  <si>
    <r>
      <rPr>
        <b/>
        <sz val="11"/>
        <color theme="1"/>
        <rFont val="Garamond"/>
        <family val="1"/>
      </rPr>
      <t>FORMACIÓN PROFESIONAL DE ACUERDO AL ÁREA DE CONOCIMIENTO DEL NÚCLEO BÁSICO DEL CONOCIMIENTO</t>
    </r>
    <r>
      <rPr>
        <sz val="11"/>
        <color theme="1"/>
        <rFont val="Garamond"/>
        <family val="1"/>
      </rPr>
      <t xml:space="preserve"> Ciencias Sociales y humanas y/o Economía y/o Ciencias sociales y del comportamiento y/o ciencias administrativas (según clasificación del SNIES). 
</t>
    </r>
    <r>
      <rPr>
        <b/>
        <sz val="11"/>
        <color theme="1"/>
        <rFont val="Garamond"/>
        <family val="1"/>
      </rPr>
      <t xml:space="preserve">
EXPERIENCIA PROFESIONAL</t>
    </r>
    <r>
      <rPr>
        <sz val="11"/>
        <color theme="1"/>
        <rFont val="Garamond"/>
        <family val="1"/>
      </rPr>
      <t xml:space="preserve"> Cinco (5) años de experiencia profesional, contados a partir de la terminación de materias y/o fecha de grado, según aplique. 
</t>
    </r>
    <r>
      <rPr>
        <b/>
        <sz val="11"/>
        <color theme="1"/>
        <rFont val="Garamond"/>
        <family val="1"/>
      </rPr>
      <t>EXPERIENCIA ESPECIFICA</t>
    </r>
    <r>
      <rPr>
        <sz val="11"/>
        <color theme="1"/>
        <rFont val="Garamond"/>
        <family val="1"/>
      </rPr>
      <t xml:space="preserve"> En tres (3) proyectos de mínimo seis (6) meses cada uno como director(a) y/o coordinador(a) de proyectos sociales en temas relacionados con enfoque de Género, y/o Derechos de las Mujeres y/o Política Publica de las mujeres y Equidad de Género.
</t>
    </r>
  </si>
  <si>
    <t>Personas</t>
  </si>
  <si>
    <t>Meses</t>
  </si>
  <si>
    <t>ASISTENTE APOYO ADMINISTRATIVO</t>
  </si>
  <si>
    <r>
      <rPr>
        <b/>
        <sz val="11"/>
        <color theme="1"/>
        <rFont val="Garamond"/>
        <family val="1"/>
      </rPr>
      <t>FORMACIÓN PROFESIONAL DE ACUERDO AL ÁREA DE CONOCIMIENTO DEL NÚCLEO BÁSICO DEL CONOCIMIENTO</t>
    </r>
    <r>
      <rPr>
        <sz val="11"/>
        <color theme="1"/>
        <rFont val="Garamond"/>
        <family val="1"/>
      </rPr>
      <t xml:space="preserve"> Técnico en ciencias sociales, politólogo, abogado, ciencias económicas y administrativas.
 (según clasificación del SNIES). 
</t>
    </r>
    <r>
      <rPr>
        <b/>
        <sz val="11"/>
        <color theme="1"/>
        <rFont val="Garamond"/>
        <family val="1"/>
      </rPr>
      <t>EXPERIENCIA PROFESIONAL</t>
    </r>
    <r>
      <rPr>
        <sz val="11"/>
        <color theme="1"/>
        <rFont val="Garamond"/>
        <family val="1"/>
      </rPr>
      <t xml:space="preserve">
Un (1) año, manejo base de datos, clasificación y organización de archivos, registro y sistematización de la información 
</t>
    </r>
  </si>
  <si>
    <t>TRABAJADORA SOCIAL</t>
  </si>
  <si>
    <r>
      <rPr>
        <b/>
        <sz val="11"/>
        <color theme="1"/>
        <rFont val="Garamond"/>
        <family val="1"/>
      </rPr>
      <t>FORMACIÓN PROFESIONAL DE ACUERDO AL ÁREA DE CONOCIMIENTO DEL NÚCLEO BÁSICO DEL CONOCIMIENTO</t>
    </r>
    <r>
      <rPr>
        <sz val="11"/>
        <color theme="1"/>
        <rFont val="Garamond"/>
        <family val="1"/>
      </rPr>
      <t xml:space="preserve"> Técnico en ciencias sociales, politólogo, abogado, ciencias económicas y administrativas.
 (según clasificación del SNIES). 
</t>
    </r>
    <r>
      <rPr>
        <b/>
        <sz val="11"/>
        <color theme="1"/>
        <rFont val="Garamond"/>
        <family val="1"/>
      </rPr>
      <t>EXPERIENCIA PROFESIONAL</t>
    </r>
    <r>
      <rPr>
        <sz val="11"/>
        <color theme="1"/>
        <rFont val="Garamond"/>
        <family val="1"/>
      </rPr>
      <t xml:space="preserve">
Dos (2) años de experiencia profesional, contados a partir de la terminación de materias y/o fecha de grado, según aplique. 
</t>
    </r>
    <r>
      <rPr>
        <b/>
        <sz val="11"/>
        <color theme="1"/>
        <rFont val="Garamond"/>
        <family val="1"/>
      </rPr>
      <t xml:space="preserve">EXPERIENCIA ESPECIFICA </t>
    </r>
    <r>
      <rPr>
        <sz val="11"/>
        <color theme="1"/>
        <rFont val="Garamond"/>
        <family val="1"/>
      </rPr>
      <t xml:space="preserve">
Un (1) año en proyectos sociales en temas relacionados con primera infancia, educación, familia y comunidad
</t>
    </r>
  </si>
  <si>
    <t>AUXILIAR DE ENFERMERIA</t>
  </si>
  <si>
    <r>
      <rPr>
        <b/>
        <sz val="11"/>
        <color theme="1"/>
        <rFont val="Garamond"/>
        <family val="1"/>
      </rPr>
      <t>FORMACIÓN PROFESIONAL DE ACUERDO AL ÁREA DE CONOCIMIENTO DEL NÚCLEO BÁSICO DEL CONOCIMIENTO</t>
    </r>
    <r>
      <rPr>
        <sz val="11"/>
        <color theme="1"/>
        <rFont val="Garamond"/>
        <family val="1"/>
      </rPr>
      <t xml:space="preserve"> Auxiliar de Enfermeria.
 (según clasificación del SNIES). 
</t>
    </r>
    <r>
      <rPr>
        <b/>
        <sz val="11"/>
        <color theme="1"/>
        <rFont val="Garamond"/>
        <family val="1"/>
      </rPr>
      <t>EXPERIENCIA PROFESIONAL</t>
    </r>
    <r>
      <rPr>
        <sz val="11"/>
        <color theme="1"/>
        <rFont val="Garamond"/>
        <family val="1"/>
      </rPr>
      <t xml:space="preserve">
Un (1) años de experiencia profesional, contados a partir de la terminación de materias y/o fecha de grado, según aplique. 
</t>
    </r>
    <r>
      <rPr>
        <b/>
        <sz val="11"/>
        <color theme="1"/>
        <rFont val="Garamond"/>
        <family val="1"/>
      </rPr>
      <t xml:space="preserve">
</t>
    </r>
  </si>
  <si>
    <t>DINAMIZADORES</t>
  </si>
  <si>
    <t xml:space="preserve">Perfil: Título de Bachiller
Experiencia: 
Mínimo 1 año de experiencia en trabajo 
comunitario reconocido en proyectos 
ejecutados en la localidad en líneas relacionado con instituciones educativas, familia y comunidad; con residencia en la localidad de Suba
</t>
  </si>
  <si>
    <t>AFICHES</t>
  </si>
  <si>
    <t>Afiches tamaño medio de pliego en papel propalcote de 150 gr. Tamaño ¼ pliego a cuatro tintas full color y policromía, incluido logos.</t>
  </si>
  <si>
    <t>Unidades</t>
  </si>
  <si>
    <t>PENDON</t>
  </si>
  <si>
    <t>Pendón 2 x 1.5 mts full color en tela banner con logos de inscripción gratuita y tubos superior e inferior.</t>
  </si>
  <si>
    <t>VOLANTES</t>
  </si>
  <si>
    <t>volantes; características: volante tamaño media carta papel bond 90 grs; tinta:2x0.</t>
  </si>
  <si>
    <t>CARTILLAS</t>
  </si>
  <si>
    <t>cartillas deben estar impresas a media carta, cosido, con un mínimo veinte (20) páginas, incluida carátula plastificada en propalcote de trescientos (300 grs.) y hojas Bond de setenta y cinco (75) grs., con los respectivos logos institucionales. Se entregará una cartilla a cada niño y niña participante, al inicio de la ejecución del proyecto ya que esta servirá como diario de registro de las actividades</t>
  </si>
  <si>
    <t>Tallerista 1</t>
  </si>
  <si>
    <t>Perfil 1: Un (1) profesional en el área del conocimiento de Ciencias de la Educación, experiencia profesional certificada en áreas relacionadas, con un mínimo de dos (2) años.</t>
  </si>
  <si>
    <t>horas</t>
  </si>
  <si>
    <t>Kit taller 
Cartografiando-ando</t>
  </si>
  <si>
    <t>La actividad requiere que a cada niño y niña participante el operador le entregue para el desarrollo de la misma los siguientes materiales:
●	1 lápiz HB/N2: Hechos en madera que provenga de fuentes forestales sostenibles, o solicitar portaminas. 
●	1 borrador blanco para lápiz medidas 5,5 cm x 2 cm x 0,9 mm: Seleccionar borradores biodegradables o reutilizables.
●	1 tajalápiz con depósito para la viruta, para lápices de tamaño estándar: Seleccionar tajalápices fabricados con plástico reciclado y no tóxico, que contribuyan a la reducción de residuos. 
●	3 marcadores permanentes colores surtidos: Seleccionar marcadores que sean recargables y que utilicen tintas a base de agua, evitando aquellos que contienen disolventes orgánicos. Deben ser no tóxicos y cumplir con certificaciones ambientales que garanticen su seguridad para los niños.
●	1 kit de vinilos de agua 6 unidades x 80 gr colores surtidos 1 Kit x 3 pinceles redondos, pelo de cerda, graduación: 3-5-7, 1 Caja de Plastilinas colores surtidos, 170 g:  Seleccione vinilos biodegradables o reutilizables con colorantes naturales y empaques reciclables, pinceles sostenibles con mínima huella de plástico, y plastilinas no tóxicas con ingredientes biodegradables, para minimizar el impacto ambiental y promover prácticas sostenibles.
●	1 kit de escarcha X6 Unid colores surtidos medidas 8.4 cm x 6.5 cm x 6.5 cm en empaque 1 Tijera escolar punta roma, mango plástico, 10 cm, corte recto, material acero: Seleccione escarcha elaborada con materiales reciclados o biodegradables, y tijeras con mangos reciclables y no tóxicos, para promover prácticas sostenibles y minimizar el impacto ambiental.
●	La actividad requiere que por cada taller se entregue el siguiente material: 1 Rollo de papel Kraft 48cm X 100mts: Papel reciclado, residuos agroindustriales, o madera proveniente de fuentes forestales sostenibles.</t>
  </si>
  <si>
    <t>unidades</t>
  </si>
  <si>
    <t>Kit taller particiapantes 
Explorando-ando</t>
  </si>
  <si>
    <t>La actividad requiere que a cada niño y niña participante el operador le entregue para el desarrollo de la misma los siguientes materiales:
● Unos (1) Binoculares: Material: Plástico Color: gris y negro Dimensiones del producto (L x W x H): 10 cm x 14 cm x 6 cm, Peso del producto: 175 g
● Una (1) Lupa: Con protector plástico Color: negro Medidas: 17 cm x 9 cm x 2 cm " Una (1) Caja Petri desechable 15 mm</t>
  </si>
  <si>
    <t>Kit taller colegios 
Explorando-ando</t>
  </si>
  <si>
    <t xml:space="preserve">La actividad requiere que por cada colegio se entreguen:
● Cinco (5) microscopios ópticos de aproximadamente 16 cm con 100X 200X 450X de zoom
● 1 lupa 3X, Siete (7) diapositivas en blanco
● Una (1) diapositiva preparada
● Doce (12) etiquetas en blanco
● Doce (12) cubiertas correderas
● Una (1) pipeta de plástico
● Una (1) varilla de revolver
● Una (1) par de pinzas y
● Manual de instrucciones
</t>
  </si>
  <si>
    <t>Kit de refrigerios</t>
  </si>
  <si>
    <t>REFRIGERIO TIPO 1:
Bebida:
Jugo natural de fruta en agua con opción sin azúcar, o bajo en azúcar, contenido mínimo doscientos mililitros (200 ml) (no en bolsa, no de icopor o plástico), o servido en vaso de plástico reutilizable apto para niños
Alimento principal: Se elige uno (1) diferente para cada actividad entre:
Sándwich de ciento ochenta gramos (180gr): En pan común o integral para Sándwich Jamón y queso
Atún y queso,
Pollo, espinaca y queso
Jamón de cerdo, queso y lechuga
Arepas de cien gramos (100 gr):
Arepas de choclo con queso
Pastel de doscientos veinte gramos (220 grs)
Pollo carne gloria
Acompañamiento de ciento setenta gramos (170 gr):
yogurt con granola vaso
Fruta: De temporada de ciento cincuenta gramos (150 gr). (La fruta debe ser diferente en cada actividad).
Empaque: En bolsa plástica bio-degradable (si se requiere), preferiblemente que los productos se encuentren en empaques reciclables y/o biodegradables.</t>
  </si>
  <si>
    <t>Filmación y fotografia
Explorando-ando</t>
  </si>
  <si>
    <t>Se debe realizar un registro fotográfico y un vídeo completo de la actividad (El registro de la actividad 2 será material para la actividad 4).</t>
  </si>
  <si>
    <t>unidad</t>
  </si>
  <si>
    <t>Transporte (ida y vuelta)</t>
  </si>
  <si>
    <t xml:space="preserve">Transporte terrestre automotor especial para apoyar la actividad. Los vehículos destinados a la prestación del servicio deben cumplir con las siguientes condiciones:
✔ Capacidad: 40 Pasajeros (aparte del conductor)
✔ Modelo: 2012 en adelante
✔ Caja: 5 velocidades
✔ Combustible: Diésel, Gasolina y/o Gas
✔ Cilindraje: Mínimo 5.000 C.C. Comercial
✔ Cinturones de seguridad
✔ Sistema que permita abrir las puertas desde el interior o
✔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
</t>
  </si>
  <si>
    <t>Seguro contra accidente</t>
  </si>
  <si>
    <t>Póliza de accidentes personales a pasajeros para todos los participantes de la actividad.</t>
  </si>
  <si>
    <t>banda musical
Concierto canticuentos y poemario al natural</t>
  </si>
  <si>
    <t>Perfil 2: Banda musical puesto en escena, de al menos tres (3) integrantes; para niños (músicas relacionadas con el cuidado y protección de los ecosistemas) con instrumentos musicales y equipos (micrófonos, soportes micrófonos, consola, amplificador, cables, extensiones). Experiencia certificada de mínimo dos (2) años.</t>
  </si>
  <si>
    <t>Banda</t>
  </si>
  <si>
    <t>Equipos tecnologicos y audiovisuales</t>
  </si>
  <si>
    <t xml:space="preserve">Para el desarrollo de la actividad se requiere que el operador cuente con los siguientes equipos para cada taller: computador, video beam, televisor, proyector, micrófonos, parlantes, reproductores de sonido, instrumentos musicales, extensiones eléctricas, cables y demás que se requiera para la proyección de las imágenes y videos y ambientación musical.
(en esta actividad se requiere mostrar un video consolidado de la actividad 2).
</t>
  </si>
  <si>
    <t xml:space="preserve">Kit instrumental taller
Concierto canticuentos y poemario al natural </t>
  </si>
  <si>
    <t xml:space="preserve">La actividad requiere que a cada niño y niña participante el operador le entregue para el desarrollo de la misma los siguientes materiales:
● Un (1) instrumento musical de percusión (para niños). Ejemplo: tambor, panderetas, cajas chinas, etc. (entregar instrumentos variados).
● Un (1) instrumento musical de viento (para niños). Ejemplo: flauta dulce, trompetas, clarinete, etc.
</t>
  </si>
  <si>
    <t xml:space="preserve">Kit  taller
Concierto canticuentos y poemario al natural </t>
  </si>
  <si>
    <t xml:space="preserve">
La actividad requiere que por cada taller se entregue el siguiente material:
● Cuatro (4) pliegos de cartulina de color blanco.
● Dos (2) cajas de marcador permanente x diez (10) unidades colores surtidos.</t>
  </si>
  <si>
    <t>Tallerista
Desde el juego somos memoria</t>
  </si>
  <si>
    <t>Perfil 2: Cuatro (4) parejas de abuelos de la comunidad indígena y NARP con conocimientos en los juegos tradicionales (se sugiere que esta persona pertenezca a comunidades de la localidad de Suba).</t>
  </si>
  <si>
    <t>Kit taller
Desde el juego somos memoria</t>
  </si>
  <si>
    <t xml:space="preserve">La actividad requiere que por cada taller el operador le entregue al colegio para el desarrollo de la misma los siguientes elementos:
* Un (1) Cucunubá: madera (L x P x A cm) :80 X 50 X 8 (1 Cucunubá 2 Extensores 6 Balines) 
*Una (1) Rana madera y triple + 6 Argollas en bronce + 1 Tablero De Puntos -Alto Parte Anterior: 29 Cm -Fondo: 41.3 Cm Ancho: 39 Cm"
*Quince (15) costales de fique Cinco (5) pelotas caucho Tángara: Tiza Para Tablero Caja X ochenta (80) colores surtidos
* Dos (2) canicas: Bolas De Cristal, Canicas, Piquis * cien (100) Unidades surtidas entre (maras, martillada, lechosas, ojo de gato, petrolera, transparente)
* Diez (10) juegos de Jazz: Catapiz Metálico Juego Mesa De Jazz, Medidas del empaque: 12cm X 9cm X 3cm. Cantidad de Catapiz: Once unidades (11 unds).
</t>
  </si>
  <si>
    <t>Talleristas
Mi tierra sabe - Mis abuelos me llegan</t>
  </si>
  <si>
    <t xml:space="preserve">
Perfil 2: Tres (3) representantes de la comunidad indígena vestidas con conocimientos en alimentos ancestrales (se sugiere que estas personas pertenezcan a comunidades de la localidad de Suba). 42 talleres dos horas por talle
</t>
  </si>
  <si>
    <t>Profesional 2: Tres (3) representantes de la comunidad NARP con vestidos tradicionales y con conocimientos en alimentos ancestrales. Estas personas deben pertenecer a comunidades étnicas de la localidad de Suba. 42 talleres dos horas por taller</t>
  </si>
  <si>
    <t>Kit taller
Mi tierra sabe - Mis abuelos me llegan</t>
  </si>
  <si>
    <t xml:space="preserve">La actividad requiere que a cada grupo de máximo cuarenta (40) participantes el operador entregue para el desarrollo de la misma los siguientes elementos:
● Entre   Seis (6) y   ocho (8)   clases de   semillas (maíz, quinua, cacao. habas, etc) en cada mesa de cada grupo étnico.
● Entre Seis (6) y ocho (8) clases de alimentos más tradicionales (degustaciones de mínimo 30 gr) en cada mesa de cada grupo étnico para cada participante. Debe haber al menos 40 degustaciones.
● Degustación de alimentos dulces más tradicionales en cada mesa de cada grupo étnico para cada participante.
Nota: Entre los dos tipos de degustación debe haber al menos 40 degustaciones de manera que todos los participantes al taller accedan a una.
</t>
  </si>
  <si>
    <t>Grupo Titeros
Los titeres lo saben</t>
  </si>
  <si>
    <t xml:space="preserve">
Mínimo cuatro (4) titiriteros con experiencia en obras relacionadas con culturas étnicas</t>
  </si>
  <si>
    <t>Grupo</t>
  </si>
  <si>
    <t>Horas</t>
  </si>
  <si>
    <t>Kit taller
Los titeres lo saben</t>
  </si>
  <si>
    <t xml:space="preserve">Para el desarrollo de la actividad se requiere que el operador alquile 
*un (01) teatrino ensamblable elaborado en MDF con impresión serigráfica a base de tintas UV (color negro), pintado con pintura no tóxica de diferentes colores y acabado natural. Compuesto de un (1) módulo frontal de 2m de largo por 1.50m de ancho, 2m de alto y dos (2) cortinas en tela.
La obra se presentará con un conjunto de diez (10) títeres de mano, entre 20 y 30 cm, confeccionados en tela suave y antialérgica, lavables, acabados definidos, con muy alto nivel de detalle, que contengan personajes pertenecientes a etnias (afro descendiente, indígena, Rrom-gitano, raizal, mestizo, palanquero) con la vestimenta característica de cada etnia, que permitan combinar género masculino y femenino, que incluyan animales y
plantas características de cada etnia y personajes históricos.
</t>
  </si>
  <si>
    <t>Unidad</t>
  </si>
  <si>
    <t>Kit taller
Aventurandonos a recorrer los pasos de mis mayores por suba mi localidad</t>
  </si>
  <si>
    <t>La actividad requiere que a cada grupo el operador le entregue para el desarrollo de la misma los siguientes materiales:
•	Seis (6) cajas de marcador permanente x diez (10) unidades colores surtidos Seis (6):  Seleccionar marcadores que sean recargables y que utilicen tintas a base de agua, evitando aquellos que contienen disolventes orgánicos. Deben ser no tóxicos y cumplir con certificaciones ambientales que garanticen su seguridad para los niños.
•	vinilos Kit x seis (6) unidades colores primarios para hacer mezclas: Seleccione vinilos biodegradables o reutilizables con colorantes naturales y empaques reciclables, pinceles sostenibles con mínima huella de plástico, y plastilinas no tóxicas con ingredientes biodegradables, para minimizar el impacto ambiental y promover prácticas sostenibles.
•	Seis (6) Pincel redondo Kit x seis (6) unidades, redondos, pelo de cerda, graduación: 1-3- 5-7-9-11: No tóxico
•	Seis (6) Pegante Líquido escolar líquido blanco de doscientos veinticinco (225 ml). Diez (10) Cajas de Plastilina Jumbo triangular, por doce (12) unidades colores surtidos, 170g
•	Diez (10) Escarcha Kit X seis (6) Unid colores surtidos medidas 8.4 cm x 6.5 cm x 6.5 cm en empaque: No tóxico
•	Diez (10) Tijeras escolar punta roma, mango plástico, 10 cm, corte recto, material acero Cinco (5) Cinta de enmascarar multipropósito Largo x Ancho 40 m x 48 mm, Espesor: 0.5mm : No tóxico
•	Diez (10) pliegos de papel mache: Papel reciclado, residuos   agroindustriales, o madera proveniente de fuentes forestales sostenibles.
•	Diez (10) pliegos de papel periódico: Papel reciclado, residuos   agroindustriales, o madera proveniente de fuentes forestales sostenibles.
•	Material reciclable (Envases de plástico, plásticos, latas, cartón y papel, envases de vidrio, revistas, lonas, tapas, periódico impreso etc.)</t>
  </si>
  <si>
    <t>Conferencista
Padres y madres en sintonia</t>
  </si>
  <si>
    <t>Perfil 1: Un (1) Psicólogo conferencista especialista en primera infancia con mínimo dos (2) años de experiencia certificada</t>
  </si>
  <si>
    <t>Taller (visita a una huerta local)
Huertopia</t>
  </si>
  <si>
    <t xml:space="preserve">Perfil 2: Dos (2) Lideres o administradores de las huertas
</t>
  </si>
  <si>
    <t>Kit taller
Huertopia</t>
  </si>
  <si>
    <t xml:space="preserve">La actividad requiere que, a cada grupo, el operador le garantice en la huerta el uso de los siguientes materiales (préstamo en las huertas) con el fin de garantizar una amplia experiencia.
●Seis (6) kits de herramientas para siembra y limpieza Contiene:
● Una llana, Un cultivador, Una pala, rastrillo, tijeras de poda Dimensiones: 7 ""x 6,3"" x 6,7 ""(18 cm x 16 cm x 17 cm)
● 1 bulto de tierra negra rica en materia orgánica enriquecida con humus de lombriz y mejorada con fibra de coco. Presentación 12 kg"
● 2 regaderas "Tamaño: pequeño Capacidad: 1,5 litros. Dimensiones: Largo: 36 cm, Ancho: 8.5 cm, Alto: 22cm
</t>
  </si>
  <si>
    <t>talleristas
Brigadista salvavidas de mascotas  Seres sintientes</t>
  </si>
  <si>
    <t xml:space="preserve">
Perfil 1: Un (1) licenciado con énfasis en pedagogía infantil experiencia profesional certificada de mínimo dos (2) años.
</t>
  </si>
  <si>
    <t>veterinarios
Brigadista salvavidas de mascotas  Seres sintientes</t>
  </si>
  <si>
    <t>Perfil 2: Dos (2) Veterinarios con mínimo dos (2) años de experiencia profesional certificada</t>
  </si>
  <si>
    <t>Perfil 3: Dos (2) Lideres animalistas de la Localidad</t>
  </si>
  <si>
    <t>Tallerista
Pacaha Mama - te pinturamos</t>
  </si>
  <si>
    <t xml:space="preserve">
Profesional 2: 1 Representante o maestro del sector cultural con 2 años de experiencia certificada (Se espera sean maestros de la plástica con reconocimiento en la localidad de Suba) 
</t>
  </si>
  <si>
    <t>Profesional 3: 1 apoyo con conocimientos básicos de las artes plásticas quien hará las veces de monitor o guía durante el proceso de creación de las obras a los distintos grupos que sean organizados (Se espera sean maestros de la plástica con reconocimiento en la localidad de Suba) 1 año de experiencia</t>
  </si>
  <si>
    <t>Kit taller
Pacaha Mama - te pinturamos</t>
  </si>
  <si>
    <t>La actividad requiere que a cada niño y niña participante, el operador le entregue para el desarrollo de la misma los siguientes materiales:  
•	1 lienzo Con bastidor, lienzo medida 40 x 30 cm Espesor 2.5cm madera pino nuevo Lona 100% algodón listo para aplicar óleo o acrílico Color Blanco: No tóxico
•	1 set acrílico mini de pintura acrílicas Estuche acrílico de 40 ml x 10 unidades en diferentes colores Medidas: 13.5 cm x 19 cm x 4 cm en empaque: No tóxico
•	1 lápiz Mirado HB/N2: Hechos en madera que provenga de fuentes forestales sostenibles, o solicitar portaminas. 
•	1 kit de pincel artístico x 6 unidades # 3 tipo de brocha: plumilla, delineador, redondo, detalle, abanico, triangular, plano. 
Cinta de enmascarar multipropósito Largo x Ancho 40 m x 48 mm, Espesor: 0.5 mm: No tóxico
•	1 mezclador de pinturas Paleta circular plástica de 10 cavidades
Gesso Roseta Blanco 116ml
1 Brocha 2 Pulgadas: No tóxico.</t>
  </si>
  <si>
    <t>Tallerista
Y de la tierrita y el maicito que?</t>
  </si>
  <si>
    <t xml:space="preserve">
Profesional 2: 1 Tallerista horticultor con experiencia certificada de 2 años.</t>
  </si>
  <si>
    <t>Kit taller
Y de la tierrita y el maicito que?</t>
  </si>
  <si>
    <t xml:space="preserve">La actividad requiere que a cada grupo,  el operador le entregue para el desarrollo de la misma los siguientes materiales: 
1 kit Semillas Maíz, frijol, haba, Pepinos, Pimientos, Ajo, Tomates, Calabacines, Fresas, Limones.
1 kit Plántulas de  21 PLANTULAS de 7 hortalizas diferentes, escoger entre Lechuga verde, Lechuga morada, espinaca, rábanos, Acelga, Apio, perejil, Cilantro, Rugula, Puerro, Cebollín
5 Kits de herramientas para siembra (Un cultivador, Una pala un, robusto cultivador de 3 puntas) Dimensiones: 7 ""x 6,3"" x 6,7 ""(18 cm x 16 cm x 17 cm)"
1 bulto Tierra negra rica en materia orgánica enriquecida con humus de lombriz y mejorada con fibra de coco. Presentación 12 kg"
2 Regaderas "Tamaño: pequeño Capacidad: 1,5 litros. Dimensiones: Largo: 36 cm, Ancho: 8.5 cm, Alto: 22cm
</t>
  </si>
  <si>
    <t>grupo teatral
Somos lo que comemos</t>
  </si>
  <si>
    <t xml:space="preserve">
Profesional 2: Grupo teatral con entre 8 y 10 actores vestidos - Disfraces tamaño natural - muñecones, con los elementos y montajes de escena necesarios para representar la obra de teatro.</t>
  </si>
  <si>
    <t>grupo teatral</t>
  </si>
  <si>
    <t>Kit taller
Somos lo que comemos</t>
  </si>
  <si>
    <t>La actividad requiere que a cada niño y niña participante el operador le entregue para el desarrollo de la misma los siguientes elementos:  
1 Kit con 3 clases de semillas de 5 g cada uno pureza 95%, germinación 85% (Pepinos, Pimientos, Ajo, Tomates, Calabacines, Fresas, Limones)
1 Plántula nativas (carbonero, Caucho Tequendama, Cedro, Chicalá amarillo, Chicalá rosado, Eucalipto pomarroso, Falso pimiento, Fresno)
1 plántula para sembrar de medicinas ancestrales (manzanilla, Caléndula, Aloe vera, Jengibre, Canelón, chulco, poleo).</t>
  </si>
  <si>
    <t>Nombre representante legal :
Celular:
Correo electrónico:
Firma:</t>
  </si>
  <si>
    <t>ESTUDIO DE MERCADO</t>
  </si>
  <si>
    <t>COTIZACIÓN 1</t>
  </si>
  <si>
    <t>COTIZACIÓN 2</t>
  </si>
  <si>
    <t>COTIZACIÓN 3</t>
  </si>
  <si>
    <t>PROMEDIOS TOTALES</t>
  </si>
  <si>
    <t>Componente</t>
  </si>
  <si>
    <t>Promedio Valor unitario sin IVA</t>
  </si>
  <si>
    <t>Promedio Valor IVA</t>
  </si>
  <si>
    <t>Promedio Valor unitario con IVA</t>
  </si>
  <si>
    <t>Promedio Valor total Sin IVA</t>
  </si>
  <si>
    <t>Prmedio Valor total con IVA</t>
  </si>
  <si>
    <t>DESVIACIÓN ESTANDAR</t>
  </si>
  <si>
    <t>COEF VAR.</t>
  </si>
  <si>
    <t>Equipo humano</t>
  </si>
  <si>
    <r>
      <rPr>
        <b/>
        <sz val="10"/>
        <color theme="1"/>
        <rFont val="Garamond"/>
        <family val="1"/>
      </rPr>
      <t>FORMACIÓN PROFESIONAL DE ACUERDO AL ÁREA DE CONOCIMIENTO DEL NÚCLEO BÁSICO DEL CONOCIMIENTO</t>
    </r>
    <r>
      <rPr>
        <sz val="10"/>
        <color theme="1"/>
        <rFont val="Garamond"/>
        <family val="1"/>
      </rPr>
      <t xml:space="preserve"> Técnico en ciencias sociales, politólogo, abogado, ciencias económicas y administrativas.
 (según clasificación del SNIES). 
</t>
    </r>
    <r>
      <rPr>
        <b/>
        <sz val="10"/>
        <color theme="1"/>
        <rFont val="Garamond"/>
        <family val="1"/>
      </rPr>
      <t>EXPERIENCIA PROFESIONAL</t>
    </r>
    <r>
      <rPr>
        <sz val="10"/>
        <color theme="1"/>
        <rFont val="Garamond"/>
        <family val="1"/>
      </rPr>
      <t xml:space="preserve">
Un (1) año, manejo base de datos, clasificación y organización de archivos, registro y sistematización de la información 
</t>
    </r>
  </si>
  <si>
    <r>
      <rPr>
        <b/>
        <sz val="10"/>
        <color theme="1"/>
        <rFont val="Garamond"/>
        <family val="1"/>
      </rPr>
      <t>FORMACIÓN PROFESIONAL DE ACUERDO AL ÁREA DE CONOCIMIENTO DEL NÚCLEO BÁSICO DEL CONOCIMIENTO</t>
    </r>
    <r>
      <rPr>
        <sz val="10"/>
        <color theme="1"/>
        <rFont val="Garamond"/>
        <family val="1"/>
      </rPr>
      <t xml:space="preserve"> Técnico en ciencias sociales, politólogo, abogado, ciencias económicas y administrativas.
 (según clasificación del SNIES). 
</t>
    </r>
    <r>
      <rPr>
        <b/>
        <sz val="10"/>
        <color theme="1"/>
        <rFont val="Garamond"/>
        <family val="1"/>
      </rPr>
      <t>EXPERIENCIA PROFESIONAL</t>
    </r>
    <r>
      <rPr>
        <sz val="10"/>
        <color theme="1"/>
        <rFont val="Garamond"/>
        <family val="1"/>
      </rPr>
      <t xml:space="preserve">
Dos (2) años de experiencia profesional, contados a partir de la terminación de materias y/o fecha de grado, según aplique. 
</t>
    </r>
    <r>
      <rPr>
        <b/>
        <sz val="10"/>
        <color theme="1"/>
        <rFont val="Garamond"/>
        <family val="1"/>
      </rPr>
      <t xml:space="preserve">EXPERIENCIA ESPECIFICA </t>
    </r>
    <r>
      <rPr>
        <sz val="10"/>
        <color theme="1"/>
        <rFont val="Garamond"/>
        <family val="1"/>
      </rPr>
      <t xml:space="preserve">
Un (1) año en proyectos sociales en temas relacionados con primera infancia, educación, familia y comunidad
</t>
    </r>
  </si>
  <si>
    <r>
      <rPr>
        <b/>
        <sz val="10"/>
        <color theme="1"/>
        <rFont val="Garamond"/>
        <family val="1"/>
      </rPr>
      <t>FORMACIÓN PROFESIONAL DE ACUERDO AL ÁREA DE CONOCIMIENTO DEL NÚCLEO BÁSICO DEL CONOCIMIENTO</t>
    </r>
    <r>
      <rPr>
        <sz val="10"/>
        <color theme="1"/>
        <rFont val="Garamond"/>
        <family val="1"/>
      </rPr>
      <t xml:space="preserve"> Auxiliar de Enfermeria.
 (según clasificación del SNIES). 
</t>
    </r>
    <r>
      <rPr>
        <b/>
        <sz val="10"/>
        <color theme="1"/>
        <rFont val="Garamond"/>
        <family val="1"/>
      </rPr>
      <t>EXPERIENCIA PROFESIONAL</t>
    </r>
    <r>
      <rPr>
        <sz val="10"/>
        <color theme="1"/>
        <rFont val="Garamond"/>
        <family val="1"/>
      </rPr>
      <t xml:space="preserve">
Un (1) años de experiencia profesional, contados a partir de la terminación de materias y/o fecha de grado, según aplique. 
</t>
    </r>
    <r>
      <rPr>
        <b/>
        <sz val="10"/>
        <color theme="1"/>
        <rFont val="Garamond"/>
        <family val="1"/>
      </rPr>
      <t xml:space="preserve">
</t>
    </r>
  </si>
  <si>
    <t>SUBTOTAL</t>
  </si>
  <si>
    <t>ALISTAMIENTO</t>
  </si>
  <si>
    <t>Alistamiento</t>
  </si>
  <si>
    <t>MEDIOS COMUNITARIOS</t>
  </si>
  <si>
    <t>Presupuesto global para la difusión del proceso por medios comunitarios e independientes locales, cuñas radiales, prensa escrita</t>
  </si>
  <si>
    <t>COMPONENTE 1: TERRITORIO Y PATRIMONIO NATURAL</t>
  </si>
  <si>
    <t>Componente 1
Cartografiando-ando</t>
  </si>
  <si>
    <t>TALLERISTA</t>
  </si>
  <si>
    <t>KIT TALLER</t>
  </si>
  <si>
    <t xml:space="preserve">Unidad </t>
  </si>
  <si>
    <t>Componente 1
Explorando-ando</t>
  </si>
  <si>
    <t>Perfil 1: Un (1) profesional en el área del conocimiento de Ciencias de la Educación, experiencia profesional certificada en áreas relacionadas, con un mínimo de dos (2) años. Total talleres 103, 5 horas por cada taller</t>
  </si>
  <si>
    <t>KIT TALLER PARTICIPANTES</t>
  </si>
  <si>
    <t>KIT TALLER COLEGIOS</t>
  </si>
  <si>
    <t>REFRIGERIO</t>
  </si>
  <si>
    <t>FILMACION Y FOTOGRAFIA</t>
  </si>
  <si>
    <t>TRANSPORTE</t>
  </si>
  <si>
    <t>SEGURO CONTRA ACCIDENTE</t>
  </si>
  <si>
    <t>Componente 1
Concierto canticuento y poemario al natural</t>
  </si>
  <si>
    <t>TALLERISTA 1</t>
  </si>
  <si>
    <t>Un (1) profesional en el área del conocimiento de Ciencias de la Educación, experiencia profesional certificada en áreas relacionadas, con un mínimo de dos (2) años.</t>
  </si>
  <si>
    <t>BANDA MUSICAL</t>
  </si>
  <si>
    <t>Banda musical puesto en escena, de al menos tres (3) integrantes; para niños (músicas relacionadas con el cuidado y protección de los ecosistemas) con instrumentos musicales y equipos (micrófonos, soportes micrófonos, consola, amplificador, cables, extensiones). Experiencia certificada de mínimo dos (2) años.</t>
  </si>
  <si>
    <t>EQUIPOS TECNOLOGICOS Y AUDIOVISUALES</t>
  </si>
  <si>
    <t>Para el desarrollo de la actividad se requiere que el operador cuente con los siguientes equipos para cada taller: computador, video beam, televisor, proyector, micrófonos, parlantes, reproductores de sonido, instrumentos musicales, extensiones eléctricas, cables y demás que se requiera para la proyección de las imágenes y videos y ambientación musical. (en esta actividad se requiere mostrar un video consolidado de la actividad 2).</t>
  </si>
  <si>
    <t>La actividad requiere que a cada niño y niña participante el operador le entregue para el desarrollo de la misma los siguientes materiales:
● Un (1) instrumento musical de percusión (para niños). Ejemplo: tambor, panderetas, cajas chinas, etc. (entregar instrumentos variados).
● Un (1) instrumento musical de viento (para niños). Ejemplo: flauta dulce, trompetas, clarinete, etc.</t>
  </si>
  <si>
    <t>KIT TALLER 2</t>
  </si>
  <si>
    <t>Componente 1
Pacha mama</t>
  </si>
  <si>
    <t xml:space="preserve">
Profesional 2l : 1 Representante o maestro del sector cultural con 2 años de experiencia certificada (Se espera sean maestros de la plástica con reconocimiento en la localidad de Suba) 
</t>
  </si>
  <si>
    <t>licenciado con énfasis en pedagogía infantil experiencia profesional certificada de 2 años</t>
  </si>
  <si>
    <t>COMPONENTE 2: CULTURA, IDENTIDAD Y PATRIMONIO CULTURAL</t>
  </si>
  <si>
    <t>Componente 2
Desde el juego somos memoria</t>
  </si>
  <si>
    <t>perfil 1:Un (1) licenciado con énfasis en pedagogía infantil experiencia profesional certificada de mínimo dos (2) años</t>
  </si>
  <si>
    <t>Componente 2
Mi tierra sabe, mis abuelos me llegan</t>
  </si>
  <si>
    <t xml:space="preserve">Perfil 2: Tres (3) representantes de la comunidad indígena vestidas con conocimientos en alimentos ancestrales (se sugiere que estas personas pertenezcan a comunidades de la localidad de Suba). 42 talleres dos horas por talle
</t>
  </si>
  <si>
    <t>La actividad requiere que a cada grupo de máximo cuarenta (40) participantes el operador entregue para el desarrollo de la misma los siguientes elementos:
● Entre   Seis (6) y   ocho (8)   clases de   semillas (maíz, quinua, cacao. habas, etc) en cada mesa de cada grupo étnico.
● Entre Seis (6) y ocho (8) clases de alimentos más tradicionales (degustaciones de mínimo 30 gr) en cada mesa de cada grupo étnico para cada participante. Debe haber al menos 40 degustaciones.
● Degustación de alimentos dulces más tradicionales en cada mesa de cada grupo étnico para cada participante.
Nota: Entre los dos tipos de degustación debe haber al menos 40 degustaciones de manera que todos los participantes al taller accedan a una.</t>
  </si>
  <si>
    <t>Componente 2
Los titeres lo saben</t>
  </si>
  <si>
    <t xml:space="preserve">licenciados con énfasis en pedagogía infantil experiencia profesional certificada dedos (2) años </t>
  </si>
  <si>
    <t>GRUPO TITEROS</t>
  </si>
  <si>
    <t xml:space="preserve">Para el desarrollo de la actividad se requiere que el operador alquile 
*un (01) teatrino ensamblable elaborado en MDF con impresión serigráfica a base de tintas UV (color negro), pintado con pintura no tóxica de diferentes colores y acabado natural. Compuesto de un (1) módulo frontal de 2m de largo por 1.50m de ancho, 2m de alto y dos (2) cortinas en tela.
La obra se presentará con un conjunto de diez (10) títeres de mano, entre 20 y 30 cm, confeccionados en tela suave y antialérgica, lavables, acabados definidos, con muy alto nivel de detalle, que contengan personajes pertenecientes a etnias (afro descendiente, indígena, Rrom-gitano, raizal, mestizo, palanquero) con la vestimenta característica de cada etnia, que permitan combinar género masculino y femenino, que incluyan animales y
plantas características de cada etnia y personajes históricos.
</t>
  </si>
  <si>
    <t>COMPONENTE 3: ORGANIZACIÓN POLITICA Y SOCIAL DEL TERRITORIO</t>
  </si>
  <si>
    <t>Componente 3:
Aventurandonos</t>
  </si>
  <si>
    <t>licenciados con énfasis en pedagogía infantil experiencia profesional certificada de mínimo dos (2) años</t>
  </si>
  <si>
    <t>Hora</t>
  </si>
  <si>
    <t>Componente 3
Padres y madres en sintonia</t>
  </si>
  <si>
    <t>CONFERENCISTA</t>
  </si>
  <si>
    <t>COMPONENTE 4: SOBERANIA Y SEGURIDAD ALIMENTARIA</t>
  </si>
  <si>
    <t>Componente 4
Huertopia</t>
  </si>
  <si>
    <t>Tres (3) licenciados con énfasis en pedagogía infantil experiencia profesional certificada de mínimo dos (2) años</t>
  </si>
  <si>
    <t>GUIAS</t>
  </si>
  <si>
    <t>Dos (2) Lideres o administradores de las huerta</t>
  </si>
  <si>
    <t>COMPONENTE 5: ANIMALISMO CONCIENTE PARA SERES SINTIENTES</t>
  </si>
  <si>
    <t>Componente 5
Brigadistas salvavidas de mascotas seres sintientes</t>
  </si>
  <si>
    <t>VETERINARIOS</t>
  </si>
  <si>
    <t>Unida</t>
  </si>
  <si>
    <t>Componente 5
¿Y de ta tieerita y el maicito que?</t>
  </si>
  <si>
    <t>1 Persona de la comunidad indígena o NARP con conocimientos en siembra (se sugiere que esta persona pertenezca a comunidades de la localidad de suba)</t>
  </si>
  <si>
    <t>Componente 5
Somos lo que comemos</t>
  </si>
  <si>
    <t>GRUPO TEATRAL</t>
  </si>
  <si>
    <t>TOTAL</t>
  </si>
  <si>
    <t>DIF</t>
  </si>
  <si>
    <r>
      <rPr>
        <b/>
        <sz val="10"/>
        <color theme="1"/>
        <rFont val="Garamond"/>
        <family val="1"/>
      </rPr>
      <t xml:space="preserve">FORMACIÓN PROFESIONAL DE ACUERDO AL ÁREA DE CONOCIMIENTO DEL NÚCLEO BÁSICO DEL CONOCIMIENTO </t>
    </r>
    <r>
      <rPr>
        <sz val="10"/>
        <color theme="1"/>
        <rFont val="Garamond"/>
        <family val="1"/>
      </rPr>
      <t>Ciencias Sociales y humanas y/o Economía y/o Ciencias sociales y del comportamiento y/o ciencias administrativas (según clasificación del SNIES).</t>
    </r>
    <r>
      <rPr>
        <b/>
        <sz val="10"/>
        <color theme="1"/>
        <rFont val="Garamond"/>
        <family val="1"/>
      </rPr>
      <t xml:space="preserve"> 
EXPERIENCIA PROFESIONAL </t>
    </r>
    <r>
      <rPr>
        <sz val="10"/>
        <color theme="1"/>
        <rFont val="Garamond"/>
        <family val="1"/>
      </rPr>
      <t>Cinco (5) años de experiencia profesional, contados a partir de la terminación de materias y/o fecha de grado, según apliqu</t>
    </r>
    <r>
      <rPr>
        <b/>
        <sz val="10"/>
        <color theme="1"/>
        <rFont val="Garamond"/>
        <family val="1"/>
      </rPr>
      <t>e. 
EXPERIENCIA ESPECIFICA E</t>
    </r>
    <r>
      <rPr>
        <sz val="10"/>
        <color theme="1"/>
        <rFont val="Garamond"/>
        <family val="1"/>
      </rPr>
      <t>n tres (3) proyectos de mínimo seis (6) meses cada uno como director(a) y/o coordinador(a) de proyectos sociales en temas relacionados con comunidad, instituciones educativas y/o Escuela y/o Familia</t>
    </r>
    <r>
      <rPr>
        <b/>
        <sz val="10"/>
        <color theme="1"/>
        <rFont val="Garamond"/>
        <family val="1"/>
      </rPr>
      <t xml:space="preserve">
</t>
    </r>
    <r>
      <rPr>
        <sz val="10"/>
        <color theme="1"/>
        <rFont val="Garamond"/>
        <family val="1"/>
      </rPr>
      <t xml:space="preserve">
</t>
    </r>
  </si>
  <si>
    <t>Total general</t>
  </si>
  <si>
    <t>COMPONENTES</t>
  </si>
  <si>
    <t>VALOR</t>
  </si>
  <si>
    <t>PORCENTAJE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</si>
</sst>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2" formatCode="_-&quot;XDR&quot;* #,##0_-;\-&quot;XDR&quot;* #,##0_-;_-&quot;XDR&quot;* &quot;-&quot;_-;_-@_-"/>
    <numFmt numFmtId="44" formatCode="_-&quot;XDR&quot;* #,##0.00_-;\-&quot;XDR&quot;* #,##0.00_-;_-&quot;XDR&quot;* &quot;-&quot;??_-;_-@_-"/>
    <numFmt numFmtId="43" formatCode="_-* #,##0.00_-;\-* #,##0.00_-;_-* &quot;-&quot;??_-;_-@_-"/>
    <numFmt numFmtId="164" formatCode="_-&quot;$&quot;\ * #,##0_-;\-&quot;$&quot;\ * #,##0_-;_-&quot;$&quot;\ * &quot;-&quot;_-;_-@_-"/>
    <numFmt numFmtId="165" formatCode="_-&quot;$&quot;\ * #,##0.00_-;\-&quot;$&quot;\ * #,##0.00_-;_-&quot;$&quot;\ * &quot;-&quot;??_-;_-@_-"/>
    <numFmt numFmtId="166" formatCode="_-&quot;$&quot;\ * #,##0_-;\-&quot;$&quot;\ * #,##0_-;_-&quot;$&quot;\ * &quot;-&quot;??_-;_-@_-"/>
    <numFmt numFmtId="167" formatCode="_-&quot;$&quot;* #,##0.00_-;\-&quot;$&quot;* #,##0.00_-;_-&quot;$&quot;* &quot;-&quot;??_-;_-@"/>
    <numFmt numFmtId="168" formatCode="_-[$$-240A]\ * #,##0_-;\-[$$-240A]\ * #,##0_-;_-[$$-240A]\ * &quot;-&quot;??_-;_-@_-"/>
    <numFmt numFmtId="169" formatCode="_-[$$-240A]\ * #,##0.00_-;\-[$$-240A]\ * #,##0.00_-;_-[$$-240A]\ * &quot;-&quot;??_-;_-@_-"/>
    <numFmt numFmtId="170" formatCode="_-[$$-240A]\ * #,##0_-;\-[$$-240A]\ * #,##0_-;_-[$$-240A]\ * &quot;-&quot;_-;_-@_-"/>
  </numFmts>
  <fonts count="29"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sz val="11"/>
      <color theme="1"/>
      <name val="Garamond"/>
      <family val="1"/>
    </font>
    <font>
      <sz val="11"/>
      <color rgb="FF000000"/>
      <name val="Garamond"/>
      <family val="1"/>
    </font>
    <font>
      <b/>
      <sz val="11"/>
      <color theme="1"/>
      <name val="Garamond"/>
      <family val="1"/>
    </font>
    <font>
      <b/>
      <sz val="22"/>
      <color theme="1"/>
      <name val="Arial"/>
      <family val="2"/>
    </font>
    <font>
      <sz val="11"/>
      <name val="Calibri"/>
      <family val="2"/>
    </font>
    <font>
      <b/>
      <sz val="16"/>
      <color theme="1"/>
      <name val="Arial"/>
      <family val="2"/>
    </font>
    <font>
      <sz val="11"/>
      <color theme="1"/>
      <name val="Arial"/>
      <family val="2"/>
    </font>
    <font>
      <b/>
      <sz val="11"/>
      <color theme="1"/>
      <name val="Arial"/>
      <family val="2"/>
    </font>
    <font>
      <u/>
      <sz val="11"/>
      <color theme="10"/>
      <name val="Calibri"/>
      <family val="2"/>
    </font>
    <font>
      <b/>
      <sz val="24"/>
      <color theme="0"/>
      <name val="Garamond"/>
      <family val="1"/>
    </font>
    <font>
      <b/>
      <sz val="24"/>
      <color theme="1"/>
      <name val="Garamond"/>
      <family val="1"/>
    </font>
    <font>
      <sz val="10"/>
      <color theme="1"/>
      <name val="Arial"/>
      <family val="2"/>
    </font>
    <font>
      <sz val="10"/>
      <name val="Calibri"/>
      <family val="2"/>
    </font>
    <font>
      <b/>
      <sz val="11"/>
      <color theme="0"/>
      <name val="Garamond"/>
      <family val="1"/>
    </font>
    <font>
      <b/>
      <sz val="11"/>
      <color rgb="FF000000"/>
      <name val="Garamond"/>
      <family val="1"/>
    </font>
    <font>
      <sz val="12"/>
      <name val="Garamond"/>
      <family val="1"/>
    </font>
    <font>
      <b/>
      <sz val="12"/>
      <name val="Garamond"/>
      <family val="1"/>
    </font>
    <font>
      <b/>
      <sz val="22"/>
      <color theme="1"/>
      <name val="Calibri"/>
      <family val="2"/>
      <scheme val="minor"/>
    </font>
    <font>
      <b/>
      <sz val="14"/>
      <color theme="1"/>
      <name val="Calibri"/>
      <family val="2"/>
      <scheme val="minor"/>
    </font>
    <font>
      <b/>
      <sz val="16"/>
      <color theme="1"/>
      <name val="Calibri"/>
      <family val="2"/>
      <scheme val="minor"/>
    </font>
    <font>
      <sz val="10"/>
      <color theme="1"/>
      <name val="Garamond"/>
      <family val="1"/>
    </font>
    <font>
      <sz val="10"/>
      <color rgb="FF000000"/>
      <name val="Garamond"/>
      <family val="1"/>
    </font>
    <font>
      <b/>
      <sz val="10"/>
      <color theme="1"/>
      <name val="Garamond"/>
      <family val="1"/>
    </font>
    <font>
      <sz val="10"/>
      <color theme="1"/>
      <name val="Calibri"/>
      <family val="2"/>
      <scheme val="minor"/>
    </font>
    <font>
      <b/>
      <sz val="14"/>
      <color theme="1"/>
      <name val="Garamond"/>
      <family val="1"/>
    </font>
  </fonts>
  <fills count="14">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D8D8D8"/>
        <bgColor rgb="FFD8D8D8"/>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6" tint="0.59999389629810485"/>
        <bgColor indexed="64"/>
      </patternFill>
    </fill>
  </fills>
  <borders count="40">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s>
  <cellStyleXfs count="7">
    <xf numFmtId="0" fontId="0" fillId="0" borderId="0"/>
    <xf numFmtId="0" fontId="3" fillId="0" borderId="0"/>
    <xf numFmtId="164" fontId="3"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176">
    <xf numFmtId="0" fontId="0" fillId="0" borderId="0" xfId="0"/>
    <xf numFmtId="0" fontId="3" fillId="0" borderId="0" xfId="1"/>
    <xf numFmtId="0" fontId="3" fillId="0" borderId="0" xfId="1" applyAlignment="1">
      <alignment horizontal="center" vertical="center"/>
    </xf>
    <xf numFmtId="0" fontId="4" fillId="0" borderId="17" xfId="1" applyFont="1" applyBorder="1" applyAlignment="1">
      <alignment horizontal="center" vertical="center" wrapText="1"/>
    </xf>
    <xf numFmtId="0" fontId="4" fillId="0" borderId="17" xfId="0" applyFont="1" applyBorder="1" applyAlignment="1">
      <alignment horizontal="center" vertical="center" wrapText="1"/>
    </xf>
    <xf numFmtId="0" fontId="4" fillId="0" borderId="25" xfId="1" applyFont="1" applyBorder="1" applyAlignment="1">
      <alignment horizontal="center" vertical="center" wrapText="1"/>
    </xf>
    <xf numFmtId="0" fontId="4" fillId="0" borderId="17" xfId="0" applyFont="1" applyBorder="1" applyAlignment="1">
      <alignment horizontal="center" vertical="center"/>
    </xf>
    <xf numFmtId="0" fontId="11" fillId="5" borderId="31" xfId="0" applyFont="1" applyFill="1" applyBorder="1" applyAlignment="1">
      <alignment horizontal="left" vertical="center"/>
    </xf>
    <xf numFmtId="0" fontId="11" fillId="5" borderId="31" xfId="0" applyFont="1" applyFill="1" applyBorder="1" applyAlignment="1">
      <alignment horizontal="left" vertical="center" wrapText="1"/>
    </xf>
    <xf numFmtId="0" fontId="11" fillId="5" borderId="0" xfId="0" applyFont="1" applyFill="1"/>
    <xf numFmtId="0" fontId="11" fillId="5" borderId="31" xfId="0" applyFont="1" applyFill="1" applyBorder="1"/>
    <xf numFmtId="0" fontId="4" fillId="0" borderId="25" xfId="0" applyFont="1" applyBorder="1" applyAlignment="1">
      <alignment horizontal="center" vertical="center" wrapText="1"/>
    </xf>
    <xf numFmtId="0" fontId="6" fillId="2" borderId="0" xfId="1" applyFont="1" applyFill="1" applyAlignment="1">
      <alignment horizontal="center"/>
    </xf>
    <xf numFmtId="0" fontId="6" fillId="3" borderId="0" xfId="1" applyFont="1" applyFill="1" applyAlignment="1">
      <alignment horizontal="center" vertical="center" wrapText="1"/>
    </xf>
    <xf numFmtId="0" fontId="6" fillId="3" borderId="0" xfId="1" applyFont="1" applyFill="1" applyAlignment="1">
      <alignment horizontal="center" vertical="center"/>
    </xf>
    <xf numFmtId="164" fontId="6" fillId="3" borderId="0" xfId="2" applyFont="1" applyFill="1" applyBorder="1" applyAlignment="1">
      <alignment horizontal="center" vertical="center" wrapText="1"/>
    </xf>
    <xf numFmtId="164" fontId="6" fillId="3" borderId="0" xfId="2" applyFont="1" applyFill="1" applyBorder="1" applyAlignment="1">
      <alignment horizontal="center" vertical="center"/>
    </xf>
    <xf numFmtId="0" fontId="4" fillId="0" borderId="24" xfId="1" applyFont="1" applyBorder="1" applyAlignment="1">
      <alignment horizontal="center" vertical="center" wrapText="1"/>
    </xf>
    <xf numFmtId="166" fontId="4" fillId="0" borderId="17" xfId="1" applyNumberFormat="1" applyFont="1" applyBorder="1" applyAlignment="1">
      <alignment horizontal="right" vertical="center" wrapText="1"/>
    </xf>
    <xf numFmtId="0" fontId="6" fillId="4" borderId="17" xfId="1" applyFont="1" applyFill="1" applyBorder="1" applyAlignment="1">
      <alignment horizontal="center" vertical="center"/>
    </xf>
    <xf numFmtId="0" fontId="4" fillId="4" borderId="17" xfId="1" applyFont="1" applyFill="1" applyBorder="1" applyAlignment="1">
      <alignment horizontal="center" vertical="center"/>
    </xf>
    <xf numFmtId="0" fontId="4" fillId="4" borderId="17" xfId="1" applyFont="1" applyFill="1" applyBorder="1" applyAlignment="1">
      <alignment horizontal="center" vertical="center" wrapText="1"/>
    </xf>
    <xf numFmtId="165" fontId="4" fillId="4" borderId="17" xfId="1" applyNumberFormat="1" applyFont="1" applyFill="1" applyBorder="1" applyAlignment="1">
      <alignment horizontal="center" vertical="center" wrapText="1"/>
    </xf>
    <xf numFmtId="165" fontId="6" fillId="4" borderId="17" xfId="1" applyNumberFormat="1" applyFont="1" applyFill="1" applyBorder="1" applyAlignment="1">
      <alignment horizontal="center" vertical="center" wrapText="1"/>
    </xf>
    <xf numFmtId="0" fontId="4" fillId="0" borderId="0" xfId="1" applyFont="1"/>
    <xf numFmtId="0" fontId="6" fillId="0" borderId="3" xfId="1" applyFont="1" applyBorder="1" applyAlignment="1">
      <alignment vertical="center"/>
    </xf>
    <xf numFmtId="0" fontId="6" fillId="0" borderId="7" xfId="1" applyFont="1" applyBorder="1" applyAlignment="1">
      <alignment horizontal="center" vertical="center"/>
    </xf>
    <xf numFmtId="0" fontId="6" fillId="0" borderId="10" xfId="1" applyFont="1" applyBorder="1" applyAlignment="1">
      <alignment horizontal="center" vertical="center"/>
    </xf>
    <xf numFmtId="167" fontId="6" fillId="0" borderId="17" xfId="0" applyNumberFormat="1" applyFont="1" applyBorder="1" applyAlignment="1">
      <alignment horizontal="center" vertical="center" wrapText="1"/>
    </xf>
    <xf numFmtId="0" fontId="4" fillId="0" borderId="17" xfId="0" applyFont="1" applyBorder="1" applyAlignment="1">
      <alignment horizontal="left" vertical="top" wrapText="1"/>
    </xf>
    <xf numFmtId="167" fontId="4" fillId="0" borderId="17" xfId="0" applyNumberFormat="1" applyFont="1" applyBorder="1" applyAlignment="1">
      <alignment horizontal="left" vertical="top" wrapText="1"/>
    </xf>
    <xf numFmtId="0" fontId="6" fillId="0" borderId="17" xfId="0" applyFont="1" applyBorder="1" applyAlignment="1">
      <alignment horizontal="center" vertical="center" wrapText="1"/>
    </xf>
    <xf numFmtId="0" fontId="5" fillId="0" borderId="17" xfId="0" applyFont="1" applyBorder="1" applyAlignment="1">
      <alignment horizontal="left" vertical="top" wrapText="1"/>
    </xf>
    <xf numFmtId="0" fontId="6" fillId="0" borderId="0" xfId="1" applyFont="1"/>
    <xf numFmtId="0" fontId="4" fillId="0" borderId="0" xfId="1" applyFont="1" applyAlignment="1">
      <alignment horizontal="center" vertical="center"/>
    </xf>
    <xf numFmtId="1" fontId="6" fillId="2" borderId="0" xfId="1" applyNumberFormat="1" applyFont="1" applyFill="1" applyAlignment="1">
      <alignment horizontal="center"/>
    </xf>
    <xf numFmtId="1" fontId="6" fillId="3" borderId="0" xfId="1" applyNumberFormat="1" applyFont="1" applyFill="1" applyAlignment="1">
      <alignment horizontal="center" vertical="center" wrapText="1"/>
    </xf>
    <xf numFmtId="1" fontId="4" fillId="0" borderId="17" xfId="1" applyNumberFormat="1" applyFont="1" applyBorder="1" applyAlignment="1">
      <alignment horizontal="center" vertical="center"/>
    </xf>
    <xf numFmtId="1" fontId="4" fillId="4" borderId="18" xfId="1" applyNumberFormat="1" applyFont="1" applyFill="1" applyBorder="1" applyAlignment="1">
      <alignment horizontal="center" vertical="center"/>
    </xf>
    <xf numFmtId="1" fontId="4" fillId="0" borderId="0" xfId="1" applyNumberFormat="1" applyFont="1"/>
    <xf numFmtId="0" fontId="19" fillId="0" borderId="37" xfId="0" applyFont="1" applyBorder="1" applyAlignment="1">
      <alignment horizontal="left" vertical="center" wrapText="1"/>
    </xf>
    <xf numFmtId="0" fontId="19" fillId="0" borderId="38" xfId="0" applyFont="1" applyBorder="1" applyAlignment="1">
      <alignment horizontal="justify" vertical="center" wrapText="1"/>
    </xf>
    <xf numFmtId="0" fontId="20" fillId="0" borderId="39" xfId="0" applyFont="1" applyBorder="1" applyAlignment="1">
      <alignment horizontal="justify" vertical="center" wrapText="1"/>
    </xf>
    <xf numFmtId="0" fontId="19" fillId="0" borderId="39" xfId="0" applyFont="1" applyBorder="1" applyAlignment="1">
      <alignment horizontal="justify" vertical="center" wrapText="1"/>
    </xf>
    <xf numFmtId="0" fontId="5" fillId="0" borderId="17" xfId="0" applyFont="1" applyBorder="1" applyAlignment="1">
      <alignment horizontal="center" vertical="center" wrapText="1"/>
    </xf>
    <xf numFmtId="0" fontId="24" fillId="0" borderId="17" xfId="1" applyFont="1" applyBorder="1" applyAlignment="1">
      <alignment horizontal="center" vertical="center"/>
    </xf>
    <xf numFmtId="0" fontId="24" fillId="0" borderId="17" xfId="1" applyFont="1" applyBorder="1" applyAlignment="1">
      <alignment horizontal="center" vertical="center" wrapText="1"/>
    </xf>
    <xf numFmtId="0" fontId="24" fillId="0" borderId="17" xfId="0" applyFont="1" applyBorder="1" applyAlignment="1">
      <alignment horizontal="center" vertical="center" wrapText="1"/>
    </xf>
    <xf numFmtId="0" fontId="25" fillId="0" borderId="17" xfId="0" applyFont="1" applyBorder="1" applyAlignment="1">
      <alignment horizontal="left" vertical="top" wrapText="1"/>
    </xf>
    <xf numFmtId="0" fontId="24" fillId="0" borderId="17" xfId="0" applyFont="1" applyBorder="1" applyAlignment="1">
      <alignment horizontal="center" vertical="center"/>
    </xf>
    <xf numFmtId="0" fontId="25" fillId="0" borderId="17" xfId="1" applyFont="1" applyBorder="1" applyAlignment="1">
      <alignment horizontal="center" vertical="center" wrapText="1"/>
    </xf>
    <xf numFmtId="0" fontId="24" fillId="0" borderId="17" xfId="0" applyFont="1" applyBorder="1" applyAlignment="1">
      <alignment horizontal="left" vertical="top" wrapText="1"/>
    </xf>
    <xf numFmtId="167" fontId="26" fillId="0" borderId="17" xfId="0" applyNumberFormat="1" applyFont="1" applyBorder="1" applyAlignment="1">
      <alignment horizontal="center" vertical="center" wrapText="1"/>
    </xf>
    <xf numFmtId="167" fontId="24" fillId="0" borderId="17" xfId="0" applyNumberFormat="1" applyFont="1" applyBorder="1" applyAlignment="1">
      <alignment horizontal="center" vertical="center" wrapText="1"/>
    </xf>
    <xf numFmtId="0" fontId="25" fillId="0" borderId="17" xfId="0" applyFont="1" applyBorder="1" applyAlignment="1">
      <alignment horizontal="center" vertical="center" wrapText="1"/>
    </xf>
    <xf numFmtId="0" fontId="2" fillId="3" borderId="17" xfId="1" applyFont="1" applyFill="1" applyBorder="1" applyAlignment="1">
      <alignment horizontal="center" vertical="center" wrapText="1"/>
    </xf>
    <xf numFmtId="0" fontId="2" fillId="3" borderId="17" xfId="1" applyFont="1" applyFill="1" applyBorder="1" applyAlignment="1">
      <alignment horizontal="center" vertical="center"/>
    </xf>
    <xf numFmtId="168" fontId="2" fillId="7" borderId="17" xfId="2" applyNumberFormat="1" applyFont="1" applyFill="1" applyBorder="1" applyAlignment="1">
      <alignment horizontal="center" vertical="center" wrapText="1"/>
    </xf>
    <xf numFmtId="164" fontId="2" fillId="7" borderId="17" xfId="2" applyFont="1" applyFill="1" applyBorder="1" applyAlignment="1">
      <alignment horizontal="center" vertical="center"/>
    </xf>
    <xf numFmtId="164" fontId="2" fillId="7" borderId="17" xfId="2" applyFont="1" applyFill="1" applyBorder="1" applyAlignment="1">
      <alignment horizontal="center" vertical="center" wrapText="1"/>
    </xf>
    <xf numFmtId="164" fontId="2" fillId="9" borderId="17" xfId="2" applyFont="1" applyFill="1" applyBorder="1" applyAlignment="1">
      <alignment horizontal="center" vertical="center" wrapText="1"/>
    </xf>
    <xf numFmtId="164" fontId="2" fillId="9" borderId="17" xfId="2" applyFont="1" applyFill="1" applyBorder="1" applyAlignment="1">
      <alignment horizontal="center" vertical="center"/>
    </xf>
    <xf numFmtId="164" fontId="2" fillId="13" borderId="17" xfId="2" applyFont="1" applyFill="1" applyBorder="1" applyAlignment="1">
      <alignment horizontal="center" vertical="center" wrapText="1"/>
    </xf>
    <xf numFmtId="168" fontId="2" fillId="3" borderId="17" xfId="1" applyNumberFormat="1" applyFont="1" applyFill="1" applyBorder="1" applyAlignment="1">
      <alignment horizontal="center" vertical="center" wrapText="1"/>
    </xf>
    <xf numFmtId="166" fontId="22" fillId="3" borderId="17" xfId="1" applyNumberFormat="1" applyFont="1" applyFill="1" applyBorder="1" applyAlignment="1">
      <alignment horizontal="center" vertical="center" wrapText="1"/>
    </xf>
    <xf numFmtId="166" fontId="2" fillId="3" borderId="17" xfId="1" applyNumberFormat="1" applyFont="1" applyFill="1" applyBorder="1" applyAlignment="1">
      <alignment horizontal="center" vertical="center" wrapText="1"/>
    </xf>
    <xf numFmtId="168" fontId="1" fillId="3" borderId="17" xfId="1" applyNumberFormat="1" applyFont="1" applyFill="1" applyBorder="1" applyAlignment="1">
      <alignment horizontal="center" vertical="center" wrapText="1"/>
    </xf>
    <xf numFmtId="165" fontId="1" fillId="3" borderId="17" xfId="1" applyNumberFormat="1" applyFont="1" applyFill="1" applyBorder="1" applyAlignment="1">
      <alignment horizontal="center" vertical="center" wrapText="1"/>
    </xf>
    <xf numFmtId="9" fontId="2" fillId="3" borderId="17" xfId="4" applyFont="1" applyFill="1" applyBorder="1" applyAlignment="1">
      <alignment horizontal="center" vertical="center" wrapText="1"/>
    </xf>
    <xf numFmtId="166" fontId="22" fillId="3" borderId="17" xfId="1" applyNumberFormat="1" applyFont="1" applyFill="1" applyBorder="1" applyAlignment="1">
      <alignment horizontal="center" vertical="center"/>
    </xf>
    <xf numFmtId="168" fontId="24" fillId="0" borderId="17" xfId="1" applyNumberFormat="1" applyFont="1" applyBorder="1" applyAlignment="1">
      <alignment horizontal="center" vertical="center" wrapText="1"/>
    </xf>
    <xf numFmtId="166" fontId="24" fillId="0" borderId="17" xfId="1" applyNumberFormat="1" applyFont="1" applyBorder="1" applyAlignment="1">
      <alignment horizontal="center" vertical="center" wrapText="1"/>
    </xf>
    <xf numFmtId="9" fontId="24" fillId="0" borderId="17" xfId="4" applyFont="1" applyBorder="1" applyAlignment="1">
      <alignment horizontal="center" vertical="center" wrapText="1"/>
    </xf>
    <xf numFmtId="0" fontId="21" fillId="3" borderId="17" xfId="1" applyFont="1" applyFill="1" applyBorder="1" applyAlignment="1">
      <alignment horizontal="center" vertical="center" wrapText="1"/>
    </xf>
    <xf numFmtId="166" fontId="1" fillId="3" borderId="17" xfId="1" applyNumberFormat="1" applyFont="1" applyFill="1" applyBorder="1" applyAlignment="1">
      <alignment horizontal="center" vertical="center" wrapText="1"/>
    </xf>
    <xf numFmtId="9" fontId="1" fillId="3" borderId="17" xfId="4" applyFont="1" applyFill="1" applyBorder="1" applyAlignment="1">
      <alignment horizontal="center" vertical="center" wrapText="1"/>
    </xf>
    <xf numFmtId="166" fontId="4" fillId="3" borderId="17" xfId="1" applyNumberFormat="1" applyFont="1" applyFill="1" applyBorder="1" applyAlignment="1">
      <alignment horizontal="center" vertical="center" wrapText="1"/>
    </xf>
    <xf numFmtId="168" fontId="3" fillId="3" borderId="17" xfId="1" applyNumberFormat="1" applyFill="1" applyBorder="1" applyAlignment="1">
      <alignment horizontal="center" vertical="center"/>
    </xf>
    <xf numFmtId="0" fontId="3" fillId="3" borderId="17" xfId="1" applyFill="1" applyBorder="1" applyAlignment="1">
      <alignment horizontal="center" vertical="center"/>
    </xf>
    <xf numFmtId="9" fontId="3" fillId="3" borderId="17" xfId="4" applyFont="1" applyFill="1" applyBorder="1" applyAlignment="1">
      <alignment horizontal="center" vertical="center"/>
    </xf>
    <xf numFmtId="168" fontId="3" fillId="0" borderId="0" xfId="1" applyNumberFormat="1" applyAlignment="1">
      <alignment horizontal="center" vertical="center"/>
    </xf>
    <xf numFmtId="9" fontId="3" fillId="0" borderId="0" xfId="4" applyFont="1" applyAlignment="1">
      <alignment horizontal="center" vertical="center"/>
    </xf>
    <xf numFmtId="166" fontId="28" fillId="3" borderId="17" xfId="1" applyNumberFormat="1" applyFont="1" applyFill="1" applyBorder="1" applyAlignment="1">
      <alignment horizontal="center" vertical="center" wrapText="1"/>
    </xf>
    <xf numFmtId="43" fontId="23" fillId="0" borderId="0" xfId="1" applyNumberFormat="1" applyFont="1" applyAlignment="1">
      <alignment horizontal="center" vertical="center"/>
    </xf>
    <xf numFmtId="0" fontId="27" fillId="0" borderId="17" xfId="0" applyFont="1" applyBorder="1" applyAlignment="1">
      <alignment horizontal="center" vertical="center"/>
    </xf>
    <xf numFmtId="168" fontId="27" fillId="0" borderId="17" xfId="1" applyNumberFormat="1" applyFont="1" applyBorder="1" applyAlignment="1">
      <alignment horizontal="center" vertical="center" wrapText="1"/>
    </xf>
    <xf numFmtId="166" fontId="27" fillId="0" borderId="17" xfId="1" applyNumberFormat="1" applyFont="1" applyBorder="1" applyAlignment="1">
      <alignment horizontal="center" vertical="center" wrapText="1"/>
    </xf>
    <xf numFmtId="169" fontId="3" fillId="0" borderId="0" xfId="5" applyNumberFormat="1" applyFont="1" applyAlignment="1">
      <alignment horizontal="center" vertical="center"/>
    </xf>
    <xf numFmtId="169" fontId="3" fillId="0" borderId="0" xfId="1" applyNumberFormat="1" applyAlignment="1">
      <alignment horizontal="center" vertical="center"/>
    </xf>
    <xf numFmtId="170" fontId="2" fillId="11" borderId="17" xfId="2" applyNumberFormat="1" applyFont="1" applyFill="1" applyBorder="1" applyAlignment="1">
      <alignment horizontal="center" vertical="center" wrapText="1"/>
    </xf>
    <xf numFmtId="170" fontId="2" fillId="11" borderId="17" xfId="2" applyNumberFormat="1" applyFont="1" applyFill="1" applyBorder="1" applyAlignment="1">
      <alignment horizontal="center" vertical="center"/>
    </xf>
    <xf numFmtId="170" fontId="2" fillId="3" borderId="17" xfId="1" applyNumberFormat="1" applyFont="1" applyFill="1" applyBorder="1" applyAlignment="1">
      <alignment horizontal="center" vertical="center" wrapText="1"/>
    </xf>
    <xf numFmtId="170" fontId="24" fillId="0" borderId="17" xfId="1" applyNumberFormat="1" applyFont="1" applyBorder="1" applyAlignment="1">
      <alignment horizontal="center" vertical="center" wrapText="1"/>
    </xf>
    <xf numFmtId="170" fontId="21" fillId="3" borderId="17" xfId="1" applyNumberFormat="1" applyFont="1" applyFill="1" applyBorder="1" applyAlignment="1">
      <alignment horizontal="center" vertical="center" wrapText="1"/>
    </xf>
    <xf numFmtId="170" fontId="22" fillId="3" borderId="17" xfId="1" applyNumberFormat="1" applyFont="1" applyFill="1" applyBorder="1" applyAlignment="1">
      <alignment horizontal="center" vertical="center" wrapText="1"/>
    </xf>
    <xf numFmtId="170" fontId="1" fillId="3" borderId="17" xfId="1" applyNumberFormat="1" applyFont="1" applyFill="1" applyBorder="1" applyAlignment="1">
      <alignment horizontal="center" vertical="center" wrapText="1"/>
    </xf>
    <xf numFmtId="170" fontId="28" fillId="3" borderId="17" xfId="1" applyNumberFormat="1" applyFont="1" applyFill="1" applyBorder="1" applyAlignment="1">
      <alignment horizontal="center" vertical="center" wrapText="1"/>
    </xf>
    <xf numFmtId="170" fontId="3" fillId="3" borderId="17" xfId="1" applyNumberFormat="1" applyFill="1" applyBorder="1" applyAlignment="1">
      <alignment horizontal="center" vertical="center"/>
    </xf>
    <xf numFmtId="170" fontId="22" fillId="3" borderId="17" xfId="1" applyNumberFormat="1" applyFont="1" applyFill="1" applyBorder="1" applyAlignment="1">
      <alignment horizontal="center" vertical="center"/>
    </xf>
    <xf numFmtId="170" fontId="3" fillId="0" borderId="0" xfId="1" applyNumberFormat="1" applyAlignment="1">
      <alignment horizontal="center" vertical="center"/>
    </xf>
    <xf numFmtId="170" fontId="23" fillId="0" borderId="0" xfId="1" applyNumberFormat="1" applyFont="1" applyAlignment="1">
      <alignment horizontal="center" vertical="center"/>
    </xf>
    <xf numFmtId="170" fontId="3" fillId="0" borderId="0" xfId="5" applyNumberFormat="1" applyFont="1" applyAlignment="1">
      <alignment horizontal="center" vertical="center"/>
    </xf>
    <xf numFmtId="166" fontId="24" fillId="0" borderId="17" xfId="1" applyNumberFormat="1" applyFont="1" applyBorder="1" applyAlignment="1">
      <alignment horizontal="right" vertical="center" wrapText="1"/>
    </xf>
    <xf numFmtId="170" fontId="24" fillId="0" borderId="17" xfId="6" applyNumberFormat="1" applyFont="1" applyBorder="1" applyAlignment="1">
      <alignment vertical="center"/>
    </xf>
    <xf numFmtId="170" fontId="24" fillId="0" borderId="17" xfId="1" applyNumberFormat="1" applyFont="1" applyBorder="1" applyAlignment="1">
      <alignment horizontal="right" vertical="center" wrapText="1"/>
    </xf>
    <xf numFmtId="168" fontId="24" fillId="0" borderId="17" xfId="1" applyNumberFormat="1" applyFont="1" applyBorder="1" applyAlignment="1">
      <alignment horizontal="right" vertical="center" wrapText="1"/>
    </xf>
    <xf numFmtId="43" fontId="24" fillId="0" borderId="17" xfId="1" applyNumberFormat="1" applyFont="1" applyBorder="1" applyAlignment="1">
      <alignment horizontal="right" vertical="center" wrapText="1"/>
    </xf>
    <xf numFmtId="3" fontId="3" fillId="0" borderId="0" xfId="1" applyNumberFormat="1"/>
    <xf numFmtId="0" fontId="11" fillId="5" borderId="32" xfId="0" applyFont="1" applyFill="1" applyBorder="1" applyAlignment="1">
      <alignment horizontal="center" vertical="center"/>
    </xf>
    <xf numFmtId="0" fontId="8" fillId="0" borderId="33" xfId="0" applyFont="1" applyBorder="1" applyAlignment="1"/>
    <xf numFmtId="0" fontId="10" fillId="0" borderId="14" xfId="0" applyFont="1" applyBorder="1" applyAlignment="1">
      <alignment horizontal="center"/>
    </xf>
    <xf numFmtId="0" fontId="8" fillId="0" borderId="15" xfId="0" applyFont="1" applyBorder="1" applyAlignment="1"/>
    <xf numFmtId="0" fontId="8" fillId="0" borderId="16" xfId="0" applyFont="1" applyBorder="1" applyAlignment="1"/>
    <xf numFmtId="0" fontId="11" fillId="5" borderId="27" xfId="0" applyFont="1" applyFill="1" applyBorder="1" applyAlignment="1">
      <alignment horizontal="center" vertical="center"/>
    </xf>
    <xf numFmtId="0" fontId="11" fillId="5" borderId="0" xfId="0" applyFont="1" applyFill="1" applyAlignment="1">
      <alignment horizontal="center" vertical="center"/>
    </xf>
    <xf numFmtId="0" fontId="12" fillId="0" borderId="14" xfId="0" applyFont="1" applyBorder="1" applyAlignment="1">
      <alignment horizontal="left" vertical="center"/>
    </xf>
    <xf numFmtId="0" fontId="11" fillId="5" borderId="14" xfId="0" applyFont="1" applyFill="1" applyBorder="1" applyAlignment="1">
      <alignment horizontal="center" vertical="center"/>
    </xf>
    <xf numFmtId="0" fontId="10" fillId="0" borderId="14" xfId="0" applyFont="1" applyBorder="1" applyAlignment="1">
      <alignment horizontal="center" vertical="center"/>
    </xf>
    <xf numFmtId="0" fontId="10" fillId="0" borderId="14" xfId="0" applyFont="1" applyBorder="1" applyAlignment="1">
      <alignment horizontal="left" vertical="center"/>
    </xf>
    <xf numFmtId="0" fontId="7" fillId="0" borderId="14" xfId="0" applyFont="1" applyBorder="1" applyAlignment="1">
      <alignment horizontal="center"/>
    </xf>
    <xf numFmtId="0" fontId="9" fillId="0" borderId="14" xfId="0" applyFont="1" applyBorder="1" applyAlignment="1">
      <alignment horizontal="center"/>
    </xf>
    <xf numFmtId="0" fontId="10" fillId="0" borderId="26" xfId="0" applyFont="1" applyBorder="1" applyAlignment="1">
      <alignment horizontal="center" vertical="center"/>
    </xf>
    <xf numFmtId="0" fontId="8" fillId="0" borderId="27" xfId="0" applyFont="1" applyBorder="1" applyAlignment="1"/>
    <xf numFmtId="0" fontId="8" fillId="0" borderId="28" xfId="0" applyFont="1" applyBorder="1" applyAlignment="1"/>
    <xf numFmtId="0" fontId="8" fillId="0" borderId="29" xfId="0" applyFont="1" applyBorder="1" applyAlignment="1"/>
    <xf numFmtId="0" fontId="8" fillId="0" borderId="23" xfId="0" applyFont="1" applyBorder="1" applyAlignment="1"/>
    <xf numFmtId="0" fontId="8" fillId="0" borderId="30" xfId="0" applyFont="1" applyBorder="1" applyAlignment="1"/>
    <xf numFmtId="0" fontId="15" fillId="0" borderId="14" xfId="0" applyFont="1" applyBorder="1" applyAlignment="1">
      <alignment horizontal="left" vertical="center" wrapText="1"/>
    </xf>
    <xf numFmtId="0" fontId="16" fillId="0" borderId="15" xfId="0" applyFont="1" applyBorder="1" applyAlignment="1"/>
    <xf numFmtId="0" fontId="16" fillId="0" borderId="16" xfId="0" applyFont="1" applyBorder="1" applyAlignment="1"/>
    <xf numFmtId="0" fontId="10" fillId="0" borderId="14" xfId="0" applyFont="1" applyBorder="1" applyAlignment="1">
      <alignment horizontal="left" vertical="center" wrapText="1"/>
    </xf>
    <xf numFmtId="0" fontId="18" fillId="0" borderId="35" xfId="1" applyFont="1" applyBorder="1" applyAlignment="1">
      <alignment horizontal="left" vertical="top" wrapText="1"/>
    </xf>
    <xf numFmtId="0" fontId="18" fillId="0" borderId="36" xfId="1" applyFont="1" applyBorder="1" applyAlignment="1">
      <alignment horizontal="left" vertical="top" wrapText="1"/>
    </xf>
    <xf numFmtId="0" fontId="18" fillId="0" borderId="34" xfId="1" applyFont="1" applyBorder="1" applyAlignment="1">
      <alignment horizontal="left" vertical="top" wrapText="1"/>
    </xf>
    <xf numFmtId="0" fontId="17" fillId="2" borderId="0" xfId="1" applyFont="1" applyFill="1" applyAlignment="1">
      <alignment horizontal="center" vertical="center"/>
    </xf>
    <xf numFmtId="0" fontId="6" fillId="3" borderId="0" xfId="1" applyFont="1" applyFill="1" applyAlignment="1">
      <alignment horizontal="center" vertical="center" wrapText="1"/>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1" xfId="1" applyFont="1" applyBorder="1" applyAlignment="1">
      <alignment horizontal="center" vertical="center"/>
    </xf>
    <xf numFmtId="0" fontId="6" fillId="0" borderId="3" xfId="1" applyFont="1" applyBorder="1" applyAlignment="1">
      <alignment horizontal="center" vertical="center"/>
    </xf>
    <xf numFmtId="0" fontId="6" fillId="0" borderId="2" xfId="1" applyFont="1" applyBorder="1" applyAlignment="1">
      <alignment horizontal="center" vertical="center"/>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21" xfId="1" applyFont="1" applyBorder="1" applyAlignment="1">
      <alignment horizontal="center" vertical="center" wrapText="1"/>
    </xf>
    <xf numFmtId="0" fontId="6" fillId="0" borderId="4" xfId="1" applyFont="1" applyBorder="1" applyAlignment="1">
      <alignment horizontal="center" vertical="center" wrapText="1"/>
    </xf>
    <xf numFmtId="0" fontId="6" fillId="0" borderId="0" xfId="1" applyFont="1" applyAlignment="1">
      <alignment horizontal="center" vertical="center" wrapText="1"/>
    </xf>
    <xf numFmtId="0" fontId="6" fillId="0" borderId="22"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3" xfId="1" applyFont="1" applyBorder="1" applyAlignment="1">
      <alignment horizontal="center" vertical="center" wrapText="1"/>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5" xfId="1" applyFont="1" applyBorder="1" applyAlignment="1">
      <alignment horizontal="center" vertical="center"/>
    </xf>
    <xf numFmtId="0" fontId="6" fillId="0" borderId="7" xfId="1" applyFont="1" applyBorder="1" applyAlignment="1">
      <alignment horizontal="center" vertical="center"/>
    </xf>
    <xf numFmtId="0" fontId="6" fillId="0" borderId="6" xfId="1" applyFont="1" applyBorder="1" applyAlignment="1">
      <alignment horizontal="center" vertical="center"/>
    </xf>
    <xf numFmtId="0" fontId="6" fillId="0" borderId="8"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center" vertical="center"/>
    </xf>
    <xf numFmtId="0" fontId="6" fillId="0" borderId="10" xfId="1" applyFont="1" applyBorder="1" applyAlignment="1">
      <alignment horizontal="center" vertical="center"/>
    </xf>
    <xf numFmtId="0" fontId="6" fillId="0" borderId="11" xfId="1" applyFont="1" applyBorder="1" applyAlignment="1">
      <alignment horizontal="center" vertical="center"/>
    </xf>
    <xf numFmtId="0" fontId="6" fillId="0" borderId="12" xfId="1" applyFont="1" applyBorder="1" applyAlignment="1">
      <alignment horizontal="center" vertical="center"/>
    </xf>
    <xf numFmtId="0" fontId="6" fillId="0" borderId="13" xfId="1" applyFont="1" applyBorder="1" applyAlignment="1">
      <alignment horizontal="center" vertical="center"/>
    </xf>
    <xf numFmtId="0" fontId="13" fillId="2" borderId="4" xfId="1" applyFont="1" applyFill="1" applyBorder="1" applyAlignment="1">
      <alignment horizontal="center" vertical="center"/>
    </xf>
    <xf numFmtId="0" fontId="13" fillId="2" borderId="0" xfId="1" applyFont="1" applyFill="1" applyAlignment="1">
      <alignment horizontal="center" vertical="center"/>
    </xf>
    <xf numFmtId="0" fontId="13" fillId="2" borderId="17" xfId="1" applyFont="1" applyFill="1" applyBorder="1" applyAlignment="1">
      <alignment horizontal="left" vertical="center"/>
    </xf>
    <xf numFmtId="0" fontId="21" fillId="3" borderId="17" xfId="1" applyFont="1" applyFill="1" applyBorder="1" applyAlignment="1">
      <alignment horizontal="center" vertical="center" wrapText="1"/>
    </xf>
    <xf numFmtId="0" fontId="14" fillId="8" borderId="17" xfId="1" applyFont="1" applyFill="1" applyBorder="1" applyAlignment="1">
      <alignment horizontal="center" vertical="center"/>
    </xf>
    <xf numFmtId="170" fontId="14" fillId="10" borderId="17" xfId="1" applyNumberFormat="1" applyFont="1" applyFill="1" applyBorder="1" applyAlignment="1">
      <alignment horizontal="center" vertical="center"/>
    </xf>
    <xf numFmtId="0" fontId="14" fillId="12" borderId="17" xfId="1" applyFont="1" applyFill="1" applyBorder="1" applyAlignment="1">
      <alignment horizontal="center" vertical="center"/>
    </xf>
    <xf numFmtId="0" fontId="13" fillId="2" borderId="17" xfId="1" applyFont="1" applyFill="1" applyBorder="1" applyAlignment="1">
      <alignment horizontal="center" vertical="center"/>
    </xf>
    <xf numFmtId="0" fontId="14" fillId="6" borderId="17" xfId="1" applyFont="1" applyFill="1" applyBorder="1" applyAlignment="1">
      <alignment horizontal="center" vertical="center"/>
    </xf>
    <xf numFmtId="0" fontId="0" fillId="0" borderId="0" xfId="0" pivotButton="1"/>
    <xf numFmtId="0" fontId="0" fillId="0" borderId="0" xfId="0" applyAlignment="1">
      <alignment horizontal="left"/>
    </xf>
    <xf numFmtId="3" fontId="0" fillId="0" borderId="0" xfId="0" applyNumberFormat="1"/>
    <xf numFmtId="10" fontId="0" fillId="0" borderId="0" xfId="4" applyNumberFormat="1" applyFont="1"/>
    <xf numFmtId="10" fontId="0" fillId="0" borderId="0" xfId="0" applyNumberFormat="1"/>
  </cellXfs>
  <cellStyles count="7">
    <cellStyle name="Moneda" xfId="5" builtinId="4"/>
    <cellStyle name="Moneda [0]" xfId="6" builtinId="7"/>
    <cellStyle name="Moneda [0] 2" xfId="2"/>
    <cellStyle name="Normal" xfId="0" builtinId="0"/>
    <cellStyle name="Normal 2 3" xfId="3"/>
    <cellStyle name="Normal 3" xfId="1"/>
    <cellStyle name="Porcentaje" xfId="4" builtinId="5"/>
  </cellStyles>
  <dxfs count="26">
    <dxf>
      <numFmt numFmtId="3" formatCode="#,##0"/>
    </dxf>
    <dxf>
      <numFmt numFmtId="3" formatCode="#,##0"/>
    </dxf>
    <dxf>
      <numFmt numFmtId="3" formatCode="#,##0"/>
    </dxf>
    <dxf>
      <numFmt numFmtId="14" formatCode="0.00%"/>
    </dxf>
    <dxf>
      <numFmt numFmtId="3" formatCode="#,##0"/>
    </dxf>
    <dxf>
      <numFmt numFmtId="3" formatCode="#,##0"/>
    </dxf>
    <dxf>
      <numFmt numFmtId="3" formatCode="#,##0"/>
    </dxf>
    <dxf>
      <numFmt numFmtId="14" formatCode="0.00%"/>
    </dxf>
    <dxf>
      <numFmt numFmtId="3" formatCode="#,##0"/>
    </dxf>
    <dxf>
      <numFmt numFmtId="3" formatCode="#,##0"/>
    </dxf>
    <dxf>
      <numFmt numFmtId="3" formatCode="#,##0"/>
    </dxf>
    <dxf>
      <numFmt numFmtId="14" formatCode="0.00%"/>
    </dxf>
    <dxf>
      <numFmt numFmtId="3" formatCode="#,##0"/>
    </dxf>
    <dxf>
      <numFmt numFmtId="3" formatCode="#,##0"/>
    </dxf>
    <dxf>
      <numFmt numFmtId="3" formatCode="#,##0"/>
    </dxf>
    <dxf>
      <numFmt numFmtId="14" formatCode="0.00%"/>
    </dxf>
    <dxf>
      <numFmt numFmtId="14" formatCode="0.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powerPivotData" Target="model/item.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717550</xdr:colOff>
      <xdr:row>2</xdr:row>
      <xdr:rowOff>60324</xdr:rowOff>
    </xdr:from>
    <xdr:ext cx="920750" cy="809625"/>
    <xdr:pic>
      <xdr:nvPicPr>
        <xdr:cNvPr id="2" name="image1.png">
          <a:extLst>
            <a:ext uri="{FF2B5EF4-FFF2-40B4-BE49-F238E27FC236}">
              <a16:creationId xmlns:a16="http://schemas.microsoft.com/office/drawing/2014/main" id="{EB30E866-B5A0-408D-96D0-15A8745EA02F}"/>
            </a:ext>
          </a:extLst>
        </xdr:cNvPr>
        <xdr:cNvPicPr preferRelativeResize="0"/>
      </xdr:nvPicPr>
      <xdr:blipFill>
        <a:blip xmlns:r="http://schemas.openxmlformats.org/officeDocument/2006/relationships" r:embed="rId1" cstate="print"/>
        <a:stretch>
          <a:fillRect/>
        </a:stretch>
      </xdr:blipFill>
      <xdr:spPr>
        <a:xfrm>
          <a:off x="5378450" y="733424"/>
          <a:ext cx="920750" cy="80962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S GANADORAS"/>
      <sheetName val="LISTAS"/>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persons/person.xml><?xml version="1.0" encoding="utf-8"?>
<personList xmlns="http://schemas.microsoft.com/office/spreadsheetml/2018/threadedcomments" xmlns:x="http://schemas.openxmlformats.org/spreadsheetml/2006/main">
  <person displayName="Sergio Mejia Dussan" id="{6750931D-BB0F-4DB8-B8A9-08BB7584EDBD}" userId="S::sergio.mejia@gobiernobogota.gov.co::bb46379c-96b7-439b-af73-d968eda19780" providerId="AD"/>
</personList>
</file>

<file path=xl/pivotCache/pivotCacheDefinition1.xml><?xml version="1.0" encoding="utf-8"?>
<pivotCacheDefinition xmlns="http://schemas.openxmlformats.org/spreadsheetml/2006/main" xmlns:r="http://schemas.openxmlformats.org/officeDocument/2006/relationships" saveData="0" refreshedBy="Cesar" refreshedDate="45609.495375694445" backgroundQuery="1" createdVersion="6" refreshedVersion="6" minRefreshableVersion="3" recordCount="0" supportSubquery="1" supportAdvancedDrill="1">
  <cacheSource type="external" connectionId="1"/>
  <cacheFields count="3">
    <cacheField name="[Rango].[Componente].[Componente]" caption="Componente" numFmtId="0" hierarchy="1" level="1">
      <sharedItems count="15">
        <s v="Alistamiento"/>
        <s v="Componente 1_x000a_Cartografiando-ando"/>
        <s v="Componente 1_x000a_Concierto canticuento y poemario al natural"/>
        <s v="Componente 1_x000a_Explorando-ando"/>
        <s v="Componente 1_x000a_Pacha mama"/>
        <s v="Componente 2_x000a_Desde el juego somos memoria"/>
        <s v="Componente 2_x000a_Los titeres lo saben"/>
        <s v="Componente 2_x000a_Mi tierra sabe, mis abuelos me llegan"/>
        <s v="Componente 3_x000a_Padres y madres en sintonia"/>
        <s v="Componente 3:_x000a_Aventurandonos"/>
        <s v="Componente 4_x000a_Huertopia"/>
        <s v="Componente 5_x000a_¿Y de ta tieerita y el maicito que?"/>
        <s v="Componente 5_x000a_Brigadistas salvavidas de mascotas seres sintientes"/>
        <s v="Componente 5_x000a_Somos lo que comemos"/>
        <s v="Equipo humano"/>
      </sharedItems>
    </cacheField>
    <cacheField name="[Measures].[Suma de Prmedio Valor total con IVA]" caption="Suma de Prmedio Valor total con IVA" numFmtId="0" hierarchy="32" level="32767"/>
    <cacheField name="Dummy0" numFmtId="0" hierarchy="33" level="32767">
      <extLst>
        <ext xmlns:x14="http://schemas.microsoft.com/office/spreadsheetml/2009/9/main" uri="{63CAB8AC-B538-458d-9737-405883B0398D}">
          <x14:cacheField ignore="1"/>
        </ext>
      </extLst>
    </cacheField>
  </cacheFields>
  <cacheHierarchies count="34">
    <cacheHierarchy uniqueName="[Rango].[Ítem]" caption="Ítem" attribute="1" defaultMemberUniqueName="[Rango].[Ítem].[All]" allUniqueName="[Rango].[Ítem].[All]" dimensionUniqueName="[Rango]" displayFolder="" count="0" memberValueDatatype="130" unbalanced="0"/>
    <cacheHierarchy uniqueName="[Rango].[Componente]" caption="Componente" attribute="1" defaultMemberUniqueName="[Rango].[Componente].[All]" allUniqueName="[Rango].[Componente].[All]" dimensionUniqueName="[Rango]" displayFolder="" count="2" memberValueDatatype="130" unbalanced="0">
      <fieldsUsage count="2">
        <fieldUsage x="-1"/>
        <fieldUsage x="0"/>
      </fieldsUsage>
    </cacheHierarchy>
    <cacheHierarchy uniqueName="[Rango].[Materiales e Insumos]" caption="Materiales e Insumos" attribute="1" defaultMemberUniqueName="[Rango].[Materiales e Insumos].[All]" allUniqueName="[Rango].[Materiales e Insumos].[All]" dimensionUniqueName="[Rango]" displayFolder="" count="0" memberValueDatatype="130" unbalanced="0"/>
    <cacheHierarchy uniqueName="[Rango].[Descripción]" caption="Descripción" attribute="1" defaultMemberUniqueName="[Rango].[Descripción].[All]" allUniqueName="[Rango].[Descripción].[All]" dimensionUniqueName="[Rango]" displayFolder="" count="0" memberValueDatatype="130" unbalanced="0"/>
    <cacheHierarchy uniqueName="[Rango].[Cantidad]" caption="Cantidad" attribute="1" defaultMemberUniqueName="[Rango].[Cantidad].[All]" allUniqueName="[Rango].[Cantidad].[All]" dimensionUniqueName="[Rango]" displayFolder="" count="0" memberValueDatatype="20" unbalanced="0"/>
    <cacheHierarchy uniqueName="[Rango].[Unidad de medida]" caption="Unidad de medida" attribute="1" defaultMemberUniqueName="[Rango].[Unidad de medida].[All]" allUniqueName="[Rango].[Unidad de medida].[All]" dimensionUniqueName="[Rango]" displayFolder="" count="0" memberValueDatatype="130" unbalanced="0"/>
    <cacheHierarchy uniqueName="[Rango].[Tiempo]" caption="Tiempo" attribute="1" defaultMemberUniqueName="[Rango].[Tiempo].[All]" allUniqueName="[Rango].[Tiempo].[All]" dimensionUniqueName="[Rango]" displayFolder="" count="0" memberValueDatatype="20" unbalanced="0"/>
    <cacheHierarchy uniqueName="[Rango].[Unidad de medida2]" caption="Unidad de medida2" attribute="1" defaultMemberUniqueName="[Rango].[Unidad de medida2].[All]" allUniqueName="[Rango].[Unidad de medida2].[All]" dimensionUniqueName="[Rango]" displayFolder="" count="0" memberValueDatatype="130" unbalanced="0"/>
    <cacheHierarchy uniqueName="[Rango].[Valor unitario sin IVA]" caption="Valor unitario sin IVA" attribute="1" defaultMemberUniqueName="[Rango].[Valor unitario sin IVA].[All]" allUniqueName="[Rango].[Valor unitario sin IVA].[All]" dimensionUniqueName="[Rango]" displayFolder="" count="0" memberValueDatatype="20" unbalanced="0"/>
    <cacheHierarchy uniqueName="[Rango].[Valor IVA]" caption="Valor IVA" attribute="1" defaultMemberUniqueName="[Rango].[Valor IVA].[All]" allUniqueName="[Rango].[Valor IVA].[All]" dimensionUniqueName="[Rango]" displayFolder="" count="0" memberValueDatatype="20" unbalanced="0"/>
    <cacheHierarchy uniqueName="[Rango].[Valor unitario con IVA]" caption="Valor unitario con IVA" attribute="1" defaultMemberUniqueName="[Rango].[Valor unitario con IVA].[All]" allUniqueName="[Rango].[Valor unitario con IVA].[All]" dimensionUniqueName="[Rango]" displayFolder="" count="0" memberValueDatatype="20" unbalanced="0"/>
    <cacheHierarchy uniqueName="[Rango].[Valor total Sin IVA]" caption="Valor total Sin IVA" attribute="1" defaultMemberUniqueName="[Rango].[Valor total Sin IVA].[All]" allUniqueName="[Rango].[Valor total Sin IVA].[All]" dimensionUniqueName="[Rango]" displayFolder="" count="0" memberValueDatatype="20" unbalanced="0"/>
    <cacheHierarchy uniqueName="[Rango].[Valor total con IVA]" caption="Valor total con IVA" attribute="1" defaultMemberUniqueName="[Rango].[Valor total con IVA].[All]" allUniqueName="[Rango].[Valor total con IVA].[All]" dimensionUniqueName="[Rango]" displayFolder="" count="0" memberValueDatatype="5" unbalanced="0"/>
    <cacheHierarchy uniqueName="[Rango].[Valor unitario sin IVA2]" caption="Valor unitario sin IVA2" attribute="1" defaultMemberUniqueName="[Rango].[Valor unitario sin IVA2].[All]" allUniqueName="[Rango].[Valor unitario sin IVA2].[All]" dimensionUniqueName="[Rango]" displayFolder="" count="0" memberValueDatatype="20" unbalanced="0"/>
    <cacheHierarchy uniqueName="[Rango].[Valor IVA2]" caption="Valor IVA2" attribute="1" defaultMemberUniqueName="[Rango].[Valor IVA2].[All]" allUniqueName="[Rango].[Valor IVA2].[All]" dimensionUniqueName="[Rango]" displayFolder="" count="0" memberValueDatatype="5" unbalanced="0"/>
    <cacheHierarchy uniqueName="[Rango].[Valor unitario con IVA2]" caption="Valor unitario con IVA2" attribute="1" defaultMemberUniqueName="[Rango].[Valor unitario con IVA2].[All]" allUniqueName="[Rango].[Valor unitario con IVA2].[All]" dimensionUniqueName="[Rango]" displayFolder="" count="0" memberValueDatatype="5" unbalanced="0"/>
    <cacheHierarchy uniqueName="[Rango].[Valor total Sin IVA2]" caption="Valor total Sin IVA2" attribute="1" defaultMemberUniqueName="[Rango].[Valor total Sin IVA2].[All]" allUniqueName="[Rango].[Valor total Sin IVA2].[All]" dimensionUniqueName="[Rango]" displayFolder="" count="0" memberValueDatatype="20" unbalanced="0"/>
    <cacheHierarchy uniqueName="[Rango].[Valor total con IVA2]" caption="Valor total con IVA2" attribute="1" defaultMemberUniqueName="[Rango].[Valor total con IVA2].[All]" allUniqueName="[Rango].[Valor total con IVA2].[All]" dimensionUniqueName="[Rango]" displayFolder="" count="0" memberValueDatatype="5" unbalanced="0"/>
    <cacheHierarchy uniqueName="[Rango].[Valor unitario sin IVA3]" caption="Valor unitario sin IVA3" attribute="1" defaultMemberUniqueName="[Rango].[Valor unitario sin IVA3].[All]" allUniqueName="[Rango].[Valor unitario sin IVA3].[All]" dimensionUniqueName="[Rango]" displayFolder="" count="0" memberValueDatatype="20" unbalanced="0"/>
    <cacheHierarchy uniqueName="[Rango].[Valor IVA3]" caption="Valor IVA3" attribute="1" defaultMemberUniqueName="[Rango].[Valor IVA3].[All]" allUniqueName="[Rango].[Valor IVA3].[All]" dimensionUniqueName="[Rango]" displayFolder="" count="0" memberValueDatatype="5" unbalanced="0"/>
    <cacheHierarchy uniqueName="[Rango].[Valor unitario con IVA3]" caption="Valor unitario con IVA3" attribute="1" defaultMemberUniqueName="[Rango].[Valor unitario con IVA3].[All]" allUniqueName="[Rango].[Valor unitario con IVA3].[All]" dimensionUniqueName="[Rango]" displayFolder="" count="0" memberValueDatatype="5" unbalanced="0"/>
    <cacheHierarchy uniqueName="[Rango].[Valor total Sin IVA3]" caption="Valor total Sin IVA3" attribute="1" defaultMemberUniqueName="[Rango].[Valor total Sin IVA3].[All]" allUniqueName="[Rango].[Valor total Sin IVA3].[All]" dimensionUniqueName="[Rango]" displayFolder="" count="0" memberValueDatatype="20" unbalanced="0"/>
    <cacheHierarchy uniqueName="[Rango].[Valor total con IVA3]" caption="Valor total con IVA3" attribute="1" defaultMemberUniqueName="[Rango].[Valor total con IVA3].[All]" allUniqueName="[Rango].[Valor total con IVA3].[All]" dimensionUniqueName="[Rango]" displayFolder="" count="0" memberValueDatatype="5" unbalanced="0"/>
    <cacheHierarchy uniqueName="[Rango].[Promedio Valor unitario sin IVA]" caption="Promedio Valor unitario sin IVA" attribute="1" defaultMemberUniqueName="[Rango].[Promedio Valor unitario sin IVA].[All]" allUniqueName="[Rango].[Promedio Valor unitario sin IVA].[All]" dimensionUniqueName="[Rango]" displayFolder="" count="0" memberValueDatatype="5" unbalanced="0"/>
    <cacheHierarchy uniqueName="[Rango].[Promedio Valor IVA]" caption="Promedio Valor IVA" attribute="1" defaultMemberUniqueName="[Rango].[Promedio Valor IVA].[All]" allUniqueName="[Rango].[Promedio Valor IVA].[All]" dimensionUniqueName="[Rango]" displayFolder="" count="0" memberValueDatatype="5" unbalanced="0"/>
    <cacheHierarchy uniqueName="[Rango].[Promedio Valor unitario con IVA]" caption="Promedio Valor unitario con IVA" attribute="1" defaultMemberUniqueName="[Rango].[Promedio Valor unitario con IVA].[All]" allUniqueName="[Rango].[Promedio Valor unitario con IVA].[All]" dimensionUniqueName="[Rango]" displayFolder="" count="0" memberValueDatatype="5" unbalanced="0"/>
    <cacheHierarchy uniqueName="[Rango].[Promedio Valor total Sin IVA]" caption="Promedio Valor total Sin IVA" attribute="1" defaultMemberUniqueName="[Rango].[Promedio Valor total Sin IVA].[All]" allUniqueName="[Rango].[Promedio Valor total Sin IVA].[All]" dimensionUniqueName="[Rango]" displayFolder="" count="0" memberValueDatatype="5" unbalanced="0"/>
    <cacheHierarchy uniqueName="[Rango].[Prmedio Valor total con IVA]" caption="Prmedio Valor total con IVA" attribute="1" defaultMemberUniqueName="[Rango].[Prmedio Valor total con IVA].[All]" allUniqueName="[Rango].[Prmedio Valor total con IVA].[All]" dimensionUniqueName="[Rango]" displayFolder="" count="0" memberValueDatatype="5" unbalanced="0"/>
    <cacheHierarchy uniqueName="[Rango].[DESVIACIÓN ESTANDAR]" caption="DESVIACIÓN ESTANDAR" attribute="1" defaultMemberUniqueName="[Rango].[DESVIACIÓN ESTANDAR].[All]" allUniqueName="[Rango].[DESVIACIÓN ESTANDAR].[All]" dimensionUniqueName="[Rango]" displayFolder="" count="0" memberValueDatatype="5" unbalanced="0"/>
    <cacheHierarchy uniqueName="[Rango].[COEF VAR.]" caption="COEF VAR." attribute="1" defaultMemberUniqueName="[Rango].[COEF VAR.].[All]" allUniqueName="[Rango].[COEF VAR.].[All]" dimensionUniqueName="[Rango]" displayFolder="" count="0" memberValueDatatype="5" unbalanced="0"/>
    <cacheHierarchy uniqueName="[Measures].[__XL_Count Rango]" caption="__XL_Count Rango" measure="1" displayFolder="" measureGroup="Rango" count="0" hidden="1"/>
    <cacheHierarchy uniqueName="[Measures].[__No measures defined]" caption="__No measures defined" measure="1" displayFolder="" count="0" hidden="1"/>
    <cacheHierarchy uniqueName="[Measures].[Suma de Prmedio Valor total con IVA]" caption="Suma de Prmedio Valor total con IVA" measure="1" displayFolder="" measureGroup="Rango" count="0" oneField="1" hidden="1">
      <fieldsUsage count="1">
        <fieldUsage x="1"/>
      </fieldsUsage>
      <extLst>
        <ext xmlns:x15="http://schemas.microsoft.com/office/spreadsheetml/2010/11/main" uri="{B97F6D7D-B522-45F9-BDA1-12C45D357490}">
          <x15:cacheHierarchy aggregatedColumn="27"/>
        </ext>
      </extLst>
    </cacheHierarchy>
    <cacheHierarchy uniqueName="Dummy0" caption="Ítem" measure="1" count="0">
      <extLst>
        <ext xmlns:x14="http://schemas.microsoft.com/office/spreadsheetml/2009/9/main" uri="{8CF416AD-EC4C-4aba-99F5-12A058AE0983}">
          <x14:cacheHierarchy ignore="1"/>
        </ext>
      </extLst>
    </cacheHierarchy>
  </cacheHierarchies>
  <kpis count="0"/>
  <dimensions count="2">
    <dimension measure="1" name="Measures" uniqueName="[Measures]" caption="Measures"/>
    <dimension name="Rango" uniqueName="[Rango]" caption="Rango"/>
  </dimensions>
  <measureGroups count="1">
    <measureGroup name="Rango" caption="Rango"/>
  </measureGroups>
  <maps count="1">
    <map measureGroup="0" dimension="1"/>
  </maps>
  <extLst>
    <ext xmlns:x14="http://schemas.microsoft.com/office/spreadsheetml/2009/9/main" uri="{725AE2AE-9491-48be-B2B4-4EB974FC3084}">
      <x14:pivotCacheDefinition supportSubqueryNonVisual="1" supportSubqueryCalcMem="1" supportAddCalcMems="1"/>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1" cacheId="27"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rowHeaderCaption="COMPONENTES">
  <location ref="A3:C19" firstHeaderRow="0" firstDataRow="1" firstDataCol="1"/>
  <pivotFields count="3">
    <pivotField axis="axisRow" allDrilled="1" showAll="0" dataSourceSort="1" defaultAttributeDrillState="1">
      <items count="16">
        <item s="1" x="0"/>
        <item s="1" x="1"/>
        <item s="1" x="2"/>
        <item s="1" x="3"/>
        <item s="1" x="4"/>
        <item s="1" x="5"/>
        <item s="1" x="6"/>
        <item s="1" x="7"/>
        <item s="1" x="8"/>
        <item s="1" x="9"/>
        <item s="1" x="10"/>
        <item s="1" x="11"/>
        <item s="1" x="12"/>
        <item s="1" x="13"/>
        <item s="1" x="14"/>
        <item t="default"/>
      </items>
    </pivotField>
    <pivotField dataField="1" showAll="0"/>
    <pivotField dataField="1" compact="0" outline="0" subtotalTop="0" dragToRow="0" dragToCol="0" dragToPage="0" dragToData="0" dragOff="0" showAll="0" topAutoShow="0" includeNewItemsInFilter="1" itemPageCount="0" rankBy="0" defaultSubtotal="0">
      <extLst>
        <ext xmlns:x14="http://schemas.microsoft.com/office/spreadsheetml/2009/9/main" uri="{2946ED86-A175-432a-8AC1-64E0C546D7DE}">
          <x14:pivotField ignore="1"/>
        </ext>
      </extLst>
    </pivotField>
  </pivotFields>
  <rowFields count="1">
    <field x="0"/>
  </rowFields>
  <rowItems count="16">
    <i>
      <x/>
    </i>
    <i>
      <x v="1"/>
    </i>
    <i>
      <x v="2"/>
    </i>
    <i>
      <x v="3"/>
    </i>
    <i>
      <x v="4"/>
    </i>
    <i>
      <x v="5"/>
    </i>
    <i>
      <x v="6"/>
    </i>
    <i>
      <x v="7"/>
    </i>
    <i>
      <x v="8"/>
    </i>
    <i>
      <x v="9"/>
    </i>
    <i>
      <x v="10"/>
    </i>
    <i>
      <x v="11"/>
    </i>
    <i>
      <x v="12"/>
    </i>
    <i>
      <x v="13"/>
    </i>
    <i>
      <x v="14"/>
    </i>
    <i t="grand">
      <x/>
    </i>
  </rowItems>
  <colFields count="1">
    <field x="-2"/>
  </colFields>
  <colItems count="2">
    <i>
      <x/>
    </i>
    <i i="1">
      <x v="1"/>
    </i>
  </colItems>
  <dataFields count="2">
    <dataField name="VALOR" fld="1" baseField="0" baseItem="0" numFmtId="3"/>
    <dataField name="PORCENTAJE" fld="2" showDataAs="percentOfTotal" baseField="0" baseItem="0" numFmtId="10">
      <extLst>
        <ext xmlns:x14="http://schemas.microsoft.com/office/spreadsheetml/2009/9/main" uri="{E15A36E0-9728-4e99-A89B-3F7291B0FE68}">
          <x14:dataField sourceField="1" uniqueName="[__Xl2].[Measures].[Suma de Prmedio Valor total con IVA]"/>
        </ext>
      </extLst>
    </dataField>
  </dataFields>
  <formats count="4">
    <format dxfId="25">
      <pivotArea outline="0" collapsedLevelsAreSubtotals="1" fieldPosition="0"/>
    </format>
    <format dxfId="24">
      <pivotArea dataOnly="0" labelOnly="1" outline="0" axis="axisValues" fieldPosition="0"/>
    </format>
    <format dxfId="23">
      <pivotArea dataOnly="0" labelOnly="1" outline="0" axis="axisValues" fieldPosition="0"/>
    </format>
    <format dxfId="16">
      <pivotArea outline="0" fieldPosition="0">
        <references count="1">
          <reference field="4294967294" count="1">
            <x v="1"/>
          </reference>
        </references>
      </pivotArea>
    </format>
  </formats>
  <pivotHierarchies count="3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Data="1"/>
    <pivotHierarchy dragToRow="0" dragToCol="0" dragToPage="0" dragToData="1" dragOff="0" includeNewItemsInFilter="1">
      <extLst>
        <ext xmlns:x14="http://schemas.microsoft.com/office/spreadsheetml/2009/9/main" uri="{F1805F06-0CD3-4483-9156-8803C3D141DF}">
          <x14:pivotHierarchy ignore="1"/>
        </ext>
      </extLst>
    </pivotHierarchy>
  </pivotHierarchies>
  <pivotTableStyleInfo name="PivotStyleLight16" showRowHeaders="1" showColHeaders="1" showRowStripes="0" showColStripes="0" showLastColumn="1"/>
  <rowHierarchiesUsage count="1">
    <rowHierarchyUsage hierarchyUsage="1"/>
  </rowHierarchiesUsage>
  <colHierarchiesUsage count="1">
    <colHierarchyUsage hierarchyUsage="-2"/>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WorksheetConnection_Estudio de mercado!$A$2:$AD$79">
        <x15:activeTabTopLevelEntity name="[Rango]"/>
      </x15:pivotTableUISettings>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X1" dT="2024-09-04T12:00:10.52" personId="{6750931D-BB0F-4DB8-B8A9-08BB7584EDBD}" id="{B4E793C9-87B9-4172-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63" dT="2024-09-04T11:51:33.75" personId="{6750931D-BB0F-4DB8-B8A9-08BB7584EDBD}" id="{E998290A-4318-4A28-8AFE-B1BFE1EA207B}">
    <text>Sugiero que aquí se coloque la palabra total para entender de que tratan los valores de esta fila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G18"/>
  <sheetViews>
    <sheetView topLeftCell="A2" workbookViewId="0">
      <selection activeCell="D15" sqref="D15:G15"/>
    </sheetView>
  </sheetViews>
  <sheetFormatPr baseColWidth="10" defaultColWidth="14.42578125" defaultRowHeight="26.45" customHeight="1" x14ac:dyDescent="0.25"/>
  <cols>
    <col min="1" max="2" width="10.5703125" customWidth="1"/>
    <col min="3" max="3" width="32.5703125" customWidth="1"/>
    <col min="4" max="4" width="12.85546875" customWidth="1"/>
    <col min="5" max="6" width="10.42578125" customWidth="1"/>
    <col min="7" max="7" width="53" customWidth="1"/>
  </cols>
  <sheetData>
    <row r="1" spans="3:7" ht="26.45" customHeight="1" x14ac:dyDescent="0.4">
      <c r="C1" s="119" t="s">
        <v>0</v>
      </c>
      <c r="D1" s="111"/>
      <c r="E1" s="111"/>
      <c r="F1" s="111"/>
      <c r="G1" s="112"/>
    </row>
    <row r="2" spans="3:7" ht="26.45" customHeight="1" x14ac:dyDescent="0.3">
      <c r="C2" s="120" t="s">
        <v>1</v>
      </c>
      <c r="D2" s="111"/>
      <c r="E2" s="111"/>
      <c r="F2" s="111"/>
      <c r="G2" s="112"/>
    </row>
    <row r="3" spans="3:7" ht="26.45" customHeight="1" x14ac:dyDescent="0.25">
      <c r="C3" s="121"/>
      <c r="D3" s="122"/>
      <c r="E3" s="122"/>
      <c r="F3" s="122"/>
      <c r="G3" s="123"/>
    </row>
    <row r="4" spans="3:7" ht="44.45" customHeight="1" x14ac:dyDescent="0.25">
      <c r="C4" s="124"/>
      <c r="D4" s="125"/>
      <c r="E4" s="125"/>
      <c r="F4" s="125"/>
      <c r="G4" s="126"/>
    </row>
    <row r="5" spans="3:7" ht="26.45" customHeight="1" x14ac:dyDescent="0.25">
      <c r="C5" s="7" t="s">
        <v>2</v>
      </c>
      <c r="D5" s="127" t="s">
        <v>3</v>
      </c>
      <c r="E5" s="128"/>
      <c r="F5" s="128"/>
      <c r="G5" s="129"/>
    </row>
    <row r="6" spans="3:7" ht="63" customHeight="1" x14ac:dyDescent="0.25">
      <c r="C6" s="7" t="s">
        <v>4</v>
      </c>
      <c r="D6" s="130" t="s">
        <v>5</v>
      </c>
      <c r="E6" s="111"/>
      <c r="F6" s="111"/>
      <c r="G6" s="112"/>
    </row>
    <row r="7" spans="3:7" ht="26.45" customHeight="1" x14ac:dyDescent="0.25">
      <c r="C7" s="7" t="s">
        <v>6</v>
      </c>
      <c r="D7" s="118" t="s">
        <v>7</v>
      </c>
      <c r="E7" s="111"/>
      <c r="F7" s="111"/>
      <c r="G7" s="112"/>
    </row>
    <row r="8" spans="3:7" ht="26.45" customHeight="1" x14ac:dyDescent="0.25">
      <c r="C8" s="7" t="s">
        <v>8</v>
      </c>
      <c r="D8" s="115" t="s">
        <v>9</v>
      </c>
      <c r="E8" s="111"/>
      <c r="F8" s="111"/>
      <c r="G8" s="112"/>
    </row>
    <row r="9" spans="3:7" ht="26.45" customHeight="1" x14ac:dyDescent="0.25">
      <c r="C9" s="8" t="s">
        <v>10</v>
      </c>
      <c r="D9" s="116" t="s">
        <v>11</v>
      </c>
      <c r="E9" s="112"/>
      <c r="F9" s="117"/>
      <c r="G9" s="112"/>
    </row>
    <row r="10" spans="3:7" ht="26.45" customHeight="1" x14ac:dyDescent="0.25">
      <c r="C10" s="113" t="s">
        <v>12</v>
      </c>
      <c r="D10" s="9" t="s">
        <v>13</v>
      </c>
      <c r="E10" s="9" t="s">
        <v>14</v>
      </c>
      <c r="F10" s="9" t="s">
        <v>15</v>
      </c>
      <c r="G10" s="10" t="s">
        <v>16</v>
      </c>
    </row>
    <row r="11" spans="3:7" ht="26.45" customHeight="1" thickBot="1" x14ac:dyDescent="0.3">
      <c r="C11" s="114"/>
      <c r="D11" s="40" t="s">
        <v>17</v>
      </c>
      <c r="E11" s="40" t="s">
        <v>18</v>
      </c>
      <c r="F11" s="40" t="s">
        <v>19</v>
      </c>
      <c r="G11" s="40" t="s">
        <v>20</v>
      </c>
    </row>
    <row r="12" spans="3:7" ht="26.45" customHeight="1" thickBot="1" x14ac:dyDescent="0.3">
      <c r="C12" s="114"/>
      <c r="D12" s="41" t="s">
        <v>17</v>
      </c>
      <c r="E12" s="41" t="s">
        <v>18</v>
      </c>
      <c r="F12" s="41" t="s">
        <v>21</v>
      </c>
      <c r="G12" s="41" t="s">
        <v>22</v>
      </c>
    </row>
    <row r="13" spans="3:7" ht="32.25" thickBot="1" x14ac:dyDescent="0.3">
      <c r="C13" s="114"/>
      <c r="D13" s="41" t="s">
        <v>23</v>
      </c>
      <c r="E13" s="41" t="s">
        <v>23</v>
      </c>
      <c r="F13" s="41" t="s">
        <v>24</v>
      </c>
      <c r="G13" s="41" t="s">
        <v>25</v>
      </c>
    </row>
    <row r="14" spans="3:7" ht="26.45" customHeight="1" x14ac:dyDescent="0.25">
      <c r="C14" s="114"/>
      <c r="D14" s="42" t="s">
        <v>26</v>
      </c>
      <c r="E14" s="43" t="s">
        <v>27</v>
      </c>
      <c r="F14" s="43" t="s">
        <v>28</v>
      </c>
      <c r="G14" s="43" t="s">
        <v>29</v>
      </c>
    </row>
    <row r="15" spans="3:7" ht="26.45" customHeight="1" x14ac:dyDescent="0.25">
      <c r="C15" s="108" t="s">
        <v>30</v>
      </c>
      <c r="D15" s="110"/>
      <c r="E15" s="111"/>
      <c r="F15" s="111"/>
      <c r="G15" s="112"/>
    </row>
    <row r="16" spans="3:7" ht="26.45" customHeight="1" x14ac:dyDescent="0.25">
      <c r="C16" s="109"/>
      <c r="D16" s="110"/>
      <c r="E16" s="111"/>
      <c r="F16" s="111"/>
      <c r="G16" s="112"/>
    </row>
    <row r="17" spans="3:7" ht="26.45" customHeight="1" x14ac:dyDescent="0.25">
      <c r="C17" s="108" t="s">
        <v>31</v>
      </c>
      <c r="D17" s="110"/>
      <c r="E17" s="111"/>
      <c r="F17" s="111"/>
      <c r="G17" s="112"/>
    </row>
    <row r="18" spans="3:7" ht="26.45" customHeight="1" x14ac:dyDescent="0.25">
      <c r="C18" s="109"/>
      <c r="D18" s="110"/>
      <c r="E18" s="111"/>
      <c r="F18" s="111"/>
      <c r="G18" s="112"/>
    </row>
  </sheetData>
  <mergeCells count="16">
    <mergeCell ref="D7:G7"/>
    <mergeCell ref="C1:G1"/>
    <mergeCell ref="C2:G2"/>
    <mergeCell ref="C3:G4"/>
    <mergeCell ref="D5:G5"/>
    <mergeCell ref="D6:G6"/>
    <mergeCell ref="C17:C18"/>
    <mergeCell ref="D17:G17"/>
    <mergeCell ref="D18:G18"/>
    <mergeCell ref="C10:C14"/>
    <mergeCell ref="D8:G8"/>
    <mergeCell ref="D9:E9"/>
    <mergeCell ref="F9:G9"/>
    <mergeCell ref="C15:C16"/>
    <mergeCell ref="D15:G15"/>
    <mergeCell ref="D16:G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L51"/>
  <sheetViews>
    <sheetView topLeftCell="A29" zoomScale="80" zoomScaleNormal="80" workbookViewId="0">
      <selection activeCell="G30" sqref="G30"/>
    </sheetView>
  </sheetViews>
  <sheetFormatPr baseColWidth="10" defaultColWidth="11.42578125" defaultRowHeight="15" x14ac:dyDescent="0.25"/>
  <cols>
    <col min="1" max="1" width="7.140625" style="39" customWidth="1"/>
    <col min="2" max="2" width="24.5703125" style="33" bestFit="1" customWidth="1"/>
    <col min="3" max="3" width="56.7109375" style="24" customWidth="1"/>
    <col min="4" max="4" width="11.42578125" style="34"/>
    <col min="5" max="5" width="20.85546875" style="24" customWidth="1"/>
    <col min="6" max="6" width="11.42578125" style="24"/>
    <col min="7" max="7" width="14.85546875" style="24" bestFit="1" customWidth="1"/>
    <col min="8" max="8" width="18.42578125" style="24" bestFit="1" customWidth="1"/>
    <col min="9" max="9" width="15.42578125" style="24" bestFit="1" customWidth="1"/>
    <col min="10" max="10" width="15.42578125" style="24" customWidth="1"/>
    <col min="11" max="11" width="22.5703125" style="24" customWidth="1"/>
    <col min="12" max="12" width="23" style="24" customWidth="1"/>
    <col min="13" max="13" width="11.42578125" style="24"/>
    <col min="14" max="14" width="14" style="24" bestFit="1" customWidth="1"/>
    <col min="15" max="16384" width="11.42578125" style="24"/>
  </cols>
  <sheetData>
    <row r="1" spans="1:12" ht="42.6" customHeight="1" x14ac:dyDescent="0.25">
      <c r="A1" s="134" t="s">
        <v>32</v>
      </c>
      <c r="B1" s="134"/>
      <c r="C1" s="134"/>
      <c r="D1" s="134"/>
      <c r="E1" s="134"/>
      <c r="F1" s="134"/>
      <c r="G1" s="134"/>
      <c r="H1" s="134"/>
      <c r="I1" s="134"/>
      <c r="J1" s="134"/>
      <c r="K1" s="134"/>
      <c r="L1" s="134"/>
    </row>
    <row r="2" spans="1:12" ht="36.75" customHeight="1" thickBot="1" x14ac:dyDescent="0.3">
      <c r="A2" s="135" t="s">
        <v>33</v>
      </c>
      <c r="B2" s="135"/>
      <c r="C2" s="135"/>
      <c r="D2" s="135"/>
      <c r="E2" s="135"/>
      <c r="F2" s="135"/>
      <c r="G2" s="135"/>
      <c r="H2" s="135"/>
      <c r="I2" s="135"/>
      <c r="J2" s="135"/>
      <c r="K2" s="135"/>
      <c r="L2" s="135"/>
    </row>
    <row r="3" spans="1:12" ht="21" customHeight="1" x14ac:dyDescent="0.25">
      <c r="A3" s="136" t="s">
        <v>34</v>
      </c>
      <c r="B3" s="137"/>
      <c r="C3" s="25"/>
      <c r="D3" s="138" t="s">
        <v>35</v>
      </c>
      <c r="E3" s="139"/>
      <c r="F3" s="138"/>
      <c r="G3" s="140"/>
      <c r="H3" s="140"/>
      <c r="I3" s="139"/>
      <c r="J3" s="141" t="s">
        <v>36</v>
      </c>
      <c r="K3" s="142"/>
      <c r="L3" s="143"/>
    </row>
    <row r="4" spans="1:12" ht="15.6" customHeight="1" x14ac:dyDescent="0.25">
      <c r="A4" s="150" t="s">
        <v>37</v>
      </c>
      <c r="B4" s="151"/>
      <c r="C4" s="26"/>
      <c r="D4" s="152" t="s">
        <v>38</v>
      </c>
      <c r="E4" s="153"/>
      <c r="F4" s="152"/>
      <c r="G4" s="154"/>
      <c r="H4" s="154"/>
      <c r="I4" s="153"/>
      <c r="J4" s="144"/>
      <c r="K4" s="145"/>
      <c r="L4" s="146"/>
    </row>
    <row r="5" spans="1:12" ht="16.350000000000001" customHeight="1" thickBot="1" x14ac:dyDescent="0.3">
      <c r="A5" s="155" t="s">
        <v>39</v>
      </c>
      <c r="B5" s="156"/>
      <c r="C5" s="27"/>
      <c r="D5" s="157" t="s">
        <v>40</v>
      </c>
      <c r="E5" s="158"/>
      <c r="F5" s="159"/>
      <c r="G5" s="160"/>
      <c r="H5" s="160"/>
      <c r="I5" s="161"/>
      <c r="J5" s="147"/>
      <c r="K5" s="148"/>
      <c r="L5" s="149"/>
    </row>
    <row r="6" spans="1:12" x14ac:dyDescent="0.25">
      <c r="A6" s="35"/>
      <c r="B6" s="12"/>
      <c r="C6" s="12"/>
      <c r="D6" s="12"/>
      <c r="E6" s="12"/>
      <c r="F6" s="12"/>
      <c r="G6" s="12"/>
      <c r="H6" s="12"/>
      <c r="I6" s="12"/>
      <c r="J6" s="12"/>
      <c r="K6" s="12"/>
      <c r="L6" s="12"/>
    </row>
    <row r="7" spans="1:12" ht="30" x14ac:dyDescent="0.25">
      <c r="A7" s="36" t="s">
        <v>41</v>
      </c>
      <c r="B7" s="13" t="s">
        <v>42</v>
      </c>
      <c r="C7" s="13" t="s">
        <v>43</v>
      </c>
      <c r="D7" s="13" t="s">
        <v>44</v>
      </c>
      <c r="E7" s="13" t="s">
        <v>45</v>
      </c>
      <c r="F7" s="14" t="s">
        <v>46</v>
      </c>
      <c r="G7" s="13" t="s">
        <v>45</v>
      </c>
      <c r="H7" s="15" t="s">
        <v>47</v>
      </c>
      <c r="I7" s="16" t="s">
        <v>48</v>
      </c>
      <c r="J7" s="15" t="s">
        <v>49</v>
      </c>
      <c r="K7" s="15" t="s">
        <v>50</v>
      </c>
      <c r="L7" s="15" t="s">
        <v>51</v>
      </c>
    </row>
    <row r="8" spans="1:12" ht="240" x14ac:dyDescent="0.25">
      <c r="A8" s="37">
        <v>1</v>
      </c>
      <c r="B8" s="28" t="s">
        <v>52</v>
      </c>
      <c r="C8" s="29" t="s">
        <v>53</v>
      </c>
      <c r="D8" s="4">
        <v>1</v>
      </c>
      <c r="E8" s="17" t="s">
        <v>54</v>
      </c>
      <c r="F8" s="3">
        <v>7</v>
      </c>
      <c r="G8" s="3" t="s">
        <v>55</v>
      </c>
      <c r="H8" s="18"/>
      <c r="I8" s="18"/>
      <c r="J8" s="18"/>
      <c r="K8" s="18"/>
      <c r="L8" s="18"/>
    </row>
    <row r="9" spans="1:12" ht="145.5" customHeight="1" x14ac:dyDescent="0.25">
      <c r="A9" s="37">
        <v>2</v>
      </c>
      <c r="B9" s="28" t="s">
        <v>56</v>
      </c>
      <c r="C9" s="29" t="s">
        <v>57</v>
      </c>
      <c r="D9" s="4">
        <v>1</v>
      </c>
      <c r="E9" s="17" t="s">
        <v>54</v>
      </c>
      <c r="F9" s="3">
        <v>7</v>
      </c>
      <c r="G9" s="3" t="s">
        <v>55</v>
      </c>
      <c r="H9" s="18"/>
      <c r="I9" s="18"/>
      <c r="J9" s="18"/>
      <c r="K9" s="18"/>
      <c r="L9" s="18"/>
    </row>
    <row r="10" spans="1:12" ht="210" x14ac:dyDescent="0.25">
      <c r="A10" s="37">
        <v>3</v>
      </c>
      <c r="B10" s="28" t="s">
        <v>58</v>
      </c>
      <c r="C10" s="29" t="s">
        <v>59</v>
      </c>
      <c r="D10" s="4">
        <v>3</v>
      </c>
      <c r="E10" s="17" t="s">
        <v>54</v>
      </c>
      <c r="F10" s="3">
        <v>7</v>
      </c>
      <c r="G10" s="3" t="s">
        <v>55</v>
      </c>
      <c r="H10" s="18"/>
      <c r="I10" s="18"/>
      <c r="J10" s="18"/>
      <c r="K10" s="18"/>
      <c r="L10" s="18"/>
    </row>
    <row r="11" spans="1:12" ht="150" x14ac:dyDescent="0.25">
      <c r="A11" s="37">
        <v>4</v>
      </c>
      <c r="B11" s="28" t="s">
        <v>60</v>
      </c>
      <c r="C11" s="29" t="s">
        <v>61</v>
      </c>
      <c r="D11" s="4">
        <v>3</v>
      </c>
      <c r="E11" s="17" t="s">
        <v>54</v>
      </c>
      <c r="F11" s="3">
        <v>4</v>
      </c>
      <c r="G11" s="3" t="s">
        <v>55</v>
      </c>
      <c r="H11" s="18"/>
      <c r="I11" s="18"/>
      <c r="J11" s="18"/>
      <c r="K11" s="18"/>
      <c r="L11" s="18"/>
    </row>
    <row r="12" spans="1:12" ht="120" x14ac:dyDescent="0.25">
      <c r="A12" s="37">
        <v>5</v>
      </c>
      <c r="B12" s="28" t="s">
        <v>62</v>
      </c>
      <c r="C12" s="29" t="s">
        <v>63</v>
      </c>
      <c r="D12" s="4">
        <v>5</v>
      </c>
      <c r="E12" s="17" t="s">
        <v>54</v>
      </c>
      <c r="F12" s="3">
        <v>7</v>
      </c>
      <c r="G12" s="3" t="s">
        <v>55</v>
      </c>
      <c r="H12" s="18"/>
      <c r="I12" s="18"/>
      <c r="J12" s="18"/>
      <c r="K12" s="18"/>
      <c r="L12" s="18"/>
    </row>
    <row r="13" spans="1:12" ht="45" x14ac:dyDescent="0.25">
      <c r="A13" s="37">
        <v>6</v>
      </c>
      <c r="B13" s="28" t="s">
        <v>64</v>
      </c>
      <c r="C13" s="29" t="s">
        <v>65</v>
      </c>
      <c r="D13" s="4">
        <v>1000</v>
      </c>
      <c r="E13" s="17" t="s">
        <v>66</v>
      </c>
      <c r="F13" s="3"/>
      <c r="G13" s="3"/>
      <c r="H13" s="18"/>
      <c r="I13" s="18"/>
      <c r="J13" s="18"/>
      <c r="K13" s="18"/>
      <c r="L13" s="18"/>
    </row>
    <row r="14" spans="1:12" ht="30" x14ac:dyDescent="0.25">
      <c r="A14" s="37">
        <v>7</v>
      </c>
      <c r="B14" s="28" t="s">
        <v>67</v>
      </c>
      <c r="C14" s="29" t="s">
        <v>68</v>
      </c>
      <c r="D14" s="4">
        <v>16</v>
      </c>
      <c r="E14" s="17" t="s">
        <v>66</v>
      </c>
      <c r="F14" s="3"/>
      <c r="G14" s="3"/>
      <c r="H14" s="18"/>
      <c r="I14" s="18"/>
      <c r="J14" s="18"/>
      <c r="K14" s="18"/>
      <c r="L14" s="18"/>
    </row>
    <row r="15" spans="1:12" ht="30" x14ac:dyDescent="0.25">
      <c r="A15" s="37">
        <v>8</v>
      </c>
      <c r="B15" s="28" t="s">
        <v>69</v>
      </c>
      <c r="C15" s="30" t="s">
        <v>70</v>
      </c>
      <c r="D15" s="4">
        <v>2000</v>
      </c>
      <c r="E15" s="17" t="s">
        <v>66</v>
      </c>
      <c r="F15" s="3"/>
      <c r="G15" s="3"/>
      <c r="H15" s="18"/>
      <c r="I15" s="18"/>
      <c r="J15" s="18"/>
      <c r="K15" s="18"/>
      <c r="L15" s="18"/>
    </row>
    <row r="16" spans="1:12" x14ac:dyDescent="0.25">
      <c r="A16" s="37">
        <v>9</v>
      </c>
      <c r="B16" s="28" t="s">
        <v>71</v>
      </c>
      <c r="C16" s="30" t="s">
        <v>72</v>
      </c>
      <c r="D16" s="4">
        <v>4167</v>
      </c>
      <c r="E16" s="17" t="s">
        <v>66</v>
      </c>
      <c r="F16" s="3"/>
      <c r="G16" s="3"/>
      <c r="H16" s="18"/>
      <c r="I16" s="18"/>
      <c r="J16" s="18"/>
      <c r="K16" s="18"/>
      <c r="L16" s="18"/>
    </row>
    <row r="17" spans="1:12" ht="45" x14ac:dyDescent="0.25">
      <c r="A17" s="37">
        <v>10</v>
      </c>
      <c r="B17" s="31" t="s">
        <v>73</v>
      </c>
      <c r="C17" s="29" t="s">
        <v>74</v>
      </c>
      <c r="D17" s="4">
        <v>1</v>
      </c>
      <c r="E17" s="17" t="s">
        <v>54</v>
      </c>
      <c r="F17" s="3">
        <v>1638</v>
      </c>
      <c r="G17" s="3" t="s">
        <v>75</v>
      </c>
      <c r="H17" s="18"/>
      <c r="I17" s="18"/>
      <c r="J17" s="18"/>
      <c r="K17" s="18"/>
      <c r="L17" s="18"/>
    </row>
    <row r="18" spans="1:12" ht="81.95" customHeight="1" x14ac:dyDescent="0.25">
      <c r="A18" s="37">
        <v>11</v>
      </c>
      <c r="B18" s="31" t="s">
        <v>76</v>
      </c>
      <c r="C18" s="32" t="s">
        <v>77</v>
      </c>
      <c r="D18" s="11">
        <v>938</v>
      </c>
      <c r="E18" s="3" t="s">
        <v>78</v>
      </c>
      <c r="F18" s="3"/>
      <c r="G18" s="3"/>
      <c r="H18" s="18"/>
      <c r="I18" s="18"/>
      <c r="J18" s="18"/>
      <c r="K18" s="18"/>
      <c r="L18" s="18"/>
    </row>
    <row r="19" spans="1:12" ht="120" x14ac:dyDescent="0.25">
      <c r="A19" s="37">
        <v>12</v>
      </c>
      <c r="B19" s="31" t="s">
        <v>79</v>
      </c>
      <c r="C19" s="32" t="s">
        <v>80</v>
      </c>
      <c r="D19" s="5">
        <v>4094</v>
      </c>
      <c r="E19" s="3" t="s">
        <v>78</v>
      </c>
      <c r="F19" s="3"/>
      <c r="G19" s="3"/>
      <c r="H19" s="18"/>
      <c r="I19" s="18"/>
      <c r="J19" s="18"/>
      <c r="K19" s="18"/>
      <c r="L19" s="18"/>
    </row>
    <row r="20" spans="1:12" ht="180" x14ac:dyDescent="0.25">
      <c r="A20" s="37">
        <v>13</v>
      </c>
      <c r="B20" s="31" t="s">
        <v>81</v>
      </c>
      <c r="C20" s="32" t="s">
        <v>82</v>
      </c>
      <c r="D20" s="6">
        <v>16</v>
      </c>
      <c r="E20" s="6" t="s">
        <v>78</v>
      </c>
      <c r="F20" s="6"/>
      <c r="G20" s="6"/>
      <c r="H20" s="18"/>
      <c r="I20" s="18"/>
      <c r="J20" s="18"/>
      <c r="K20" s="18"/>
      <c r="L20" s="18"/>
    </row>
    <row r="21" spans="1:12" ht="409.5" x14ac:dyDescent="0.25">
      <c r="A21" s="37">
        <v>14</v>
      </c>
      <c r="B21" s="31" t="s">
        <v>83</v>
      </c>
      <c r="C21" s="32" t="s">
        <v>84</v>
      </c>
      <c r="D21" s="6">
        <f>10630</f>
        <v>10630</v>
      </c>
      <c r="E21" s="6" t="s">
        <v>78</v>
      </c>
      <c r="F21" s="6"/>
      <c r="G21" s="6"/>
      <c r="H21" s="18"/>
      <c r="I21" s="18"/>
      <c r="J21" s="18"/>
      <c r="K21" s="18"/>
      <c r="L21" s="18"/>
    </row>
    <row r="22" spans="1:12" ht="87.6" customHeight="1" x14ac:dyDescent="0.25">
      <c r="A22" s="37">
        <v>15</v>
      </c>
      <c r="B22" s="31" t="s">
        <v>85</v>
      </c>
      <c r="C22" s="32" t="s">
        <v>86</v>
      </c>
      <c r="D22" s="6">
        <v>1</v>
      </c>
      <c r="E22" s="6" t="s">
        <v>87</v>
      </c>
      <c r="F22" s="6"/>
      <c r="G22" s="6"/>
      <c r="H22" s="18"/>
      <c r="I22" s="18"/>
      <c r="J22" s="18"/>
      <c r="K22" s="18"/>
      <c r="L22" s="18"/>
    </row>
    <row r="23" spans="1:12" ht="409.5" x14ac:dyDescent="0.25">
      <c r="A23" s="37">
        <v>16</v>
      </c>
      <c r="B23" s="31" t="s">
        <v>88</v>
      </c>
      <c r="C23" s="32" t="s">
        <v>89</v>
      </c>
      <c r="D23" s="6">
        <v>201</v>
      </c>
      <c r="E23" s="6" t="s">
        <v>78</v>
      </c>
      <c r="F23" s="6"/>
      <c r="G23" s="6"/>
      <c r="H23" s="18"/>
      <c r="I23" s="18"/>
      <c r="J23" s="18"/>
      <c r="K23" s="18"/>
      <c r="L23" s="18"/>
    </row>
    <row r="24" spans="1:12" ht="30" x14ac:dyDescent="0.25">
      <c r="A24" s="37">
        <v>17</v>
      </c>
      <c r="B24" s="31" t="s">
        <v>90</v>
      </c>
      <c r="C24" s="32" t="s">
        <v>91</v>
      </c>
      <c r="D24" s="6">
        <v>7992</v>
      </c>
      <c r="E24" s="6" t="s">
        <v>66</v>
      </c>
      <c r="F24" s="6"/>
      <c r="G24" s="6"/>
      <c r="H24" s="18"/>
      <c r="I24" s="18"/>
      <c r="J24" s="18"/>
      <c r="K24" s="18"/>
      <c r="L24" s="18"/>
    </row>
    <row r="25" spans="1:12" ht="52.5" customHeight="1" x14ac:dyDescent="0.25">
      <c r="A25" s="37">
        <v>18</v>
      </c>
      <c r="B25" s="31" t="s">
        <v>92</v>
      </c>
      <c r="C25" s="29" t="s">
        <v>93</v>
      </c>
      <c r="D25" s="6">
        <v>1</v>
      </c>
      <c r="E25" s="6" t="s">
        <v>94</v>
      </c>
      <c r="F25" s="6">
        <v>150</v>
      </c>
      <c r="G25" s="6" t="s">
        <v>75</v>
      </c>
      <c r="H25" s="18"/>
      <c r="I25" s="18"/>
      <c r="J25" s="18"/>
      <c r="K25" s="18"/>
      <c r="L25" s="18"/>
    </row>
    <row r="26" spans="1:12" ht="93.6" customHeight="1" x14ac:dyDescent="0.25">
      <c r="A26" s="37">
        <v>19</v>
      </c>
      <c r="B26" s="31" t="s">
        <v>95</v>
      </c>
      <c r="C26" s="29" t="s">
        <v>96</v>
      </c>
      <c r="D26" s="6">
        <v>1</v>
      </c>
      <c r="E26" s="6" t="s">
        <v>87</v>
      </c>
      <c r="F26" s="6"/>
      <c r="G26" s="6"/>
      <c r="H26" s="18"/>
      <c r="I26" s="18"/>
      <c r="J26" s="18"/>
      <c r="K26" s="18"/>
      <c r="L26" s="18"/>
    </row>
    <row r="27" spans="1:12" ht="150" x14ac:dyDescent="0.25">
      <c r="A27" s="37">
        <v>20</v>
      </c>
      <c r="B27" s="31" t="s">
        <v>97</v>
      </c>
      <c r="C27" s="32" t="s">
        <v>98</v>
      </c>
      <c r="D27" s="6">
        <v>1976</v>
      </c>
      <c r="E27" s="6" t="s">
        <v>87</v>
      </c>
      <c r="F27" s="6"/>
      <c r="G27" s="6"/>
      <c r="H27" s="18"/>
      <c r="I27" s="18"/>
      <c r="J27" s="18"/>
      <c r="K27" s="18"/>
      <c r="L27" s="18"/>
    </row>
    <row r="28" spans="1:12" ht="90" x14ac:dyDescent="0.25">
      <c r="A28" s="37">
        <v>21</v>
      </c>
      <c r="B28" s="31" t="s">
        <v>99</v>
      </c>
      <c r="C28" s="32" t="s">
        <v>100</v>
      </c>
      <c r="D28" s="6">
        <v>50</v>
      </c>
      <c r="E28" s="6" t="s">
        <v>87</v>
      </c>
      <c r="F28" s="6"/>
      <c r="G28" s="6"/>
      <c r="H28" s="18"/>
      <c r="I28" s="18"/>
      <c r="J28" s="18"/>
      <c r="K28" s="18"/>
      <c r="L28" s="18"/>
    </row>
    <row r="29" spans="1:12" ht="45" customHeight="1" x14ac:dyDescent="0.25">
      <c r="A29" s="37">
        <v>22</v>
      </c>
      <c r="B29" s="31" t="s">
        <v>101</v>
      </c>
      <c r="C29" s="29" t="s">
        <v>102</v>
      </c>
      <c r="D29" s="6">
        <v>1</v>
      </c>
      <c r="E29" s="6" t="s">
        <v>54</v>
      </c>
      <c r="F29" s="6">
        <v>212</v>
      </c>
      <c r="G29" s="6" t="s">
        <v>75</v>
      </c>
      <c r="H29" s="18"/>
      <c r="I29" s="18"/>
      <c r="J29" s="18"/>
      <c r="K29" s="18"/>
      <c r="L29" s="18"/>
    </row>
    <row r="30" spans="1:12" ht="270" x14ac:dyDescent="0.25">
      <c r="A30" s="37">
        <v>23</v>
      </c>
      <c r="B30" s="31" t="s">
        <v>103</v>
      </c>
      <c r="C30" s="32" t="s">
        <v>104</v>
      </c>
      <c r="D30" s="6">
        <v>53</v>
      </c>
      <c r="E30" s="6" t="s">
        <v>66</v>
      </c>
      <c r="F30" s="6"/>
      <c r="G30" s="6"/>
      <c r="H30" s="18"/>
      <c r="I30" s="18"/>
      <c r="J30" s="18"/>
      <c r="K30" s="18"/>
      <c r="L30" s="18"/>
    </row>
    <row r="31" spans="1:12" ht="141" customHeight="1" x14ac:dyDescent="0.25">
      <c r="A31" s="37">
        <v>24</v>
      </c>
      <c r="B31" s="31" t="s">
        <v>105</v>
      </c>
      <c r="C31" s="32" t="s">
        <v>106</v>
      </c>
      <c r="D31" s="6">
        <v>3</v>
      </c>
      <c r="E31" s="6" t="s">
        <v>54</v>
      </c>
      <c r="F31" s="6">
        <v>84</v>
      </c>
      <c r="G31" s="6" t="s">
        <v>75</v>
      </c>
      <c r="H31" s="18"/>
      <c r="I31" s="18"/>
      <c r="J31" s="18"/>
      <c r="K31" s="18"/>
      <c r="L31" s="18"/>
    </row>
    <row r="32" spans="1:12" ht="60" x14ac:dyDescent="0.25">
      <c r="A32" s="37">
        <v>25</v>
      </c>
      <c r="B32" s="31" t="s">
        <v>105</v>
      </c>
      <c r="C32" s="32" t="s">
        <v>107</v>
      </c>
      <c r="D32" s="6">
        <v>3</v>
      </c>
      <c r="E32" s="6" t="s">
        <v>54</v>
      </c>
      <c r="F32" s="6">
        <v>84</v>
      </c>
      <c r="G32" s="6" t="s">
        <v>75</v>
      </c>
      <c r="H32" s="18"/>
      <c r="I32" s="18"/>
      <c r="J32" s="18"/>
      <c r="K32" s="18"/>
      <c r="L32" s="18"/>
    </row>
    <row r="33" spans="1:12" ht="255" x14ac:dyDescent="0.25">
      <c r="A33" s="37">
        <v>26</v>
      </c>
      <c r="B33" s="31" t="s">
        <v>108</v>
      </c>
      <c r="C33" s="32" t="s">
        <v>109</v>
      </c>
      <c r="D33" s="6">
        <v>42</v>
      </c>
      <c r="E33" s="6" t="s">
        <v>66</v>
      </c>
      <c r="F33" s="6"/>
      <c r="G33" s="6"/>
      <c r="H33" s="18"/>
      <c r="I33" s="18"/>
      <c r="J33" s="18"/>
      <c r="K33" s="18"/>
      <c r="L33" s="18"/>
    </row>
    <row r="34" spans="1:12" ht="62.1" customHeight="1" x14ac:dyDescent="0.25">
      <c r="A34" s="37">
        <v>27</v>
      </c>
      <c r="B34" s="31" t="s">
        <v>110</v>
      </c>
      <c r="C34" s="29" t="s">
        <v>111</v>
      </c>
      <c r="D34" s="6">
        <v>1</v>
      </c>
      <c r="E34" s="6" t="s">
        <v>112</v>
      </c>
      <c r="F34" s="6">
        <v>31</v>
      </c>
      <c r="G34" s="6" t="s">
        <v>113</v>
      </c>
      <c r="H34" s="18"/>
      <c r="I34" s="18"/>
      <c r="J34" s="18"/>
      <c r="K34" s="18"/>
      <c r="L34" s="18"/>
    </row>
    <row r="35" spans="1:12" ht="270" x14ac:dyDescent="0.25">
      <c r="A35" s="37">
        <v>28</v>
      </c>
      <c r="B35" s="31" t="s">
        <v>114</v>
      </c>
      <c r="C35" s="32" t="s">
        <v>115</v>
      </c>
      <c r="D35" s="6">
        <v>1</v>
      </c>
      <c r="E35" s="6" t="s">
        <v>116</v>
      </c>
      <c r="F35" s="6">
        <v>31</v>
      </c>
      <c r="G35" s="6" t="s">
        <v>113</v>
      </c>
      <c r="H35" s="18"/>
      <c r="I35" s="18"/>
      <c r="J35" s="18"/>
      <c r="K35" s="18"/>
      <c r="L35" s="18"/>
    </row>
    <row r="36" spans="1:12" ht="409.5" x14ac:dyDescent="0.25">
      <c r="A36" s="37">
        <v>29</v>
      </c>
      <c r="B36" s="31" t="s">
        <v>117</v>
      </c>
      <c r="C36" s="29" t="s">
        <v>118</v>
      </c>
      <c r="D36" s="6">
        <v>15</v>
      </c>
      <c r="E36" s="6" t="s">
        <v>78</v>
      </c>
      <c r="F36" s="6"/>
      <c r="G36" s="6"/>
      <c r="H36" s="18"/>
      <c r="I36" s="18"/>
      <c r="J36" s="18"/>
      <c r="K36" s="18"/>
      <c r="L36" s="18"/>
    </row>
    <row r="37" spans="1:12" ht="62.1" customHeight="1" x14ac:dyDescent="0.25">
      <c r="A37" s="37">
        <v>30</v>
      </c>
      <c r="B37" s="31" t="s">
        <v>119</v>
      </c>
      <c r="C37" s="29" t="s">
        <v>120</v>
      </c>
      <c r="D37" s="6">
        <v>1</v>
      </c>
      <c r="E37" s="6" t="s">
        <v>54</v>
      </c>
      <c r="F37" s="6">
        <v>74</v>
      </c>
      <c r="G37" s="6" t="s">
        <v>113</v>
      </c>
      <c r="H37" s="18"/>
      <c r="I37" s="18"/>
      <c r="J37" s="18"/>
      <c r="K37" s="18"/>
      <c r="L37" s="18"/>
    </row>
    <row r="38" spans="1:12" ht="42.95" customHeight="1" x14ac:dyDescent="0.25">
      <c r="A38" s="37">
        <v>31</v>
      </c>
      <c r="B38" s="31" t="s">
        <v>121</v>
      </c>
      <c r="C38" s="44" t="s">
        <v>122</v>
      </c>
      <c r="D38" s="6">
        <v>2</v>
      </c>
      <c r="E38" s="6" t="s">
        <v>54</v>
      </c>
      <c r="F38" s="6">
        <f>4*57</f>
        <v>228</v>
      </c>
      <c r="G38" s="6" t="s">
        <v>113</v>
      </c>
      <c r="H38" s="18"/>
      <c r="I38" s="18"/>
      <c r="J38" s="18"/>
      <c r="K38" s="18"/>
      <c r="L38" s="18"/>
    </row>
    <row r="39" spans="1:12" ht="195" x14ac:dyDescent="0.25">
      <c r="A39" s="37">
        <v>32</v>
      </c>
      <c r="B39" s="31" t="s">
        <v>123</v>
      </c>
      <c r="C39" s="32" t="s">
        <v>124</v>
      </c>
      <c r="D39" s="6">
        <v>57</v>
      </c>
      <c r="E39" s="6" t="s">
        <v>66</v>
      </c>
      <c r="F39" s="6"/>
      <c r="G39" s="6"/>
      <c r="H39" s="18"/>
      <c r="I39" s="18"/>
      <c r="J39" s="18"/>
      <c r="K39" s="18"/>
      <c r="L39" s="18"/>
    </row>
    <row r="40" spans="1:12" ht="42.95" customHeight="1" x14ac:dyDescent="0.25">
      <c r="A40" s="37">
        <v>33</v>
      </c>
      <c r="B40" s="31" t="s">
        <v>125</v>
      </c>
      <c r="C40" s="29" t="s">
        <v>126</v>
      </c>
      <c r="D40" s="6">
        <v>1</v>
      </c>
      <c r="E40" s="6" t="s">
        <v>54</v>
      </c>
      <c r="F40" s="6">
        <v>160</v>
      </c>
      <c r="G40" s="6" t="s">
        <v>113</v>
      </c>
      <c r="H40" s="18"/>
      <c r="I40" s="18"/>
      <c r="J40" s="18"/>
      <c r="K40" s="18"/>
      <c r="L40" s="18"/>
    </row>
    <row r="41" spans="1:12" ht="42.95" customHeight="1" x14ac:dyDescent="0.25">
      <c r="A41" s="37">
        <v>34</v>
      </c>
      <c r="B41" s="31" t="s">
        <v>127</v>
      </c>
      <c r="C41" s="29" t="s">
        <v>128</v>
      </c>
      <c r="D41" s="6">
        <v>2</v>
      </c>
      <c r="E41" s="6" t="s">
        <v>54</v>
      </c>
      <c r="F41" s="6">
        <v>160</v>
      </c>
      <c r="G41" s="6" t="s">
        <v>113</v>
      </c>
      <c r="H41" s="18"/>
      <c r="I41" s="18"/>
      <c r="J41" s="18"/>
      <c r="K41" s="18"/>
      <c r="L41" s="18"/>
    </row>
    <row r="42" spans="1:12" ht="42.95" customHeight="1" x14ac:dyDescent="0.25">
      <c r="A42" s="37">
        <v>35</v>
      </c>
      <c r="B42" s="31" t="s">
        <v>125</v>
      </c>
      <c r="C42" s="29" t="s">
        <v>129</v>
      </c>
      <c r="D42" s="6">
        <v>2</v>
      </c>
      <c r="E42" s="6" t="s">
        <v>54</v>
      </c>
      <c r="F42" s="6">
        <v>160</v>
      </c>
      <c r="G42" s="6" t="s">
        <v>113</v>
      </c>
      <c r="H42" s="18"/>
      <c r="I42" s="18"/>
      <c r="J42" s="18"/>
      <c r="K42" s="18"/>
      <c r="L42" s="18"/>
    </row>
    <row r="43" spans="1:12" ht="135" x14ac:dyDescent="0.25">
      <c r="A43" s="37">
        <v>36</v>
      </c>
      <c r="B43" s="31" t="s">
        <v>130</v>
      </c>
      <c r="C43" s="29" t="s">
        <v>131</v>
      </c>
      <c r="D43" s="6">
        <v>1</v>
      </c>
      <c r="E43" s="6" t="s">
        <v>54</v>
      </c>
      <c r="F43" s="6">
        <v>90</v>
      </c>
      <c r="G43" s="6" t="s">
        <v>113</v>
      </c>
      <c r="H43" s="18"/>
      <c r="I43" s="18"/>
      <c r="J43" s="18"/>
      <c r="K43" s="18"/>
      <c r="L43" s="18"/>
    </row>
    <row r="44" spans="1:12" ht="75" x14ac:dyDescent="0.25">
      <c r="A44" s="37">
        <v>37</v>
      </c>
      <c r="B44" s="31" t="s">
        <v>130</v>
      </c>
      <c r="C44" s="29" t="s">
        <v>132</v>
      </c>
      <c r="D44" s="6">
        <v>1</v>
      </c>
      <c r="E44" s="6" t="s">
        <v>54</v>
      </c>
      <c r="F44" s="6">
        <v>90</v>
      </c>
      <c r="G44" s="6" t="s">
        <v>113</v>
      </c>
      <c r="H44" s="18"/>
      <c r="I44" s="18"/>
      <c r="J44" s="18"/>
      <c r="K44" s="18"/>
      <c r="L44" s="18"/>
    </row>
    <row r="45" spans="1:12" ht="285" x14ac:dyDescent="0.25">
      <c r="A45" s="37">
        <v>38</v>
      </c>
      <c r="B45" s="31" t="s">
        <v>133</v>
      </c>
      <c r="C45" s="32" t="s">
        <v>134</v>
      </c>
      <c r="D45" s="6">
        <v>1273</v>
      </c>
      <c r="E45" s="6" t="s">
        <v>66</v>
      </c>
      <c r="F45" s="6"/>
      <c r="G45" s="6"/>
      <c r="H45" s="18"/>
      <c r="I45" s="18"/>
      <c r="J45" s="18"/>
      <c r="K45" s="18"/>
      <c r="L45" s="18"/>
    </row>
    <row r="46" spans="1:12" ht="42.95" customHeight="1" x14ac:dyDescent="0.25">
      <c r="A46" s="37">
        <v>39</v>
      </c>
      <c r="B46" s="31" t="s">
        <v>135</v>
      </c>
      <c r="C46" s="29" t="s">
        <v>136</v>
      </c>
      <c r="D46" s="6">
        <v>1</v>
      </c>
      <c r="E46" s="6" t="s">
        <v>54</v>
      </c>
      <c r="F46" s="6">
        <v>96</v>
      </c>
      <c r="G46" s="6" t="s">
        <v>113</v>
      </c>
      <c r="H46" s="18"/>
      <c r="I46" s="18"/>
      <c r="J46" s="18"/>
      <c r="K46" s="18"/>
      <c r="L46" s="18"/>
    </row>
    <row r="47" spans="1:12" ht="255" x14ac:dyDescent="0.25">
      <c r="A47" s="37">
        <v>40</v>
      </c>
      <c r="B47" s="31" t="s">
        <v>137</v>
      </c>
      <c r="C47" s="32" t="s">
        <v>138</v>
      </c>
      <c r="D47" s="6">
        <v>32</v>
      </c>
      <c r="E47" s="6" t="s">
        <v>66</v>
      </c>
      <c r="F47" s="6"/>
      <c r="G47" s="6"/>
      <c r="H47" s="18"/>
      <c r="I47" s="18"/>
      <c r="J47" s="18"/>
      <c r="K47" s="18"/>
      <c r="L47" s="18"/>
    </row>
    <row r="48" spans="1:12" ht="60" x14ac:dyDescent="0.25">
      <c r="A48" s="37">
        <v>41</v>
      </c>
      <c r="B48" s="31" t="s">
        <v>139</v>
      </c>
      <c r="C48" s="29" t="s">
        <v>140</v>
      </c>
      <c r="D48" s="6">
        <v>1</v>
      </c>
      <c r="E48" s="6" t="s">
        <v>141</v>
      </c>
      <c r="F48" s="6">
        <v>144</v>
      </c>
      <c r="G48" s="6" t="s">
        <v>113</v>
      </c>
      <c r="H48" s="18"/>
      <c r="I48" s="18"/>
      <c r="J48" s="18"/>
      <c r="K48" s="18"/>
      <c r="L48" s="18"/>
    </row>
    <row r="49" spans="1:12" ht="180" x14ac:dyDescent="0.25">
      <c r="A49" s="37">
        <v>42</v>
      </c>
      <c r="B49" s="31" t="s">
        <v>142</v>
      </c>
      <c r="C49" s="32" t="s">
        <v>143</v>
      </c>
      <c r="D49" s="6">
        <v>2171</v>
      </c>
      <c r="E49" s="6" t="s">
        <v>66</v>
      </c>
      <c r="F49" s="6"/>
      <c r="G49" s="6"/>
      <c r="H49" s="18"/>
      <c r="I49" s="18"/>
      <c r="J49" s="18"/>
      <c r="K49" s="18"/>
      <c r="L49" s="18"/>
    </row>
    <row r="50" spans="1:12" ht="57.6" customHeight="1" x14ac:dyDescent="0.25">
      <c r="A50" s="38"/>
      <c r="B50" s="19"/>
      <c r="C50" s="20"/>
      <c r="D50" s="21"/>
      <c r="E50" s="21"/>
      <c r="F50" s="21"/>
      <c r="G50" s="21"/>
      <c r="H50" s="22"/>
      <c r="I50" s="22"/>
      <c r="J50" s="22"/>
      <c r="K50" s="23">
        <f>SUM(K20:K49)</f>
        <v>0</v>
      </c>
      <c r="L50" s="23">
        <f>SUM(L20:L49)</f>
        <v>0</v>
      </c>
    </row>
    <row r="51" spans="1:12" ht="97.5" customHeight="1" x14ac:dyDescent="0.25">
      <c r="A51" s="131" t="s">
        <v>144</v>
      </c>
      <c r="B51" s="132"/>
      <c r="C51" s="132"/>
      <c r="D51" s="132"/>
      <c r="E51" s="132"/>
      <c r="F51" s="132"/>
      <c r="G51" s="132"/>
      <c r="H51" s="132"/>
      <c r="I51" s="132"/>
      <c r="J51" s="132"/>
      <c r="K51" s="132"/>
      <c r="L51" s="133"/>
    </row>
  </sheetData>
  <mergeCells count="13">
    <mergeCell ref="A51:L51"/>
    <mergeCell ref="A1:L1"/>
    <mergeCell ref="A2:L2"/>
    <mergeCell ref="A3:B3"/>
    <mergeCell ref="D3:E3"/>
    <mergeCell ref="F3:I3"/>
    <mergeCell ref="J3:L5"/>
    <mergeCell ref="A4:B4"/>
    <mergeCell ref="D4:E4"/>
    <mergeCell ref="F4:I4"/>
    <mergeCell ref="A5:B5"/>
    <mergeCell ref="D5:E5"/>
    <mergeCell ref="F5:I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82"/>
  <sheetViews>
    <sheetView tabSelected="1" zoomScale="70" zoomScaleNormal="70" workbookViewId="0">
      <pane ySplit="2" topLeftCell="A58" activePane="bottomLeft" state="frozen"/>
      <selection pane="bottomLeft" activeCell="E4" sqref="E4"/>
    </sheetView>
  </sheetViews>
  <sheetFormatPr baseColWidth="10" defaultColWidth="11.42578125" defaultRowHeight="15.75" customHeight="1" x14ac:dyDescent="0.25"/>
  <cols>
    <col min="1" max="1" width="7.140625" style="2" customWidth="1"/>
    <col min="2" max="2" width="20.7109375" style="2" customWidth="1"/>
    <col min="3" max="3" width="24.5703125" style="2" bestFit="1" customWidth="1"/>
    <col min="4" max="4" width="60.85546875" style="2" customWidth="1"/>
    <col min="5" max="5" width="9.85546875" style="2" customWidth="1"/>
    <col min="6" max="6" width="14.140625" style="2" customWidth="1"/>
    <col min="7" max="7" width="8.28515625" style="2" customWidth="1"/>
    <col min="8" max="8" width="11.5703125" style="2" customWidth="1"/>
    <col min="9" max="9" width="18.42578125" style="80" bestFit="1" customWidth="1"/>
    <col min="10" max="10" width="15.42578125" style="2" bestFit="1" customWidth="1"/>
    <col min="11" max="11" width="15.42578125" style="2" customWidth="1"/>
    <col min="12" max="12" width="23.42578125" style="2" customWidth="1"/>
    <col min="13" max="13" width="25" style="2" customWidth="1"/>
    <col min="14" max="14" width="18.42578125" style="2" bestFit="1" customWidth="1"/>
    <col min="15" max="15" width="15.42578125" style="2" bestFit="1" customWidth="1"/>
    <col min="16" max="16" width="15.42578125" style="2" customWidth="1"/>
    <col min="17" max="17" width="24.42578125" style="2" customWidth="1"/>
    <col min="18" max="18" width="26.85546875" style="2" customWidth="1"/>
    <col min="19" max="19" width="18.42578125" style="99" bestFit="1" customWidth="1"/>
    <col min="20" max="20" width="15.42578125" style="99" bestFit="1" customWidth="1"/>
    <col min="21" max="21" width="15.42578125" style="99" customWidth="1"/>
    <col min="22" max="22" width="22.5703125" style="99" customWidth="1"/>
    <col min="23" max="23" width="23" style="99" customWidth="1"/>
    <col min="24" max="24" width="18.42578125" style="2" bestFit="1" customWidth="1"/>
    <col min="25" max="25" width="15.42578125" style="2" bestFit="1" customWidth="1"/>
    <col min="26" max="26" width="15.42578125" style="2" customWidth="1"/>
    <col min="27" max="27" width="25.85546875" style="2" customWidth="1"/>
    <col min="28" max="28" width="26.140625" style="2" customWidth="1"/>
    <col min="29" max="29" width="23" style="2" customWidth="1"/>
    <col min="30" max="30" width="23" style="81" customWidth="1"/>
    <col min="31" max="31" width="20.5703125" style="107" customWidth="1"/>
    <col min="32" max="32" width="19.140625" style="107" customWidth="1"/>
    <col min="33" max="16384" width="11.42578125" style="1"/>
  </cols>
  <sheetData>
    <row r="1" spans="1:30" ht="48.95" customHeight="1" x14ac:dyDescent="0.25">
      <c r="A1" s="169" t="s">
        <v>145</v>
      </c>
      <c r="B1" s="169"/>
      <c r="C1" s="169"/>
      <c r="D1" s="169"/>
      <c r="E1" s="169"/>
      <c r="F1" s="169"/>
      <c r="G1" s="169"/>
      <c r="H1" s="169"/>
      <c r="I1" s="170" t="s">
        <v>146</v>
      </c>
      <c r="J1" s="170"/>
      <c r="K1" s="170"/>
      <c r="L1" s="170"/>
      <c r="M1" s="170"/>
      <c r="N1" s="166" t="s">
        <v>147</v>
      </c>
      <c r="O1" s="166"/>
      <c r="P1" s="166"/>
      <c r="Q1" s="166"/>
      <c r="R1" s="166"/>
      <c r="S1" s="167" t="s">
        <v>148</v>
      </c>
      <c r="T1" s="167"/>
      <c r="U1" s="167"/>
      <c r="V1" s="167"/>
      <c r="W1" s="167"/>
      <c r="X1" s="168" t="s">
        <v>149</v>
      </c>
      <c r="Y1" s="168"/>
      <c r="Z1" s="168"/>
      <c r="AA1" s="168"/>
      <c r="AB1" s="168"/>
      <c r="AC1" s="168"/>
      <c r="AD1" s="168"/>
    </row>
    <row r="2" spans="1:30" ht="48.95" customHeight="1" x14ac:dyDescent="0.25">
      <c r="A2" s="55" t="s">
        <v>41</v>
      </c>
      <c r="B2" s="55" t="s">
        <v>150</v>
      </c>
      <c r="C2" s="55" t="s">
        <v>42</v>
      </c>
      <c r="D2" s="55" t="s">
        <v>43</v>
      </c>
      <c r="E2" s="55" t="s">
        <v>44</v>
      </c>
      <c r="F2" s="55" t="s">
        <v>45</v>
      </c>
      <c r="G2" s="56" t="s">
        <v>46</v>
      </c>
      <c r="H2" s="55" t="s">
        <v>45</v>
      </c>
      <c r="I2" s="57" t="s">
        <v>47</v>
      </c>
      <c r="J2" s="58" t="s">
        <v>48</v>
      </c>
      <c r="K2" s="59" t="s">
        <v>49</v>
      </c>
      <c r="L2" s="59" t="s">
        <v>50</v>
      </c>
      <c r="M2" s="59" t="s">
        <v>51</v>
      </c>
      <c r="N2" s="60" t="s">
        <v>47</v>
      </c>
      <c r="O2" s="61" t="s">
        <v>48</v>
      </c>
      <c r="P2" s="60" t="s">
        <v>49</v>
      </c>
      <c r="Q2" s="60" t="s">
        <v>50</v>
      </c>
      <c r="R2" s="60" t="s">
        <v>51</v>
      </c>
      <c r="S2" s="89" t="s">
        <v>47</v>
      </c>
      <c r="T2" s="90" t="s">
        <v>48</v>
      </c>
      <c r="U2" s="89" t="s">
        <v>49</v>
      </c>
      <c r="V2" s="89" t="s">
        <v>50</v>
      </c>
      <c r="W2" s="89" t="s">
        <v>51</v>
      </c>
      <c r="X2" s="62" t="s">
        <v>151</v>
      </c>
      <c r="Y2" s="62" t="s">
        <v>152</v>
      </c>
      <c r="Z2" s="62" t="s">
        <v>153</v>
      </c>
      <c r="AA2" s="62" t="s">
        <v>154</v>
      </c>
      <c r="AB2" s="62" t="s">
        <v>155</v>
      </c>
      <c r="AC2" s="62" t="s">
        <v>156</v>
      </c>
      <c r="AD2" s="62" t="s">
        <v>157</v>
      </c>
    </row>
    <row r="3" spans="1:30" ht="191.25" x14ac:dyDescent="0.25">
      <c r="A3" s="45">
        <v>1</v>
      </c>
      <c r="B3" s="45" t="s">
        <v>158</v>
      </c>
      <c r="C3" s="52" t="s">
        <v>52</v>
      </c>
      <c r="D3" s="47" t="s">
        <v>223</v>
      </c>
      <c r="E3" s="47">
        <v>1</v>
      </c>
      <c r="F3" s="46" t="s">
        <v>116</v>
      </c>
      <c r="G3" s="46">
        <v>7</v>
      </c>
      <c r="H3" s="46" t="s">
        <v>55</v>
      </c>
      <c r="I3" s="70">
        <v>7000000</v>
      </c>
      <c r="J3" s="71">
        <v>0</v>
      </c>
      <c r="K3" s="71">
        <f>I3+J3</f>
        <v>7000000</v>
      </c>
      <c r="L3" s="71">
        <f>I3*G3</f>
        <v>49000000</v>
      </c>
      <c r="M3" s="71">
        <f>K3*G3</f>
        <v>49000000</v>
      </c>
      <c r="N3" s="71">
        <v>7000000</v>
      </c>
      <c r="O3" s="71">
        <v>0</v>
      </c>
      <c r="P3" s="71">
        <f>N3+O3</f>
        <v>7000000</v>
      </c>
      <c r="Q3" s="71">
        <f>N3*G3</f>
        <v>49000000</v>
      </c>
      <c r="R3" s="71">
        <f>P3*G3</f>
        <v>49000000</v>
      </c>
      <c r="S3" s="104">
        <v>7000000</v>
      </c>
      <c r="T3" s="104">
        <f>+S3*0%</f>
        <v>0</v>
      </c>
      <c r="U3" s="104">
        <f>+S3+T3</f>
        <v>7000000</v>
      </c>
      <c r="V3" s="104">
        <f>S3*G3</f>
        <v>49000000</v>
      </c>
      <c r="W3" s="104">
        <f>U3*G3</f>
        <v>49000000</v>
      </c>
      <c r="X3" s="71">
        <f>(I3+N3+S3)/3</f>
        <v>7000000</v>
      </c>
      <c r="Y3" s="71">
        <v>0</v>
      </c>
      <c r="Z3" s="71">
        <f>+X3+Y3</f>
        <v>7000000</v>
      </c>
      <c r="AA3" s="71">
        <f>(+X3*E3)*G3</f>
        <v>49000000</v>
      </c>
      <c r="AB3" s="71">
        <f>+Z3*E3*G3</f>
        <v>49000000</v>
      </c>
      <c r="AC3" s="71">
        <f>_xlfn.STDEV.P(M3,R3,W3)</f>
        <v>0</v>
      </c>
      <c r="AD3" s="72">
        <f>AC3/AB3</f>
        <v>0</v>
      </c>
    </row>
    <row r="4" spans="1:30" ht="127.5" x14ac:dyDescent="0.25">
      <c r="A4" s="45">
        <v>2</v>
      </c>
      <c r="B4" s="45" t="s">
        <v>158</v>
      </c>
      <c r="C4" s="52" t="s">
        <v>56</v>
      </c>
      <c r="D4" s="47" t="s">
        <v>159</v>
      </c>
      <c r="E4" s="47">
        <v>1</v>
      </c>
      <c r="F4" s="46" t="s">
        <v>116</v>
      </c>
      <c r="G4" s="46">
        <v>7</v>
      </c>
      <c r="H4" s="46" t="s">
        <v>55</v>
      </c>
      <c r="I4" s="70">
        <v>3500000</v>
      </c>
      <c r="J4" s="71">
        <v>0</v>
      </c>
      <c r="K4" s="71">
        <f>I4+J4</f>
        <v>3500000</v>
      </c>
      <c r="L4" s="71">
        <f t="shared" ref="L4" si="0">I4*G4</f>
        <v>24500000</v>
      </c>
      <c r="M4" s="71">
        <f t="shared" ref="M4" si="1">K4*G4</f>
        <v>24500000</v>
      </c>
      <c r="N4" s="71">
        <v>3500000</v>
      </c>
      <c r="O4" s="71">
        <v>0</v>
      </c>
      <c r="P4" s="71">
        <f>N4+O4</f>
        <v>3500000</v>
      </c>
      <c r="Q4" s="71">
        <f t="shared" ref="Q4" si="2">N4*G4</f>
        <v>24500000</v>
      </c>
      <c r="R4" s="71">
        <f t="shared" ref="R4" si="3">P4*G4</f>
        <v>24500000</v>
      </c>
      <c r="S4" s="104">
        <v>3500000</v>
      </c>
      <c r="T4" s="104">
        <f t="shared" ref="T4:T7" si="4">+S4*0%</f>
        <v>0</v>
      </c>
      <c r="U4" s="104">
        <f t="shared" ref="U4:U7" si="5">+S4+T4</f>
        <v>3500000</v>
      </c>
      <c r="V4" s="104">
        <f>S4*G4</f>
        <v>24500000</v>
      </c>
      <c r="W4" s="104">
        <f>U4*G4</f>
        <v>24500000</v>
      </c>
      <c r="X4" s="71">
        <f>(I4+N4+S4)/3</f>
        <v>3500000</v>
      </c>
      <c r="Y4" s="71">
        <v>0</v>
      </c>
      <c r="Z4" s="71">
        <f t="shared" ref="Z4:Z7" si="6">+X4+Y4</f>
        <v>3500000</v>
      </c>
      <c r="AA4" s="71">
        <f>(+X4*E4)*G4</f>
        <v>24500000</v>
      </c>
      <c r="AB4" s="71">
        <f>+Z4*E4*G4</f>
        <v>24500000</v>
      </c>
      <c r="AC4" s="71">
        <f t="shared" ref="AC4:AC7" si="7">_xlfn.STDEV.P(M4,R4,W4)</f>
        <v>0</v>
      </c>
      <c r="AD4" s="72">
        <f t="shared" ref="AD4:AD7" si="8">AC4/AB4</f>
        <v>0</v>
      </c>
    </row>
    <row r="5" spans="1:30" ht="178.5" x14ac:dyDescent="0.25">
      <c r="A5" s="45">
        <v>3</v>
      </c>
      <c r="B5" s="45" t="s">
        <v>158</v>
      </c>
      <c r="C5" s="52" t="s">
        <v>58</v>
      </c>
      <c r="D5" s="47" t="s">
        <v>160</v>
      </c>
      <c r="E5" s="47">
        <v>3</v>
      </c>
      <c r="F5" s="46" t="s">
        <v>116</v>
      </c>
      <c r="G5" s="46">
        <v>7</v>
      </c>
      <c r="H5" s="46" t="s">
        <v>55</v>
      </c>
      <c r="I5" s="70">
        <v>4300000</v>
      </c>
      <c r="J5" s="71">
        <v>0</v>
      </c>
      <c r="K5" s="71">
        <f t="shared" ref="K5:K7" si="9">I5+J5</f>
        <v>4300000</v>
      </c>
      <c r="L5" s="71">
        <f>(I5*G5)*E5</f>
        <v>90300000</v>
      </c>
      <c r="M5" s="71">
        <f>(K5*G5)*E5</f>
        <v>90300000</v>
      </c>
      <c r="N5" s="71">
        <v>4300000</v>
      </c>
      <c r="O5" s="71">
        <v>0</v>
      </c>
      <c r="P5" s="71">
        <f t="shared" ref="P5:P7" si="10">N5+O5</f>
        <v>4300000</v>
      </c>
      <c r="Q5" s="71">
        <f>(N5*G5)*E5</f>
        <v>90300000</v>
      </c>
      <c r="R5" s="71">
        <f>(P5*G5)*E5</f>
        <v>90300000</v>
      </c>
      <c r="S5" s="104">
        <v>4300000</v>
      </c>
      <c r="T5" s="104">
        <f t="shared" si="4"/>
        <v>0</v>
      </c>
      <c r="U5" s="104">
        <f t="shared" si="5"/>
        <v>4300000</v>
      </c>
      <c r="V5" s="104">
        <f>(S5*G5)*E5</f>
        <v>90300000</v>
      </c>
      <c r="W5" s="104">
        <f>(U5*G5)*E5</f>
        <v>90300000</v>
      </c>
      <c r="X5" s="71">
        <f t="shared" ref="X5:X7" si="11">(I5+N5+S5)/3</f>
        <v>4300000</v>
      </c>
      <c r="Y5" s="71">
        <v>0</v>
      </c>
      <c r="Z5" s="71">
        <f t="shared" si="6"/>
        <v>4300000</v>
      </c>
      <c r="AA5" s="71">
        <f>(+X5*E5)*G5</f>
        <v>90300000</v>
      </c>
      <c r="AB5" s="71">
        <f>+Z5*E5*G5</f>
        <v>90300000</v>
      </c>
      <c r="AC5" s="71">
        <f t="shared" si="7"/>
        <v>0</v>
      </c>
      <c r="AD5" s="72">
        <f t="shared" si="8"/>
        <v>0</v>
      </c>
    </row>
    <row r="6" spans="1:30" ht="108.6" customHeight="1" x14ac:dyDescent="0.25">
      <c r="A6" s="45">
        <v>4</v>
      </c>
      <c r="B6" s="45" t="s">
        <v>158</v>
      </c>
      <c r="C6" s="52" t="s">
        <v>60</v>
      </c>
      <c r="D6" s="47" t="s">
        <v>161</v>
      </c>
      <c r="E6" s="47">
        <v>3</v>
      </c>
      <c r="F6" s="46" t="s">
        <v>116</v>
      </c>
      <c r="G6" s="46">
        <v>4</v>
      </c>
      <c r="H6" s="46" t="s">
        <v>55</v>
      </c>
      <c r="I6" s="70">
        <v>2400000</v>
      </c>
      <c r="J6" s="71">
        <v>0</v>
      </c>
      <c r="K6" s="71">
        <f t="shared" si="9"/>
        <v>2400000</v>
      </c>
      <c r="L6" s="71">
        <f t="shared" ref="L6:L7" si="12">(I6*G6)*E6</f>
        <v>28800000</v>
      </c>
      <c r="M6" s="71">
        <f t="shared" ref="M6:M7" si="13">(K6*G6)*E6</f>
        <v>28800000</v>
      </c>
      <c r="N6" s="71">
        <v>2400000</v>
      </c>
      <c r="O6" s="71">
        <v>0</v>
      </c>
      <c r="P6" s="71">
        <f t="shared" si="10"/>
        <v>2400000</v>
      </c>
      <c r="Q6" s="71">
        <f t="shared" ref="Q6:Q7" si="14">(N6*G6)*E6</f>
        <v>28800000</v>
      </c>
      <c r="R6" s="71">
        <f t="shared" ref="R6:R7" si="15">(P6*G6)*E6</f>
        <v>28800000</v>
      </c>
      <c r="S6" s="104">
        <v>2400000</v>
      </c>
      <c r="T6" s="104">
        <f t="shared" si="4"/>
        <v>0</v>
      </c>
      <c r="U6" s="104">
        <f t="shared" si="5"/>
        <v>2400000</v>
      </c>
      <c r="V6" s="104">
        <f t="shared" ref="V6:V7" si="16">(S6*G6)*E6</f>
        <v>28800000</v>
      </c>
      <c r="W6" s="104">
        <f t="shared" ref="W6:W7" si="17">(U6*G6)*E6</f>
        <v>28800000</v>
      </c>
      <c r="X6" s="71">
        <f t="shared" si="11"/>
        <v>2400000</v>
      </c>
      <c r="Y6" s="71">
        <v>0</v>
      </c>
      <c r="Z6" s="71">
        <f t="shared" si="6"/>
        <v>2400000</v>
      </c>
      <c r="AA6" s="71">
        <f t="shared" ref="AA6:AA7" si="18">(+X6*E6)*G6</f>
        <v>28800000</v>
      </c>
      <c r="AB6" s="71">
        <f t="shared" ref="AB6:AB7" si="19">+Z6*E6*G6</f>
        <v>28800000</v>
      </c>
      <c r="AC6" s="71">
        <f t="shared" si="7"/>
        <v>0</v>
      </c>
      <c r="AD6" s="72">
        <f t="shared" si="8"/>
        <v>0</v>
      </c>
    </row>
    <row r="7" spans="1:30" ht="110.25" customHeight="1" x14ac:dyDescent="0.25">
      <c r="A7" s="45">
        <v>5</v>
      </c>
      <c r="B7" s="45" t="s">
        <v>158</v>
      </c>
      <c r="C7" s="52" t="s">
        <v>62</v>
      </c>
      <c r="D7" s="47" t="s">
        <v>63</v>
      </c>
      <c r="E7" s="47">
        <v>5</v>
      </c>
      <c r="F7" s="46" t="s">
        <v>116</v>
      </c>
      <c r="G7" s="46">
        <v>7</v>
      </c>
      <c r="H7" s="46" t="s">
        <v>55</v>
      </c>
      <c r="I7" s="70">
        <v>2500000</v>
      </c>
      <c r="J7" s="71">
        <v>0</v>
      </c>
      <c r="K7" s="71">
        <f t="shared" si="9"/>
        <v>2500000</v>
      </c>
      <c r="L7" s="71">
        <f t="shared" si="12"/>
        <v>87500000</v>
      </c>
      <c r="M7" s="71">
        <f t="shared" si="13"/>
        <v>87500000</v>
      </c>
      <c r="N7" s="71">
        <v>2500000</v>
      </c>
      <c r="O7" s="71">
        <v>0</v>
      </c>
      <c r="P7" s="71">
        <f t="shared" si="10"/>
        <v>2500000</v>
      </c>
      <c r="Q7" s="71">
        <f t="shared" si="14"/>
        <v>87500000</v>
      </c>
      <c r="R7" s="71">
        <f t="shared" si="15"/>
        <v>87500000</v>
      </c>
      <c r="S7" s="104">
        <v>2500000</v>
      </c>
      <c r="T7" s="104">
        <f t="shared" si="4"/>
        <v>0</v>
      </c>
      <c r="U7" s="104">
        <f t="shared" si="5"/>
        <v>2500000</v>
      </c>
      <c r="V7" s="104">
        <f t="shared" si="16"/>
        <v>87500000</v>
      </c>
      <c r="W7" s="104">
        <f t="shared" si="17"/>
        <v>87500000</v>
      </c>
      <c r="X7" s="71">
        <f t="shared" si="11"/>
        <v>2500000</v>
      </c>
      <c r="Y7" s="71">
        <v>0</v>
      </c>
      <c r="Z7" s="71">
        <f t="shared" si="6"/>
        <v>2500000</v>
      </c>
      <c r="AA7" s="71">
        <f t="shared" si="18"/>
        <v>87500000</v>
      </c>
      <c r="AB7" s="71">
        <f t="shared" si="19"/>
        <v>87500000</v>
      </c>
      <c r="AC7" s="71">
        <f t="shared" si="7"/>
        <v>0</v>
      </c>
      <c r="AD7" s="72">
        <f t="shared" si="8"/>
        <v>0</v>
      </c>
    </row>
    <row r="8" spans="1:30" ht="28.5" customHeight="1" x14ac:dyDescent="0.25">
      <c r="A8" s="165" t="s">
        <v>162</v>
      </c>
      <c r="B8" s="165"/>
      <c r="C8" s="165"/>
      <c r="D8" s="165"/>
      <c r="E8" s="165"/>
      <c r="F8" s="165"/>
      <c r="G8" s="165"/>
      <c r="H8" s="165"/>
      <c r="I8" s="63"/>
      <c r="J8" s="55"/>
      <c r="K8" s="55"/>
      <c r="L8" s="64">
        <f>SUM(L3:L7)</f>
        <v>280100000</v>
      </c>
      <c r="M8" s="64">
        <f>SUM(M3:M7)</f>
        <v>280100000</v>
      </c>
      <c r="N8" s="55"/>
      <c r="O8" s="55"/>
      <c r="P8" s="55"/>
      <c r="Q8" s="65">
        <f>SUM(Q3:Q7)</f>
        <v>280100000</v>
      </c>
      <c r="R8" s="65">
        <f>SUM(R3:R7)</f>
        <v>280100000</v>
      </c>
      <c r="S8" s="91"/>
      <c r="T8" s="91"/>
      <c r="U8" s="91"/>
      <c r="V8" s="91">
        <f>SUM(V3:V7)</f>
        <v>280100000</v>
      </c>
      <c r="W8" s="91">
        <f>SUM(W3:W7)</f>
        <v>280100000</v>
      </c>
      <c r="X8" s="55"/>
      <c r="Y8" s="55"/>
      <c r="Z8" s="55"/>
      <c r="AA8" s="91">
        <f>SUM(AA3:AA7)</f>
        <v>280100000</v>
      </c>
      <c r="AB8" s="91">
        <f>SUM(AB3:AB7)</f>
        <v>280100000</v>
      </c>
      <c r="AC8" s="91"/>
      <c r="AD8" s="55"/>
    </row>
    <row r="9" spans="1:30" ht="38.25" customHeight="1" x14ac:dyDescent="0.25">
      <c r="A9" s="164" t="s">
        <v>163</v>
      </c>
      <c r="B9" s="164"/>
      <c r="C9" s="164"/>
      <c r="D9" s="164"/>
      <c r="E9" s="164"/>
      <c r="F9" s="164"/>
      <c r="G9" s="164"/>
      <c r="H9" s="164"/>
      <c r="I9" s="164"/>
      <c r="J9" s="164"/>
      <c r="K9" s="164"/>
      <c r="L9" s="164"/>
      <c r="M9" s="164"/>
      <c r="N9" s="164"/>
      <c r="O9" s="164"/>
      <c r="P9" s="164"/>
      <c r="Q9" s="164"/>
      <c r="R9" s="164"/>
      <c r="S9" s="164"/>
      <c r="T9" s="164"/>
      <c r="U9" s="164"/>
      <c r="V9" s="164"/>
      <c r="W9" s="164"/>
      <c r="X9" s="164"/>
      <c r="Y9" s="164"/>
      <c r="Z9" s="164"/>
      <c r="AA9" s="164"/>
      <c r="AB9" s="164"/>
      <c r="AC9" s="164"/>
      <c r="AD9" s="164"/>
    </row>
    <row r="10" spans="1:30" ht="57" customHeight="1" x14ac:dyDescent="0.25">
      <c r="A10" s="45">
        <v>6</v>
      </c>
      <c r="B10" s="45" t="s">
        <v>164</v>
      </c>
      <c r="C10" s="52" t="s">
        <v>64</v>
      </c>
      <c r="D10" s="47" t="s">
        <v>65</v>
      </c>
      <c r="E10" s="47">
        <v>1000</v>
      </c>
      <c r="F10" s="46" t="s">
        <v>116</v>
      </c>
      <c r="G10" s="46"/>
      <c r="H10" s="46"/>
      <c r="I10" s="70">
        <v>7000</v>
      </c>
      <c r="J10" s="71">
        <f>I10*19%</f>
        <v>1330</v>
      </c>
      <c r="K10" s="71">
        <f>I10+J10</f>
        <v>8330</v>
      </c>
      <c r="L10" s="71">
        <f>E10*I10</f>
        <v>7000000</v>
      </c>
      <c r="M10" s="71">
        <f>K10*E10</f>
        <v>8330000</v>
      </c>
      <c r="N10" s="71">
        <v>5300</v>
      </c>
      <c r="O10" s="71">
        <f>N10*19%</f>
        <v>1007</v>
      </c>
      <c r="P10" s="71">
        <f>N10+O10</f>
        <v>6307</v>
      </c>
      <c r="Q10" s="71">
        <f>N10*E10</f>
        <v>5300000</v>
      </c>
      <c r="R10" s="71">
        <f>P10*E10</f>
        <v>6307000</v>
      </c>
      <c r="S10" s="103">
        <v>7450</v>
      </c>
      <c r="T10" s="104">
        <f>+S10*19%</f>
        <v>1415.5</v>
      </c>
      <c r="U10" s="104">
        <f>+S10+T10</f>
        <v>8865.5</v>
      </c>
      <c r="V10" s="104">
        <f>S10*E10</f>
        <v>7450000</v>
      </c>
      <c r="W10" s="104">
        <f>U10*E10</f>
        <v>8865500</v>
      </c>
      <c r="X10" s="71">
        <f>(I10+N10+S10)/3</f>
        <v>6583.333333333333</v>
      </c>
      <c r="Y10" s="71">
        <f>+X10*19%</f>
        <v>1250.8333333333333</v>
      </c>
      <c r="Z10" s="71">
        <f>+X10+Y10</f>
        <v>7834.1666666666661</v>
      </c>
      <c r="AA10" s="71">
        <f>(+X10*E10)</f>
        <v>6583333.333333333</v>
      </c>
      <c r="AB10" s="71">
        <f>+Z10*E10</f>
        <v>7834166.666666666</v>
      </c>
      <c r="AC10" s="71">
        <f>_xlfn.STDEV.P(M10,R10,W10)</f>
        <v>1101776.9233782713</v>
      </c>
      <c r="AD10" s="72">
        <f>AC10/AB10</f>
        <v>0.14063741177044203</v>
      </c>
    </row>
    <row r="11" spans="1:30" ht="52.5" customHeight="1" x14ac:dyDescent="0.25">
      <c r="A11" s="45">
        <v>7</v>
      </c>
      <c r="B11" s="45" t="s">
        <v>164</v>
      </c>
      <c r="C11" s="52" t="s">
        <v>67</v>
      </c>
      <c r="D11" s="47" t="s">
        <v>68</v>
      </c>
      <c r="E11" s="47">
        <v>16</v>
      </c>
      <c r="F11" s="46" t="s">
        <v>116</v>
      </c>
      <c r="G11" s="46"/>
      <c r="H11" s="46"/>
      <c r="I11" s="70">
        <v>38900</v>
      </c>
      <c r="J11" s="71">
        <f t="shared" ref="J11:J14" si="20">I11*19%</f>
        <v>7391</v>
      </c>
      <c r="K11" s="71">
        <f t="shared" ref="K11:K14" si="21">I11+J11</f>
        <v>46291</v>
      </c>
      <c r="L11" s="71">
        <f>E11*I11</f>
        <v>622400</v>
      </c>
      <c r="M11" s="71">
        <f t="shared" ref="M11:M14" si="22">K11*E11</f>
        <v>740656</v>
      </c>
      <c r="N11" s="71">
        <v>42000</v>
      </c>
      <c r="O11" s="71">
        <f t="shared" ref="O11:O14" si="23">N11*19%</f>
        <v>7980</v>
      </c>
      <c r="P11" s="71">
        <f t="shared" ref="P11:P14" si="24">N11+O11</f>
        <v>49980</v>
      </c>
      <c r="Q11" s="71">
        <f>N11*E11</f>
        <v>672000</v>
      </c>
      <c r="R11" s="71">
        <f>P11*E11</f>
        <v>799680</v>
      </c>
      <c r="S11" s="103">
        <v>41234</v>
      </c>
      <c r="T11" s="104">
        <f>+S11*19%</f>
        <v>7834.46</v>
      </c>
      <c r="U11" s="104">
        <f t="shared" ref="U11:U13" si="25">+S11+T11</f>
        <v>49068.46</v>
      </c>
      <c r="V11" s="104">
        <f>S11*E11</f>
        <v>659744</v>
      </c>
      <c r="W11" s="105">
        <f>U11*E11</f>
        <v>785095.36</v>
      </c>
      <c r="X11" s="71">
        <f>(I11+N11+S11)/3</f>
        <v>40711.333333333336</v>
      </c>
      <c r="Y11" s="71">
        <f t="shared" ref="Y11:Y14" si="26">+X11*19%</f>
        <v>7735.1533333333336</v>
      </c>
      <c r="Z11" s="71">
        <f>+X11+Y11</f>
        <v>48446.486666666671</v>
      </c>
      <c r="AA11" s="71">
        <f>(+X11*E11)</f>
        <v>651381.33333333337</v>
      </c>
      <c r="AB11" s="71">
        <f>+Z11*E11</f>
        <v>775143.78666666674</v>
      </c>
      <c r="AC11" s="71">
        <f t="shared" ref="AC11:AC14" si="27">_xlfn.STDEV.P(M11,R11,W11)</f>
        <v>25102.901596648586</v>
      </c>
      <c r="AD11" s="72">
        <f t="shared" ref="AD11:AD14" si="28">AC11/AB11</f>
        <v>3.2384832373614225E-2</v>
      </c>
    </row>
    <row r="12" spans="1:30" ht="49.5" customHeight="1" x14ac:dyDescent="0.25">
      <c r="A12" s="45">
        <v>8</v>
      </c>
      <c r="B12" s="45" t="s">
        <v>164</v>
      </c>
      <c r="C12" s="52" t="s">
        <v>69</v>
      </c>
      <c r="D12" s="53" t="s">
        <v>70</v>
      </c>
      <c r="E12" s="47">
        <v>2000</v>
      </c>
      <c r="F12" s="46" t="s">
        <v>116</v>
      </c>
      <c r="G12" s="46"/>
      <c r="H12" s="46"/>
      <c r="I12" s="70">
        <v>500</v>
      </c>
      <c r="J12" s="71">
        <f t="shared" si="20"/>
        <v>95</v>
      </c>
      <c r="K12" s="71">
        <f t="shared" si="21"/>
        <v>595</v>
      </c>
      <c r="L12" s="71">
        <f t="shared" ref="L12:L14" si="29">E12*I12</f>
        <v>1000000</v>
      </c>
      <c r="M12" s="71">
        <f t="shared" si="22"/>
        <v>1190000</v>
      </c>
      <c r="N12" s="71">
        <v>420</v>
      </c>
      <c r="O12" s="71">
        <f t="shared" si="23"/>
        <v>79.8</v>
      </c>
      <c r="P12" s="71">
        <f t="shared" si="24"/>
        <v>499.8</v>
      </c>
      <c r="Q12" s="71">
        <f>N12*E12</f>
        <v>840000</v>
      </c>
      <c r="R12" s="71">
        <f>P12*E12</f>
        <v>999600</v>
      </c>
      <c r="S12" s="103">
        <v>550</v>
      </c>
      <c r="T12" s="104">
        <f>+S12*19%</f>
        <v>104.5</v>
      </c>
      <c r="U12" s="104">
        <f t="shared" si="25"/>
        <v>654.5</v>
      </c>
      <c r="V12" s="104">
        <f>S12*E12</f>
        <v>1100000</v>
      </c>
      <c r="W12" s="104">
        <f>U12*E12</f>
        <v>1309000</v>
      </c>
      <c r="X12" s="71">
        <f>(I12+N12+S12)/3</f>
        <v>490</v>
      </c>
      <c r="Y12" s="71">
        <f t="shared" si="26"/>
        <v>93.1</v>
      </c>
      <c r="Z12" s="71">
        <f>+X12+Y12</f>
        <v>583.1</v>
      </c>
      <c r="AA12" s="71">
        <f>(+X12*E12)</f>
        <v>980000</v>
      </c>
      <c r="AB12" s="71">
        <f>+Z12*E12</f>
        <v>1166200</v>
      </c>
      <c r="AC12" s="71">
        <f t="shared" si="27"/>
        <v>127428.20200672481</v>
      </c>
      <c r="AD12" s="72">
        <f t="shared" si="28"/>
        <v>0.10926788030074155</v>
      </c>
    </row>
    <row r="13" spans="1:30" ht="93" customHeight="1" x14ac:dyDescent="0.25">
      <c r="A13" s="45">
        <v>9</v>
      </c>
      <c r="B13" s="45" t="s">
        <v>164</v>
      </c>
      <c r="C13" s="52" t="s">
        <v>71</v>
      </c>
      <c r="D13" s="47" t="s">
        <v>72</v>
      </c>
      <c r="E13" s="47">
        <v>4167</v>
      </c>
      <c r="F13" s="46" t="s">
        <v>116</v>
      </c>
      <c r="G13" s="46"/>
      <c r="H13" s="46"/>
      <c r="I13" s="70">
        <v>38000</v>
      </c>
      <c r="J13" s="71">
        <f t="shared" si="20"/>
        <v>7220</v>
      </c>
      <c r="K13" s="71">
        <f t="shared" si="21"/>
        <v>45220</v>
      </c>
      <c r="L13" s="71">
        <f t="shared" si="29"/>
        <v>158346000</v>
      </c>
      <c r="M13" s="71">
        <f t="shared" si="22"/>
        <v>188431740</v>
      </c>
      <c r="N13" s="71">
        <v>32000</v>
      </c>
      <c r="O13" s="71">
        <f t="shared" si="23"/>
        <v>6080</v>
      </c>
      <c r="P13" s="71">
        <f t="shared" si="24"/>
        <v>38080</v>
      </c>
      <c r="Q13" s="71">
        <f>N13*E13</f>
        <v>133344000</v>
      </c>
      <c r="R13" s="71">
        <f>P13*E13</f>
        <v>158679360</v>
      </c>
      <c r="S13" s="103">
        <v>40280</v>
      </c>
      <c r="T13" s="104">
        <f>+S13*19%</f>
        <v>7653.2</v>
      </c>
      <c r="U13" s="104">
        <f t="shared" si="25"/>
        <v>47933.2</v>
      </c>
      <c r="V13" s="104">
        <f>S13*E13</f>
        <v>167846760</v>
      </c>
      <c r="W13" s="105">
        <f>U13*E13</f>
        <v>199737644.39999998</v>
      </c>
      <c r="X13" s="71">
        <f>(I13+N13+S13)/3</f>
        <v>36760</v>
      </c>
      <c r="Y13" s="71">
        <f t="shared" si="26"/>
        <v>6984.4</v>
      </c>
      <c r="Z13" s="71">
        <f>+X13+Y13</f>
        <v>43744.4</v>
      </c>
      <c r="AA13" s="71">
        <f>(+X13*E13)</f>
        <v>153178920</v>
      </c>
      <c r="AB13" s="71">
        <f>+Z13*E13</f>
        <v>182282914.80000001</v>
      </c>
      <c r="AC13" s="71">
        <f t="shared" si="27"/>
        <v>17316691.715854902</v>
      </c>
      <c r="AD13" s="72">
        <f t="shared" si="28"/>
        <v>9.4998984050999505E-2</v>
      </c>
    </row>
    <row r="14" spans="1:30" ht="45" customHeight="1" x14ac:dyDescent="0.25">
      <c r="A14" s="45">
        <v>10</v>
      </c>
      <c r="B14" s="45" t="s">
        <v>164</v>
      </c>
      <c r="C14" s="52" t="s">
        <v>165</v>
      </c>
      <c r="D14" s="47" t="s">
        <v>166</v>
      </c>
      <c r="E14" s="47">
        <v>1</v>
      </c>
      <c r="F14" s="46" t="s">
        <v>116</v>
      </c>
      <c r="G14" s="46"/>
      <c r="H14" s="46"/>
      <c r="I14" s="70">
        <v>15000000</v>
      </c>
      <c r="J14" s="71">
        <f t="shared" si="20"/>
        <v>2850000</v>
      </c>
      <c r="K14" s="71">
        <f t="shared" si="21"/>
        <v>17850000</v>
      </c>
      <c r="L14" s="71">
        <f t="shared" si="29"/>
        <v>15000000</v>
      </c>
      <c r="M14" s="71">
        <f t="shared" si="22"/>
        <v>17850000</v>
      </c>
      <c r="N14" s="71">
        <v>15000000</v>
      </c>
      <c r="O14" s="71">
        <f t="shared" si="23"/>
        <v>2850000</v>
      </c>
      <c r="P14" s="71">
        <f t="shared" si="24"/>
        <v>17850000</v>
      </c>
      <c r="Q14" s="71">
        <f>N14*E14</f>
        <v>15000000</v>
      </c>
      <c r="R14" s="71">
        <f>P14*E14</f>
        <v>17850000</v>
      </c>
      <c r="S14" s="92">
        <v>15000000</v>
      </c>
      <c r="T14" s="71">
        <f t="shared" ref="T14" si="30">S14*19%</f>
        <v>2850000</v>
      </c>
      <c r="U14" s="71">
        <f t="shared" ref="U14" si="31">S14+T14</f>
        <v>17850000</v>
      </c>
      <c r="V14" s="71">
        <f>S14*E14</f>
        <v>15000000</v>
      </c>
      <c r="W14" s="71">
        <f>U14*E14</f>
        <v>17850000</v>
      </c>
      <c r="X14" s="71">
        <f>(I14+N14+S14)/3</f>
        <v>15000000</v>
      </c>
      <c r="Y14" s="71">
        <f t="shared" si="26"/>
        <v>2850000</v>
      </c>
      <c r="Z14" s="71">
        <f>+X14+Y14</f>
        <v>17850000</v>
      </c>
      <c r="AA14" s="71">
        <f>(+X14*E14)</f>
        <v>15000000</v>
      </c>
      <c r="AB14" s="71">
        <f>+Z14*E14</f>
        <v>17850000</v>
      </c>
      <c r="AC14" s="71">
        <f t="shared" si="27"/>
        <v>0</v>
      </c>
      <c r="AD14" s="72">
        <f t="shared" si="28"/>
        <v>0</v>
      </c>
    </row>
    <row r="15" spans="1:30" ht="30" customHeight="1" x14ac:dyDescent="0.25">
      <c r="A15" s="165" t="s">
        <v>162</v>
      </c>
      <c r="B15" s="165"/>
      <c r="C15" s="165"/>
      <c r="D15" s="165"/>
      <c r="E15" s="165"/>
      <c r="F15" s="165"/>
      <c r="G15" s="165"/>
      <c r="H15" s="165"/>
      <c r="I15" s="73"/>
      <c r="J15" s="73"/>
      <c r="K15" s="73"/>
      <c r="L15" s="64">
        <f>SUM(L10:L14)</f>
        <v>181968400</v>
      </c>
      <c r="M15" s="64">
        <f>SUM(M10:M14)</f>
        <v>216542396</v>
      </c>
      <c r="N15" s="73"/>
      <c r="O15" s="73"/>
      <c r="P15" s="73"/>
      <c r="Q15" s="64">
        <f>SUM(Q10:Q14)</f>
        <v>155156000</v>
      </c>
      <c r="R15" s="64">
        <f>SUM(R10:R14)</f>
        <v>184635640</v>
      </c>
      <c r="S15" s="93"/>
      <c r="T15" s="93"/>
      <c r="U15" s="93"/>
      <c r="V15" s="94">
        <f>SUM(V10:V14)</f>
        <v>192056504</v>
      </c>
      <c r="W15" s="94">
        <f>SUM(W10:W14)</f>
        <v>228547239.75999999</v>
      </c>
      <c r="X15" s="73"/>
      <c r="Y15" s="73"/>
      <c r="Z15" s="73"/>
      <c r="AA15" s="94">
        <f>SUM(AA10:AA14)</f>
        <v>176393634.66666666</v>
      </c>
      <c r="AB15" s="94">
        <f>SUM(AB10:AB14)</f>
        <v>209908425.25333333</v>
      </c>
      <c r="AC15" s="94"/>
      <c r="AD15" s="73"/>
    </row>
    <row r="16" spans="1:30" ht="33.75" customHeight="1" x14ac:dyDescent="0.25">
      <c r="A16" s="164" t="s">
        <v>167</v>
      </c>
      <c r="B16" s="164"/>
      <c r="C16" s="164"/>
      <c r="D16" s="164"/>
      <c r="E16" s="164"/>
      <c r="F16" s="164"/>
      <c r="G16" s="164"/>
      <c r="H16" s="164"/>
      <c r="I16" s="164"/>
      <c r="J16" s="164"/>
      <c r="K16" s="164"/>
      <c r="L16" s="164"/>
      <c r="M16" s="164"/>
      <c r="N16" s="164"/>
      <c r="O16" s="164"/>
      <c r="P16" s="164"/>
      <c r="Q16" s="164"/>
      <c r="R16" s="164"/>
      <c r="S16" s="164"/>
      <c r="T16" s="164"/>
      <c r="U16" s="164"/>
      <c r="V16" s="164"/>
      <c r="W16" s="164"/>
      <c r="X16" s="164"/>
      <c r="Y16" s="164"/>
      <c r="Z16" s="164"/>
      <c r="AA16" s="164"/>
      <c r="AB16" s="164"/>
      <c r="AC16" s="164"/>
      <c r="AD16" s="164"/>
    </row>
    <row r="17" spans="1:30" ht="94.5" customHeight="1" x14ac:dyDescent="0.25">
      <c r="A17" s="45">
        <v>11</v>
      </c>
      <c r="B17" s="46" t="s">
        <v>168</v>
      </c>
      <c r="C17" s="47" t="s">
        <v>169</v>
      </c>
      <c r="D17" s="47" t="s">
        <v>74</v>
      </c>
      <c r="E17" s="49">
        <v>1</v>
      </c>
      <c r="F17" s="49" t="s">
        <v>116</v>
      </c>
      <c r="G17" s="46">
        <f>24*2</f>
        <v>48</v>
      </c>
      <c r="H17" s="46" t="s">
        <v>75</v>
      </c>
      <c r="I17" s="70">
        <v>88000</v>
      </c>
      <c r="J17" s="71">
        <v>0</v>
      </c>
      <c r="K17" s="71">
        <f>I17+J17</f>
        <v>88000</v>
      </c>
      <c r="L17" s="71">
        <f>I17*G17</f>
        <v>4224000</v>
      </c>
      <c r="M17" s="71">
        <f>K17*G17</f>
        <v>4224000</v>
      </c>
      <c r="N17" s="102">
        <v>115000</v>
      </c>
      <c r="O17" s="102">
        <v>0</v>
      </c>
      <c r="P17" s="102">
        <f t="shared" ref="P17:P18" si="32">+N17+O17</f>
        <v>115000</v>
      </c>
      <c r="Q17" s="102">
        <f>N17*G17</f>
        <v>5520000</v>
      </c>
      <c r="R17" s="102">
        <f>P17*G17</f>
        <v>5520000</v>
      </c>
      <c r="S17" s="103">
        <v>80000</v>
      </c>
      <c r="T17" s="102">
        <f>+S17*0%</f>
        <v>0</v>
      </c>
      <c r="U17" s="102">
        <f>+S17+T17</f>
        <v>80000</v>
      </c>
      <c r="V17" s="102">
        <f>S17*G17</f>
        <v>3840000</v>
      </c>
      <c r="W17" s="102">
        <f>U17*G17</f>
        <v>3840000</v>
      </c>
      <c r="X17" s="71">
        <f>(I17+N17+S17)/3</f>
        <v>94333.333333333328</v>
      </c>
      <c r="Y17" s="71">
        <v>0</v>
      </c>
      <c r="Z17" s="71">
        <f>+X17+Y17</f>
        <v>94333.333333333328</v>
      </c>
      <c r="AA17" s="71">
        <f>(+X17*E17)*G17</f>
        <v>4528000</v>
      </c>
      <c r="AB17" s="71">
        <f>(+Z17*E17)*G17</f>
        <v>4528000</v>
      </c>
      <c r="AC17" s="71">
        <f>_xlfn.STDEV.P(M17,R17,W17)</f>
        <v>718754.47824691853</v>
      </c>
      <c r="AD17" s="72">
        <f>AC17/AB17</f>
        <v>0.15873552964817106</v>
      </c>
    </row>
    <row r="18" spans="1:30" ht="357" x14ac:dyDescent="0.25">
      <c r="A18" s="45">
        <v>12</v>
      </c>
      <c r="B18" s="46" t="s">
        <v>168</v>
      </c>
      <c r="C18" s="47" t="s">
        <v>170</v>
      </c>
      <c r="D18" s="54" t="s">
        <v>77</v>
      </c>
      <c r="E18" s="49">
        <v>938</v>
      </c>
      <c r="F18" s="53" t="s">
        <v>171</v>
      </c>
      <c r="G18" s="46"/>
      <c r="H18" s="46"/>
      <c r="I18" s="70">
        <v>43000</v>
      </c>
      <c r="J18" s="71">
        <f>I18*19%</f>
        <v>8170</v>
      </c>
      <c r="K18" s="71">
        <f>I18+J18</f>
        <v>51170</v>
      </c>
      <c r="L18" s="71">
        <f>I18*E18</f>
        <v>40334000</v>
      </c>
      <c r="M18" s="71">
        <f>K18*E18</f>
        <v>47997460</v>
      </c>
      <c r="N18" s="102">
        <v>45000</v>
      </c>
      <c r="O18" s="102">
        <f t="shared" ref="O18" si="33">+N18*0.19</f>
        <v>8550</v>
      </c>
      <c r="P18" s="102">
        <f t="shared" si="32"/>
        <v>53550</v>
      </c>
      <c r="Q18" s="102">
        <f>+N18*E18</f>
        <v>42210000</v>
      </c>
      <c r="R18" s="102">
        <f>+P18*E18</f>
        <v>50229900</v>
      </c>
      <c r="S18" s="103">
        <v>30000</v>
      </c>
      <c r="T18" s="102">
        <f>+S18*19%</f>
        <v>5700</v>
      </c>
      <c r="U18" s="102">
        <f t="shared" ref="U18" si="34">+S18+T18</f>
        <v>35700</v>
      </c>
      <c r="V18" s="102">
        <f>S18*E18</f>
        <v>28140000</v>
      </c>
      <c r="W18" s="102">
        <f>U18*E18</f>
        <v>33486600</v>
      </c>
      <c r="X18" s="71">
        <f t="shared" ref="X18:X35" si="35">(I18+N18+S18)/3</f>
        <v>39333.333333333336</v>
      </c>
      <c r="Y18" s="71">
        <f t="shared" ref="Y18:Y35" si="36">+X18*19%</f>
        <v>7473.3333333333339</v>
      </c>
      <c r="Z18" s="71">
        <f t="shared" ref="Z18:Z35" si="37">+X18+Y18</f>
        <v>46806.666666666672</v>
      </c>
      <c r="AA18" s="71">
        <f t="shared" ref="AA18:AA35" si="38">(+X18*E18)</f>
        <v>36894666.666666672</v>
      </c>
      <c r="AB18" s="71">
        <f t="shared" ref="AB18:AB35" si="39">+Z18*E18</f>
        <v>43904653.333333336</v>
      </c>
      <c r="AC18" s="71">
        <f t="shared" ref="AC18:AC35" si="40">_xlfn.STDEV.P(M18,R18,W18)</f>
        <v>7422839.687097894</v>
      </c>
      <c r="AD18" s="72">
        <f>AC18/AB18</f>
        <v>0.16906726562084748</v>
      </c>
    </row>
    <row r="19" spans="1:30" ht="38.25" x14ac:dyDescent="0.25">
      <c r="A19" s="45">
        <v>13</v>
      </c>
      <c r="B19" s="46" t="s">
        <v>172</v>
      </c>
      <c r="C19" s="47" t="s">
        <v>169</v>
      </c>
      <c r="D19" s="47" t="s">
        <v>173</v>
      </c>
      <c r="E19" s="47">
        <v>1</v>
      </c>
      <c r="F19" s="53" t="s">
        <v>171</v>
      </c>
      <c r="G19" s="49">
        <f>103*5</f>
        <v>515</v>
      </c>
      <c r="H19" s="49" t="s">
        <v>113</v>
      </c>
      <c r="I19" s="70">
        <v>88000</v>
      </c>
      <c r="J19" s="71">
        <v>0</v>
      </c>
      <c r="K19" s="71">
        <f t="shared" ref="K19:K27" si="41">I19+J19</f>
        <v>88000</v>
      </c>
      <c r="L19" s="71">
        <f>I19*G19</f>
        <v>45320000</v>
      </c>
      <c r="M19" s="71">
        <f>K19*G19</f>
        <v>45320000</v>
      </c>
      <c r="N19" s="102">
        <v>115000</v>
      </c>
      <c r="O19" s="102">
        <v>0</v>
      </c>
      <c r="P19" s="102">
        <f t="shared" ref="P19:P25" si="42">+N19+O19</f>
        <v>115000</v>
      </c>
      <c r="Q19" s="102">
        <f>N19*G19</f>
        <v>59225000</v>
      </c>
      <c r="R19" s="102">
        <f>P19*G19</f>
        <v>59225000</v>
      </c>
      <c r="S19" s="103">
        <v>80000</v>
      </c>
      <c r="T19" s="102">
        <f>+S19*0%</f>
        <v>0</v>
      </c>
      <c r="U19" s="102">
        <f>+S19+T19</f>
        <v>80000</v>
      </c>
      <c r="V19" s="102">
        <f>S19*G19</f>
        <v>41200000</v>
      </c>
      <c r="W19" s="102">
        <f>U19*G19</f>
        <v>41200000</v>
      </c>
      <c r="X19" s="71">
        <f t="shared" si="35"/>
        <v>94333.333333333328</v>
      </c>
      <c r="Y19" s="71">
        <v>0</v>
      </c>
      <c r="Z19" s="71">
        <f t="shared" si="37"/>
        <v>94333.333333333328</v>
      </c>
      <c r="AA19" s="71">
        <f>(+X19*E19)*G19</f>
        <v>48581666.666666664</v>
      </c>
      <c r="AB19" s="71">
        <f>(+Z19*E19)*G19</f>
        <v>48581666.666666664</v>
      </c>
      <c r="AC19" s="71">
        <f t="shared" si="40"/>
        <v>7711636.58952423</v>
      </c>
      <c r="AD19" s="72">
        <f t="shared" ref="AD19:AD35" si="43">AC19/AB19</f>
        <v>0.15873552964817106</v>
      </c>
    </row>
    <row r="20" spans="1:30" ht="76.5" x14ac:dyDescent="0.25">
      <c r="A20" s="45">
        <v>14</v>
      </c>
      <c r="B20" s="46" t="s">
        <v>172</v>
      </c>
      <c r="C20" s="47" t="s">
        <v>174</v>
      </c>
      <c r="D20" s="54" t="s">
        <v>80</v>
      </c>
      <c r="E20" s="47">
        <v>4094</v>
      </c>
      <c r="F20" s="53" t="s">
        <v>171</v>
      </c>
      <c r="G20" s="49"/>
      <c r="H20" s="49"/>
      <c r="I20" s="71">
        <v>50800</v>
      </c>
      <c r="J20" s="71">
        <f>+I20*19%</f>
        <v>9652</v>
      </c>
      <c r="K20" s="71">
        <f t="shared" si="41"/>
        <v>60452</v>
      </c>
      <c r="L20" s="71">
        <f>I20*E20</f>
        <v>207975200</v>
      </c>
      <c r="M20" s="71">
        <f>K20*E20</f>
        <v>247490488</v>
      </c>
      <c r="N20" s="102">
        <v>52000</v>
      </c>
      <c r="O20" s="102">
        <f t="shared" ref="O20:O21" si="44">+N20*0.19</f>
        <v>9880</v>
      </c>
      <c r="P20" s="102">
        <f t="shared" si="42"/>
        <v>61880</v>
      </c>
      <c r="Q20" s="102">
        <f>+N20*E20</f>
        <v>212888000</v>
      </c>
      <c r="R20" s="102">
        <f>+P20*E20</f>
        <v>253336720</v>
      </c>
      <c r="S20" s="103">
        <v>50880</v>
      </c>
      <c r="T20" s="102">
        <f>+S20*19%</f>
        <v>9667.2000000000007</v>
      </c>
      <c r="U20" s="102">
        <f t="shared" ref="U20:U24" si="45">+S20+T20</f>
        <v>60547.199999999997</v>
      </c>
      <c r="V20" s="102">
        <f>+S20*E20</f>
        <v>208302720</v>
      </c>
      <c r="W20" s="106">
        <f>+E20*U20</f>
        <v>247880236.79999998</v>
      </c>
      <c r="X20" s="71">
        <f t="shared" si="35"/>
        <v>51226.666666666664</v>
      </c>
      <c r="Y20" s="71">
        <f t="shared" si="36"/>
        <v>9733.0666666666657</v>
      </c>
      <c r="Z20" s="71">
        <f t="shared" si="37"/>
        <v>60959.73333333333</v>
      </c>
      <c r="AA20" s="71">
        <f t="shared" si="38"/>
        <v>209721973.33333331</v>
      </c>
      <c r="AB20" s="71">
        <f t="shared" si="39"/>
        <v>249569148.26666665</v>
      </c>
      <c r="AC20" s="71">
        <f t="shared" si="40"/>
        <v>2668822.9123385265</v>
      </c>
      <c r="AD20" s="72">
        <f t="shared" si="43"/>
        <v>1.0693721282755942E-2</v>
      </c>
    </row>
    <row r="21" spans="1:30" ht="153" x14ac:dyDescent="0.25">
      <c r="A21" s="45">
        <v>15</v>
      </c>
      <c r="B21" s="46" t="s">
        <v>172</v>
      </c>
      <c r="C21" s="47" t="s">
        <v>175</v>
      </c>
      <c r="D21" s="54" t="s">
        <v>82</v>
      </c>
      <c r="E21" s="47">
        <v>15</v>
      </c>
      <c r="F21" s="53" t="s">
        <v>171</v>
      </c>
      <c r="G21" s="49"/>
      <c r="H21" s="49"/>
      <c r="I21" s="71">
        <v>850000</v>
      </c>
      <c r="J21" s="71">
        <f t="shared" ref="J21:J25" si="46">+I21*19%</f>
        <v>161500</v>
      </c>
      <c r="K21" s="71">
        <f t="shared" si="41"/>
        <v>1011500</v>
      </c>
      <c r="L21" s="71">
        <f t="shared" ref="L21:L25" si="47">I21*E21</f>
        <v>12750000</v>
      </c>
      <c r="M21" s="71">
        <f t="shared" ref="M21:M25" si="48">K21*E21</f>
        <v>15172500</v>
      </c>
      <c r="N21" s="102">
        <v>1200000</v>
      </c>
      <c r="O21" s="102">
        <f t="shared" si="44"/>
        <v>228000</v>
      </c>
      <c r="P21" s="102">
        <f t="shared" si="42"/>
        <v>1428000</v>
      </c>
      <c r="Q21" s="102">
        <f t="shared" ref="Q21:Q25" si="49">+N21*E21</f>
        <v>18000000</v>
      </c>
      <c r="R21" s="102">
        <f t="shared" ref="R21:R25" si="50">+P21*E21</f>
        <v>21420000</v>
      </c>
      <c r="S21" s="103">
        <v>780000</v>
      </c>
      <c r="T21" s="102">
        <f>+S21*19%</f>
        <v>148200</v>
      </c>
      <c r="U21" s="102">
        <f t="shared" si="45"/>
        <v>928200</v>
      </c>
      <c r="V21" s="102">
        <f>S21*E21</f>
        <v>11700000</v>
      </c>
      <c r="W21" s="102">
        <f>+U21*E21</f>
        <v>13923000</v>
      </c>
      <c r="X21" s="71">
        <f>(I21+N21+S21)/3</f>
        <v>943333.33333333337</v>
      </c>
      <c r="Y21" s="71">
        <f t="shared" si="36"/>
        <v>179233.33333333334</v>
      </c>
      <c r="Z21" s="71">
        <f t="shared" si="37"/>
        <v>1122566.6666666667</v>
      </c>
      <c r="AA21" s="71">
        <f t="shared" si="38"/>
        <v>14150000</v>
      </c>
      <c r="AB21" s="71">
        <f t="shared" si="39"/>
        <v>16838500</v>
      </c>
      <c r="AC21" s="71">
        <f t="shared" si="40"/>
        <v>3279524.2795259194</v>
      </c>
      <c r="AD21" s="72">
        <f t="shared" si="43"/>
        <v>0.19476344564693526</v>
      </c>
    </row>
    <row r="22" spans="1:30" ht="331.5" x14ac:dyDescent="0.25">
      <c r="A22" s="45">
        <v>16</v>
      </c>
      <c r="B22" s="46" t="s">
        <v>172</v>
      </c>
      <c r="C22" s="47" t="s">
        <v>176</v>
      </c>
      <c r="D22" s="54" t="s">
        <v>84</v>
      </c>
      <c r="E22" s="47">
        <v>4094</v>
      </c>
      <c r="F22" s="53" t="s">
        <v>171</v>
      </c>
      <c r="G22" s="49"/>
      <c r="H22" s="49"/>
      <c r="I22" s="71">
        <v>19000</v>
      </c>
      <c r="J22" s="71">
        <f t="shared" si="46"/>
        <v>3610</v>
      </c>
      <c r="K22" s="71">
        <f t="shared" si="41"/>
        <v>22610</v>
      </c>
      <c r="L22" s="71">
        <f t="shared" si="47"/>
        <v>77786000</v>
      </c>
      <c r="M22" s="71">
        <f t="shared" si="48"/>
        <v>92565340</v>
      </c>
      <c r="N22" s="102">
        <v>13000</v>
      </c>
      <c r="O22" s="102">
        <f>+N22*19%</f>
        <v>2470</v>
      </c>
      <c r="P22" s="102">
        <f t="shared" si="42"/>
        <v>15470</v>
      </c>
      <c r="Q22" s="102">
        <f t="shared" si="49"/>
        <v>53222000</v>
      </c>
      <c r="R22" s="102">
        <f t="shared" si="50"/>
        <v>63334180</v>
      </c>
      <c r="S22" s="103">
        <v>15500</v>
      </c>
      <c r="T22" s="102">
        <f>+S22*19%</f>
        <v>2945</v>
      </c>
      <c r="U22" s="102">
        <f t="shared" si="45"/>
        <v>18445</v>
      </c>
      <c r="V22" s="102">
        <f>+S22*E22</f>
        <v>63457000</v>
      </c>
      <c r="W22" s="102">
        <f>+U22*E22</f>
        <v>75513830</v>
      </c>
      <c r="X22" s="71">
        <f t="shared" si="35"/>
        <v>15833.333333333334</v>
      </c>
      <c r="Y22" s="71">
        <f t="shared" si="36"/>
        <v>3008.3333333333335</v>
      </c>
      <c r="Z22" s="71">
        <f t="shared" si="37"/>
        <v>18841.666666666668</v>
      </c>
      <c r="AA22" s="71">
        <f t="shared" si="38"/>
        <v>64821666.666666672</v>
      </c>
      <c r="AB22" s="71">
        <f t="shared" si="39"/>
        <v>77137783.333333343</v>
      </c>
      <c r="AC22" s="71">
        <f t="shared" si="40"/>
        <v>11988691.812371487</v>
      </c>
      <c r="AD22" s="72">
        <f t="shared" si="43"/>
        <v>0.15541919010772048</v>
      </c>
    </row>
    <row r="23" spans="1:30" ht="52.5" customHeight="1" x14ac:dyDescent="0.25">
      <c r="A23" s="45">
        <v>17</v>
      </c>
      <c r="B23" s="46" t="s">
        <v>172</v>
      </c>
      <c r="C23" s="47" t="s">
        <v>177</v>
      </c>
      <c r="D23" s="54" t="s">
        <v>86</v>
      </c>
      <c r="E23" s="47">
        <v>1</v>
      </c>
      <c r="F23" s="53" t="s">
        <v>171</v>
      </c>
      <c r="G23" s="49"/>
      <c r="H23" s="49"/>
      <c r="I23" s="71">
        <v>900000</v>
      </c>
      <c r="J23" s="71">
        <f t="shared" si="46"/>
        <v>171000</v>
      </c>
      <c r="K23" s="71">
        <f t="shared" si="41"/>
        <v>1071000</v>
      </c>
      <c r="L23" s="71">
        <f t="shared" si="47"/>
        <v>900000</v>
      </c>
      <c r="M23" s="71">
        <f t="shared" si="48"/>
        <v>1071000</v>
      </c>
      <c r="N23" s="102">
        <v>900000</v>
      </c>
      <c r="O23" s="102">
        <f t="shared" ref="O23:O25" si="51">+N23*0.19</f>
        <v>171000</v>
      </c>
      <c r="P23" s="102">
        <f t="shared" si="42"/>
        <v>1071000</v>
      </c>
      <c r="Q23" s="102">
        <f t="shared" si="49"/>
        <v>900000</v>
      </c>
      <c r="R23" s="102">
        <f t="shared" si="50"/>
        <v>1071000</v>
      </c>
      <c r="S23" s="103">
        <v>954000</v>
      </c>
      <c r="T23" s="71">
        <f t="shared" ref="T23" si="52">S23*19%</f>
        <v>181260</v>
      </c>
      <c r="U23" s="102">
        <f t="shared" si="45"/>
        <v>1135260</v>
      </c>
      <c r="V23" s="102">
        <f>+S23*E23</f>
        <v>954000</v>
      </c>
      <c r="W23" s="102">
        <f>+U23*E23</f>
        <v>1135260</v>
      </c>
      <c r="X23" s="71">
        <f t="shared" si="35"/>
        <v>918000</v>
      </c>
      <c r="Y23" s="71">
        <f t="shared" si="36"/>
        <v>174420</v>
      </c>
      <c r="Z23" s="71">
        <f t="shared" si="37"/>
        <v>1092420</v>
      </c>
      <c r="AA23" s="71">
        <f t="shared" si="38"/>
        <v>918000</v>
      </c>
      <c r="AB23" s="71">
        <f t="shared" si="39"/>
        <v>1092420</v>
      </c>
      <c r="AC23" s="71">
        <f t="shared" si="40"/>
        <v>30292.454506031696</v>
      </c>
      <c r="AD23" s="72">
        <f t="shared" si="43"/>
        <v>2.77296776935901E-2</v>
      </c>
    </row>
    <row r="24" spans="1:30" ht="93.6" customHeight="1" x14ac:dyDescent="0.25">
      <c r="A24" s="45">
        <v>18</v>
      </c>
      <c r="B24" s="46" t="s">
        <v>172</v>
      </c>
      <c r="C24" s="47" t="s">
        <v>178</v>
      </c>
      <c r="D24" s="54" t="s">
        <v>89</v>
      </c>
      <c r="E24" s="47">
        <v>103</v>
      </c>
      <c r="F24" s="53" t="s">
        <v>171</v>
      </c>
      <c r="G24" s="49"/>
      <c r="H24" s="49"/>
      <c r="I24" s="71">
        <v>1200000</v>
      </c>
      <c r="J24" s="71">
        <f t="shared" si="46"/>
        <v>228000</v>
      </c>
      <c r="K24" s="71">
        <f t="shared" si="41"/>
        <v>1428000</v>
      </c>
      <c r="L24" s="71">
        <f t="shared" si="47"/>
        <v>123600000</v>
      </c>
      <c r="M24" s="71">
        <f t="shared" si="48"/>
        <v>147084000</v>
      </c>
      <c r="N24" s="102">
        <v>1150000</v>
      </c>
      <c r="O24" s="102">
        <f t="shared" si="51"/>
        <v>218500</v>
      </c>
      <c r="P24" s="102">
        <f t="shared" si="42"/>
        <v>1368500</v>
      </c>
      <c r="Q24" s="102">
        <f t="shared" si="49"/>
        <v>118450000</v>
      </c>
      <c r="R24" s="102">
        <f t="shared" si="50"/>
        <v>140955500</v>
      </c>
      <c r="S24" s="103">
        <v>1210000</v>
      </c>
      <c r="T24" s="102">
        <f>S24*19%</f>
        <v>229900</v>
      </c>
      <c r="U24" s="102">
        <f t="shared" si="45"/>
        <v>1439900</v>
      </c>
      <c r="V24" s="102">
        <f t="shared" ref="V24:V25" si="53">+S24*E24</f>
        <v>124630000</v>
      </c>
      <c r="W24" s="102">
        <f t="shared" ref="W24:W25" si="54">+U24*E24</f>
        <v>148309700</v>
      </c>
      <c r="X24" s="71">
        <f t="shared" si="35"/>
        <v>1186666.6666666667</v>
      </c>
      <c r="Y24" s="71">
        <f t="shared" si="36"/>
        <v>225466.66666666669</v>
      </c>
      <c r="Z24" s="71">
        <f t="shared" si="37"/>
        <v>1412133.3333333335</v>
      </c>
      <c r="AA24" s="71">
        <f t="shared" si="38"/>
        <v>122226666.66666667</v>
      </c>
      <c r="AB24" s="71">
        <f t="shared" si="39"/>
        <v>145449733.33333334</v>
      </c>
      <c r="AC24" s="71">
        <f t="shared" si="40"/>
        <v>3217057.1503920923</v>
      </c>
      <c r="AD24" s="72">
        <f t="shared" si="43"/>
        <v>2.2117999646100592E-2</v>
      </c>
    </row>
    <row r="25" spans="1:30" ht="38.25" customHeight="1" x14ac:dyDescent="0.25">
      <c r="A25" s="45">
        <v>19</v>
      </c>
      <c r="B25" s="46" t="s">
        <v>172</v>
      </c>
      <c r="C25" s="47" t="s">
        <v>179</v>
      </c>
      <c r="D25" s="54" t="s">
        <v>91</v>
      </c>
      <c r="E25" s="47">
        <v>4094</v>
      </c>
      <c r="F25" s="53" t="s">
        <v>171</v>
      </c>
      <c r="G25" s="49"/>
      <c r="H25" s="49"/>
      <c r="I25" s="70">
        <v>6000</v>
      </c>
      <c r="J25" s="71">
        <f t="shared" si="46"/>
        <v>1140</v>
      </c>
      <c r="K25" s="71">
        <f t="shared" si="41"/>
        <v>7140</v>
      </c>
      <c r="L25" s="71">
        <f t="shared" si="47"/>
        <v>24564000</v>
      </c>
      <c r="M25" s="71">
        <f t="shared" si="48"/>
        <v>29231160</v>
      </c>
      <c r="N25" s="102">
        <v>7000</v>
      </c>
      <c r="O25" s="102">
        <f t="shared" si="51"/>
        <v>1330</v>
      </c>
      <c r="P25" s="102">
        <f t="shared" si="42"/>
        <v>8330</v>
      </c>
      <c r="Q25" s="102">
        <f t="shared" si="49"/>
        <v>28658000</v>
      </c>
      <c r="R25" s="102">
        <f t="shared" si="50"/>
        <v>34103020</v>
      </c>
      <c r="S25" s="103">
        <v>6360</v>
      </c>
      <c r="T25" s="71">
        <f t="shared" ref="T25" si="55">S25*19%</f>
        <v>1208.4000000000001</v>
      </c>
      <c r="U25" s="102">
        <f>+S25+T25</f>
        <v>7568.4</v>
      </c>
      <c r="V25" s="102">
        <f t="shared" si="53"/>
        <v>26037840</v>
      </c>
      <c r="W25" s="102">
        <f t="shared" si="54"/>
        <v>30985029.599999998</v>
      </c>
      <c r="X25" s="71">
        <f t="shared" si="35"/>
        <v>6453.333333333333</v>
      </c>
      <c r="Y25" s="71">
        <f t="shared" si="36"/>
        <v>1226.1333333333332</v>
      </c>
      <c r="Z25" s="71">
        <f t="shared" si="37"/>
        <v>7679.4666666666662</v>
      </c>
      <c r="AA25" s="71">
        <f>(+X25*E25)</f>
        <v>26419946.666666664</v>
      </c>
      <c r="AB25" s="71">
        <f>+Z25*E25</f>
        <v>31439736.533333331</v>
      </c>
      <c r="AC25" s="71">
        <f t="shared" si="40"/>
        <v>2014749.5727453001</v>
      </c>
      <c r="AD25" s="72">
        <f t="shared" si="43"/>
        <v>6.4082902558970353E-2</v>
      </c>
    </row>
    <row r="26" spans="1:30" ht="52.5" customHeight="1" x14ac:dyDescent="0.25">
      <c r="A26" s="45">
        <v>20</v>
      </c>
      <c r="B26" s="46" t="s">
        <v>180</v>
      </c>
      <c r="C26" s="47" t="s">
        <v>181</v>
      </c>
      <c r="D26" s="47" t="s">
        <v>182</v>
      </c>
      <c r="E26" s="49">
        <v>1</v>
      </c>
      <c r="F26" s="49" t="s">
        <v>116</v>
      </c>
      <c r="G26" s="49">
        <f>3*50</f>
        <v>150</v>
      </c>
      <c r="H26" s="49" t="s">
        <v>113</v>
      </c>
      <c r="I26" s="70">
        <v>88000</v>
      </c>
      <c r="J26" s="71">
        <v>0</v>
      </c>
      <c r="K26" s="71">
        <f t="shared" ref="K26" si="56">I26+J26</f>
        <v>88000</v>
      </c>
      <c r="L26" s="71">
        <f>I26*G26</f>
        <v>13200000</v>
      </c>
      <c r="M26" s="71">
        <f>K26*G26</f>
        <v>13200000</v>
      </c>
      <c r="N26" s="102">
        <v>115000</v>
      </c>
      <c r="O26" s="102">
        <v>0</v>
      </c>
      <c r="P26" s="102">
        <f>+N26+O26</f>
        <v>115000</v>
      </c>
      <c r="Q26" s="102">
        <f>N26*G26</f>
        <v>17250000</v>
      </c>
      <c r="R26" s="102">
        <f>P26*G26</f>
        <v>17250000</v>
      </c>
      <c r="S26" s="103">
        <v>80000</v>
      </c>
      <c r="T26" s="102">
        <f t="shared" ref="T26" si="57">+S26*0%</f>
        <v>0</v>
      </c>
      <c r="U26" s="102">
        <f>+S26+T26</f>
        <v>80000</v>
      </c>
      <c r="V26" s="102">
        <f>S26*G26</f>
        <v>12000000</v>
      </c>
      <c r="W26" s="102">
        <f>U26*G26</f>
        <v>12000000</v>
      </c>
      <c r="X26" s="71">
        <f t="shared" si="35"/>
        <v>94333.333333333328</v>
      </c>
      <c r="Y26" s="71">
        <v>0</v>
      </c>
      <c r="Z26" s="71">
        <f t="shared" si="37"/>
        <v>94333.333333333328</v>
      </c>
      <c r="AA26" s="71">
        <f>(+X26*E26)*G26</f>
        <v>14150000</v>
      </c>
      <c r="AB26" s="71">
        <f>(+Z26*E26)*G26</f>
        <v>14150000</v>
      </c>
      <c r="AC26" s="71">
        <f t="shared" si="40"/>
        <v>2246107.7445216202</v>
      </c>
      <c r="AD26" s="72">
        <f t="shared" si="43"/>
        <v>0.15873552964817103</v>
      </c>
    </row>
    <row r="27" spans="1:30" ht="83.25" customHeight="1" x14ac:dyDescent="0.25">
      <c r="A27" s="45">
        <v>21</v>
      </c>
      <c r="B27" s="46" t="s">
        <v>180</v>
      </c>
      <c r="C27" s="50" t="s">
        <v>183</v>
      </c>
      <c r="D27" s="47" t="s">
        <v>184</v>
      </c>
      <c r="E27" s="49">
        <v>1</v>
      </c>
      <c r="F27" s="49" t="s">
        <v>116</v>
      </c>
      <c r="G27" s="49">
        <f>3*50</f>
        <v>150</v>
      </c>
      <c r="H27" s="49" t="s">
        <v>113</v>
      </c>
      <c r="I27" s="70">
        <v>320000</v>
      </c>
      <c r="J27" s="71">
        <f>I27*19%</f>
        <v>60800</v>
      </c>
      <c r="K27" s="71">
        <f t="shared" si="41"/>
        <v>380800</v>
      </c>
      <c r="L27" s="71">
        <f>I27*G27</f>
        <v>48000000</v>
      </c>
      <c r="M27" s="71">
        <f>K27*G27</f>
        <v>57120000</v>
      </c>
      <c r="N27" s="102">
        <v>340000</v>
      </c>
      <c r="O27" s="102">
        <f>+N27*0.19</f>
        <v>64600</v>
      </c>
      <c r="P27" s="102">
        <f>+N27+O27</f>
        <v>404600</v>
      </c>
      <c r="Q27" s="102">
        <f>N27*G27</f>
        <v>51000000</v>
      </c>
      <c r="R27" s="102">
        <f>P27*G27</f>
        <v>60690000</v>
      </c>
      <c r="S27" s="103">
        <v>250000</v>
      </c>
      <c r="T27" s="102">
        <f>S27*19%</f>
        <v>47500</v>
      </c>
      <c r="U27" s="102">
        <f t="shared" ref="U27:U33" si="58">+S27+T27</f>
        <v>297500</v>
      </c>
      <c r="V27" s="102">
        <f>S27*G27</f>
        <v>37500000</v>
      </c>
      <c r="W27" s="102">
        <f>U27*G27</f>
        <v>44625000</v>
      </c>
      <c r="X27" s="71">
        <f t="shared" si="35"/>
        <v>303333.33333333331</v>
      </c>
      <c r="Y27" s="71">
        <f t="shared" si="36"/>
        <v>57633.333333333328</v>
      </c>
      <c r="Z27" s="71">
        <f t="shared" si="37"/>
        <v>360966.66666666663</v>
      </c>
      <c r="AA27" s="71">
        <f>(+X27*E27)*G27</f>
        <v>45500000</v>
      </c>
      <c r="AB27" s="71">
        <f>(+Z27*E27)*G27</f>
        <v>54144999.999999993</v>
      </c>
      <c r="AC27" s="71">
        <f t="shared" si="40"/>
        <v>6887622.9571601842</v>
      </c>
      <c r="AD27" s="72">
        <f t="shared" si="43"/>
        <v>0.12720699893176074</v>
      </c>
    </row>
    <row r="28" spans="1:30" ht="102" customHeight="1" x14ac:dyDescent="0.25">
      <c r="A28" s="45">
        <v>22</v>
      </c>
      <c r="B28" s="46" t="s">
        <v>180</v>
      </c>
      <c r="C28" s="50" t="s">
        <v>185</v>
      </c>
      <c r="D28" s="47" t="s">
        <v>186</v>
      </c>
      <c r="E28" s="49">
        <v>50</v>
      </c>
      <c r="F28" s="49" t="s">
        <v>116</v>
      </c>
      <c r="G28" s="49"/>
      <c r="H28" s="49"/>
      <c r="I28" s="70">
        <v>350000</v>
      </c>
      <c r="J28" s="71">
        <f t="shared" ref="J28" si="59">+I28*19%</f>
        <v>66500</v>
      </c>
      <c r="K28" s="71">
        <f>J28+I28</f>
        <v>416500</v>
      </c>
      <c r="L28" s="71">
        <f>I28*E28</f>
        <v>17500000</v>
      </c>
      <c r="M28" s="71">
        <f>K28*E28</f>
        <v>20825000</v>
      </c>
      <c r="N28" s="102">
        <v>400000</v>
      </c>
      <c r="O28" s="102">
        <f t="shared" ref="O28:O30" si="60">+N28*0.19</f>
        <v>76000</v>
      </c>
      <c r="P28" s="102">
        <f t="shared" ref="P28:P31" si="61">+N28+O28</f>
        <v>476000</v>
      </c>
      <c r="Q28" s="102">
        <f>+N28*E28</f>
        <v>20000000</v>
      </c>
      <c r="R28" s="102">
        <f>+P28*E28</f>
        <v>23800000</v>
      </c>
      <c r="S28" s="103">
        <v>371000</v>
      </c>
      <c r="T28" s="71">
        <f t="shared" ref="T28" si="62">S28*19%</f>
        <v>70490</v>
      </c>
      <c r="U28" s="102">
        <f t="shared" si="58"/>
        <v>441490</v>
      </c>
      <c r="V28" s="102">
        <f>+S28*E28</f>
        <v>18550000</v>
      </c>
      <c r="W28" s="102">
        <f>+U28*E28</f>
        <v>22074500</v>
      </c>
      <c r="X28" s="71">
        <f t="shared" si="35"/>
        <v>373666.66666666669</v>
      </c>
      <c r="Y28" s="71">
        <f t="shared" si="36"/>
        <v>70996.666666666672</v>
      </c>
      <c r="Z28" s="71">
        <f t="shared" si="37"/>
        <v>444663.33333333337</v>
      </c>
      <c r="AA28" s="71">
        <f t="shared" si="38"/>
        <v>18683333.333333336</v>
      </c>
      <c r="AB28" s="71">
        <f t="shared" si="39"/>
        <v>22233166.666666668</v>
      </c>
      <c r="AC28" s="71">
        <f t="shared" si="40"/>
        <v>1219709.6876807292</v>
      </c>
      <c r="AD28" s="72">
        <f t="shared" si="43"/>
        <v>5.4859917436295438E-2</v>
      </c>
    </row>
    <row r="29" spans="1:30" ht="141" customHeight="1" x14ac:dyDescent="0.25">
      <c r="A29" s="45">
        <v>23</v>
      </c>
      <c r="B29" s="46" t="s">
        <v>180</v>
      </c>
      <c r="C29" s="50" t="s">
        <v>170</v>
      </c>
      <c r="D29" s="47" t="s">
        <v>187</v>
      </c>
      <c r="E29" s="49">
        <v>1976</v>
      </c>
      <c r="F29" s="49" t="s">
        <v>116</v>
      </c>
      <c r="G29" s="49"/>
      <c r="H29" s="49"/>
      <c r="I29" s="70">
        <v>40000</v>
      </c>
      <c r="J29" s="71">
        <f>I29*19%</f>
        <v>7600</v>
      </c>
      <c r="K29" s="71">
        <f>I29+J29</f>
        <v>47600</v>
      </c>
      <c r="L29" s="71">
        <f>I29*E29</f>
        <v>79040000</v>
      </c>
      <c r="M29" s="71">
        <f>K29*E29</f>
        <v>94057600</v>
      </c>
      <c r="N29" s="102">
        <v>61000</v>
      </c>
      <c r="O29" s="102">
        <f t="shared" si="60"/>
        <v>11590</v>
      </c>
      <c r="P29" s="102">
        <f t="shared" si="61"/>
        <v>72590</v>
      </c>
      <c r="Q29" s="102">
        <f>+N29*E29</f>
        <v>120536000</v>
      </c>
      <c r="R29" s="102">
        <f>+P29*E29</f>
        <v>143437840</v>
      </c>
      <c r="S29" s="103">
        <v>41800</v>
      </c>
      <c r="T29" s="102">
        <f>+S29*19%</f>
        <v>7942</v>
      </c>
      <c r="U29" s="102">
        <f t="shared" si="58"/>
        <v>49742</v>
      </c>
      <c r="V29" s="102">
        <f>+S29*E29</f>
        <v>82596800</v>
      </c>
      <c r="W29" s="102">
        <f>+U29*E29</f>
        <v>98290192</v>
      </c>
      <c r="X29" s="71">
        <f t="shared" si="35"/>
        <v>47600</v>
      </c>
      <c r="Y29" s="71">
        <f t="shared" si="36"/>
        <v>9044</v>
      </c>
      <c r="Z29" s="71">
        <f t="shared" si="37"/>
        <v>56644</v>
      </c>
      <c r="AA29" s="71">
        <f t="shared" si="38"/>
        <v>94057600</v>
      </c>
      <c r="AB29" s="71">
        <f t="shared" si="39"/>
        <v>111928544</v>
      </c>
      <c r="AC29" s="71">
        <f t="shared" si="40"/>
        <v>22347341.520806272</v>
      </c>
      <c r="AD29" s="72">
        <f t="shared" si="43"/>
        <v>0.19965721631120539</v>
      </c>
    </row>
    <row r="30" spans="1:30" ht="141" customHeight="1" x14ac:dyDescent="0.25">
      <c r="A30" s="45">
        <v>24</v>
      </c>
      <c r="B30" s="46" t="s">
        <v>180</v>
      </c>
      <c r="C30" s="50" t="s">
        <v>188</v>
      </c>
      <c r="D30" s="48" t="s">
        <v>100</v>
      </c>
      <c r="E30" s="49">
        <v>50</v>
      </c>
      <c r="F30" s="49" t="s">
        <v>116</v>
      </c>
      <c r="G30" s="49"/>
      <c r="H30" s="49"/>
      <c r="I30" s="102">
        <v>14000</v>
      </c>
      <c r="J30" s="102">
        <f>+I30*19%</f>
        <v>2660</v>
      </c>
      <c r="K30" s="102">
        <f t="shared" ref="K30" si="63">+I30+J30</f>
        <v>16660</v>
      </c>
      <c r="L30" s="102">
        <f>+I30*E30</f>
        <v>700000</v>
      </c>
      <c r="M30" s="102">
        <f>+K30*E30</f>
        <v>833000</v>
      </c>
      <c r="N30" s="102">
        <v>20200</v>
      </c>
      <c r="O30" s="102">
        <f t="shared" si="60"/>
        <v>3838</v>
      </c>
      <c r="P30" s="102">
        <f t="shared" si="61"/>
        <v>24038</v>
      </c>
      <c r="Q30" s="102">
        <f>+N30*E30</f>
        <v>1010000</v>
      </c>
      <c r="R30" s="102">
        <f>+P30*E30</f>
        <v>1201900</v>
      </c>
      <c r="S30" s="103">
        <v>13500</v>
      </c>
      <c r="T30" s="102">
        <f>+S30*19%</f>
        <v>2565</v>
      </c>
      <c r="U30" s="102">
        <f t="shared" si="58"/>
        <v>16065</v>
      </c>
      <c r="V30" s="102">
        <f>+S30*E30</f>
        <v>675000</v>
      </c>
      <c r="W30" s="102">
        <f>+U30*E30</f>
        <v>803250</v>
      </c>
      <c r="X30" s="71">
        <f t="shared" si="35"/>
        <v>15900</v>
      </c>
      <c r="Y30" s="71">
        <f t="shared" si="36"/>
        <v>3021</v>
      </c>
      <c r="Z30" s="71">
        <f t="shared" si="37"/>
        <v>18921</v>
      </c>
      <c r="AA30" s="71">
        <f t="shared" si="38"/>
        <v>795000</v>
      </c>
      <c r="AB30" s="71">
        <f t="shared" si="39"/>
        <v>946050</v>
      </c>
      <c r="AC30" s="71">
        <f t="shared" si="40"/>
        <v>181320.49433714509</v>
      </c>
      <c r="AD30" s="72">
        <f t="shared" si="43"/>
        <v>0.19166058277801923</v>
      </c>
    </row>
    <row r="31" spans="1:30" ht="72.95" customHeight="1" x14ac:dyDescent="0.25">
      <c r="A31" s="45">
        <v>25</v>
      </c>
      <c r="B31" s="46" t="s">
        <v>180</v>
      </c>
      <c r="C31" s="50" t="s">
        <v>176</v>
      </c>
      <c r="D31" s="54" t="s">
        <v>84</v>
      </c>
      <c r="E31" s="49">
        <v>1976</v>
      </c>
      <c r="F31" s="49" t="s">
        <v>116</v>
      </c>
      <c r="G31" s="49"/>
      <c r="H31" s="49"/>
      <c r="I31" s="71">
        <v>19000</v>
      </c>
      <c r="J31" s="71">
        <f t="shared" ref="J31" si="64">+I31*19%</f>
        <v>3610</v>
      </c>
      <c r="K31" s="71">
        <f t="shared" ref="K31" si="65">I31+J31</f>
        <v>22610</v>
      </c>
      <c r="L31" s="71">
        <f t="shared" ref="L31" si="66">I31*E31</f>
        <v>37544000</v>
      </c>
      <c r="M31" s="71">
        <f t="shared" ref="M31" si="67">K31*E31</f>
        <v>44677360</v>
      </c>
      <c r="N31" s="102">
        <v>13000</v>
      </c>
      <c r="O31" s="102">
        <f>+N31*19%</f>
        <v>2470</v>
      </c>
      <c r="P31" s="102">
        <f t="shared" si="61"/>
        <v>15470</v>
      </c>
      <c r="Q31" s="102">
        <f>+N31*E31</f>
        <v>25688000</v>
      </c>
      <c r="R31" s="102">
        <f>+P31*E31</f>
        <v>30568720</v>
      </c>
      <c r="S31" s="103">
        <v>15500</v>
      </c>
      <c r="T31" s="102">
        <f>+S31*19%</f>
        <v>2945</v>
      </c>
      <c r="U31" s="102">
        <f t="shared" si="58"/>
        <v>18445</v>
      </c>
      <c r="V31" s="102">
        <f>+S31*E31</f>
        <v>30628000</v>
      </c>
      <c r="W31" s="102">
        <f>+U31*E31</f>
        <v>36447320</v>
      </c>
      <c r="X31" s="71">
        <f t="shared" si="35"/>
        <v>15833.333333333334</v>
      </c>
      <c r="Y31" s="71">
        <f t="shared" si="36"/>
        <v>3008.3333333333335</v>
      </c>
      <c r="Z31" s="71">
        <f t="shared" si="37"/>
        <v>18841.666666666668</v>
      </c>
      <c r="AA31" s="71">
        <f t="shared" si="38"/>
        <v>31286666.666666668</v>
      </c>
      <c r="AB31" s="71">
        <f t="shared" si="39"/>
        <v>37231133.333333336</v>
      </c>
      <c r="AC31" s="71">
        <f t="shared" si="40"/>
        <v>5786432.5894592041</v>
      </c>
      <c r="AD31" s="72">
        <f t="shared" si="43"/>
        <v>0.15541919010771998</v>
      </c>
    </row>
    <row r="32" spans="1:30" ht="62.1" customHeight="1" x14ac:dyDescent="0.25">
      <c r="A32" s="45">
        <v>26</v>
      </c>
      <c r="B32" s="46" t="s">
        <v>189</v>
      </c>
      <c r="C32" s="50" t="s">
        <v>169</v>
      </c>
      <c r="D32" s="54" t="s">
        <v>190</v>
      </c>
      <c r="E32" s="49">
        <v>1</v>
      </c>
      <c r="F32" s="49" t="s">
        <v>116</v>
      </c>
      <c r="G32" s="49">
        <v>84</v>
      </c>
      <c r="H32" s="49" t="s">
        <v>113</v>
      </c>
      <c r="I32" s="71">
        <v>88000</v>
      </c>
      <c r="J32" s="71">
        <f>+I32*0%</f>
        <v>0</v>
      </c>
      <c r="K32" s="71">
        <f t="shared" ref="K32" si="68">+I32+J32</f>
        <v>88000</v>
      </c>
      <c r="L32" s="71">
        <f>(I32*G32)*E32</f>
        <v>7392000</v>
      </c>
      <c r="M32" s="71">
        <f>(K32*G32)*E32</f>
        <v>7392000</v>
      </c>
      <c r="N32" s="102">
        <v>115000</v>
      </c>
      <c r="O32" s="102">
        <v>0</v>
      </c>
      <c r="P32" s="102">
        <f>+N32</f>
        <v>115000</v>
      </c>
      <c r="Q32" s="102">
        <f>+N32*G32</f>
        <v>9660000</v>
      </c>
      <c r="R32" s="102">
        <f>+P32*G32</f>
        <v>9660000</v>
      </c>
      <c r="S32" s="103">
        <v>80000</v>
      </c>
      <c r="T32" s="102">
        <f>+S32*0%</f>
        <v>0</v>
      </c>
      <c r="U32" s="102">
        <f t="shared" si="58"/>
        <v>80000</v>
      </c>
      <c r="V32" s="102">
        <f>S32*G32</f>
        <v>6720000</v>
      </c>
      <c r="W32" s="102">
        <f>U32*G32</f>
        <v>6720000</v>
      </c>
      <c r="X32" s="71">
        <f t="shared" si="35"/>
        <v>94333.333333333328</v>
      </c>
      <c r="Y32" s="71">
        <v>0</v>
      </c>
      <c r="Z32" s="71">
        <f t="shared" si="37"/>
        <v>94333.333333333328</v>
      </c>
      <c r="AA32" s="71">
        <f>(+X32*E32)*G32</f>
        <v>7924000</v>
      </c>
      <c r="AB32" s="71">
        <f>(+Z32*E32)*G32</f>
        <v>7924000</v>
      </c>
      <c r="AC32" s="71">
        <f t="shared" si="40"/>
        <v>1257820.3369321073</v>
      </c>
      <c r="AD32" s="72">
        <f t="shared" si="43"/>
        <v>0.15873552964817103</v>
      </c>
    </row>
    <row r="33" spans="1:30" ht="62.1" customHeight="1" x14ac:dyDescent="0.25">
      <c r="A33" s="45">
        <v>27</v>
      </c>
      <c r="B33" s="46" t="s">
        <v>189</v>
      </c>
      <c r="C33" s="50" t="s">
        <v>169</v>
      </c>
      <c r="D33" s="47" t="s">
        <v>132</v>
      </c>
      <c r="E33" s="49">
        <v>1</v>
      </c>
      <c r="F33" s="49" t="s">
        <v>116</v>
      </c>
      <c r="G33" s="49">
        <v>84</v>
      </c>
      <c r="H33" s="49" t="s">
        <v>113</v>
      </c>
      <c r="I33" s="71">
        <v>88000</v>
      </c>
      <c r="J33" s="71">
        <f t="shared" ref="J33:J34" si="69">+I33*0%</f>
        <v>0</v>
      </c>
      <c r="K33" s="71">
        <f t="shared" ref="K33:K34" si="70">+I33+J33</f>
        <v>88000</v>
      </c>
      <c r="L33" s="71">
        <f t="shared" ref="L33:L34" si="71">(I33*G33)*E33</f>
        <v>7392000</v>
      </c>
      <c r="M33" s="71">
        <f t="shared" ref="M33:M34" si="72">(K33*G33)*E33</f>
        <v>7392000</v>
      </c>
      <c r="N33" s="102">
        <v>115000</v>
      </c>
      <c r="O33" s="102">
        <v>0</v>
      </c>
      <c r="P33" s="102">
        <f t="shared" ref="P33:P35" si="73">+N33+O33</f>
        <v>115000</v>
      </c>
      <c r="Q33" s="102">
        <f>N33*G33</f>
        <v>9660000</v>
      </c>
      <c r="R33" s="102">
        <f>P33*G33</f>
        <v>9660000</v>
      </c>
      <c r="S33" s="103">
        <v>80000</v>
      </c>
      <c r="T33" s="102">
        <f>+S33*0%</f>
        <v>0</v>
      </c>
      <c r="U33" s="102">
        <f t="shared" si="58"/>
        <v>80000</v>
      </c>
      <c r="V33" s="102">
        <f t="shared" ref="V33:V34" si="74">S33*G33</f>
        <v>6720000</v>
      </c>
      <c r="W33" s="102">
        <f t="shared" ref="W33:W34" si="75">U33*G33</f>
        <v>6720000</v>
      </c>
      <c r="X33" s="71">
        <f t="shared" si="35"/>
        <v>94333.333333333328</v>
      </c>
      <c r="Y33" s="71">
        <v>0</v>
      </c>
      <c r="Z33" s="71">
        <f t="shared" si="37"/>
        <v>94333.333333333328</v>
      </c>
      <c r="AA33" s="71">
        <f t="shared" ref="AA33:AA34" si="76">(+X33*E33)*G33</f>
        <v>7924000</v>
      </c>
      <c r="AB33" s="71">
        <f t="shared" ref="AB33:AB34" si="77">(+Z33*E33)*G33</f>
        <v>7924000</v>
      </c>
      <c r="AC33" s="71">
        <f t="shared" si="40"/>
        <v>1257820.3369321073</v>
      </c>
      <c r="AD33" s="72">
        <f t="shared" si="43"/>
        <v>0.15873552964817103</v>
      </c>
    </row>
    <row r="34" spans="1:30" ht="48" customHeight="1" x14ac:dyDescent="0.25">
      <c r="A34" s="45">
        <v>28</v>
      </c>
      <c r="B34" s="46" t="s">
        <v>189</v>
      </c>
      <c r="C34" s="50" t="s">
        <v>169</v>
      </c>
      <c r="D34" s="47" t="s">
        <v>191</v>
      </c>
      <c r="E34" s="49">
        <v>1</v>
      </c>
      <c r="F34" s="49" t="s">
        <v>116</v>
      </c>
      <c r="G34" s="49">
        <v>84</v>
      </c>
      <c r="H34" s="49" t="s">
        <v>113</v>
      </c>
      <c r="I34" s="71">
        <v>88000</v>
      </c>
      <c r="J34" s="71">
        <f t="shared" si="69"/>
        <v>0</v>
      </c>
      <c r="K34" s="71">
        <f t="shared" si="70"/>
        <v>88000</v>
      </c>
      <c r="L34" s="71">
        <f t="shared" si="71"/>
        <v>7392000</v>
      </c>
      <c r="M34" s="71">
        <f t="shared" si="72"/>
        <v>7392000</v>
      </c>
      <c r="N34" s="102">
        <v>115000</v>
      </c>
      <c r="O34" s="102">
        <v>0</v>
      </c>
      <c r="P34" s="102">
        <f t="shared" si="73"/>
        <v>115000</v>
      </c>
      <c r="Q34" s="102">
        <f>N34*G34</f>
        <v>9660000</v>
      </c>
      <c r="R34" s="102">
        <f>P34*G34</f>
        <v>9660000</v>
      </c>
      <c r="S34" s="103">
        <v>80000</v>
      </c>
      <c r="T34" s="102">
        <f>+S34*0%</f>
        <v>0</v>
      </c>
      <c r="U34" s="102">
        <f t="shared" ref="U34:U35" si="78">+S34+T34</f>
        <v>80000</v>
      </c>
      <c r="V34" s="102">
        <f t="shared" si="74"/>
        <v>6720000</v>
      </c>
      <c r="W34" s="102">
        <f t="shared" si="75"/>
        <v>6720000</v>
      </c>
      <c r="X34" s="71">
        <f t="shared" si="35"/>
        <v>94333.333333333328</v>
      </c>
      <c r="Y34" s="71">
        <v>0</v>
      </c>
      <c r="Z34" s="71">
        <f t="shared" si="37"/>
        <v>94333.333333333328</v>
      </c>
      <c r="AA34" s="71">
        <f t="shared" si="76"/>
        <v>7924000</v>
      </c>
      <c r="AB34" s="71">
        <f t="shared" si="77"/>
        <v>7924000</v>
      </c>
      <c r="AC34" s="71">
        <f t="shared" si="40"/>
        <v>1257820.3369321073</v>
      </c>
      <c r="AD34" s="72">
        <f t="shared" si="43"/>
        <v>0.15873552964817103</v>
      </c>
    </row>
    <row r="35" spans="1:30" ht="62.1" customHeight="1" x14ac:dyDescent="0.25">
      <c r="A35" s="45">
        <v>29</v>
      </c>
      <c r="B35" s="46" t="s">
        <v>189</v>
      </c>
      <c r="C35" s="50" t="s">
        <v>170</v>
      </c>
      <c r="D35" s="54" t="s">
        <v>134</v>
      </c>
      <c r="E35" s="49">
        <v>1273</v>
      </c>
      <c r="F35" s="49" t="s">
        <v>116</v>
      </c>
      <c r="G35" s="49"/>
      <c r="H35" s="49"/>
      <c r="I35" s="70">
        <v>115000</v>
      </c>
      <c r="J35" s="71">
        <f>I35*19%</f>
        <v>21850</v>
      </c>
      <c r="K35" s="71">
        <f t="shared" ref="K35" si="79">+I35+J35</f>
        <v>136850</v>
      </c>
      <c r="L35" s="71">
        <f>I35*E35</f>
        <v>146395000</v>
      </c>
      <c r="M35" s="71">
        <f>K35*E35</f>
        <v>174210050</v>
      </c>
      <c r="N35" s="102">
        <v>72000</v>
      </c>
      <c r="O35" s="102">
        <f t="shared" ref="O35" si="80">+N35*0.19</f>
        <v>13680</v>
      </c>
      <c r="P35" s="102">
        <f t="shared" si="73"/>
        <v>85680</v>
      </c>
      <c r="Q35" s="102">
        <f>+N35*E35</f>
        <v>91656000</v>
      </c>
      <c r="R35" s="102">
        <f>+P35*E35</f>
        <v>109070640</v>
      </c>
      <c r="S35" s="103">
        <v>115000</v>
      </c>
      <c r="T35" s="102">
        <f>+S35*19%</f>
        <v>21850</v>
      </c>
      <c r="U35" s="102">
        <f t="shared" si="78"/>
        <v>136850</v>
      </c>
      <c r="V35" s="102">
        <f>S35*E35</f>
        <v>146395000</v>
      </c>
      <c r="W35" s="102">
        <f>U35*E35</f>
        <v>174210050</v>
      </c>
      <c r="X35" s="71">
        <f t="shared" si="35"/>
        <v>100666.66666666667</v>
      </c>
      <c r="Y35" s="71">
        <f t="shared" si="36"/>
        <v>19126.666666666668</v>
      </c>
      <c r="Z35" s="71">
        <f t="shared" si="37"/>
        <v>119793.33333333334</v>
      </c>
      <c r="AA35" s="71">
        <f t="shared" si="38"/>
        <v>128148666.66666667</v>
      </c>
      <c r="AB35" s="71">
        <f t="shared" si="39"/>
        <v>152496913.33333334</v>
      </c>
      <c r="AC35" s="71">
        <f t="shared" si="40"/>
        <v>30707012.355660524</v>
      </c>
      <c r="AD35" s="72">
        <f t="shared" si="43"/>
        <v>0.20136153371537435</v>
      </c>
    </row>
    <row r="36" spans="1:30" ht="42.95" customHeight="1" x14ac:dyDescent="0.25">
      <c r="A36" s="165" t="s">
        <v>162</v>
      </c>
      <c r="B36" s="165"/>
      <c r="C36" s="165"/>
      <c r="D36" s="165"/>
      <c r="E36" s="165"/>
      <c r="F36" s="165"/>
      <c r="G36" s="165"/>
      <c r="H36" s="165"/>
      <c r="I36" s="66"/>
      <c r="J36" s="74"/>
      <c r="K36" s="74"/>
      <c r="L36" s="64">
        <f>SUM(L17:L35)</f>
        <v>902008200</v>
      </c>
      <c r="M36" s="64">
        <f>SUM(M17:M35)</f>
        <v>1057254958</v>
      </c>
      <c r="N36" s="74"/>
      <c r="O36" s="74"/>
      <c r="P36" s="74"/>
      <c r="Q36" s="65">
        <f>SUM(Q17:Q35)</f>
        <v>895193000</v>
      </c>
      <c r="R36" s="65">
        <f>SUM(R17:R35)</f>
        <v>1044194420</v>
      </c>
      <c r="S36" s="95"/>
      <c r="T36" s="95"/>
      <c r="U36" s="95"/>
      <c r="V36" s="91">
        <f>SUM(V17:V35)</f>
        <v>856766360</v>
      </c>
      <c r="W36" s="91">
        <f>SUM(W17:W35)</f>
        <v>1004883968.4</v>
      </c>
      <c r="X36" s="74"/>
      <c r="Y36" s="74"/>
      <c r="Z36" s="74"/>
      <c r="AA36" s="65">
        <f>SUM(AA17:AA35)</f>
        <v>884655853.33333337</v>
      </c>
      <c r="AB36" s="65">
        <f>SUM(AB17:AB35)</f>
        <v>1035444448.8000001</v>
      </c>
      <c r="AC36" s="74"/>
      <c r="AD36" s="75"/>
    </row>
    <row r="37" spans="1:30" ht="42.95" customHeight="1" x14ac:dyDescent="0.25">
      <c r="A37" s="164" t="s">
        <v>192</v>
      </c>
      <c r="B37" s="164"/>
      <c r="C37" s="164"/>
      <c r="D37" s="164"/>
      <c r="E37" s="164"/>
      <c r="F37" s="164"/>
      <c r="G37" s="164"/>
      <c r="H37" s="164"/>
      <c r="I37" s="164"/>
      <c r="J37" s="164"/>
      <c r="K37" s="164"/>
      <c r="L37" s="164"/>
      <c r="M37" s="164"/>
      <c r="N37" s="164"/>
      <c r="O37" s="164"/>
      <c r="P37" s="164"/>
      <c r="Q37" s="164"/>
      <c r="R37" s="164"/>
      <c r="S37" s="164"/>
      <c r="T37" s="164"/>
      <c r="U37" s="164"/>
      <c r="V37" s="164"/>
      <c r="W37" s="164"/>
      <c r="X37" s="164"/>
      <c r="Y37" s="164"/>
      <c r="Z37" s="164"/>
      <c r="AA37" s="164"/>
      <c r="AB37" s="164"/>
      <c r="AC37" s="164"/>
      <c r="AD37" s="164"/>
    </row>
    <row r="38" spans="1:30" ht="42.95" customHeight="1" x14ac:dyDescent="0.25">
      <c r="A38" s="45">
        <v>30</v>
      </c>
      <c r="B38" s="46" t="s">
        <v>193</v>
      </c>
      <c r="C38" s="50" t="s">
        <v>169</v>
      </c>
      <c r="D38" s="47" t="s">
        <v>194</v>
      </c>
      <c r="E38" s="84">
        <v>1</v>
      </c>
      <c r="F38" s="84" t="s">
        <v>116</v>
      </c>
      <c r="G38" s="84">
        <f>53*4</f>
        <v>212</v>
      </c>
      <c r="H38" s="84" t="s">
        <v>75</v>
      </c>
      <c r="I38" s="85">
        <v>88000</v>
      </c>
      <c r="J38" s="86">
        <v>0</v>
      </c>
      <c r="K38" s="86">
        <f>I38+J38</f>
        <v>88000</v>
      </c>
      <c r="L38" s="86">
        <f>I38*G38</f>
        <v>18656000</v>
      </c>
      <c r="M38" s="86">
        <f>K38*G38</f>
        <v>18656000</v>
      </c>
      <c r="N38" s="102">
        <v>115000</v>
      </c>
      <c r="O38" s="102">
        <v>0</v>
      </c>
      <c r="P38" s="102">
        <f t="shared" ref="P38" si="81">+N38+O38</f>
        <v>115000</v>
      </c>
      <c r="Q38" s="102">
        <f>N38*G38</f>
        <v>24380000</v>
      </c>
      <c r="R38" s="102">
        <f>P38*G38</f>
        <v>24380000</v>
      </c>
      <c r="S38" s="103">
        <v>80000</v>
      </c>
      <c r="T38" s="102">
        <f>+S38*0%</f>
        <v>0</v>
      </c>
      <c r="U38" s="102">
        <f t="shared" ref="U38" si="82">+S38+T38</f>
        <v>80000</v>
      </c>
      <c r="V38" s="102">
        <f t="shared" ref="V38" si="83">S38*G38</f>
        <v>16960000</v>
      </c>
      <c r="W38" s="102">
        <f t="shared" ref="W38" si="84">U38*G38</f>
        <v>16960000</v>
      </c>
      <c r="X38" s="71">
        <f>(I38+N38+S38)/3</f>
        <v>94333.333333333328</v>
      </c>
      <c r="Y38" s="71">
        <v>0</v>
      </c>
      <c r="Z38" s="71">
        <f>+X38+Y38</f>
        <v>94333.333333333328</v>
      </c>
      <c r="AA38" s="71">
        <f>(+X38*E38)*G38</f>
        <v>19998666.666666664</v>
      </c>
      <c r="AB38" s="71">
        <f>(+Z38*E38)*G38</f>
        <v>19998666.666666664</v>
      </c>
      <c r="AC38" s="71">
        <f>_xlfn.STDEV.P(M38,R38,W38)</f>
        <v>3174498.9455905566</v>
      </c>
      <c r="AD38" s="72">
        <f>AC38/AB38</f>
        <v>0.15873552964817106</v>
      </c>
    </row>
    <row r="39" spans="1:30" ht="42.95" customHeight="1" x14ac:dyDescent="0.25">
      <c r="A39" s="45">
        <v>31</v>
      </c>
      <c r="B39" s="46" t="s">
        <v>193</v>
      </c>
      <c r="C39" s="50" t="s">
        <v>169</v>
      </c>
      <c r="D39" s="51" t="s">
        <v>102</v>
      </c>
      <c r="E39" s="84">
        <v>1</v>
      </c>
      <c r="F39" s="84" t="s">
        <v>116</v>
      </c>
      <c r="G39" s="84">
        <v>212</v>
      </c>
      <c r="H39" s="84" t="s">
        <v>113</v>
      </c>
      <c r="I39" s="85">
        <v>88000</v>
      </c>
      <c r="J39" s="86">
        <v>0</v>
      </c>
      <c r="K39" s="86">
        <f>I39+J39</f>
        <v>88000</v>
      </c>
      <c r="L39" s="86">
        <f>I39*G39</f>
        <v>18656000</v>
      </c>
      <c r="M39" s="86">
        <f>K39*G39</f>
        <v>18656000</v>
      </c>
      <c r="N39" s="102">
        <v>115000</v>
      </c>
      <c r="O39" s="102">
        <v>0</v>
      </c>
      <c r="P39" s="102">
        <f t="shared" ref="P39:P41" si="85">+N39+O39</f>
        <v>115000</v>
      </c>
      <c r="Q39" s="102">
        <f>N39*G39</f>
        <v>24380000</v>
      </c>
      <c r="R39" s="102">
        <f>P39*G39</f>
        <v>24380000</v>
      </c>
      <c r="S39" s="103">
        <v>80000</v>
      </c>
      <c r="T39" s="102">
        <f>+S39*0%</f>
        <v>0</v>
      </c>
      <c r="U39" s="102">
        <f t="shared" ref="U39:U43" si="86">+S39+T39</f>
        <v>80000</v>
      </c>
      <c r="V39" s="102">
        <f t="shared" ref="V39" si="87">S39*G39</f>
        <v>16960000</v>
      </c>
      <c r="W39" s="102">
        <f t="shared" ref="W39" si="88">U39*G39</f>
        <v>16960000</v>
      </c>
      <c r="X39" s="71">
        <f>(I39+N39+S39)/3</f>
        <v>94333.333333333328</v>
      </c>
      <c r="Y39" s="71">
        <v>0</v>
      </c>
      <c r="Z39" s="71">
        <f>+X39+Y39</f>
        <v>94333.333333333328</v>
      </c>
      <c r="AA39" s="71">
        <f>(+X39*E39)*G39</f>
        <v>19998666.666666664</v>
      </c>
      <c r="AB39" s="71">
        <f>(+Z39*E39)*G39</f>
        <v>19998666.666666664</v>
      </c>
      <c r="AC39" s="71">
        <f>_xlfn.STDEV.P(M39,R39,W39)</f>
        <v>3174498.9455905566</v>
      </c>
      <c r="AD39" s="72">
        <f>AC39/AB39</f>
        <v>0.15873552964817106</v>
      </c>
    </row>
    <row r="40" spans="1:30" ht="42.95" customHeight="1" x14ac:dyDescent="0.25">
      <c r="A40" s="45">
        <v>32</v>
      </c>
      <c r="B40" s="46" t="s">
        <v>193</v>
      </c>
      <c r="C40" s="50" t="s">
        <v>176</v>
      </c>
      <c r="D40" s="54" t="s">
        <v>84</v>
      </c>
      <c r="E40" s="84">
        <v>2638</v>
      </c>
      <c r="F40" s="84" t="s">
        <v>116</v>
      </c>
      <c r="G40" s="84"/>
      <c r="H40" s="84"/>
      <c r="I40" s="71">
        <v>19000</v>
      </c>
      <c r="J40" s="71">
        <f t="shared" ref="J40" si="89">+I40*19%</f>
        <v>3610</v>
      </c>
      <c r="K40" s="71">
        <f t="shared" ref="K40" si="90">I40+J40</f>
        <v>22610</v>
      </c>
      <c r="L40" s="71">
        <f t="shared" ref="L40" si="91">I40*E40</f>
        <v>50122000</v>
      </c>
      <c r="M40" s="71">
        <f t="shared" ref="M40" si="92">K40*E40</f>
        <v>59645180</v>
      </c>
      <c r="N40" s="102">
        <v>13000</v>
      </c>
      <c r="O40" s="102">
        <f>+N40*19%</f>
        <v>2470</v>
      </c>
      <c r="P40" s="102">
        <f t="shared" si="85"/>
        <v>15470</v>
      </c>
      <c r="Q40" s="102">
        <f>+N40*E40</f>
        <v>34294000</v>
      </c>
      <c r="R40" s="102">
        <f>+P40*E40</f>
        <v>40809860</v>
      </c>
      <c r="S40" s="103">
        <v>15500</v>
      </c>
      <c r="T40" s="102">
        <f>+S40*19%</f>
        <v>2945</v>
      </c>
      <c r="U40" s="102">
        <f t="shared" si="86"/>
        <v>18445</v>
      </c>
      <c r="V40" s="102">
        <f>+S40*E40</f>
        <v>40889000</v>
      </c>
      <c r="W40" s="102">
        <f>+U40*E40</f>
        <v>48657910</v>
      </c>
      <c r="X40" s="71">
        <f t="shared" ref="X40" si="93">(I40+N40+S40)/3</f>
        <v>15833.333333333334</v>
      </c>
      <c r="Y40" s="71">
        <f t="shared" ref="Y40:Y45" si="94">+X40*19%</f>
        <v>3008.3333333333335</v>
      </c>
      <c r="Z40" s="71">
        <f t="shared" ref="Z40" si="95">+X40+Y40</f>
        <v>18841.666666666668</v>
      </c>
      <c r="AA40" s="71">
        <f t="shared" ref="AA40" si="96">(+X40*E40)</f>
        <v>41768333.333333336</v>
      </c>
      <c r="AB40" s="71">
        <f t="shared" ref="AB40" si="97">+Z40*E40</f>
        <v>49704316.666666672</v>
      </c>
      <c r="AC40" s="71">
        <f t="shared" ref="AC40" si="98">_xlfn.STDEV.P(M40,R40,W40)</f>
        <v>7725004.6411909824</v>
      </c>
      <c r="AD40" s="72">
        <f t="shared" ref="AD40" si="99">AC40/AB40</f>
        <v>0.15541919010771998</v>
      </c>
    </row>
    <row r="41" spans="1:30" ht="42.95" customHeight="1" x14ac:dyDescent="0.25">
      <c r="A41" s="45">
        <v>33</v>
      </c>
      <c r="B41" s="46" t="s">
        <v>193</v>
      </c>
      <c r="C41" s="50" t="s">
        <v>170</v>
      </c>
      <c r="D41" s="48" t="s">
        <v>104</v>
      </c>
      <c r="E41" s="84">
        <v>53</v>
      </c>
      <c r="F41" s="84" t="s">
        <v>116</v>
      </c>
      <c r="G41" s="84"/>
      <c r="H41" s="84"/>
      <c r="I41" s="102">
        <v>450000</v>
      </c>
      <c r="J41" s="102">
        <f>+I41*19%</f>
        <v>85500</v>
      </c>
      <c r="K41" s="102">
        <f t="shared" ref="K41" si="100">+I41+J41</f>
        <v>535500</v>
      </c>
      <c r="L41" s="102">
        <f>I41*E41</f>
        <v>23850000</v>
      </c>
      <c r="M41" s="102">
        <f>K41*E41</f>
        <v>28381500</v>
      </c>
      <c r="N41" s="102">
        <v>550000</v>
      </c>
      <c r="O41" s="102">
        <f t="shared" ref="O41" si="101">+N41*0.19</f>
        <v>104500</v>
      </c>
      <c r="P41" s="102">
        <f t="shared" si="85"/>
        <v>654500</v>
      </c>
      <c r="Q41" s="102">
        <f>+N41*E41</f>
        <v>29150000</v>
      </c>
      <c r="R41" s="102">
        <f>+P41*E41</f>
        <v>34688500</v>
      </c>
      <c r="S41" s="103">
        <v>477000</v>
      </c>
      <c r="T41" s="102">
        <f>+S41*19%</f>
        <v>90630</v>
      </c>
      <c r="U41" s="102">
        <f t="shared" si="86"/>
        <v>567630</v>
      </c>
      <c r="V41" s="102">
        <f>+S41*E41</f>
        <v>25281000</v>
      </c>
      <c r="W41" s="102">
        <f>+U41*E41</f>
        <v>30084390</v>
      </c>
      <c r="X41" s="71">
        <f t="shared" ref="X41" si="102">(I41+N41+S41)/3</f>
        <v>492333.33333333331</v>
      </c>
      <c r="Y41" s="71">
        <f t="shared" si="94"/>
        <v>93543.333333333328</v>
      </c>
      <c r="Z41" s="71">
        <f t="shared" ref="Z41" si="103">+X41+Y41</f>
        <v>585876.66666666663</v>
      </c>
      <c r="AA41" s="71">
        <f t="shared" ref="AA41" si="104">(+X41*E41)</f>
        <v>26093666.666666664</v>
      </c>
      <c r="AB41" s="71">
        <f t="shared" ref="AB41" si="105">+Z41*E41</f>
        <v>31051463.333333332</v>
      </c>
      <c r="AC41" s="71">
        <f t="shared" ref="AC41" si="106">_xlfn.STDEV.P(M41,R41,W41)</f>
        <v>2664080.2507974287</v>
      </c>
      <c r="AD41" s="72">
        <f t="shared" ref="AD41" si="107">AC41/AB41</f>
        <v>8.5795642614291026E-2</v>
      </c>
    </row>
    <row r="42" spans="1:30" ht="42.95" customHeight="1" x14ac:dyDescent="0.25">
      <c r="A42" s="45">
        <v>34</v>
      </c>
      <c r="B42" s="46" t="s">
        <v>195</v>
      </c>
      <c r="C42" s="50" t="s">
        <v>169</v>
      </c>
      <c r="D42" s="47" t="s">
        <v>194</v>
      </c>
      <c r="E42" s="84">
        <v>1</v>
      </c>
      <c r="F42" s="84" t="s">
        <v>116</v>
      </c>
      <c r="G42" s="84">
        <v>84</v>
      </c>
      <c r="H42" s="84" t="s">
        <v>113</v>
      </c>
      <c r="I42" s="85">
        <v>88000</v>
      </c>
      <c r="J42" s="86">
        <v>0</v>
      </c>
      <c r="K42" s="86">
        <f>I42+J42</f>
        <v>88000</v>
      </c>
      <c r="L42" s="86">
        <f>I42*G42</f>
        <v>7392000</v>
      </c>
      <c r="M42" s="86">
        <f>K42*G42</f>
        <v>7392000</v>
      </c>
      <c r="N42" s="102">
        <v>115000</v>
      </c>
      <c r="O42" s="102">
        <v>0</v>
      </c>
      <c r="P42" s="102">
        <f t="shared" ref="P42" si="108">+N42+O42</f>
        <v>115000</v>
      </c>
      <c r="Q42" s="102">
        <f>N42*G42</f>
        <v>9660000</v>
      </c>
      <c r="R42" s="102">
        <f>P42*G42</f>
        <v>9660000</v>
      </c>
      <c r="S42" s="103">
        <v>80000</v>
      </c>
      <c r="T42" s="102">
        <f>+S42*0%</f>
        <v>0</v>
      </c>
      <c r="U42" s="102">
        <f t="shared" si="86"/>
        <v>80000</v>
      </c>
      <c r="V42" s="102">
        <f t="shared" ref="V42" si="109">S42*G42</f>
        <v>6720000</v>
      </c>
      <c r="W42" s="102">
        <f t="shared" ref="W42" si="110">U42*G42</f>
        <v>6720000</v>
      </c>
      <c r="X42" s="71">
        <f>(I42+N42+S42)/3</f>
        <v>94333.333333333328</v>
      </c>
      <c r="Y42" s="71">
        <v>0</v>
      </c>
      <c r="Z42" s="71">
        <f>+X42+Y42</f>
        <v>94333.333333333328</v>
      </c>
      <c r="AA42" s="71">
        <f>(+X42*E42)*G42</f>
        <v>7924000</v>
      </c>
      <c r="AB42" s="71">
        <f>(+Z42*E42)*G42</f>
        <v>7924000</v>
      </c>
      <c r="AC42" s="71">
        <f>_xlfn.STDEV.P(M42,R42,W42)</f>
        <v>1257820.3369321073</v>
      </c>
      <c r="AD42" s="72">
        <f>AC42/AB42</f>
        <v>0.15873552964817103</v>
      </c>
    </row>
    <row r="43" spans="1:30" ht="91.5" customHeight="1" x14ac:dyDescent="0.25">
      <c r="A43" s="45">
        <v>35</v>
      </c>
      <c r="B43" s="46" t="s">
        <v>195</v>
      </c>
      <c r="C43" s="50" t="s">
        <v>169</v>
      </c>
      <c r="D43" s="47" t="s">
        <v>196</v>
      </c>
      <c r="E43" s="49">
        <v>3</v>
      </c>
      <c r="F43" s="49" t="s">
        <v>54</v>
      </c>
      <c r="G43" s="49">
        <v>42</v>
      </c>
      <c r="H43" s="49" t="s">
        <v>75</v>
      </c>
      <c r="I43" s="71">
        <v>88000</v>
      </c>
      <c r="J43" s="71">
        <f>+I43*0%</f>
        <v>0</v>
      </c>
      <c r="K43" s="71">
        <f t="shared" ref="K43:K45" si="111">+I43+J43</f>
        <v>88000</v>
      </c>
      <c r="L43" s="71">
        <f>(I43*G43)*E43</f>
        <v>11088000</v>
      </c>
      <c r="M43" s="71">
        <f>(K43*G43)*E43</f>
        <v>11088000</v>
      </c>
      <c r="N43" s="102">
        <v>115000</v>
      </c>
      <c r="O43" s="102">
        <v>0</v>
      </c>
      <c r="P43" s="102">
        <f>+N43+O43</f>
        <v>115000</v>
      </c>
      <c r="Q43" s="102">
        <f>(+N43*G43)*E43</f>
        <v>14490000</v>
      </c>
      <c r="R43" s="102">
        <f>(P43*G43)*E43</f>
        <v>14490000</v>
      </c>
      <c r="S43" s="103">
        <v>80000</v>
      </c>
      <c r="T43" s="102">
        <f>+S43*0%</f>
        <v>0</v>
      </c>
      <c r="U43" s="102">
        <f t="shared" si="86"/>
        <v>80000</v>
      </c>
      <c r="V43" s="102">
        <f>(S43*G43)*E43</f>
        <v>10080000</v>
      </c>
      <c r="W43" s="102">
        <f>(U43*G43)*3</f>
        <v>10080000</v>
      </c>
      <c r="X43" s="71">
        <f>(I43+N43+S43)/3</f>
        <v>94333.333333333328</v>
      </c>
      <c r="Y43" s="71">
        <v>0</v>
      </c>
      <c r="Z43" s="71">
        <f>+X43+Y43</f>
        <v>94333.333333333328</v>
      </c>
      <c r="AA43" s="71">
        <f>(+X43*E43)*G43</f>
        <v>11886000</v>
      </c>
      <c r="AB43" s="71">
        <f>(+Z43*E43)*G43</f>
        <v>11886000</v>
      </c>
      <c r="AC43" s="71">
        <f>_xlfn.STDEV.P(M43,R43,W43)</f>
        <v>1886730.505398161</v>
      </c>
      <c r="AD43" s="72">
        <f>AC43/AB43</f>
        <v>0.15873552964817103</v>
      </c>
    </row>
    <row r="44" spans="1:30" ht="64.5" customHeight="1" x14ac:dyDescent="0.25">
      <c r="A44" s="45">
        <v>36</v>
      </c>
      <c r="B44" s="46" t="s">
        <v>195</v>
      </c>
      <c r="C44" s="50" t="s">
        <v>169</v>
      </c>
      <c r="D44" s="54" t="s">
        <v>107</v>
      </c>
      <c r="E44" s="49">
        <v>3</v>
      </c>
      <c r="F44" s="49" t="s">
        <v>54</v>
      </c>
      <c r="G44" s="49">
        <v>42</v>
      </c>
      <c r="H44" s="49" t="s">
        <v>75</v>
      </c>
      <c r="I44" s="71">
        <v>88000</v>
      </c>
      <c r="J44" s="71">
        <f>+I44*0%</f>
        <v>0</v>
      </c>
      <c r="K44" s="71">
        <f t="shared" si="111"/>
        <v>88000</v>
      </c>
      <c r="L44" s="71">
        <f>(I44*G44)*E44</f>
        <v>11088000</v>
      </c>
      <c r="M44" s="71">
        <f>(K44*G44)*E44</f>
        <v>11088000</v>
      </c>
      <c r="N44" s="102">
        <v>115000</v>
      </c>
      <c r="O44" s="102">
        <v>0</v>
      </c>
      <c r="P44" s="102">
        <f>+N44+O44</f>
        <v>115000</v>
      </c>
      <c r="Q44" s="102">
        <f>(+N44*G44)*E44</f>
        <v>14490000</v>
      </c>
      <c r="R44" s="102">
        <f>(P44*G44)*E44</f>
        <v>14490000</v>
      </c>
      <c r="S44" s="103">
        <v>80000</v>
      </c>
      <c r="T44" s="102">
        <f>+S44*0%</f>
        <v>0</v>
      </c>
      <c r="U44" s="102">
        <f t="shared" ref="U44:U46" si="112">+S44+T44</f>
        <v>80000</v>
      </c>
      <c r="V44" s="102">
        <f>(S44*G44)*E44</f>
        <v>10080000</v>
      </c>
      <c r="W44" s="102">
        <f>(U44*G44)*3</f>
        <v>10080000</v>
      </c>
      <c r="X44" s="71">
        <f>(I44+N44+S44)/3</f>
        <v>94333.333333333328</v>
      </c>
      <c r="Y44" s="71">
        <v>0</v>
      </c>
      <c r="Z44" s="71">
        <f>+X44+Y44</f>
        <v>94333.333333333328</v>
      </c>
      <c r="AA44" s="71">
        <f>(+X44*E44)*G44</f>
        <v>11886000</v>
      </c>
      <c r="AB44" s="71">
        <f>(+Z44*E44)*G44</f>
        <v>11886000</v>
      </c>
      <c r="AC44" s="71">
        <f>_xlfn.STDEV.P(M44,R44,W44)</f>
        <v>1886730.505398161</v>
      </c>
      <c r="AD44" s="72">
        <f>AC44/AB44</f>
        <v>0.15873552964817103</v>
      </c>
    </row>
    <row r="45" spans="1:30" ht="84" customHeight="1" x14ac:dyDescent="0.25">
      <c r="A45" s="45">
        <v>37</v>
      </c>
      <c r="B45" s="46" t="s">
        <v>195</v>
      </c>
      <c r="C45" s="50" t="s">
        <v>170</v>
      </c>
      <c r="D45" s="47" t="s">
        <v>197</v>
      </c>
      <c r="E45" s="84">
        <v>42</v>
      </c>
      <c r="F45" s="84" t="s">
        <v>116</v>
      </c>
      <c r="G45" s="84"/>
      <c r="H45" s="84"/>
      <c r="I45" s="71">
        <v>145000</v>
      </c>
      <c r="J45" s="71">
        <f>+I45*19%</f>
        <v>27550</v>
      </c>
      <c r="K45" s="71">
        <f t="shared" si="111"/>
        <v>172550</v>
      </c>
      <c r="L45" s="71">
        <f>+I45*E45</f>
        <v>6090000</v>
      </c>
      <c r="M45" s="71">
        <f>+K45*E45</f>
        <v>7247100</v>
      </c>
      <c r="N45" s="102">
        <v>210000</v>
      </c>
      <c r="O45" s="102">
        <f t="shared" ref="O45" si="113">+N45*0.19</f>
        <v>39900</v>
      </c>
      <c r="P45" s="102">
        <f t="shared" ref="P45:P48" si="114">+N45+O45</f>
        <v>249900</v>
      </c>
      <c r="Q45" s="102">
        <f>+N45*E45</f>
        <v>8820000</v>
      </c>
      <c r="R45" s="102">
        <f>+P45*E45</f>
        <v>10495800</v>
      </c>
      <c r="S45" s="103">
        <v>153700</v>
      </c>
      <c r="T45" s="102">
        <f>+S45*19%</f>
        <v>29203</v>
      </c>
      <c r="U45" s="102">
        <f t="shared" si="112"/>
        <v>182903</v>
      </c>
      <c r="V45" s="102">
        <f>+S45*E45</f>
        <v>6455400</v>
      </c>
      <c r="W45" s="102">
        <f>+U45*E45</f>
        <v>7681926</v>
      </c>
      <c r="X45" s="71">
        <f t="shared" ref="X45" si="115">(I45+N45+S45)/3</f>
        <v>169566.66666666666</v>
      </c>
      <c r="Y45" s="71">
        <f t="shared" si="94"/>
        <v>32217.666666666664</v>
      </c>
      <c r="Z45" s="71">
        <f t="shared" ref="Z45" si="116">+X45+Y45</f>
        <v>201784.33333333331</v>
      </c>
      <c r="AA45" s="71">
        <f t="shared" ref="AA45" si="117">(+X45*E45)</f>
        <v>7121800</v>
      </c>
      <c r="AB45" s="71">
        <f t="shared" ref="AB45" si="118">+Z45*E45</f>
        <v>8474942</v>
      </c>
      <c r="AC45" s="71">
        <f t="shared" ref="AC45" si="119">_xlfn.STDEV.P(M45,R45,W45)</f>
        <v>1439946.4584240625</v>
      </c>
      <c r="AD45" s="72">
        <f t="shared" ref="AD45:AD48" si="120">AC45/AB45</f>
        <v>0.16990634961561535</v>
      </c>
    </row>
    <row r="46" spans="1:30" ht="42.95" customHeight="1" x14ac:dyDescent="0.25">
      <c r="A46" s="45">
        <v>38</v>
      </c>
      <c r="B46" s="46" t="s">
        <v>198</v>
      </c>
      <c r="C46" s="50" t="s">
        <v>169</v>
      </c>
      <c r="D46" s="47" t="s">
        <v>199</v>
      </c>
      <c r="E46" s="84">
        <v>1</v>
      </c>
      <c r="F46" s="84" t="s">
        <v>116</v>
      </c>
      <c r="G46" s="84">
        <v>62</v>
      </c>
      <c r="H46" s="84" t="s">
        <v>113</v>
      </c>
      <c r="I46" s="85">
        <v>88000</v>
      </c>
      <c r="J46" s="86">
        <v>0</v>
      </c>
      <c r="K46" s="86">
        <f>I46+J46</f>
        <v>88000</v>
      </c>
      <c r="L46" s="86">
        <f>I46*G46</f>
        <v>5456000</v>
      </c>
      <c r="M46" s="86">
        <f>K46*G46</f>
        <v>5456000</v>
      </c>
      <c r="N46" s="102">
        <v>115000</v>
      </c>
      <c r="O46" s="102">
        <v>0</v>
      </c>
      <c r="P46" s="102">
        <f>+N46+O46</f>
        <v>115000</v>
      </c>
      <c r="Q46" s="102">
        <f>N46*G46</f>
        <v>7130000</v>
      </c>
      <c r="R46" s="102">
        <f>P46*G46</f>
        <v>7130000</v>
      </c>
      <c r="S46" s="103">
        <v>80000</v>
      </c>
      <c r="T46" s="102">
        <f>+S46*0%</f>
        <v>0</v>
      </c>
      <c r="U46" s="102">
        <f t="shared" si="112"/>
        <v>80000</v>
      </c>
      <c r="V46" s="102">
        <f t="shared" ref="V46" si="121">S46*G46</f>
        <v>4960000</v>
      </c>
      <c r="W46" s="102">
        <f t="shared" ref="W46" si="122">U46*G46</f>
        <v>4960000</v>
      </c>
      <c r="X46" s="71">
        <f>(I46+N46+S46)/3</f>
        <v>94333.333333333328</v>
      </c>
      <c r="Y46" s="71">
        <v>0</v>
      </c>
      <c r="Z46" s="71">
        <f>+X46+Y46</f>
        <v>94333.333333333328</v>
      </c>
      <c r="AA46" s="71">
        <f t="shared" ref="AA46:AA47" si="123">(+X46*E46)*G46</f>
        <v>5848666.666666666</v>
      </c>
      <c r="AB46" s="71">
        <f t="shared" ref="AB46:AB47" si="124">(+Z46*E46)*G46</f>
        <v>5848666.666666666</v>
      </c>
      <c r="AC46" s="71">
        <f>_xlfn.STDEV.P(M46,R46,W46)</f>
        <v>928391.20106893638</v>
      </c>
      <c r="AD46" s="72">
        <f t="shared" si="120"/>
        <v>0.15873552964817106</v>
      </c>
    </row>
    <row r="47" spans="1:30" ht="42.95" customHeight="1" x14ac:dyDescent="0.25">
      <c r="A47" s="45">
        <v>39</v>
      </c>
      <c r="B47" s="46" t="s">
        <v>198</v>
      </c>
      <c r="C47" s="50" t="s">
        <v>200</v>
      </c>
      <c r="D47" s="47" t="s">
        <v>111</v>
      </c>
      <c r="E47" s="84">
        <v>1</v>
      </c>
      <c r="F47" s="84" t="s">
        <v>116</v>
      </c>
      <c r="G47" s="84">
        <v>31</v>
      </c>
      <c r="H47" s="84" t="s">
        <v>113</v>
      </c>
      <c r="I47" s="71">
        <v>400000</v>
      </c>
      <c r="J47" s="71">
        <f>+I47*19%</f>
        <v>76000</v>
      </c>
      <c r="K47" s="71">
        <f t="shared" ref="K47:K48" si="125">+I47+J47</f>
        <v>476000</v>
      </c>
      <c r="L47" s="71">
        <f t="shared" ref="L47:L48" si="126">I47*G47</f>
        <v>12400000</v>
      </c>
      <c r="M47" s="71">
        <f t="shared" ref="M47" si="127">K47*G47</f>
        <v>14756000</v>
      </c>
      <c r="N47" s="102">
        <v>350000</v>
      </c>
      <c r="O47" s="102">
        <f t="shared" ref="O47:O48" si="128">+N47*0.19</f>
        <v>66500</v>
      </c>
      <c r="P47" s="102">
        <f t="shared" si="114"/>
        <v>416500</v>
      </c>
      <c r="Q47" s="102">
        <f>+N47*G47</f>
        <v>10850000</v>
      </c>
      <c r="R47" s="102">
        <f>+P47*G47</f>
        <v>12911500</v>
      </c>
      <c r="S47" s="103">
        <v>360000</v>
      </c>
      <c r="T47" s="102">
        <f>+S47*19%</f>
        <v>68400</v>
      </c>
      <c r="U47" s="102">
        <f t="shared" ref="U47:U48" si="129">+S47+T47</f>
        <v>428400</v>
      </c>
      <c r="V47" s="102">
        <f t="shared" ref="V47:V48" si="130">S47*G47</f>
        <v>11160000</v>
      </c>
      <c r="W47" s="102">
        <f t="shared" ref="W47:W48" si="131">U47*G47</f>
        <v>13280400</v>
      </c>
      <c r="X47" s="71">
        <f>(I47+N47+S47)/3</f>
        <v>370000</v>
      </c>
      <c r="Y47" s="71">
        <f>+X47*19%</f>
        <v>70300</v>
      </c>
      <c r="Z47" s="71">
        <f>+X47+Y47</f>
        <v>440300</v>
      </c>
      <c r="AA47" s="71">
        <f t="shared" si="123"/>
        <v>11470000</v>
      </c>
      <c r="AB47" s="71">
        <f t="shared" si="124"/>
        <v>13649300</v>
      </c>
      <c r="AC47" s="71">
        <f>_xlfn.STDEV.P(M47,R47,W47)</f>
        <v>796915.0812142198</v>
      </c>
      <c r="AD47" s="72">
        <f t="shared" si="120"/>
        <v>5.8385051337007741E-2</v>
      </c>
    </row>
    <row r="48" spans="1:30" ht="42.95" customHeight="1" x14ac:dyDescent="0.25">
      <c r="A48" s="45">
        <v>40</v>
      </c>
      <c r="B48" s="46" t="s">
        <v>198</v>
      </c>
      <c r="C48" s="50" t="s">
        <v>170</v>
      </c>
      <c r="D48" s="54" t="s">
        <v>201</v>
      </c>
      <c r="E48" s="84">
        <v>1</v>
      </c>
      <c r="F48" s="84" t="s">
        <v>116</v>
      </c>
      <c r="G48" s="84">
        <v>31</v>
      </c>
      <c r="H48" s="84" t="s">
        <v>113</v>
      </c>
      <c r="I48" s="71">
        <v>290000</v>
      </c>
      <c r="J48" s="71">
        <f>+I48*19%</f>
        <v>55100</v>
      </c>
      <c r="K48" s="71">
        <f t="shared" si="125"/>
        <v>345100</v>
      </c>
      <c r="L48" s="71">
        <f t="shared" si="126"/>
        <v>8990000</v>
      </c>
      <c r="M48" s="71">
        <f>K48*G48</f>
        <v>10698100</v>
      </c>
      <c r="N48" s="102">
        <v>290000</v>
      </c>
      <c r="O48" s="102">
        <f t="shared" si="128"/>
        <v>55100</v>
      </c>
      <c r="P48" s="102">
        <f t="shared" si="114"/>
        <v>345100</v>
      </c>
      <c r="Q48" s="102">
        <f>+N48*G48</f>
        <v>8990000</v>
      </c>
      <c r="R48" s="102">
        <f>+P48*G48</f>
        <v>10698100</v>
      </c>
      <c r="S48" s="103">
        <v>288000</v>
      </c>
      <c r="T48" s="102">
        <f>+S48*19%</f>
        <v>54720</v>
      </c>
      <c r="U48" s="102">
        <f t="shared" si="129"/>
        <v>342720</v>
      </c>
      <c r="V48" s="102">
        <f t="shared" si="130"/>
        <v>8928000</v>
      </c>
      <c r="W48" s="102">
        <f t="shared" si="131"/>
        <v>10624320</v>
      </c>
      <c r="X48" s="71">
        <f t="shared" ref="X48" si="132">(I48+N48+S48)/3</f>
        <v>289333.33333333331</v>
      </c>
      <c r="Y48" s="71">
        <f t="shared" ref="Y48" si="133">+X48*19%</f>
        <v>54973.333333333328</v>
      </c>
      <c r="Z48" s="71">
        <f t="shared" ref="Z48" si="134">+X48+Y48</f>
        <v>344306.66666666663</v>
      </c>
      <c r="AA48" s="71">
        <f>(+X48*E48)*G48</f>
        <v>8969333.3333333321</v>
      </c>
      <c r="AB48" s="71">
        <f>(+Z48*E48)*G48</f>
        <v>10673506.666666666</v>
      </c>
      <c r="AC48" s="71">
        <f>_xlfn.STDEV.P(M48,R48,W48)</f>
        <v>34780.225543962319</v>
      </c>
      <c r="AD48" s="72">
        <f t="shared" si="120"/>
        <v>3.2585565953297123E-3</v>
      </c>
    </row>
    <row r="49" spans="1:30" ht="42.95" customHeight="1" x14ac:dyDescent="0.25">
      <c r="A49" s="165" t="s">
        <v>162</v>
      </c>
      <c r="B49" s="165"/>
      <c r="C49" s="165"/>
      <c r="D49" s="165"/>
      <c r="E49" s="165"/>
      <c r="F49" s="165"/>
      <c r="G49" s="165"/>
      <c r="H49" s="165"/>
      <c r="I49" s="76"/>
      <c r="J49" s="76"/>
      <c r="K49" s="76"/>
      <c r="L49" s="82">
        <f>SUM(L38:L48)</f>
        <v>173788000</v>
      </c>
      <c r="M49" s="82">
        <f>SUM(M38:M48)</f>
        <v>193063880</v>
      </c>
      <c r="N49" s="74"/>
      <c r="O49" s="74"/>
      <c r="P49" s="74"/>
      <c r="Q49" s="82">
        <f>SUM(Q38:Q48)</f>
        <v>186634000</v>
      </c>
      <c r="R49" s="82">
        <f>SUM(R38:R48)</f>
        <v>204133760</v>
      </c>
      <c r="S49" s="95"/>
      <c r="T49" s="95"/>
      <c r="U49" s="95"/>
      <c r="V49" s="96">
        <f>SUM(V38:V48)</f>
        <v>158473400</v>
      </c>
      <c r="W49" s="96">
        <f>SUM(W38:W48)</f>
        <v>176088946</v>
      </c>
      <c r="X49" s="74"/>
      <c r="Y49" s="74"/>
      <c r="Z49" s="74"/>
      <c r="AA49" s="96">
        <f t="shared" ref="AA49:AB49" si="135">SUM(AA38:AA48)</f>
        <v>172965133.33333331</v>
      </c>
      <c r="AB49" s="96">
        <f t="shared" si="135"/>
        <v>191095528.66666663</v>
      </c>
      <c r="AC49" s="96"/>
      <c r="AD49" s="75"/>
    </row>
    <row r="50" spans="1:30" ht="42.95" customHeight="1" x14ac:dyDescent="0.25">
      <c r="A50" s="164" t="s">
        <v>202</v>
      </c>
      <c r="B50" s="164"/>
      <c r="C50" s="164"/>
      <c r="D50" s="164"/>
      <c r="E50" s="164"/>
      <c r="F50" s="164"/>
      <c r="G50" s="164"/>
      <c r="H50" s="164"/>
      <c r="I50" s="164"/>
      <c r="J50" s="164"/>
      <c r="K50" s="164"/>
      <c r="L50" s="164"/>
      <c r="M50" s="164"/>
      <c r="N50" s="164"/>
      <c r="O50" s="164"/>
      <c r="P50" s="164"/>
      <c r="Q50" s="164"/>
      <c r="R50" s="164"/>
      <c r="S50" s="164"/>
      <c r="T50" s="164"/>
      <c r="U50" s="164"/>
      <c r="V50" s="164"/>
      <c r="W50" s="164"/>
      <c r="X50" s="164"/>
      <c r="Y50" s="164"/>
      <c r="Z50" s="164"/>
      <c r="AA50" s="164"/>
      <c r="AB50" s="164"/>
      <c r="AC50" s="164"/>
      <c r="AD50" s="164"/>
    </row>
    <row r="51" spans="1:30" ht="42.95" customHeight="1" x14ac:dyDescent="0.25">
      <c r="A51" s="45">
        <v>41</v>
      </c>
      <c r="B51" s="46" t="s">
        <v>203</v>
      </c>
      <c r="C51" s="50" t="s">
        <v>169</v>
      </c>
      <c r="D51" s="54" t="s">
        <v>204</v>
      </c>
      <c r="E51" s="84">
        <v>1</v>
      </c>
      <c r="F51" s="84" t="s">
        <v>116</v>
      </c>
      <c r="G51" s="84">
        <v>30</v>
      </c>
      <c r="H51" s="84" t="s">
        <v>205</v>
      </c>
      <c r="I51" s="71">
        <v>88000</v>
      </c>
      <c r="J51" s="71">
        <v>0</v>
      </c>
      <c r="K51" s="71">
        <f>I51+J51</f>
        <v>88000</v>
      </c>
      <c r="L51" s="71">
        <f>I51*G51</f>
        <v>2640000</v>
      </c>
      <c r="M51" s="71">
        <f>K51*G51</f>
        <v>2640000</v>
      </c>
      <c r="N51" s="102">
        <v>115000</v>
      </c>
      <c r="O51" s="102">
        <v>0</v>
      </c>
      <c r="P51" s="102">
        <f>+N51+O51</f>
        <v>115000</v>
      </c>
      <c r="Q51" s="102">
        <f>N51*G51</f>
        <v>3450000</v>
      </c>
      <c r="R51" s="102">
        <f>P51*G51</f>
        <v>3450000</v>
      </c>
      <c r="S51" s="103">
        <v>80000</v>
      </c>
      <c r="T51" s="102">
        <f>+S51*0%</f>
        <v>0</v>
      </c>
      <c r="U51" s="102">
        <f t="shared" ref="U51:U54" si="136">+S51+T51</f>
        <v>80000</v>
      </c>
      <c r="V51" s="102">
        <f t="shared" ref="V51" si="137">S51*G51</f>
        <v>2400000</v>
      </c>
      <c r="W51" s="102">
        <f t="shared" ref="W51" si="138">U51*G51</f>
        <v>2400000</v>
      </c>
      <c r="X51" s="71">
        <f>(I51+N51+S51)/3</f>
        <v>94333.333333333328</v>
      </c>
      <c r="Y51" s="71">
        <v>0</v>
      </c>
      <c r="Z51" s="71">
        <f>+X51+Y51</f>
        <v>94333.333333333328</v>
      </c>
      <c r="AA51" s="71">
        <f t="shared" ref="AA51" si="139">(+X51*E51)*G51</f>
        <v>2830000</v>
      </c>
      <c r="AB51" s="71">
        <f t="shared" ref="AB51" si="140">(+Z51*E51)*G51</f>
        <v>2830000</v>
      </c>
      <c r="AC51" s="71">
        <f>_xlfn.STDEV.P(M51,R51,W51)</f>
        <v>449221.54890432407</v>
      </c>
      <c r="AD51" s="72">
        <f>AC51/AB51</f>
        <v>0.15873552964817106</v>
      </c>
    </row>
    <row r="52" spans="1:30" ht="126" customHeight="1" x14ac:dyDescent="0.25">
      <c r="A52" s="45">
        <v>42</v>
      </c>
      <c r="B52" s="46" t="s">
        <v>203</v>
      </c>
      <c r="C52" s="50" t="s">
        <v>170</v>
      </c>
      <c r="D52" s="47" t="s">
        <v>118</v>
      </c>
      <c r="E52" s="49">
        <v>15</v>
      </c>
      <c r="F52" s="49" t="s">
        <v>116</v>
      </c>
      <c r="G52" s="49"/>
      <c r="H52" s="49"/>
      <c r="I52" s="71">
        <v>43000</v>
      </c>
      <c r="J52" s="71">
        <f>+I52*19%</f>
        <v>8170</v>
      </c>
      <c r="K52" s="71">
        <f t="shared" ref="K52" si="141">+I52+J52</f>
        <v>51170</v>
      </c>
      <c r="L52" s="71">
        <f>+I52*E52</f>
        <v>645000</v>
      </c>
      <c r="M52" s="71">
        <f>+K52*E52</f>
        <v>767550</v>
      </c>
      <c r="N52" s="102">
        <v>62000</v>
      </c>
      <c r="O52" s="102">
        <f t="shared" ref="O52:O54" si="142">+N52*0.19</f>
        <v>11780</v>
      </c>
      <c r="P52" s="102">
        <f t="shared" ref="P52" si="143">+N52+O52</f>
        <v>73780</v>
      </c>
      <c r="Q52" s="102">
        <f>+N52*E52</f>
        <v>930000</v>
      </c>
      <c r="R52" s="102">
        <f>+P52*E52</f>
        <v>1106700</v>
      </c>
      <c r="S52" s="103">
        <v>45580</v>
      </c>
      <c r="T52" s="102">
        <f>+S52*19%</f>
        <v>8660.2000000000007</v>
      </c>
      <c r="U52" s="102">
        <f t="shared" si="136"/>
        <v>54240.2</v>
      </c>
      <c r="V52" s="102">
        <f>+S52*E52</f>
        <v>683700</v>
      </c>
      <c r="W52" s="102">
        <f>+U52*E52</f>
        <v>813603</v>
      </c>
      <c r="X52" s="71">
        <f t="shared" ref="X52" si="144">(I52+N52+S52)/3</f>
        <v>50193.333333333336</v>
      </c>
      <c r="Y52" s="71">
        <f t="shared" ref="Y52" si="145">+X52*19%</f>
        <v>9536.7333333333336</v>
      </c>
      <c r="Z52" s="71">
        <f t="shared" ref="Z52" si="146">+X52+Y52</f>
        <v>59730.066666666666</v>
      </c>
      <c r="AA52" s="71">
        <f t="shared" ref="AA52" si="147">(+X52*E52)</f>
        <v>752900</v>
      </c>
      <c r="AB52" s="71">
        <f t="shared" ref="AB52" si="148">+Z52*E52</f>
        <v>895951</v>
      </c>
      <c r="AC52" s="71">
        <f t="shared" ref="AC52" si="149">_xlfn.STDEV.P(M52,R52,W52)</f>
        <v>150203.36315142881</v>
      </c>
      <c r="AD52" s="72">
        <f t="shared" ref="AD52" si="150">AC52/AB52</f>
        <v>0.1676468502757727</v>
      </c>
    </row>
    <row r="53" spans="1:30" ht="72.75" customHeight="1" x14ac:dyDescent="0.25">
      <c r="A53" s="45">
        <v>43</v>
      </c>
      <c r="B53" s="46" t="s">
        <v>206</v>
      </c>
      <c r="C53" s="47" t="s">
        <v>207</v>
      </c>
      <c r="D53" s="47" t="s">
        <v>120</v>
      </c>
      <c r="E53" s="49">
        <v>1</v>
      </c>
      <c r="F53" s="49" t="s">
        <v>54</v>
      </c>
      <c r="G53" s="49">
        <v>74</v>
      </c>
      <c r="H53" s="49" t="s">
        <v>113</v>
      </c>
      <c r="I53" s="71">
        <v>130000</v>
      </c>
      <c r="J53" s="71">
        <f>+I53*0%</f>
        <v>0</v>
      </c>
      <c r="K53" s="71">
        <v>130000</v>
      </c>
      <c r="L53" s="71">
        <f>(I53*G53)*E53</f>
        <v>9620000</v>
      </c>
      <c r="M53" s="71">
        <f>(K53*G53)*E53</f>
        <v>9620000</v>
      </c>
      <c r="N53" s="102">
        <v>125000</v>
      </c>
      <c r="O53" s="102">
        <v>0</v>
      </c>
      <c r="P53" s="102">
        <f>+N53+O53</f>
        <v>125000</v>
      </c>
      <c r="Q53" s="102">
        <f>N53*G53</f>
        <v>9250000</v>
      </c>
      <c r="R53" s="102">
        <f>P53*G53</f>
        <v>9250000</v>
      </c>
      <c r="S53" s="103">
        <v>100000</v>
      </c>
      <c r="T53" s="102">
        <f>+S53*0%</f>
        <v>0</v>
      </c>
      <c r="U53" s="102">
        <f t="shared" si="136"/>
        <v>100000</v>
      </c>
      <c r="V53" s="102">
        <f t="shared" ref="V53" si="151">S53*G53</f>
        <v>7400000</v>
      </c>
      <c r="W53" s="102">
        <f>U53*G53</f>
        <v>7400000</v>
      </c>
      <c r="X53" s="71">
        <f>(I53+N53+S53)/3</f>
        <v>118333.33333333333</v>
      </c>
      <c r="Y53" s="71">
        <v>0</v>
      </c>
      <c r="Z53" s="71">
        <f>+X53+Y53</f>
        <v>118333.33333333333</v>
      </c>
      <c r="AA53" s="71">
        <f t="shared" ref="AA53" si="152">(+X53*E53)*G53</f>
        <v>8756666.666666666</v>
      </c>
      <c r="AB53" s="71">
        <f>(+Z53*E53)*G53</f>
        <v>8756666.666666666</v>
      </c>
      <c r="AC53" s="71">
        <f>_xlfn.STDEV.P(M53,R53,W53)</f>
        <v>971127.63779479009</v>
      </c>
      <c r="AD53" s="72">
        <f>AC53/AB53</f>
        <v>0.11090151935227904</v>
      </c>
    </row>
    <row r="54" spans="1:30" ht="102" customHeight="1" x14ac:dyDescent="0.25">
      <c r="A54" s="45">
        <v>44</v>
      </c>
      <c r="B54" s="46" t="s">
        <v>206</v>
      </c>
      <c r="C54" s="50" t="s">
        <v>185</v>
      </c>
      <c r="D54" s="47" t="s">
        <v>186</v>
      </c>
      <c r="E54" s="49">
        <v>37</v>
      </c>
      <c r="F54" s="49" t="s">
        <v>116</v>
      </c>
      <c r="G54" s="49"/>
      <c r="H54" s="49"/>
      <c r="I54" s="70">
        <v>350000</v>
      </c>
      <c r="J54" s="102">
        <f t="shared" ref="J54" si="153">+I54*0.19</f>
        <v>66500</v>
      </c>
      <c r="K54" s="71">
        <f>J54+I54</f>
        <v>416500</v>
      </c>
      <c r="L54" s="71">
        <f>I54*E54</f>
        <v>12950000</v>
      </c>
      <c r="M54" s="71">
        <f>K54*E54</f>
        <v>15410500</v>
      </c>
      <c r="N54" s="102">
        <v>400000</v>
      </c>
      <c r="O54" s="102">
        <f t="shared" si="142"/>
        <v>76000</v>
      </c>
      <c r="P54" s="102">
        <f t="shared" ref="P54" si="154">+N54+O54</f>
        <v>476000</v>
      </c>
      <c r="Q54" s="102">
        <f>+N54*E54</f>
        <v>14800000</v>
      </c>
      <c r="R54" s="102">
        <f>+P54*E54</f>
        <v>17612000</v>
      </c>
      <c r="S54" s="103">
        <v>371000</v>
      </c>
      <c r="T54" s="102">
        <f t="shared" ref="T54" si="155">+S54*0.19</f>
        <v>70490</v>
      </c>
      <c r="U54" s="102">
        <f t="shared" si="136"/>
        <v>441490</v>
      </c>
      <c r="V54" s="102">
        <f>+S54*E54</f>
        <v>13727000</v>
      </c>
      <c r="W54" s="102">
        <f>+U54*E54</f>
        <v>16335130</v>
      </c>
      <c r="X54" s="71">
        <f t="shared" ref="X54" si="156">(I54+N54+S54)/3</f>
        <v>373666.66666666669</v>
      </c>
      <c r="Y54" s="71">
        <f t="shared" ref="Y54" si="157">+X54*19%</f>
        <v>70996.666666666672</v>
      </c>
      <c r="Z54" s="71">
        <f t="shared" ref="Z54" si="158">+X54+Y54</f>
        <v>444663.33333333337</v>
      </c>
      <c r="AA54" s="71">
        <f>(+X54*E54)</f>
        <v>13825666.666666668</v>
      </c>
      <c r="AB54" s="71">
        <f t="shared" ref="AB54" si="159">+Z54*E54</f>
        <v>16452543.333333334</v>
      </c>
      <c r="AC54" s="71">
        <f t="shared" ref="AC54" si="160">_xlfn.STDEV.P(M54,R54,W54)</f>
        <v>902585.16888373974</v>
      </c>
      <c r="AD54" s="72">
        <f t="shared" ref="AD54" si="161">AC54/AB54</f>
        <v>5.4859917436295445E-2</v>
      </c>
    </row>
    <row r="55" spans="1:30" ht="42.95" customHeight="1" x14ac:dyDescent="0.25">
      <c r="A55" s="165" t="s">
        <v>162</v>
      </c>
      <c r="B55" s="165"/>
      <c r="C55" s="165"/>
      <c r="D55" s="165"/>
      <c r="E55" s="165"/>
      <c r="F55" s="165"/>
      <c r="G55" s="165"/>
      <c r="H55" s="165"/>
      <c r="I55" s="66"/>
      <c r="J55" s="74"/>
      <c r="K55" s="74"/>
      <c r="L55" s="64">
        <f>SUM(L51:L54)</f>
        <v>25855000</v>
      </c>
      <c r="M55" s="64">
        <f>SUM(M51:M54)</f>
        <v>28438050</v>
      </c>
      <c r="N55" s="74"/>
      <c r="O55" s="74"/>
      <c r="P55" s="74"/>
      <c r="Q55" s="64">
        <f>SUM(Q51:Q54)</f>
        <v>28430000</v>
      </c>
      <c r="R55" s="64">
        <f>SUM(R51:R54)</f>
        <v>31418700</v>
      </c>
      <c r="S55" s="95"/>
      <c r="T55" s="95"/>
      <c r="U55" s="95"/>
      <c r="V55" s="94">
        <f>SUM(V51:V54)</f>
        <v>24210700</v>
      </c>
      <c r="W55" s="94">
        <f>SUM(W51:W54)</f>
        <v>26948733</v>
      </c>
      <c r="X55" s="74"/>
      <c r="Y55" s="74"/>
      <c r="Z55" s="74"/>
      <c r="AA55" s="94">
        <f t="shared" ref="AA55:AB55" si="162">SUM(AA51:AA54)</f>
        <v>26165233.333333336</v>
      </c>
      <c r="AB55" s="94">
        <f t="shared" si="162"/>
        <v>28935161</v>
      </c>
      <c r="AC55" s="94"/>
      <c r="AD55" s="75"/>
    </row>
    <row r="56" spans="1:30" ht="42.95" customHeight="1" x14ac:dyDescent="0.25">
      <c r="A56" s="164" t="s">
        <v>208</v>
      </c>
      <c r="B56" s="164"/>
      <c r="C56" s="164"/>
      <c r="D56" s="164"/>
      <c r="E56" s="164"/>
      <c r="F56" s="164"/>
      <c r="G56" s="164"/>
      <c r="H56" s="164"/>
      <c r="I56" s="164"/>
      <c r="J56" s="164"/>
      <c r="K56" s="164"/>
      <c r="L56" s="164"/>
      <c r="M56" s="164"/>
      <c r="N56" s="164"/>
      <c r="O56" s="164"/>
      <c r="P56" s="164"/>
      <c r="Q56" s="164"/>
      <c r="R56" s="164"/>
      <c r="S56" s="164"/>
      <c r="T56" s="164"/>
      <c r="U56" s="164"/>
      <c r="V56" s="164"/>
      <c r="W56" s="164"/>
      <c r="X56" s="164"/>
      <c r="Y56" s="164"/>
      <c r="Z56" s="164"/>
      <c r="AA56" s="164"/>
      <c r="AB56" s="164"/>
      <c r="AC56" s="164"/>
      <c r="AD56" s="164"/>
    </row>
    <row r="57" spans="1:30" ht="42.95" customHeight="1" x14ac:dyDescent="0.25">
      <c r="A57" s="45">
        <v>45</v>
      </c>
      <c r="B57" s="46" t="s">
        <v>209</v>
      </c>
      <c r="C57" s="50" t="s">
        <v>169</v>
      </c>
      <c r="D57" s="47" t="s">
        <v>210</v>
      </c>
      <c r="E57" s="84">
        <v>1</v>
      </c>
      <c r="F57" s="84" t="s">
        <v>116</v>
      </c>
      <c r="G57" s="84">
        <f>57*4</f>
        <v>228</v>
      </c>
      <c r="H57" s="84" t="s">
        <v>205</v>
      </c>
      <c r="I57" s="85">
        <v>88000</v>
      </c>
      <c r="J57" s="86">
        <v>0</v>
      </c>
      <c r="K57" s="86">
        <f>I57+J57</f>
        <v>88000</v>
      </c>
      <c r="L57" s="86">
        <f>I57*G57</f>
        <v>20064000</v>
      </c>
      <c r="M57" s="86">
        <f>K57*G57</f>
        <v>20064000</v>
      </c>
      <c r="N57" s="102">
        <v>115000</v>
      </c>
      <c r="O57" s="102">
        <v>0</v>
      </c>
      <c r="P57" s="102">
        <f>+N57+O57</f>
        <v>115000</v>
      </c>
      <c r="Q57" s="102">
        <f>N57*G57</f>
        <v>26220000</v>
      </c>
      <c r="R57" s="102">
        <f>P57*G57</f>
        <v>26220000</v>
      </c>
      <c r="S57" s="103">
        <v>80000</v>
      </c>
      <c r="T57" s="102">
        <f>+S57*0%</f>
        <v>0</v>
      </c>
      <c r="U57" s="102">
        <f t="shared" ref="U57:U58" si="163">+S57+T57</f>
        <v>80000</v>
      </c>
      <c r="V57" s="102">
        <f t="shared" ref="V57" si="164">S57*G57</f>
        <v>18240000</v>
      </c>
      <c r="W57" s="102">
        <f t="shared" ref="W57" si="165">U57*G57</f>
        <v>18240000</v>
      </c>
      <c r="X57" s="71">
        <f>(I57+N57+S57)/3</f>
        <v>94333.333333333328</v>
      </c>
      <c r="Y57" s="71">
        <v>0</v>
      </c>
      <c r="Z57" s="71">
        <f>+X57+Y57</f>
        <v>94333.333333333328</v>
      </c>
      <c r="AA57" s="71">
        <f t="shared" ref="AA57:AA58" si="166">(+X57*E57)*G57</f>
        <v>21508000</v>
      </c>
      <c r="AB57" s="71">
        <f t="shared" ref="AB57:AB58" si="167">(+Z57*E57)*G57</f>
        <v>21508000</v>
      </c>
      <c r="AC57" s="71">
        <f>_xlfn.STDEV.P(M57,R57,W57)</f>
        <v>3414083.7716728626</v>
      </c>
      <c r="AD57" s="72">
        <f>AC57/AB57</f>
        <v>0.15873552964817103</v>
      </c>
    </row>
    <row r="58" spans="1:30" ht="42.95" customHeight="1" x14ac:dyDescent="0.25">
      <c r="A58" s="45">
        <v>46</v>
      </c>
      <c r="B58" s="46" t="s">
        <v>209</v>
      </c>
      <c r="C58" s="50" t="s">
        <v>211</v>
      </c>
      <c r="D58" s="47" t="s">
        <v>212</v>
      </c>
      <c r="E58" s="84">
        <v>1</v>
      </c>
      <c r="F58" s="84" t="s">
        <v>116</v>
      </c>
      <c r="G58" s="49">
        <f>2*57</f>
        <v>114</v>
      </c>
      <c r="H58" s="49" t="s">
        <v>113</v>
      </c>
      <c r="I58" s="71">
        <v>120000</v>
      </c>
      <c r="J58" s="71">
        <f>+I58*0%</f>
        <v>0</v>
      </c>
      <c r="K58" s="71">
        <f t="shared" ref="K58:K59" si="168">+I58+J58</f>
        <v>120000</v>
      </c>
      <c r="L58" s="71">
        <f>(I58*G58)*E58</f>
        <v>13680000</v>
      </c>
      <c r="M58" s="71">
        <f>(K58*G58)*E58</f>
        <v>13680000</v>
      </c>
      <c r="N58" s="102">
        <v>100000</v>
      </c>
      <c r="O58" s="102">
        <v>0</v>
      </c>
      <c r="P58" s="102">
        <f t="shared" ref="P58:P62" si="169">+N58+O58</f>
        <v>100000</v>
      </c>
      <c r="Q58" s="102">
        <f>N58*G58</f>
        <v>11400000</v>
      </c>
      <c r="R58" s="102">
        <f>P58*G58</f>
        <v>11400000</v>
      </c>
      <c r="S58" s="103">
        <v>80000</v>
      </c>
      <c r="T58" s="102">
        <f>+S58*0%</f>
        <v>0</v>
      </c>
      <c r="U58" s="102">
        <f t="shared" si="163"/>
        <v>80000</v>
      </c>
      <c r="V58" s="102">
        <f t="shared" ref="V58" si="170">S58*G58</f>
        <v>9120000</v>
      </c>
      <c r="W58" s="102">
        <f t="shared" ref="W58" si="171">U58*G58</f>
        <v>9120000</v>
      </c>
      <c r="X58" s="71">
        <f>(I58+N58+S58)/3</f>
        <v>100000</v>
      </c>
      <c r="Y58" s="71">
        <v>0</v>
      </c>
      <c r="Z58" s="71">
        <f>+X58+Y58</f>
        <v>100000</v>
      </c>
      <c r="AA58" s="71">
        <f t="shared" si="166"/>
        <v>11400000</v>
      </c>
      <c r="AB58" s="71">
        <f t="shared" si="167"/>
        <v>11400000</v>
      </c>
      <c r="AC58" s="71">
        <f>_xlfn.STDEV.P(M58,R58,W58)</f>
        <v>1861612.2045152152</v>
      </c>
      <c r="AD58" s="72">
        <f>AC58/AB58</f>
        <v>0.16329931618554519</v>
      </c>
    </row>
    <row r="59" spans="1:30" ht="42.95" customHeight="1" x14ac:dyDescent="0.25">
      <c r="A59" s="45">
        <v>47</v>
      </c>
      <c r="B59" s="46" t="s">
        <v>209</v>
      </c>
      <c r="C59" s="50" t="s">
        <v>170</v>
      </c>
      <c r="D59" s="54" t="s">
        <v>124</v>
      </c>
      <c r="E59" s="49">
        <v>57</v>
      </c>
      <c r="F59" s="49" t="s">
        <v>66</v>
      </c>
      <c r="G59" s="49"/>
      <c r="H59" s="49"/>
      <c r="I59" s="71">
        <v>105000</v>
      </c>
      <c r="J59" s="71">
        <f>+I59*19%</f>
        <v>19950</v>
      </c>
      <c r="K59" s="71">
        <f t="shared" si="168"/>
        <v>124950</v>
      </c>
      <c r="L59" s="71">
        <f>I59*E59</f>
        <v>5985000</v>
      </c>
      <c r="M59" s="71">
        <f>+K59*E59</f>
        <v>7122150</v>
      </c>
      <c r="N59" s="102">
        <v>160000</v>
      </c>
      <c r="O59" s="102">
        <f t="shared" ref="O59" si="172">+N59*0.19</f>
        <v>30400</v>
      </c>
      <c r="P59" s="102">
        <f t="shared" si="169"/>
        <v>190400</v>
      </c>
      <c r="Q59" s="102">
        <f>N59*E59</f>
        <v>9120000</v>
      </c>
      <c r="R59" s="102">
        <f>+P59*E59</f>
        <v>10852800</v>
      </c>
      <c r="S59" s="103">
        <v>115000</v>
      </c>
      <c r="T59" s="102">
        <f>+S59*19%</f>
        <v>21850</v>
      </c>
      <c r="U59" s="102">
        <f t="shared" ref="U59:U61" si="173">+S59+T59</f>
        <v>136850</v>
      </c>
      <c r="V59" s="102">
        <f>S59*E59</f>
        <v>6555000</v>
      </c>
      <c r="W59" s="102">
        <f>+U59*E59</f>
        <v>7800450</v>
      </c>
      <c r="X59" s="71">
        <f t="shared" ref="X59:X62" si="174">(I59+N59+S59)/3</f>
        <v>126666.66666666667</v>
      </c>
      <c r="Y59" s="71">
        <f t="shared" ref="Y59:Y62" si="175">+X59*19%</f>
        <v>24066.666666666668</v>
      </c>
      <c r="Z59" s="71">
        <f t="shared" ref="Z59:Z62" si="176">+X59+Y59</f>
        <v>150733.33333333334</v>
      </c>
      <c r="AA59" s="71">
        <f t="shared" ref="AA59:AA62" si="177">(+X59*E59)</f>
        <v>7220000</v>
      </c>
      <c r="AB59" s="71">
        <f t="shared" ref="AB59:AB62" si="178">+Z59*E59</f>
        <v>8591800</v>
      </c>
      <c r="AC59" s="71">
        <f t="shared" ref="AC59:AC62" si="179">_xlfn.STDEV.P(M59,R59,W59)</f>
        <v>1622572.745672748</v>
      </c>
      <c r="AD59" s="72">
        <f t="shared" ref="AD59:AD62" si="180">AC59/AB59</f>
        <v>0.18885131703167532</v>
      </c>
    </row>
    <row r="60" spans="1:30" ht="42.95" customHeight="1" x14ac:dyDescent="0.25">
      <c r="A60" s="45">
        <v>48</v>
      </c>
      <c r="B60" s="46" t="s">
        <v>209</v>
      </c>
      <c r="C60" s="50" t="s">
        <v>176</v>
      </c>
      <c r="D60" s="54" t="s">
        <v>84</v>
      </c>
      <c r="E60" s="84">
        <v>2296</v>
      </c>
      <c r="F60" s="84" t="s">
        <v>116</v>
      </c>
      <c r="G60" s="84"/>
      <c r="H60" s="84"/>
      <c r="I60" s="71">
        <v>19000</v>
      </c>
      <c r="J60" s="71">
        <f t="shared" ref="J60:J62" si="181">+I60*19%</f>
        <v>3610</v>
      </c>
      <c r="K60" s="71">
        <f t="shared" ref="K60:K62" si="182">I60+J60</f>
        <v>22610</v>
      </c>
      <c r="L60" s="71">
        <f>I60*E60</f>
        <v>43624000</v>
      </c>
      <c r="M60" s="71">
        <f>K60*E60</f>
        <v>51912560</v>
      </c>
      <c r="N60" s="102">
        <v>13000</v>
      </c>
      <c r="O60" s="102">
        <f>+N60*19%</f>
        <v>2470</v>
      </c>
      <c r="P60" s="102">
        <f t="shared" si="169"/>
        <v>15470</v>
      </c>
      <c r="Q60" s="102">
        <f>+N60*E60</f>
        <v>29848000</v>
      </c>
      <c r="R60" s="102">
        <f>+P60*E60</f>
        <v>35519120</v>
      </c>
      <c r="S60" s="103">
        <v>15500</v>
      </c>
      <c r="T60" s="102">
        <f>+S60*19%</f>
        <v>2945</v>
      </c>
      <c r="U60" s="102">
        <f t="shared" si="173"/>
        <v>18445</v>
      </c>
      <c r="V60" s="102">
        <f>+S60*E60</f>
        <v>35588000</v>
      </c>
      <c r="W60" s="102">
        <f>+U60*E60</f>
        <v>42349720</v>
      </c>
      <c r="X60" s="71">
        <f t="shared" si="174"/>
        <v>15833.333333333334</v>
      </c>
      <c r="Y60" s="71">
        <f t="shared" si="175"/>
        <v>3008.3333333333335</v>
      </c>
      <c r="Z60" s="71">
        <f t="shared" si="176"/>
        <v>18841.666666666668</v>
      </c>
      <c r="AA60" s="71">
        <f>(+X60*E60)</f>
        <v>36353333.333333336</v>
      </c>
      <c r="AB60" s="71">
        <f t="shared" si="178"/>
        <v>43260466.666666672</v>
      </c>
      <c r="AC60" s="71">
        <f t="shared" si="179"/>
        <v>6723506.693015351</v>
      </c>
      <c r="AD60" s="72">
        <f t="shared" si="180"/>
        <v>0.15541919010771998</v>
      </c>
    </row>
    <row r="61" spans="1:30" ht="42.95" customHeight="1" x14ac:dyDescent="0.25">
      <c r="A61" s="45">
        <v>49</v>
      </c>
      <c r="B61" s="46" t="s">
        <v>209</v>
      </c>
      <c r="C61" s="50" t="s">
        <v>178</v>
      </c>
      <c r="D61" s="54" t="s">
        <v>89</v>
      </c>
      <c r="E61" s="84">
        <v>57</v>
      </c>
      <c r="F61" s="84" t="s">
        <v>116</v>
      </c>
      <c r="G61" s="84"/>
      <c r="H61" s="84"/>
      <c r="I61" s="71">
        <v>1200000</v>
      </c>
      <c r="J61" s="71">
        <f t="shared" si="181"/>
        <v>228000</v>
      </c>
      <c r="K61" s="71">
        <f t="shared" si="182"/>
        <v>1428000</v>
      </c>
      <c r="L61" s="71">
        <f t="shared" ref="L61:L62" si="183">I61*E61</f>
        <v>68400000</v>
      </c>
      <c r="M61" s="71">
        <f t="shared" ref="M61:M62" si="184">K61*E61</f>
        <v>81396000</v>
      </c>
      <c r="N61" s="102">
        <v>1150000</v>
      </c>
      <c r="O61" s="102">
        <f t="shared" ref="O61:O62" si="185">+N61*0.19</f>
        <v>218500</v>
      </c>
      <c r="P61" s="102">
        <f t="shared" si="169"/>
        <v>1368500</v>
      </c>
      <c r="Q61" s="102">
        <f>+N61*E61</f>
        <v>65550000</v>
      </c>
      <c r="R61" s="102">
        <f>+P61*E61</f>
        <v>78004500</v>
      </c>
      <c r="S61" s="103">
        <v>1210000</v>
      </c>
      <c r="T61" s="102">
        <f>S61*19%</f>
        <v>229900</v>
      </c>
      <c r="U61" s="102">
        <f t="shared" si="173"/>
        <v>1439900</v>
      </c>
      <c r="V61" s="102">
        <f t="shared" ref="V61:V62" si="186">+S61*E61</f>
        <v>68970000</v>
      </c>
      <c r="W61" s="102">
        <f t="shared" ref="W61:W62" si="187">+U61*E61</f>
        <v>82074300</v>
      </c>
      <c r="X61" s="71">
        <f t="shared" si="174"/>
        <v>1186666.6666666667</v>
      </c>
      <c r="Y61" s="71">
        <f t="shared" si="175"/>
        <v>225466.66666666669</v>
      </c>
      <c r="Z61" s="71">
        <f t="shared" si="176"/>
        <v>1412133.3333333335</v>
      </c>
      <c r="AA61" s="71">
        <f t="shared" si="177"/>
        <v>67640000</v>
      </c>
      <c r="AB61" s="71">
        <f t="shared" si="178"/>
        <v>80491600.000000015</v>
      </c>
      <c r="AC61" s="71">
        <f t="shared" si="179"/>
        <v>1780313.1803140705</v>
      </c>
      <c r="AD61" s="72">
        <f t="shared" si="180"/>
        <v>2.2117999646100589E-2</v>
      </c>
    </row>
    <row r="62" spans="1:30" ht="42.95" customHeight="1" x14ac:dyDescent="0.25">
      <c r="A62" s="45">
        <v>50</v>
      </c>
      <c r="B62" s="46" t="s">
        <v>209</v>
      </c>
      <c r="C62" s="50" t="s">
        <v>179</v>
      </c>
      <c r="D62" s="54" t="s">
        <v>91</v>
      </c>
      <c r="E62" s="84">
        <v>2296</v>
      </c>
      <c r="F62" s="84" t="s">
        <v>116</v>
      </c>
      <c r="G62" s="84"/>
      <c r="H62" s="84"/>
      <c r="I62" s="70">
        <v>6000</v>
      </c>
      <c r="J62" s="71">
        <f t="shared" si="181"/>
        <v>1140</v>
      </c>
      <c r="K62" s="71">
        <f t="shared" si="182"/>
        <v>7140</v>
      </c>
      <c r="L62" s="71">
        <f t="shared" si="183"/>
        <v>13776000</v>
      </c>
      <c r="M62" s="71">
        <f t="shared" si="184"/>
        <v>16393440</v>
      </c>
      <c r="N62" s="102">
        <v>7000</v>
      </c>
      <c r="O62" s="102">
        <f t="shared" si="185"/>
        <v>1330</v>
      </c>
      <c r="P62" s="102">
        <f t="shared" si="169"/>
        <v>8330</v>
      </c>
      <c r="Q62" s="102">
        <f>+N62*E62</f>
        <v>16072000</v>
      </c>
      <c r="R62" s="102">
        <f>+P62*E62</f>
        <v>19125680</v>
      </c>
      <c r="S62" s="103">
        <v>6360</v>
      </c>
      <c r="T62" s="102">
        <f t="shared" ref="T62" si="188">+S62*0.19</f>
        <v>1208.4000000000001</v>
      </c>
      <c r="U62" s="102">
        <f>+S62+T62</f>
        <v>7568.4</v>
      </c>
      <c r="V62" s="102">
        <f t="shared" si="186"/>
        <v>14602560</v>
      </c>
      <c r="W62" s="102">
        <f t="shared" si="187"/>
        <v>17377046.399999999</v>
      </c>
      <c r="X62" s="71">
        <f t="shared" si="174"/>
        <v>6453.333333333333</v>
      </c>
      <c r="Y62" s="71">
        <f t="shared" si="175"/>
        <v>1226.1333333333332</v>
      </c>
      <c r="Z62" s="71">
        <f t="shared" si="176"/>
        <v>7679.4666666666662</v>
      </c>
      <c r="AA62" s="71">
        <f t="shared" si="177"/>
        <v>14816853.333333332</v>
      </c>
      <c r="AB62" s="71">
        <f t="shared" si="178"/>
        <v>17632055.466666665</v>
      </c>
      <c r="AC62" s="71">
        <f t="shared" si="179"/>
        <v>1129913.2923847605</v>
      </c>
      <c r="AD62" s="72">
        <f t="shared" si="180"/>
        <v>6.4082902558970353E-2</v>
      </c>
    </row>
    <row r="63" spans="1:30" ht="36.6" customHeight="1" x14ac:dyDescent="0.25">
      <c r="A63" s="165" t="s">
        <v>162</v>
      </c>
      <c r="B63" s="165"/>
      <c r="C63" s="165"/>
      <c r="D63" s="165"/>
      <c r="E63" s="165"/>
      <c r="F63" s="165"/>
      <c r="G63" s="165"/>
      <c r="H63" s="165"/>
      <c r="I63" s="66"/>
      <c r="J63" s="67"/>
      <c r="K63" s="67"/>
      <c r="L63" s="65">
        <f>SUM(L57:L62)</f>
        <v>165529000</v>
      </c>
      <c r="M63" s="65">
        <f>SUM(M57:M62)</f>
        <v>190568150</v>
      </c>
      <c r="N63" s="67"/>
      <c r="O63" s="67"/>
      <c r="P63" s="67"/>
      <c r="Q63" s="65">
        <f>SUM(Q57:Q62)</f>
        <v>158210000</v>
      </c>
      <c r="R63" s="65">
        <f>SUM(R57:R62)</f>
        <v>181122100</v>
      </c>
      <c r="S63" s="95"/>
      <c r="T63" s="95"/>
      <c r="U63" s="95"/>
      <c r="V63" s="91">
        <f>SUM(V57:V62)</f>
        <v>153075560</v>
      </c>
      <c r="W63" s="91">
        <f>SUM(W57:W62)</f>
        <v>176961516.40000001</v>
      </c>
      <c r="X63" s="67"/>
      <c r="Y63" s="67"/>
      <c r="Z63" s="67"/>
      <c r="AA63" s="91">
        <f t="shared" ref="AA63:AB63" si="189">SUM(AA57:AA62)</f>
        <v>158938186.66666669</v>
      </c>
      <c r="AB63" s="91">
        <f t="shared" si="189"/>
        <v>182883922.13333336</v>
      </c>
      <c r="AC63" s="91"/>
      <c r="AD63" s="68"/>
    </row>
    <row r="64" spans="1:30" ht="30.75" x14ac:dyDescent="0.25">
      <c r="A64" s="164" t="s">
        <v>213</v>
      </c>
      <c r="B64" s="164"/>
      <c r="C64" s="164"/>
      <c r="D64" s="164"/>
      <c r="E64" s="164"/>
      <c r="F64" s="164"/>
      <c r="G64" s="164"/>
      <c r="H64" s="164"/>
      <c r="I64" s="164"/>
      <c r="J64" s="164"/>
      <c r="K64" s="164"/>
      <c r="L64" s="164"/>
      <c r="M64" s="164"/>
      <c r="N64" s="164"/>
      <c r="O64" s="164"/>
      <c r="P64" s="164"/>
      <c r="Q64" s="164"/>
      <c r="R64" s="164"/>
      <c r="S64" s="164"/>
      <c r="T64" s="164"/>
      <c r="U64" s="164"/>
      <c r="V64" s="164"/>
      <c r="W64" s="164"/>
      <c r="X64" s="164"/>
      <c r="Y64" s="164"/>
      <c r="Z64" s="164"/>
      <c r="AA64" s="164"/>
      <c r="AB64" s="164"/>
      <c r="AC64" s="164"/>
      <c r="AD64" s="164"/>
    </row>
    <row r="65" spans="1:30" ht="63.75" x14ac:dyDescent="0.25">
      <c r="A65" s="45">
        <v>51</v>
      </c>
      <c r="B65" s="46" t="s">
        <v>214</v>
      </c>
      <c r="C65" s="45" t="s">
        <v>169</v>
      </c>
      <c r="D65" s="46" t="s">
        <v>126</v>
      </c>
      <c r="E65" s="45">
        <v>1</v>
      </c>
      <c r="F65" s="45" t="s">
        <v>116</v>
      </c>
      <c r="G65" s="45">
        <f>40*4</f>
        <v>160</v>
      </c>
      <c r="H65" s="45" t="s">
        <v>205</v>
      </c>
      <c r="I65" s="71">
        <v>88000</v>
      </c>
      <c r="J65" s="71">
        <f>+I65*0%</f>
        <v>0</v>
      </c>
      <c r="K65" s="71">
        <f t="shared" ref="K65" si="190">+I65+J65</f>
        <v>88000</v>
      </c>
      <c r="L65" s="71">
        <f>(I65*G65)*E65</f>
        <v>14080000</v>
      </c>
      <c r="M65" s="71">
        <f>(K65*G65)*E65</f>
        <v>14080000</v>
      </c>
      <c r="N65" s="102">
        <v>115000</v>
      </c>
      <c r="O65" s="102">
        <v>0</v>
      </c>
      <c r="P65" s="102">
        <f>+N65+O65</f>
        <v>115000</v>
      </c>
      <c r="Q65" s="102">
        <f>N65*G65</f>
        <v>18400000</v>
      </c>
      <c r="R65" s="102">
        <f>P65*G65</f>
        <v>18400000</v>
      </c>
      <c r="S65" s="103">
        <v>80000</v>
      </c>
      <c r="T65" s="102">
        <f>+S65*0%</f>
        <v>0</v>
      </c>
      <c r="U65" s="102">
        <f t="shared" ref="U65:U69" si="191">+S65+T65</f>
        <v>80000</v>
      </c>
      <c r="V65" s="102">
        <f>S65*G65</f>
        <v>12800000</v>
      </c>
      <c r="W65" s="102">
        <f>U65*G65</f>
        <v>12800000</v>
      </c>
      <c r="X65" s="71">
        <f t="shared" ref="X65:X70" si="192">(I65+N65+S65)/3</f>
        <v>94333.333333333328</v>
      </c>
      <c r="Y65" s="71">
        <v>0</v>
      </c>
      <c r="Z65" s="71">
        <f t="shared" ref="Z65:Z70" si="193">+X65+Y65</f>
        <v>94333.333333333328</v>
      </c>
      <c r="AA65" s="71">
        <f t="shared" ref="AA65:AA67" si="194">(+X65*E65)*G65</f>
        <v>15093333.333333332</v>
      </c>
      <c r="AB65" s="71">
        <f t="shared" ref="AB65:AB67" si="195">(+Z65*E65)*G65</f>
        <v>15093333.333333332</v>
      </c>
      <c r="AC65" s="71">
        <f t="shared" ref="AC65:AC70" si="196">_xlfn.STDEV.P(M65,R65,W65)</f>
        <v>2395848.2608230617</v>
      </c>
      <c r="AD65" s="72">
        <f t="shared" ref="AD65:AD70" si="197">AC65/AB65</f>
        <v>0.15873552964817106</v>
      </c>
    </row>
    <row r="66" spans="1:30" ht="103.5" customHeight="1" x14ac:dyDescent="0.25">
      <c r="A66" s="45">
        <v>52</v>
      </c>
      <c r="B66" s="46" t="s">
        <v>214</v>
      </c>
      <c r="C66" s="45" t="s">
        <v>215</v>
      </c>
      <c r="D66" s="46" t="s">
        <v>128</v>
      </c>
      <c r="E66" s="45">
        <v>2</v>
      </c>
      <c r="F66" s="45" t="s">
        <v>116</v>
      </c>
      <c r="G66" s="45">
        <v>80</v>
      </c>
      <c r="H66" s="45" t="s">
        <v>205</v>
      </c>
      <c r="I66" s="71">
        <v>140000</v>
      </c>
      <c r="J66" s="71">
        <f t="shared" ref="J66:J67" si="198">+I66*0%</f>
        <v>0</v>
      </c>
      <c r="K66" s="71">
        <v>140000</v>
      </c>
      <c r="L66" s="71">
        <f>(I66*G66)*E66</f>
        <v>22400000</v>
      </c>
      <c r="M66" s="71">
        <f>(K66*G66)*E66</f>
        <v>22400000</v>
      </c>
      <c r="N66" s="102">
        <v>125000</v>
      </c>
      <c r="O66" s="102">
        <v>0</v>
      </c>
      <c r="P66" s="102">
        <f t="shared" ref="P66:P75" si="199">+N66+O66</f>
        <v>125000</v>
      </c>
      <c r="Q66" s="102">
        <f>(N66*G66)*E66</f>
        <v>20000000</v>
      </c>
      <c r="R66" s="102">
        <f>(P66*G66)*E66</f>
        <v>20000000</v>
      </c>
      <c r="S66" s="103">
        <v>95000</v>
      </c>
      <c r="T66" s="102">
        <f>+S66*0%</f>
        <v>0</v>
      </c>
      <c r="U66" s="102">
        <f t="shared" si="191"/>
        <v>95000</v>
      </c>
      <c r="V66" s="102">
        <f>(S66*G66)*E66</f>
        <v>15200000</v>
      </c>
      <c r="W66" s="102">
        <f>(U66*G66)*E66</f>
        <v>15200000</v>
      </c>
      <c r="X66" s="71">
        <f t="shared" si="192"/>
        <v>120000</v>
      </c>
      <c r="Y66" s="71">
        <v>0</v>
      </c>
      <c r="Z66" s="71">
        <f t="shared" si="193"/>
        <v>120000</v>
      </c>
      <c r="AA66" s="71">
        <f t="shared" si="194"/>
        <v>19200000</v>
      </c>
      <c r="AB66" s="71">
        <f>(+Z66*E66)*G66</f>
        <v>19200000</v>
      </c>
      <c r="AC66" s="71">
        <f t="shared" si="196"/>
        <v>2993325.9094191529</v>
      </c>
      <c r="AD66" s="72">
        <f t="shared" si="197"/>
        <v>0.15590239111558088</v>
      </c>
    </row>
    <row r="67" spans="1:30" ht="95.25" customHeight="1" x14ac:dyDescent="0.25">
      <c r="A67" s="45">
        <v>53</v>
      </c>
      <c r="B67" s="46" t="s">
        <v>214</v>
      </c>
      <c r="C67" s="45" t="s">
        <v>211</v>
      </c>
      <c r="D67" s="46" t="s">
        <v>129</v>
      </c>
      <c r="E67" s="45">
        <v>1</v>
      </c>
      <c r="F67" s="45" t="s">
        <v>216</v>
      </c>
      <c r="G67" s="45">
        <v>80</v>
      </c>
      <c r="H67" s="45" t="s">
        <v>205</v>
      </c>
      <c r="I67" s="71">
        <v>140000</v>
      </c>
      <c r="J67" s="71">
        <f t="shared" si="198"/>
        <v>0</v>
      </c>
      <c r="K67" s="71">
        <f t="shared" ref="K67" si="200">+I67+J67</f>
        <v>140000</v>
      </c>
      <c r="L67" s="71">
        <f>(I67*G67)*E67</f>
        <v>11200000</v>
      </c>
      <c r="M67" s="71">
        <f>(K67*G67)*E67</f>
        <v>11200000</v>
      </c>
      <c r="N67" s="102">
        <v>100000</v>
      </c>
      <c r="O67" s="102">
        <v>0</v>
      </c>
      <c r="P67" s="102">
        <f t="shared" si="199"/>
        <v>100000</v>
      </c>
      <c r="Q67" s="102">
        <f>N67*G67</f>
        <v>8000000</v>
      </c>
      <c r="R67" s="102">
        <f>P67*G67</f>
        <v>8000000</v>
      </c>
      <c r="S67" s="103">
        <v>100000</v>
      </c>
      <c r="T67" s="102">
        <f>+S67*0%</f>
        <v>0</v>
      </c>
      <c r="U67" s="102">
        <f t="shared" si="191"/>
        <v>100000</v>
      </c>
      <c r="V67" s="102">
        <f t="shared" ref="V67" si="201">S67*G67</f>
        <v>8000000</v>
      </c>
      <c r="W67" s="102">
        <f t="shared" ref="W67" si="202">U67*G67</f>
        <v>8000000</v>
      </c>
      <c r="X67" s="71">
        <f t="shared" si="192"/>
        <v>113333.33333333333</v>
      </c>
      <c r="Y67" s="71">
        <v>0</v>
      </c>
      <c r="Z67" s="71">
        <f t="shared" si="193"/>
        <v>113333.33333333333</v>
      </c>
      <c r="AA67" s="71">
        <f t="shared" si="194"/>
        <v>9066666.666666666</v>
      </c>
      <c r="AB67" s="71">
        <f t="shared" si="195"/>
        <v>9066666.666666666</v>
      </c>
      <c r="AC67" s="71">
        <f t="shared" si="196"/>
        <v>1508494.4665313014</v>
      </c>
      <c r="AD67" s="72">
        <f t="shared" si="197"/>
        <v>0.16637806616154061</v>
      </c>
    </row>
    <row r="68" spans="1:30" ht="150" customHeight="1" x14ac:dyDescent="0.25">
      <c r="A68" s="45">
        <v>54</v>
      </c>
      <c r="B68" s="46" t="s">
        <v>214</v>
      </c>
      <c r="C68" s="45" t="s">
        <v>176</v>
      </c>
      <c r="D68" s="46" t="s">
        <v>84</v>
      </c>
      <c r="E68" s="45">
        <v>1602</v>
      </c>
      <c r="F68" s="45" t="s">
        <v>116</v>
      </c>
      <c r="G68" s="45"/>
      <c r="H68" s="45"/>
      <c r="I68" s="71">
        <v>19000</v>
      </c>
      <c r="J68" s="71">
        <f t="shared" ref="J68:J70" si="203">+I68*19%</f>
        <v>3610</v>
      </c>
      <c r="K68" s="71">
        <f t="shared" ref="K68:K70" si="204">I68+J68</f>
        <v>22610</v>
      </c>
      <c r="L68" s="71">
        <f t="shared" ref="L68:L70" si="205">I68*E68</f>
        <v>30438000</v>
      </c>
      <c r="M68" s="71">
        <f t="shared" ref="M68:M70" si="206">K68*E68</f>
        <v>36221220</v>
      </c>
      <c r="N68" s="102">
        <v>13000</v>
      </c>
      <c r="O68" s="102">
        <f>+N68*19%</f>
        <v>2470</v>
      </c>
      <c r="P68" s="102">
        <f t="shared" si="199"/>
        <v>15470</v>
      </c>
      <c r="Q68" s="102">
        <f>+N68*E68</f>
        <v>20826000</v>
      </c>
      <c r="R68" s="102">
        <f>+P68*E68</f>
        <v>24782940</v>
      </c>
      <c r="S68" s="103">
        <v>15500</v>
      </c>
      <c r="T68" s="102">
        <f>+S68*19%</f>
        <v>2945</v>
      </c>
      <c r="U68" s="102">
        <f t="shared" si="191"/>
        <v>18445</v>
      </c>
      <c r="V68" s="102">
        <f>+S68*E68</f>
        <v>24831000</v>
      </c>
      <c r="W68" s="102">
        <f>+U68*E68</f>
        <v>29548890</v>
      </c>
      <c r="X68" s="71">
        <f t="shared" si="192"/>
        <v>15833.333333333334</v>
      </c>
      <c r="Y68" s="71">
        <f t="shared" ref="Y68:Y77" si="207">+X68*19%</f>
        <v>3008.3333333333335</v>
      </c>
      <c r="Z68" s="71">
        <f t="shared" si="193"/>
        <v>18841.666666666668</v>
      </c>
      <c r="AA68" s="71">
        <f t="shared" ref="AA68:AA70" si="208">(+X68*E68)</f>
        <v>25365000</v>
      </c>
      <c r="AB68" s="71">
        <f t="shared" ref="AB68:AB70" si="209">+Z68*E68</f>
        <v>30184350.000000004</v>
      </c>
      <c r="AC68" s="71">
        <f t="shared" si="196"/>
        <v>4691227.2309279582</v>
      </c>
      <c r="AD68" s="72">
        <f t="shared" si="197"/>
        <v>0.15541919010771998</v>
      </c>
    </row>
    <row r="69" spans="1:30" ht="176.25" customHeight="1" x14ac:dyDescent="0.25">
      <c r="A69" s="45">
        <v>55</v>
      </c>
      <c r="B69" s="46" t="s">
        <v>214</v>
      </c>
      <c r="C69" s="45" t="s">
        <v>178</v>
      </c>
      <c r="D69" s="46" t="s">
        <v>89</v>
      </c>
      <c r="E69" s="45">
        <v>40</v>
      </c>
      <c r="F69" s="45" t="s">
        <v>116</v>
      </c>
      <c r="G69" s="45"/>
      <c r="H69" s="45"/>
      <c r="I69" s="71">
        <v>1200000</v>
      </c>
      <c r="J69" s="71">
        <f t="shared" si="203"/>
        <v>228000</v>
      </c>
      <c r="K69" s="71">
        <f t="shared" si="204"/>
        <v>1428000</v>
      </c>
      <c r="L69" s="71">
        <f t="shared" si="205"/>
        <v>48000000</v>
      </c>
      <c r="M69" s="71">
        <f t="shared" si="206"/>
        <v>57120000</v>
      </c>
      <c r="N69" s="102">
        <v>1150000</v>
      </c>
      <c r="O69" s="102">
        <f t="shared" ref="O69:O70" si="210">+N69*0.19</f>
        <v>218500</v>
      </c>
      <c r="P69" s="102">
        <f t="shared" si="199"/>
        <v>1368500</v>
      </c>
      <c r="Q69" s="102">
        <f>+N69*E69</f>
        <v>46000000</v>
      </c>
      <c r="R69" s="102">
        <f>+P69*E69</f>
        <v>54740000</v>
      </c>
      <c r="S69" s="103">
        <v>1210000</v>
      </c>
      <c r="T69" s="102">
        <f>S69*19%</f>
        <v>229900</v>
      </c>
      <c r="U69" s="102">
        <f t="shared" si="191"/>
        <v>1439900</v>
      </c>
      <c r="V69" s="102">
        <f t="shared" ref="V69:V70" si="211">+S69*E69</f>
        <v>48400000</v>
      </c>
      <c r="W69" s="102">
        <f t="shared" ref="W69:W70" si="212">+U69*E69</f>
        <v>57596000</v>
      </c>
      <c r="X69" s="71">
        <f t="shared" si="192"/>
        <v>1186666.6666666667</v>
      </c>
      <c r="Y69" s="71">
        <f t="shared" si="207"/>
        <v>225466.66666666669</v>
      </c>
      <c r="Z69" s="71">
        <f t="shared" si="193"/>
        <v>1412133.3333333335</v>
      </c>
      <c r="AA69" s="71">
        <f t="shared" si="208"/>
        <v>47466666.666666672</v>
      </c>
      <c r="AB69" s="71">
        <f t="shared" si="209"/>
        <v>56485333.333333343</v>
      </c>
      <c r="AC69" s="71">
        <f t="shared" si="196"/>
        <v>1249342.5826765406</v>
      </c>
      <c r="AD69" s="72">
        <f t="shared" si="197"/>
        <v>2.2117999646100589E-2</v>
      </c>
    </row>
    <row r="70" spans="1:30" ht="81" customHeight="1" x14ac:dyDescent="0.25">
      <c r="A70" s="45">
        <v>56</v>
      </c>
      <c r="B70" s="46" t="s">
        <v>214</v>
      </c>
      <c r="C70" s="46" t="s">
        <v>179</v>
      </c>
      <c r="D70" s="46" t="s">
        <v>91</v>
      </c>
      <c r="E70" s="45">
        <v>1602</v>
      </c>
      <c r="F70" s="45" t="s">
        <v>116</v>
      </c>
      <c r="G70" s="45"/>
      <c r="H70" s="45"/>
      <c r="I70" s="70">
        <v>6000</v>
      </c>
      <c r="J70" s="71">
        <f t="shared" si="203"/>
        <v>1140</v>
      </c>
      <c r="K70" s="71">
        <f t="shared" si="204"/>
        <v>7140</v>
      </c>
      <c r="L70" s="71">
        <f t="shared" si="205"/>
        <v>9612000</v>
      </c>
      <c r="M70" s="71">
        <f t="shared" si="206"/>
        <v>11438280</v>
      </c>
      <c r="N70" s="102">
        <v>7000</v>
      </c>
      <c r="O70" s="102">
        <f t="shared" si="210"/>
        <v>1330</v>
      </c>
      <c r="P70" s="102">
        <f t="shared" si="199"/>
        <v>8330</v>
      </c>
      <c r="Q70" s="102">
        <f>+N70*E70</f>
        <v>11214000</v>
      </c>
      <c r="R70" s="102">
        <f>+P70*E70</f>
        <v>13344660</v>
      </c>
      <c r="S70" s="103">
        <v>6360</v>
      </c>
      <c r="T70" s="102">
        <f t="shared" ref="T70" si="213">+S70*0.19</f>
        <v>1208.4000000000001</v>
      </c>
      <c r="U70" s="102">
        <f>+S70+T70</f>
        <v>7568.4</v>
      </c>
      <c r="V70" s="102">
        <f t="shared" si="211"/>
        <v>10188720</v>
      </c>
      <c r="W70" s="102">
        <f t="shared" si="212"/>
        <v>12124576.799999999</v>
      </c>
      <c r="X70" s="71">
        <f t="shared" si="192"/>
        <v>6453.333333333333</v>
      </c>
      <c r="Y70" s="71">
        <f t="shared" si="207"/>
        <v>1226.1333333333332</v>
      </c>
      <c r="Z70" s="71">
        <f t="shared" si="193"/>
        <v>7679.4666666666662</v>
      </c>
      <c r="AA70" s="71">
        <f t="shared" si="208"/>
        <v>10338240</v>
      </c>
      <c r="AB70" s="71">
        <f t="shared" si="209"/>
        <v>12302505.6</v>
      </c>
      <c r="AC70" s="71">
        <f t="shared" si="196"/>
        <v>788380.26759598707</v>
      </c>
      <c r="AD70" s="72">
        <f t="shared" si="197"/>
        <v>6.4082902558970353E-2</v>
      </c>
    </row>
    <row r="71" spans="1:30" ht="54.75" customHeight="1" x14ac:dyDescent="0.25">
      <c r="A71" s="45">
        <v>57</v>
      </c>
      <c r="B71" s="46" t="s">
        <v>217</v>
      </c>
      <c r="C71" s="45" t="s">
        <v>169</v>
      </c>
      <c r="D71" s="46" t="s">
        <v>182</v>
      </c>
      <c r="E71" s="45">
        <v>1</v>
      </c>
      <c r="F71" s="45" t="s">
        <v>116</v>
      </c>
      <c r="G71" s="45">
        <f>32*3</f>
        <v>96</v>
      </c>
      <c r="H71" s="45" t="s">
        <v>205</v>
      </c>
      <c r="I71" s="71">
        <v>88000</v>
      </c>
      <c r="J71" s="71">
        <f>+I71*0%</f>
        <v>0</v>
      </c>
      <c r="K71" s="71">
        <f t="shared" ref="K71:K73" si="214">+I71+J71</f>
        <v>88000</v>
      </c>
      <c r="L71" s="71">
        <f>(I71*G71)*E71</f>
        <v>8448000</v>
      </c>
      <c r="M71" s="71">
        <f>(K71*G71)*E71</f>
        <v>8448000</v>
      </c>
      <c r="N71" s="102">
        <v>115000</v>
      </c>
      <c r="O71" s="102">
        <v>0</v>
      </c>
      <c r="P71" s="102">
        <f t="shared" si="199"/>
        <v>115000</v>
      </c>
      <c r="Q71" s="102">
        <f>N71*G71</f>
        <v>11040000</v>
      </c>
      <c r="R71" s="102">
        <f>P71*G71</f>
        <v>11040000</v>
      </c>
      <c r="S71" s="103">
        <v>80000</v>
      </c>
      <c r="T71" s="102">
        <f>+S71*0%</f>
        <v>0</v>
      </c>
      <c r="U71" s="102">
        <f t="shared" ref="U71:U74" si="215">+S71+T71</f>
        <v>80000</v>
      </c>
      <c r="V71" s="102">
        <f t="shared" ref="V71" si="216">S71*G71</f>
        <v>7680000</v>
      </c>
      <c r="W71" s="102">
        <f t="shared" ref="W71" si="217">U71*G71</f>
        <v>7680000</v>
      </c>
      <c r="X71" s="71">
        <f t="shared" ref="X71:X74" si="218">(I71+N71+S71)/3</f>
        <v>94333.333333333328</v>
      </c>
      <c r="Y71" s="71">
        <v>0</v>
      </c>
      <c r="Z71" s="71">
        <f t="shared" ref="Z71:Z74" si="219">+X71+Y71</f>
        <v>94333.333333333328</v>
      </c>
      <c r="AA71" s="71">
        <f t="shared" ref="AA71:AA73" si="220">(+X71*E71)*G71</f>
        <v>9056000</v>
      </c>
      <c r="AB71" s="71">
        <f t="shared" ref="AB71:AB73" si="221">(+Z71*E71)*G71</f>
        <v>9056000</v>
      </c>
      <c r="AC71" s="71">
        <f t="shared" ref="AC71:AC74" si="222">_xlfn.STDEV.P(M71,R71,W71)</f>
        <v>1437508.9564938371</v>
      </c>
      <c r="AD71" s="72">
        <f t="shared" ref="AD71:AD74" si="223">AC71/AB71</f>
        <v>0.15873552964817106</v>
      </c>
    </row>
    <row r="72" spans="1:30" ht="65.25" customHeight="1" x14ac:dyDescent="0.25">
      <c r="A72" s="45">
        <v>58</v>
      </c>
      <c r="B72" s="46" t="s">
        <v>217</v>
      </c>
      <c r="C72" s="45" t="s">
        <v>169</v>
      </c>
      <c r="D72" s="46" t="s">
        <v>218</v>
      </c>
      <c r="E72" s="45">
        <v>1</v>
      </c>
      <c r="F72" s="45" t="s">
        <v>116</v>
      </c>
      <c r="G72" s="45">
        <f>32*2</f>
        <v>64</v>
      </c>
      <c r="H72" s="45" t="s">
        <v>205</v>
      </c>
      <c r="I72" s="71">
        <v>88000</v>
      </c>
      <c r="J72" s="71">
        <f>+I72*0%</f>
        <v>0</v>
      </c>
      <c r="K72" s="71">
        <f t="shared" si="214"/>
        <v>88000</v>
      </c>
      <c r="L72" s="71">
        <f>(I72*G72)*E72</f>
        <v>5632000</v>
      </c>
      <c r="M72" s="71">
        <f>(K72*G72)*E72</f>
        <v>5632000</v>
      </c>
      <c r="N72" s="102">
        <v>115000</v>
      </c>
      <c r="O72" s="102">
        <v>0</v>
      </c>
      <c r="P72" s="102">
        <f t="shared" si="199"/>
        <v>115000</v>
      </c>
      <c r="Q72" s="102">
        <f t="shared" ref="Q72:Q73" si="224">N72*G72</f>
        <v>7360000</v>
      </c>
      <c r="R72" s="102">
        <f t="shared" ref="R72:R73" si="225">P72*G72</f>
        <v>7360000</v>
      </c>
      <c r="S72" s="103">
        <v>80000</v>
      </c>
      <c r="T72" s="102">
        <f>+S72*0%</f>
        <v>0</v>
      </c>
      <c r="U72" s="102">
        <f t="shared" si="215"/>
        <v>80000</v>
      </c>
      <c r="V72" s="102">
        <f t="shared" ref="V72:V73" si="226">S72*G72</f>
        <v>5120000</v>
      </c>
      <c r="W72" s="102">
        <f t="shared" ref="W72:W73" si="227">U72*G72</f>
        <v>5120000</v>
      </c>
      <c r="X72" s="71">
        <f t="shared" si="218"/>
        <v>94333.333333333328</v>
      </c>
      <c r="Y72" s="71">
        <v>0</v>
      </c>
      <c r="Z72" s="71">
        <f t="shared" si="219"/>
        <v>94333.333333333328</v>
      </c>
      <c r="AA72" s="71">
        <f t="shared" si="220"/>
        <v>6037333.333333333</v>
      </c>
      <c r="AB72" s="71">
        <f t="shared" si="221"/>
        <v>6037333.333333333</v>
      </c>
      <c r="AC72" s="71">
        <f t="shared" si="222"/>
        <v>958339.30432922463</v>
      </c>
      <c r="AD72" s="72">
        <f t="shared" si="223"/>
        <v>0.15873552964817106</v>
      </c>
    </row>
    <row r="73" spans="1:30" ht="65.25" customHeight="1" x14ac:dyDescent="0.25">
      <c r="A73" s="45">
        <v>59</v>
      </c>
      <c r="B73" s="46" t="s">
        <v>217</v>
      </c>
      <c r="C73" s="45" t="s">
        <v>169</v>
      </c>
      <c r="D73" s="51" t="s">
        <v>136</v>
      </c>
      <c r="E73" s="45">
        <v>1</v>
      </c>
      <c r="F73" s="45" t="s">
        <v>116</v>
      </c>
      <c r="G73" s="45">
        <f>32*2</f>
        <v>64</v>
      </c>
      <c r="H73" s="45" t="s">
        <v>205</v>
      </c>
      <c r="I73" s="71">
        <v>88000</v>
      </c>
      <c r="J73" s="71">
        <f>+I73*0%</f>
        <v>0</v>
      </c>
      <c r="K73" s="71">
        <f t="shared" si="214"/>
        <v>88000</v>
      </c>
      <c r="L73" s="71">
        <f>(I73*G73)*E73</f>
        <v>5632000</v>
      </c>
      <c r="M73" s="71">
        <f>(K73*G73)*E73</f>
        <v>5632000</v>
      </c>
      <c r="N73" s="102">
        <v>115000</v>
      </c>
      <c r="O73" s="102">
        <v>0</v>
      </c>
      <c r="P73" s="102">
        <f t="shared" si="199"/>
        <v>115000</v>
      </c>
      <c r="Q73" s="102">
        <f t="shared" si="224"/>
        <v>7360000</v>
      </c>
      <c r="R73" s="102">
        <f t="shared" si="225"/>
        <v>7360000</v>
      </c>
      <c r="S73" s="103">
        <v>80000</v>
      </c>
      <c r="T73" s="102">
        <f>+S73*0%</f>
        <v>0</v>
      </c>
      <c r="U73" s="102">
        <f t="shared" si="215"/>
        <v>80000</v>
      </c>
      <c r="V73" s="102">
        <f t="shared" si="226"/>
        <v>5120000</v>
      </c>
      <c r="W73" s="102">
        <f t="shared" si="227"/>
        <v>5120000</v>
      </c>
      <c r="X73" s="71">
        <f t="shared" si="218"/>
        <v>94333.333333333328</v>
      </c>
      <c r="Y73" s="71">
        <v>0</v>
      </c>
      <c r="Z73" s="71">
        <f t="shared" si="219"/>
        <v>94333.333333333328</v>
      </c>
      <c r="AA73" s="71">
        <f t="shared" si="220"/>
        <v>6037333.333333333</v>
      </c>
      <c r="AB73" s="71">
        <f t="shared" si="221"/>
        <v>6037333.333333333</v>
      </c>
      <c r="AC73" s="71">
        <f t="shared" si="222"/>
        <v>958339.30432922463</v>
      </c>
      <c r="AD73" s="72">
        <f t="shared" si="223"/>
        <v>0.15873552964817106</v>
      </c>
    </row>
    <row r="74" spans="1:30" ht="60" customHeight="1" x14ac:dyDescent="0.25">
      <c r="A74" s="45">
        <v>60</v>
      </c>
      <c r="B74" s="46" t="s">
        <v>217</v>
      </c>
      <c r="C74" s="45" t="s">
        <v>170</v>
      </c>
      <c r="D74" s="48" t="s">
        <v>138</v>
      </c>
      <c r="E74" s="45">
        <v>32</v>
      </c>
      <c r="F74" s="45" t="s">
        <v>116</v>
      </c>
      <c r="G74" s="45"/>
      <c r="H74" s="45"/>
      <c r="I74" s="71">
        <v>135000</v>
      </c>
      <c r="J74" s="71">
        <f>+I74*19%</f>
        <v>25650</v>
      </c>
      <c r="K74" s="71">
        <f t="shared" ref="K74:K77" si="228">+I74+J74</f>
        <v>160650</v>
      </c>
      <c r="L74" s="71">
        <f>I74*E74</f>
        <v>4320000</v>
      </c>
      <c r="M74" s="71">
        <f>K74*E74</f>
        <v>5140800</v>
      </c>
      <c r="N74" s="102">
        <v>210000</v>
      </c>
      <c r="O74" s="102">
        <f t="shared" ref="O74" si="229">+N74*0.19</f>
        <v>39900</v>
      </c>
      <c r="P74" s="102">
        <f t="shared" ref="P74:P77" si="230">+N74+O74</f>
        <v>249900</v>
      </c>
      <c r="Q74" s="102">
        <f>+N74*E74</f>
        <v>6720000</v>
      </c>
      <c r="R74" s="102">
        <f>+P74*E74</f>
        <v>7996800</v>
      </c>
      <c r="S74" s="103">
        <v>150000</v>
      </c>
      <c r="T74" s="102">
        <f>+S74*19%</f>
        <v>28500</v>
      </c>
      <c r="U74" s="102">
        <f t="shared" si="215"/>
        <v>178500</v>
      </c>
      <c r="V74" s="102">
        <f>S74*E74</f>
        <v>4800000</v>
      </c>
      <c r="W74" s="102">
        <f>U74*E74</f>
        <v>5712000</v>
      </c>
      <c r="X74" s="71">
        <f t="shared" si="218"/>
        <v>165000</v>
      </c>
      <c r="Y74" s="71">
        <f t="shared" si="207"/>
        <v>31350</v>
      </c>
      <c r="Z74" s="71">
        <f t="shared" si="219"/>
        <v>196350</v>
      </c>
      <c r="AA74" s="71">
        <f t="shared" ref="AA74" si="231">(+X74*E74)</f>
        <v>5280000</v>
      </c>
      <c r="AB74" s="71">
        <f t="shared" ref="AB74" si="232">+Z74*E74</f>
        <v>6283200</v>
      </c>
      <c r="AC74" s="71">
        <f t="shared" si="222"/>
        <v>1233933.0289768565</v>
      </c>
      <c r="AD74" s="72">
        <f t="shared" si="223"/>
        <v>0.19638608176993513</v>
      </c>
    </row>
    <row r="75" spans="1:30" ht="69.75" customHeight="1" x14ac:dyDescent="0.25">
      <c r="A75" s="45">
        <v>61</v>
      </c>
      <c r="B75" s="46" t="s">
        <v>219</v>
      </c>
      <c r="C75" s="45" t="s">
        <v>169</v>
      </c>
      <c r="D75" s="46" t="s">
        <v>182</v>
      </c>
      <c r="E75" s="45">
        <v>1</v>
      </c>
      <c r="F75" s="45" t="s">
        <v>116</v>
      </c>
      <c r="G75" s="45">
        <v>144</v>
      </c>
      <c r="H75" s="45" t="s">
        <v>113</v>
      </c>
      <c r="I75" s="71">
        <v>88000</v>
      </c>
      <c r="J75" s="71">
        <f>+I75*0%</f>
        <v>0</v>
      </c>
      <c r="K75" s="71">
        <f t="shared" si="228"/>
        <v>88000</v>
      </c>
      <c r="L75" s="71">
        <f>(I75*G75)*E75</f>
        <v>12672000</v>
      </c>
      <c r="M75" s="71">
        <f>(K75*G75)*E75</f>
        <v>12672000</v>
      </c>
      <c r="N75" s="102">
        <v>115000</v>
      </c>
      <c r="O75" s="102">
        <v>0</v>
      </c>
      <c r="P75" s="102">
        <f t="shared" si="199"/>
        <v>115000</v>
      </c>
      <c r="Q75" s="102">
        <f>N75*G75</f>
        <v>16560000</v>
      </c>
      <c r="R75" s="102">
        <f>P75*G75</f>
        <v>16560000</v>
      </c>
      <c r="S75" s="103">
        <v>80000</v>
      </c>
      <c r="T75" s="102">
        <f>+S75*0%</f>
        <v>0</v>
      </c>
      <c r="U75" s="102">
        <f t="shared" ref="U75" si="233">+S75+T75</f>
        <v>80000</v>
      </c>
      <c r="V75" s="102">
        <f t="shared" ref="V75" si="234">S75*G75</f>
        <v>11520000</v>
      </c>
      <c r="W75" s="102">
        <f t="shared" ref="W75" si="235">U75*G75</f>
        <v>11520000</v>
      </c>
      <c r="X75" s="71">
        <f t="shared" ref="X75:X77" si="236">(I75+N75+S75)/3</f>
        <v>94333.333333333328</v>
      </c>
      <c r="Y75" s="71">
        <v>0</v>
      </c>
      <c r="Z75" s="71">
        <f t="shared" ref="Z75:Z77" si="237">+X75+Y75</f>
        <v>94333.333333333328</v>
      </c>
      <c r="AA75" s="71">
        <f t="shared" ref="AA75:AA76" si="238">(+X75*E75)*G75</f>
        <v>13584000</v>
      </c>
      <c r="AB75" s="71">
        <f t="shared" ref="AB75:AB76" si="239">(+Z75*E75)*G75</f>
        <v>13584000</v>
      </c>
      <c r="AC75" s="71">
        <f t="shared" ref="AC75:AC77" si="240">_xlfn.STDEV.P(M75,R75,W75)</f>
        <v>2156263.4347407552</v>
      </c>
      <c r="AD75" s="72">
        <f t="shared" ref="AD75:AD77" si="241">AC75/AB75</f>
        <v>0.15873552964817103</v>
      </c>
    </row>
    <row r="76" spans="1:30" ht="62.25" customHeight="1" x14ac:dyDescent="0.25">
      <c r="A76" s="45">
        <v>62</v>
      </c>
      <c r="B76" s="46" t="s">
        <v>219</v>
      </c>
      <c r="C76" s="45" t="s">
        <v>220</v>
      </c>
      <c r="D76" s="51" t="s">
        <v>140</v>
      </c>
      <c r="E76" s="45">
        <v>1</v>
      </c>
      <c r="F76" s="45" t="s">
        <v>116</v>
      </c>
      <c r="G76" s="45">
        <v>144</v>
      </c>
      <c r="H76" s="45" t="s">
        <v>113</v>
      </c>
      <c r="I76" s="71">
        <v>240000</v>
      </c>
      <c r="J76" s="71">
        <f>I76*19%</f>
        <v>45600</v>
      </c>
      <c r="K76" s="71">
        <f t="shared" si="228"/>
        <v>285600</v>
      </c>
      <c r="L76" s="71">
        <f>(I76*G76)*E76</f>
        <v>34560000</v>
      </c>
      <c r="M76" s="71">
        <f>(K76*G76)*E76</f>
        <v>41126400</v>
      </c>
      <c r="N76" s="102">
        <v>320000</v>
      </c>
      <c r="O76" s="102">
        <f t="shared" ref="O76:O77" si="242">+N76*0.19</f>
        <v>60800</v>
      </c>
      <c r="P76" s="102">
        <f t="shared" si="230"/>
        <v>380800</v>
      </c>
      <c r="Q76" s="102">
        <f>N76*G76</f>
        <v>46080000</v>
      </c>
      <c r="R76" s="102">
        <f>P76*G76</f>
        <v>54835200</v>
      </c>
      <c r="S76" s="103">
        <v>250000</v>
      </c>
      <c r="T76" s="102">
        <f>S76*19%</f>
        <v>47500</v>
      </c>
      <c r="U76" s="102">
        <f t="shared" ref="U76:U77" si="243">+S76+T76</f>
        <v>297500</v>
      </c>
      <c r="V76" s="102">
        <f>S76*G76</f>
        <v>36000000</v>
      </c>
      <c r="W76" s="102">
        <f>U76*G76</f>
        <v>42840000</v>
      </c>
      <c r="X76" s="71">
        <f t="shared" si="236"/>
        <v>270000</v>
      </c>
      <c r="Y76" s="71">
        <f t="shared" si="207"/>
        <v>51300</v>
      </c>
      <c r="Z76" s="71">
        <f t="shared" si="237"/>
        <v>321300</v>
      </c>
      <c r="AA76" s="71">
        <f t="shared" si="238"/>
        <v>38880000</v>
      </c>
      <c r="AB76" s="71">
        <f t="shared" si="239"/>
        <v>46267200</v>
      </c>
      <c r="AC76" s="71">
        <f t="shared" si="240"/>
        <v>6098747.0975602847</v>
      </c>
      <c r="AD76" s="72">
        <f t="shared" si="241"/>
        <v>0.13181578088927545</v>
      </c>
    </row>
    <row r="77" spans="1:30" ht="91.5" customHeight="1" x14ac:dyDescent="0.25">
      <c r="A77" s="45">
        <v>63</v>
      </c>
      <c r="B77" s="46" t="s">
        <v>219</v>
      </c>
      <c r="C77" s="45" t="s">
        <v>170</v>
      </c>
      <c r="D77" s="48" t="s">
        <v>143</v>
      </c>
      <c r="E77" s="45">
        <v>72</v>
      </c>
      <c r="F77" s="45" t="s">
        <v>116</v>
      </c>
      <c r="G77" s="45"/>
      <c r="H77" s="45"/>
      <c r="I77" s="71">
        <v>110000</v>
      </c>
      <c r="J77" s="71">
        <f>+I77*19%</f>
        <v>20900</v>
      </c>
      <c r="K77" s="71">
        <f t="shared" si="228"/>
        <v>130900</v>
      </c>
      <c r="L77" s="71">
        <f>+I77*E77</f>
        <v>7920000</v>
      </c>
      <c r="M77" s="71">
        <f>+K77*E77</f>
        <v>9424800</v>
      </c>
      <c r="N77" s="102">
        <v>80000</v>
      </c>
      <c r="O77" s="102">
        <f t="shared" si="242"/>
        <v>15200</v>
      </c>
      <c r="P77" s="102">
        <f t="shared" si="230"/>
        <v>95200</v>
      </c>
      <c r="Q77" s="102">
        <f>N77*E77</f>
        <v>5760000</v>
      </c>
      <c r="R77" s="102">
        <f>P77*E77</f>
        <v>6854400</v>
      </c>
      <c r="S77" s="103">
        <v>110000</v>
      </c>
      <c r="T77" s="102">
        <f>+S77*19%</f>
        <v>20900</v>
      </c>
      <c r="U77" s="102">
        <f t="shared" si="243"/>
        <v>130900</v>
      </c>
      <c r="V77" s="102">
        <f>+S77*E77</f>
        <v>7920000</v>
      </c>
      <c r="W77" s="102">
        <f>+U77*E77</f>
        <v>9424800</v>
      </c>
      <c r="X77" s="71">
        <f t="shared" si="236"/>
        <v>100000</v>
      </c>
      <c r="Y77" s="71">
        <f t="shared" si="207"/>
        <v>19000</v>
      </c>
      <c r="Z77" s="71">
        <f t="shared" si="237"/>
        <v>119000</v>
      </c>
      <c r="AA77" s="71">
        <f>(+X77*E77)</f>
        <v>7200000</v>
      </c>
      <c r="AB77" s="71">
        <f t="shared" ref="AB77" si="244">+Z77*E77</f>
        <v>8568000</v>
      </c>
      <c r="AC77" s="71">
        <f t="shared" si="240"/>
        <v>1211698.1802412679</v>
      </c>
      <c r="AD77" s="72">
        <f t="shared" si="241"/>
        <v>0.1414213562373095</v>
      </c>
    </row>
    <row r="78" spans="1:30" ht="48.75" customHeight="1" x14ac:dyDescent="0.25">
      <c r="A78" s="165" t="s">
        <v>162</v>
      </c>
      <c r="B78" s="165"/>
      <c r="C78" s="165"/>
      <c r="D78" s="165"/>
      <c r="E78" s="165"/>
      <c r="F78" s="165"/>
      <c r="G78" s="165"/>
      <c r="H78" s="165"/>
      <c r="I78" s="77"/>
      <c r="J78" s="78"/>
      <c r="K78" s="78"/>
      <c r="L78" s="69">
        <f>SUM(L65:L77)</f>
        <v>214914000</v>
      </c>
      <c r="M78" s="69">
        <f>SUM(M65:M77)</f>
        <v>240535500</v>
      </c>
      <c r="N78" s="78"/>
      <c r="O78" s="78"/>
      <c r="P78" s="78"/>
      <c r="Q78" s="69">
        <f>SUM(Q65:Q77)</f>
        <v>225320000</v>
      </c>
      <c r="R78" s="69">
        <f>SUM(R65:R77)</f>
        <v>251274000</v>
      </c>
      <c r="S78" s="97"/>
      <c r="T78" s="97"/>
      <c r="U78" s="97"/>
      <c r="V78" s="98">
        <f>SUM(V65:V77)</f>
        <v>197579720</v>
      </c>
      <c r="W78" s="98">
        <f>SUM(W65:W77)</f>
        <v>222686266.80000001</v>
      </c>
      <c r="X78" s="78"/>
      <c r="Y78" s="78"/>
      <c r="Z78" s="78"/>
      <c r="AA78" s="98">
        <f t="shared" ref="AA78:AB78" si="245">SUM(AA65:AA77)</f>
        <v>212604573.33333337</v>
      </c>
      <c r="AB78" s="98">
        <f t="shared" si="245"/>
        <v>238165255.60000002</v>
      </c>
      <c r="AC78" s="98"/>
      <c r="AD78" s="79"/>
    </row>
    <row r="79" spans="1:30" ht="49.5" customHeight="1" x14ac:dyDescent="0.25">
      <c r="A79" s="162" t="s">
        <v>221</v>
      </c>
      <c r="B79" s="163"/>
      <c r="C79" s="163"/>
      <c r="D79" s="163"/>
      <c r="E79" s="163"/>
      <c r="F79" s="163"/>
      <c r="G79" s="163"/>
      <c r="H79" s="163"/>
      <c r="L79" s="83">
        <f>L8+L15+L36+L49+L55+L63+L78</f>
        <v>1944162600</v>
      </c>
      <c r="M79" s="83">
        <f>M8+M15+M36+M49+M55+M63+M78</f>
        <v>2206502934</v>
      </c>
      <c r="Q79" s="83">
        <f>Q8+Q15+Q36+Q49+Q55+Q63+Q78</f>
        <v>1929043000</v>
      </c>
      <c r="R79" s="83">
        <f>R8+R15+R36+R49+R55+R63+R78</f>
        <v>2176878620</v>
      </c>
      <c r="V79" s="100">
        <f>V8+V15+V36+V49+V55+V63+V78</f>
        <v>1862262244</v>
      </c>
      <c r="W79" s="100">
        <f>W8+W15+W36+W49+W55+W63+W78</f>
        <v>2116216670.3599999</v>
      </c>
      <c r="AA79" s="100">
        <f t="shared" ref="AA79" si="246">AA8+AA15+AA36+AA49+AA55+AA63+AA78</f>
        <v>1911822614.6666665</v>
      </c>
      <c r="AB79" s="100">
        <f>AB8+AB15+AB36+AB49+AB55+AB63+AB78</f>
        <v>2166532741.4533334</v>
      </c>
      <c r="AC79" s="100"/>
    </row>
    <row r="80" spans="1:30" ht="15.75" customHeight="1" x14ac:dyDescent="0.25">
      <c r="V80" s="99">
        <f>(L79+Q79+V79)/3</f>
        <v>1911822614.6666667</v>
      </c>
      <c r="W80" s="99">
        <f>(M79+R79+W79)/3</f>
        <v>2166532741.4533334</v>
      </c>
    </row>
    <row r="81" spans="13:28" ht="15.75" customHeight="1" x14ac:dyDescent="0.25">
      <c r="M81" s="87"/>
      <c r="R81" s="87"/>
      <c r="W81" s="101"/>
      <c r="AA81" s="99"/>
      <c r="AB81" s="101">
        <v>2166603000</v>
      </c>
    </row>
    <row r="82" spans="13:28" ht="15.75" customHeight="1" x14ac:dyDescent="0.25">
      <c r="M82" s="88"/>
      <c r="R82" s="88"/>
      <c r="AA82" s="99" t="s">
        <v>222</v>
      </c>
      <c r="AB82" s="99">
        <f>AB81-AB79</f>
        <v>70258.546666622162</v>
      </c>
    </row>
  </sheetData>
  <autoFilter ref="C1:C82"/>
  <mergeCells count="19">
    <mergeCell ref="A15:H15"/>
    <mergeCell ref="A16:AD16"/>
    <mergeCell ref="A8:H8"/>
    <mergeCell ref="A9:AD9"/>
    <mergeCell ref="N1:R1"/>
    <mergeCell ref="S1:W1"/>
    <mergeCell ref="X1:AD1"/>
    <mergeCell ref="A1:H1"/>
    <mergeCell ref="I1:M1"/>
    <mergeCell ref="A36:H36"/>
    <mergeCell ref="A37:AD37"/>
    <mergeCell ref="A49:H49"/>
    <mergeCell ref="A50:AD50"/>
    <mergeCell ref="A55:H55"/>
    <mergeCell ref="A79:H79"/>
    <mergeCell ref="A56:AD56"/>
    <mergeCell ref="A63:H63"/>
    <mergeCell ref="A64:AD64"/>
    <mergeCell ref="A78:H78"/>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19"/>
  <sheetViews>
    <sheetView workbookViewId="0">
      <selection activeCell="C3" sqref="C3"/>
    </sheetView>
  </sheetViews>
  <sheetFormatPr baseColWidth="10" defaultRowHeight="15" x14ac:dyDescent="0.25"/>
  <cols>
    <col min="1" max="1" width="61.140625" bestFit="1" customWidth="1"/>
    <col min="2" max="2" width="12.7109375" style="173" bestFit="1" customWidth="1"/>
    <col min="3" max="3" width="12.28515625" style="174" bestFit="1" customWidth="1"/>
  </cols>
  <sheetData>
    <row r="3" spans="1:3" x14ac:dyDescent="0.25">
      <c r="A3" s="171" t="s">
        <v>225</v>
      </c>
      <c r="B3" t="s">
        <v>226</v>
      </c>
      <c r="C3" t="s">
        <v>227</v>
      </c>
    </row>
    <row r="4" spans="1:3" x14ac:dyDescent="0.25">
      <c r="A4" s="172" t="s">
        <v>164</v>
      </c>
      <c r="B4" s="173">
        <v>209908425.25333333</v>
      </c>
      <c r="C4" s="175">
        <v>9.6886800387112781E-2</v>
      </c>
    </row>
    <row r="5" spans="1:3" x14ac:dyDescent="0.25">
      <c r="A5" s="172" t="s">
        <v>168</v>
      </c>
      <c r="B5" s="173">
        <v>48432653.333333336</v>
      </c>
      <c r="C5" s="175">
        <v>2.2354914101526197E-2</v>
      </c>
    </row>
    <row r="6" spans="1:3" x14ac:dyDescent="0.25">
      <c r="A6" s="172" t="s">
        <v>180</v>
      </c>
      <c r="B6" s="173">
        <v>240633894.00000003</v>
      </c>
      <c r="C6" s="175">
        <v>0.11106866256661334</v>
      </c>
    </row>
    <row r="7" spans="1:3" x14ac:dyDescent="0.25">
      <c r="A7" s="172" t="s">
        <v>172</v>
      </c>
      <c r="B7" s="173">
        <v>570108988.13333333</v>
      </c>
      <c r="C7" s="175">
        <v>0.26314349062220871</v>
      </c>
    </row>
    <row r="8" spans="1:3" x14ac:dyDescent="0.25">
      <c r="A8" s="172" t="s">
        <v>189</v>
      </c>
      <c r="B8" s="173">
        <v>176268913.33333334</v>
      </c>
      <c r="C8" s="175">
        <v>8.1359912066267817E-2</v>
      </c>
    </row>
    <row r="9" spans="1:3" x14ac:dyDescent="0.25">
      <c r="A9" s="172" t="s">
        <v>193</v>
      </c>
      <c r="B9" s="173">
        <v>120753113.33333333</v>
      </c>
      <c r="C9" s="175">
        <v>5.5735651265685859E-2</v>
      </c>
    </row>
    <row r="10" spans="1:3" x14ac:dyDescent="0.25">
      <c r="A10" s="172" t="s">
        <v>198</v>
      </c>
      <c r="B10" s="173">
        <v>30171473.333333328</v>
      </c>
      <c r="C10" s="175">
        <v>1.3926156183125107E-2</v>
      </c>
    </row>
    <row r="11" spans="1:3" x14ac:dyDescent="0.25">
      <c r="A11" s="172" t="s">
        <v>195</v>
      </c>
      <c r="B11" s="173">
        <v>40170942</v>
      </c>
      <c r="C11" s="175">
        <v>1.8541580854694539E-2</v>
      </c>
    </row>
    <row r="12" spans="1:3" x14ac:dyDescent="0.25">
      <c r="A12" s="172" t="s">
        <v>206</v>
      </c>
      <c r="B12" s="173">
        <v>25209210</v>
      </c>
      <c r="C12" s="175">
        <v>1.1635739224088251E-2</v>
      </c>
    </row>
    <row r="13" spans="1:3" x14ac:dyDescent="0.25">
      <c r="A13" s="172" t="s">
        <v>203</v>
      </c>
      <c r="B13" s="173">
        <v>3725951</v>
      </c>
      <c r="C13" s="175">
        <v>1.7197759944770519E-3</v>
      </c>
    </row>
    <row r="14" spans="1:3" x14ac:dyDescent="0.25">
      <c r="A14" s="172" t="s">
        <v>209</v>
      </c>
      <c r="B14" s="173">
        <v>182883922.13333336</v>
      </c>
      <c r="C14" s="175">
        <v>8.4413181778482088E-2</v>
      </c>
    </row>
    <row r="15" spans="1:3" x14ac:dyDescent="0.25">
      <c r="A15" s="172" t="s">
        <v>217</v>
      </c>
      <c r="B15" s="173">
        <v>27413866.666666664</v>
      </c>
      <c r="C15" s="175">
        <v>1.2653335969562661E-2</v>
      </c>
    </row>
    <row r="16" spans="1:3" x14ac:dyDescent="0.25">
      <c r="A16" s="172" t="s">
        <v>214</v>
      </c>
      <c r="B16" s="173">
        <v>142332188.93333334</v>
      </c>
      <c r="C16" s="175">
        <v>6.5695840275118753E-2</v>
      </c>
    </row>
    <row r="17" spans="1:3" x14ac:dyDescent="0.25">
      <c r="A17" s="172" t="s">
        <v>219</v>
      </c>
      <c r="B17" s="173">
        <v>68419200</v>
      </c>
      <c r="C17" s="175">
        <v>3.1580044321925946E-2</v>
      </c>
    </row>
    <row r="18" spans="1:3" x14ac:dyDescent="0.25">
      <c r="A18" s="172" t="s">
        <v>158</v>
      </c>
      <c r="B18" s="173">
        <v>280100000</v>
      </c>
      <c r="C18" s="175">
        <v>0.12928491438911094</v>
      </c>
    </row>
    <row r="19" spans="1:3" x14ac:dyDescent="0.25">
      <c r="A19" s="172" t="s">
        <v>224</v>
      </c>
      <c r="B19" s="173">
        <v>2166532741.4533334</v>
      </c>
      <c r="C19" s="175">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Códigos UNSPSC</vt:lpstr>
      <vt:lpstr>Cotización</vt:lpstr>
      <vt:lpstr>Estudio de mercado</vt:lpstr>
      <vt:lpstr>TABLA DINAMICA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Cesar</cp:lastModifiedBy>
  <cp:revision/>
  <dcterms:created xsi:type="dcterms:W3CDTF">2023-04-17T02:22:11Z</dcterms:created>
  <dcterms:modified xsi:type="dcterms:W3CDTF">2024-11-13T16:55:36Z</dcterms:modified>
  <cp:category/>
  <cp:contentStatus/>
</cp:coreProperties>
</file>