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24226"/>
  <mc:AlternateContent xmlns:mc="http://schemas.openxmlformats.org/markup-compatibility/2006">
    <mc:Choice Requires="x15">
      <x15ac:absPath xmlns:x15ac="http://schemas.microsoft.com/office/spreadsheetml/2010/11/ac" url="G:\Otros ordenadores\Mi PC\LITIGIO\G&amp;G ABOGADOS\HELICONIA\AGUAS DE HELICONIA S.A. E.S.P\CONTRATACIÓN\CONVENIOS\CONVENIO EDU LA CEJA\"/>
    </mc:Choice>
  </mc:AlternateContent>
  <xr:revisionPtr revIDLastSave="0" documentId="13_ncr:1_{F5F2AD8B-8CD2-45B4-83BE-B76F0D3DEE52}" xr6:coauthVersionLast="47" xr6:coauthVersionMax="47" xr10:uidLastSave="{00000000-0000-0000-0000-000000000000}"/>
  <bookViews>
    <workbookView xWindow="492" yWindow="1116" windowWidth="17256" windowHeight="11076" firstSheet="1" activeTab="7" xr2:uid="{00000000-000D-0000-FFFF-FFFF00000000}"/>
  </bookViews>
  <sheets>
    <sheet name="PLAN FINANCIERO" sheetId="23" r:id="rId1"/>
    <sheet name="PRESUP" sheetId="5" r:id="rId2"/>
    <sheet name="Hoja4" sheetId="19" state="hidden" r:id="rId3"/>
    <sheet name="FACTOR PRESTACIONAL" sheetId="17" state="hidden" r:id="rId4"/>
    <sheet name="FM" sheetId="10" r:id="rId5"/>
    <sheet name="POLIZAS" sheetId="11" r:id="rId6"/>
    <sheet name="LABORATORIOS" sheetId="21" r:id="rId7"/>
    <sheet name="Viáticos" sheetId="22" r:id="rId8"/>
    <sheet name="PAC" sheetId="12" state="hidden" r:id="rId9"/>
  </sheets>
  <definedNames>
    <definedName name="_Fill" localSheetId="0" hidden="1">#REF!</definedName>
    <definedName name="_Fill" localSheetId="5" hidden="1">#REF!</definedName>
    <definedName name="_Fill" hidden="1">#REF!</definedName>
    <definedName name="_xlnm.Print_Area" localSheetId="4">FM!$A$1:$C$50</definedName>
    <definedName name="_xlnm.Print_Area" localSheetId="0">'PLAN FINANCIERO'!$A$1:$D$22</definedName>
    <definedName name="_xlnm.Print_Area" localSheetId="1">PRESUP!$A$1:$H$50</definedName>
    <definedName name="_xlnm.Print_Titles" localSheetId="4">FM!$1:$5</definedName>
    <definedName name="_xlnm.Print_Titles" localSheetId="1">PRESUP!$1:$6</definedName>
    <definedName name="wrn.GENERAL." localSheetId="0"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 i="23" l="1"/>
  <c r="G10" i="5" l="1"/>
  <c r="G11" i="5" s="1"/>
  <c r="G12" i="5" s="1"/>
  <c r="B8" i="23" l="1"/>
  <c r="B13" i="23" s="1"/>
  <c r="B4" i="11"/>
  <c r="H12" i="5" l="1"/>
  <c r="J37" i="10"/>
  <c r="D11" i="23" l="1"/>
  <c r="N9" i="5" s="1"/>
  <c r="K32" i="10"/>
  <c r="K33" i="10"/>
  <c r="J33" i="10"/>
  <c r="J24" i="10"/>
  <c r="J17" i="5" l="1"/>
  <c r="A10" i="23" l="1"/>
  <c r="F9" i="23"/>
  <c r="F8" i="23"/>
  <c r="F10" i="23" s="1"/>
  <c r="F1" i="23"/>
  <c r="D8" i="23" l="1"/>
  <c r="D13" i="23" s="1"/>
  <c r="A5" i="23"/>
  <c r="N8" i="5" l="1"/>
  <c r="C8" i="23"/>
  <c r="C13" i="23" s="1"/>
  <c r="J32" i="10" l="1"/>
  <c r="C7" i="21"/>
  <c r="C5" i="21"/>
  <c r="C4" i="21"/>
  <c r="H14" i="10" l="1"/>
  <c r="J14" i="10" s="1"/>
  <c r="O8" i="5" l="1"/>
  <c r="P8" i="5" l="1"/>
  <c r="J34" i="10"/>
  <c r="E19" i="5" s="1"/>
  <c r="H19" i="5" s="1"/>
  <c r="K34" i="10" l="1"/>
  <c r="E20" i="5" s="1"/>
  <c r="H20" i="5" s="1"/>
  <c r="D3" i="21" l="1"/>
  <c r="F3" i="21" s="1"/>
  <c r="D5" i="21"/>
  <c r="F5" i="21" s="1"/>
  <c r="D6" i="21"/>
  <c r="F6" i="21" s="1"/>
  <c r="D8" i="21"/>
  <c r="F8" i="21" s="1"/>
  <c r="D2" i="21"/>
  <c r="F2" i="21" s="1"/>
  <c r="D7" i="21"/>
  <c r="F7" i="21" s="1"/>
  <c r="D4" i="21"/>
  <c r="F4" i="21" s="1"/>
  <c r="J23" i="10"/>
  <c r="F9" i="21" l="1"/>
  <c r="E30" i="5" s="1"/>
  <c r="B23" i="10" l="1"/>
  <c r="H49" i="19"/>
  <c r="I49" i="19" s="1"/>
  <c r="H48" i="19"/>
  <c r="I48" i="19" s="1"/>
  <c r="H47" i="19"/>
  <c r="I47" i="19" s="1"/>
  <c r="H46" i="19"/>
  <c r="I46" i="19" s="1"/>
  <c r="H45" i="19"/>
  <c r="I45" i="19" s="1"/>
  <c r="H44" i="19"/>
  <c r="I44" i="19" s="1"/>
  <c r="H43" i="19"/>
  <c r="I43" i="19" s="1"/>
  <c r="H42" i="19"/>
  <c r="I42" i="19" s="1"/>
  <c r="H41" i="19"/>
  <c r="I41" i="19" s="1"/>
  <c r="H40" i="19"/>
  <c r="I40" i="19" s="1"/>
  <c r="H34" i="19"/>
  <c r="I34" i="19" s="1"/>
  <c r="G34" i="19"/>
  <c r="H33" i="19"/>
  <c r="I33" i="19" s="1"/>
  <c r="G33" i="19"/>
  <c r="H32" i="19"/>
  <c r="I32" i="19" s="1"/>
  <c r="G32" i="19"/>
  <c r="H31" i="19"/>
  <c r="I31" i="19" s="1"/>
  <c r="G31" i="19"/>
  <c r="H30" i="19"/>
  <c r="I30" i="19" s="1"/>
  <c r="G30" i="19"/>
  <c r="H29" i="19"/>
  <c r="I29" i="19" s="1"/>
  <c r="G29" i="19"/>
  <c r="H28" i="19"/>
  <c r="I28" i="19" s="1"/>
  <c r="G28" i="19"/>
  <c r="H27" i="19"/>
  <c r="I27" i="19" s="1"/>
  <c r="G27" i="19"/>
  <c r="H26" i="19"/>
  <c r="I26" i="19" s="1"/>
  <c r="G26" i="19"/>
  <c r="H25" i="19"/>
  <c r="I25" i="19" s="1"/>
  <c r="G25" i="19"/>
  <c r="H24" i="19"/>
  <c r="I24" i="19" s="1"/>
  <c r="G24" i="19"/>
  <c r="H23" i="19"/>
  <c r="I23" i="19" s="1"/>
  <c r="G23" i="19"/>
  <c r="H22" i="19"/>
  <c r="I22" i="19" s="1"/>
  <c r="G22" i="19"/>
  <c r="H21" i="19"/>
  <c r="I21" i="19" s="1"/>
  <c r="G21" i="19"/>
  <c r="H20" i="19"/>
  <c r="I20" i="19" s="1"/>
  <c r="G20" i="19"/>
  <c r="H19" i="19"/>
  <c r="I19" i="19" s="1"/>
  <c r="G19" i="19"/>
  <c r="H18" i="19"/>
  <c r="I18" i="19" s="1"/>
  <c r="G18" i="19"/>
  <c r="H17" i="19"/>
  <c r="I17" i="19" s="1"/>
  <c r="G17" i="19"/>
  <c r="H16" i="19"/>
  <c r="I16" i="19" s="1"/>
  <c r="G16" i="19"/>
  <c r="F6" i="19"/>
  <c r="F3" i="19"/>
  <c r="F2" i="19"/>
  <c r="I50" i="19" l="1"/>
  <c r="D5" i="19" s="1"/>
  <c r="F5" i="19" s="1"/>
  <c r="I35" i="19"/>
  <c r="D4" i="19" s="1"/>
  <c r="F4" i="19" s="1"/>
  <c r="A2" i="11" l="1"/>
  <c r="H6" i="10" l="1"/>
  <c r="C62" i="17"/>
  <c r="E62" i="17" s="1"/>
  <c r="AQ47" i="17"/>
  <c r="AO47" i="17"/>
  <c r="AM47" i="17"/>
  <c r="AK47" i="17"/>
  <c r="AI47" i="17"/>
  <c r="AG47" i="17"/>
  <c r="AE47" i="17"/>
  <c r="AC47" i="17"/>
  <c r="AA47" i="17"/>
  <c r="Y47" i="17"/>
  <c r="W47" i="17"/>
  <c r="U47" i="17"/>
  <c r="S47" i="17"/>
  <c r="Q47" i="17"/>
  <c r="C41" i="17"/>
  <c r="M41" i="17" s="1"/>
  <c r="C40" i="17"/>
  <c r="G40" i="17" s="1"/>
  <c r="AQ37" i="17"/>
  <c r="AO37" i="17"/>
  <c r="AM37" i="17"/>
  <c r="AK37" i="17"/>
  <c r="AI37" i="17"/>
  <c r="AG37" i="17"/>
  <c r="AE37" i="17"/>
  <c r="AC37" i="17"/>
  <c r="AA37" i="17"/>
  <c r="Y37" i="17"/>
  <c r="W37" i="17"/>
  <c r="U37" i="17"/>
  <c r="S37" i="17"/>
  <c r="Q37" i="17"/>
  <c r="O37" i="17"/>
  <c r="M37" i="17"/>
  <c r="K37" i="17"/>
  <c r="I37" i="17"/>
  <c r="G37" i="17"/>
  <c r="E37" i="17"/>
  <c r="C37" i="17"/>
  <c r="B17" i="17"/>
  <c r="B16" i="17"/>
  <c r="AQ13" i="17"/>
  <c r="AO13" i="17"/>
  <c r="AM13" i="17"/>
  <c r="AK13" i="17"/>
  <c r="AI13" i="17"/>
  <c r="AG13" i="17"/>
  <c r="AE13" i="17"/>
  <c r="AC13" i="17"/>
  <c r="AA13" i="17"/>
  <c r="Y13" i="17"/>
  <c r="W13" i="17"/>
  <c r="U13" i="17"/>
  <c r="S13" i="17"/>
  <c r="Q13" i="17"/>
  <c r="O13" i="17"/>
  <c r="M13" i="17"/>
  <c r="K13" i="17"/>
  <c r="I13" i="17"/>
  <c r="G13" i="17"/>
  <c r="E13" i="17"/>
  <c r="C13" i="17"/>
  <c r="AQ12" i="17"/>
  <c r="AQ26" i="17" s="1"/>
  <c r="AO12" i="17"/>
  <c r="AO25" i="17" s="1"/>
  <c r="AM12" i="17"/>
  <c r="AM26" i="17" s="1"/>
  <c r="AK12" i="17"/>
  <c r="AK25" i="17" s="1"/>
  <c r="AI12" i="17"/>
  <c r="AI26" i="17" s="1"/>
  <c r="AG12" i="17"/>
  <c r="AG25" i="17" s="1"/>
  <c r="AE12" i="17"/>
  <c r="AE26" i="17" s="1"/>
  <c r="AC12" i="17"/>
  <c r="AA12" i="17"/>
  <c r="Y12" i="17"/>
  <c r="Y25" i="17" s="1"/>
  <c r="W12" i="17"/>
  <c r="W26" i="17" s="1"/>
  <c r="U12" i="17"/>
  <c r="U26" i="17" s="1"/>
  <c r="S12" i="17"/>
  <c r="S26" i="17" s="1"/>
  <c r="Q12" i="17"/>
  <c r="Q25" i="17" s="1"/>
  <c r="O12" i="17"/>
  <c r="O26" i="17" s="1"/>
  <c r="M12" i="17"/>
  <c r="M25" i="17" s="1"/>
  <c r="K12" i="17"/>
  <c r="K25" i="17" s="1"/>
  <c r="I12" i="17"/>
  <c r="I25" i="17" s="1"/>
  <c r="G12" i="17"/>
  <c r="G26" i="17" s="1"/>
  <c r="E12" i="17"/>
  <c r="C12" i="17"/>
  <c r="C25" i="17" s="1"/>
  <c r="AQ9" i="17"/>
  <c r="AO9" i="17"/>
  <c r="AM9" i="17"/>
  <c r="AK9" i="17"/>
  <c r="AI9" i="17"/>
  <c r="AG9" i="17"/>
  <c r="AE9" i="17"/>
  <c r="AC9" i="17"/>
  <c r="AA9" i="17"/>
  <c r="Y9" i="17"/>
  <c r="W9" i="17"/>
  <c r="U9" i="17"/>
  <c r="S9" i="17"/>
  <c r="Q9" i="17"/>
  <c r="O9" i="17"/>
  <c r="M9" i="17"/>
  <c r="K9" i="17"/>
  <c r="I9" i="17"/>
  <c r="G9" i="17"/>
  <c r="E9" i="17"/>
  <c r="C9" i="17"/>
  <c r="AA14" i="17" l="1"/>
  <c r="AA15" i="17" s="1"/>
  <c r="S17" i="17"/>
  <c r="W17" i="17"/>
  <c r="AM17" i="17"/>
  <c r="AQ17" i="17"/>
  <c r="O17" i="17"/>
  <c r="G17" i="17"/>
  <c r="AE17" i="17"/>
  <c r="U41" i="17"/>
  <c r="E41" i="17"/>
  <c r="E42" i="17" s="1"/>
  <c r="AA17" i="17"/>
  <c r="AK41" i="17"/>
  <c r="E14" i="17"/>
  <c r="E15" i="17" s="1"/>
  <c r="AC16" i="17"/>
  <c r="AC35" i="17" s="1"/>
  <c r="AD35" i="17" s="1"/>
  <c r="K17" i="17"/>
  <c r="AI17" i="17"/>
  <c r="C17" i="17"/>
  <c r="E17" i="17"/>
  <c r="M17" i="17"/>
  <c r="U17" i="17"/>
  <c r="AC17" i="17"/>
  <c r="AK17" i="17"/>
  <c r="AK18" i="17" s="1"/>
  <c r="AK23" i="17" s="1"/>
  <c r="K14" i="17"/>
  <c r="K15" i="17" s="1"/>
  <c r="E16" i="17"/>
  <c r="E31" i="17" s="1"/>
  <c r="F31" i="17" s="1"/>
  <c r="AC41" i="17"/>
  <c r="AD41" i="17" s="1"/>
  <c r="W48" i="17"/>
  <c r="AQ48" i="17"/>
  <c r="U16" i="17"/>
  <c r="U36" i="17" s="1"/>
  <c r="V36" i="17" s="1"/>
  <c r="AC25" i="17"/>
  <c r="AD25" i="17" s="1"/>
  <c r="G48" i="17"/>
  <c r="AA48" i="17"/>
  <c r="C14" i="17"/>
  <c r="C15" i="17" s="1"/>
  <c r="AA16" i="17"/>
  <c r="I17" i="17"/>
  <c r="Q17" i="17"/>
  <c r="Y17" i="17"/>
  <c r="AG17" i="17"/>
  <c r="AO17" i="17"/>
  <c r="AQ14" i="17"/>
  <c r="AQ15" i="17" s="1"/>
  <c r="AK16" i="17"/>
  <c r="AL25" i="17" s="1"/>
  <c r="Y26" i="17"/>
  <c r="E40" i="17"/>
  <c r="C42" i="17"/>
  <c r="K48" i="17"/>
  <c r="AE48" i="17"/>
  <c r="AK26" i="17"/>
  <c r="I40" i="17"/>
  <c r="O48" i="17"/>
  <c r="AM48" i="17"/>
  <c r="AC34" i="17"/>
  <c r="AC30" i="17"/>
  <c r="AD30" i="17" s="1"/>
  <c r="AC31" i="17"/>
  <c r="AD31" i="17" s="1"/>
  <c r="AC36" i="17"/>
  <c r="AD36" i="17" s="1"/>
  <c r="I14" i="17"/>
  <c r="I15" i="17" s="1"/>
  <c r="Y14" i="17"/>
  <c r="Y15" i="17" s="1"/>
  <c r="AO14" i="17"/>
  <c r="AO15" i="17" s="1"/>
  <c r="C16" i="17"/>
  <c r="D25" i="17" s="1"/>
  <c r="S16" i="17"/>
  <c r="T17" i="17" s="1"/>
  <c r="AI16" i="17"/>
  <c r="AJ26" i="17" s="1"/>
  <c r="AA25" i="17"/>
  <c r="AM25" i="17"/>
  <c r="K26" i="17"/>
  <c r="M14" i="17"/>
  <c r="M15" i="17" s="1"/>
  <c r="AC14" i="17"/>
  <c r="AC15" i="17" s="1"/>
  <c r="G16" i="17"/>
  <c r="H26" i="17" s="1"/>
  <c r="W16" i="17"/>
  <c r="AM16" i="17"/>
  <c r="AN17" i="17" s="1"/>
  <c r="E25" i="17"/>
  <c r="AQ25" i="17"/>
  <c r="M26" i="17"/>
  <c r="AA26" i="17"/>
  <c r="AB26" i="17" s="1"/>
  <c r="O14" i="17"/>
  <c r="O15" i="17" s="1"/>
  <c r="AE14" i="17"/>
  <c r="AE15" i="17" s="1"/>
  <c r="I16" i="17"/>
  <c r="Y16" i="17"/>
  <c r="Z37" i="17" s="1"/>
  <c r="AO16" i="17"/>
  <c r="AP17" i="17" s="1"/>
  <c r="S25" i="17"/>
  <c r="AE25" i="17"/>
  <c r="C26" i="17"/>
  <c r="AO26" i="17"/>
  <c r="Q14" i="17"/>
  <c r="Q15" i="17" s="1"/>
  <c r="AG14" i="17"/>
  <c r="AG15" i="17" s="1"/>
  <c r="K16" i="17"/>
  <c r="L37" i="17" s="1"/>
  <c r="AQ16" i="17"/>
  <c r="G25" i="17"/>
  <c r="U25" i="17"/>
  <c r="Q26" i="17"/>
  <c r="AC26" i="17"/>
  <c r="O25" i="17"/>
  <c r="S14" i="17"/>
  <c r="S15" i="17" s="1"/>
  <c r="AI14" i="17"/>
  <c r="AI15" i="17" s="1"/>
  <c r="M16" i="17"/>
  <c r="N41" i="17" s="1"/>
  <c r="AI25" i="17"/>
  <c r="E26" i="17"/>
  <c r="V37" i="17"/>
  <c r="AL37" i="17"/>
  <c r="U14" i="17"/>
  <c r="U15" i="17" s="1"/>
  <c r="AK14" i="17"/>
  <c r="AK15" i="17" s="1"/>
  <c r="O16" i="17"/>
  <c r="P17" i="17" s="1"/>
  <c r="AE16" i="17"/>
  <c r="W25" i="17"/>
  <c r="AG26" i="17"/>
  <c r="U29" i="17"/>
  <c r="G14" i="17"/>
  <c r="G15" i="17" s="1"/>
  <c r="W14" i="17"/>
  <c r="W15" i="17" s="1"/>
  <c r="AM14" i="17"/>
  <c r="AM15" i="17" s="1"/>
  <c r="Q16" i="17"/>
  <c r="R25" i="17" s="1"/>
  <c r="AG16" i="17"/>
  <c r="AH37" i="17" s="1"/>
  <c r="I26" i="17"/>
  <c r="I42" i="17"/>
  <c r="AL41" i="17"/>
  <c r="Q48" i="17"/>
  <c r="AG48" i="17"/>
  <c r="G41" i="17"/>
  <c r="O41" i="17"/>
  <c r="W41" i="17"/>
  <c r="AE41" i="17"/>
  <c r="AM41" i="17"/>
  <c r="C48" i="17"/>
  <c r="S48" i="17"/>
  <c r="AI48" i="17"/>
  <c r="E48" i="17"/>
  <c r="U48" i="17"/>
  <c r="AK48" i="17"/>
  <c r="I41" i="17"/>
  <c r="Q41" i="17"/>
  <c r="Y41" i="17"/>
  <c r="AG41" i="17"/>
  <c r="AO41" i="17"/>
  <c r="I48" i="17"/>
  <c r="Y48" i="17"/>
  <c r="AO48" i="17"/>
  <c r="K41" i="17"/>
  <c r="S41" i="17"/>
  <c r="T41" i="17" s="1"/>
  <c r="AA41" i="17"/>
  <c r="AI41" i="17"/>
  <c r="AQ41" i="17"/>
  <c r="AR41" i="17" s="1"/>
  <c r="M48" i="17"/>
  <c r="AC48" i="17"/>
  <c r="AN41" i="17" l="1"/>
  <c r="F37" i="17"/>
  <c r="F41" i="17"/>
  <c r="E35" i="17"/>
  <c r="F35" i="17" s="1"/>
  <c r="AB17" i="17"/>
  <c r="T37" i="17"/>
  <c r="F26" i="17"/>
  <c r="J17" i="17"/>
  <c r="E30" i="17"/>
  <c r="F30" i="17" s="1"/>
  <c r="E36" i="17"/>
  <c r="F36" i="17" s="1"/>
  <c r="AR17" i="17"/>
  <c r="E29" i="17"/>
  <c r="E32" i="17" s="1"/>
  <c r="AF17" i="17"/>
  <c r="AA35" i="17"/>
  <c r="AB35" i="17" s="1"/>
  <c r="AB37" i="17"/>
  <c r="AA29" i="17"/>
  <c r="D37" i="17"/>
  <c r="AA18" i="17"/>
  <c r="AA23" i="17" s="1"/>
  <c r="AL26" i="17"/>
  <c r="AB25" i="17"/>
  <c r="AA30" i="17"/>
  <c r="AB30" i="17" s="1"/>
  <c r="AA31" i="17"/>
  <c r="AB31" i="17" s="1"/>
  <c r="AA36" i="17"/>
  <c r="AB36" i="17" s="1"/>
  <c r="AB41" i="17"/>
  <c r="R41" i="17"/>
  <c r="AA34" i="17"/>
  <c r="AD40" i="17"/>
  <c r="F40" i="17"/>
  <c r="E18" i="17"/>
  <c r="E23" i="17" s="1"/>
  <c r="F23" i="17" s="1"/>
  <c r="AK31" i="17"/>
  <c r="AL31" i="17" s="1"/>
  <c r="AD26" i="17"/>
  <c r="U31" i="17"/>
  <c r="V31" i="17" s="1"/>
  <c r="AP41" i="17"/>
  <c r="U35" i="17"/>
  <c r="V35" i="17" s="1"/>
  <c r="E34" i="17"/>
  <c r="F34" i="17" s="1"/>
  <c r="AD37" i="17"/>
  <c r="AB40" i="17"/>
  <c r="AP37" i="17"/>
  <c r="U30" i="17"/>
  <c r="V30" i="17" s="1"/>
  <c r="AK36" i="17"/>
  <c r="AL36" i="17" s="1"/>
  <c r="V40" i="17"/>
  <c r="D41" i="17"/>
  <c r="V25" i="17"/>
  <c r="AK30" i="17"/>
  <c r="AL30" i="17" s="1"/>
  <c r="D26" i="17"/>
  <c r="AK29" i="17"/>
  <c r="AK32" i="17" s="1"/>
  <c r="AK34" i="17"/>
  <c r="AL34" i="17" s="1"/>
  <c r="AC29" i="17"/>
  <c r="AC32" i="17" s="1"/>
  <c r="X25" i="17"/>
  <c r="X41" i="17"/>
  <c r="AP26" i="17"/>
  <c r="AD17" i="17"/>
  <c r="Z41" i="17"/>
  <c r="U18" i="17"/>
  <c r="U23" i="17" s="1"/>
  <c r="F25" i="17"/>
  <c r="AL40" i="17"/>
  <c r="AC18" i="17"/>
  <c r="AC23" i="17" s="1"/>
  <c r="AD23" i="17" s="1"/>
  <c r="U34" i="17"/>
  <c r="V41" i="17"/>
  <c r="AK35" i="17"/>
  <c r="AL35" i="17" s="1"/>
  <c r="T25" i="17"/>
  <c r="P41" i="17"/>
  <c r="L17" i="17"/>
  <c r="N25" i="17"/>
  <c r="AL17" i="17"/>
  <c r="F17" i="17"/>
  <c r="R26" i="17"/>
  <c r="R37" i="17"/>
  <c r="V17" i="17"/>
  <c r="P25" i="17"/>
  <c r="L26" i="17"/>
  <c r="N17" i="17"/>
  <c r="V26" i="17"/>
  <c r="AJ25" i="17"/>
  <c r="H41" i="17"/>
  <c r="J26" i="17"/>
  <c r="AJ37" i="17"/>
  <c r="H25" i="17"/>
  <c r="Y30" i="17"/>
  <c r="Z30" i="17" s="1"/>
  <c r="Z40" i="17"/>
  <c r="Y36" i="17"/>
  <c r="Z36" i="17" s="1"/>
  <c r="Y35" i="17"/>
  <c r="Z35" i="17" s="1"/>
  <c r="Y34" i="17"/>
  <c r="Y31" i="17"/>
  <c r="Z31" i="17" s="1"/>
  <c r="Y18" i="17"/>
  <c r="Y23" i="17" s="1"/>
  <c r="Y29" i="17"/>
  <c r="AR25" i="17"/>
  <c r="W31" i="17"/>
  <c r="X31" i="17" s="1"/>
  <c r="X40" i="17"/>
  <c r="X37" i="17"/>
  <c r="W29" i="17"/>
  <c r="W30" i="17"/>
  <c r="X30" i="17" s="1"/>
  <c r="W36" i="17"/>
  <c r="X36" i="17" s="1"/>
  <c r="W35" i="17"/>
  <c r="X35" i="17" s="1"/>
  <c r="W34" i="17"/>
  <c r="W18" i="17"/>
  <c r="W23" i="17" s="1"/>
  <c r="X26" i="17"/>
  <c r="V29" i="17"/>
  <c r="I30" i="17"/>
  <c r="J30" i="17" s="1"/>
  <c r="J40" i="17"/>
  <c r="I36" i="17"/>
  <c r="J36" i="17" s="1"/>
  <c r="I35" i="17"/>
  <c r="J35" i="17" s="1"/>
  <c r="I34" i="17"/>
  <c r="I29" i="17"/>
  <c r="I31" i="17"/>
  <c r="J31" i="17" s="1"/>
  <c r="I18" i="17"/>
  <c r="I23" i="17" s="1"/>
  <c r="AJ41" i="17"/>
  <c r="AH41" i="17"/>
  <c r="Q30" i="17"/>
  <c r="R30" i="17" s="1"/>
  <c r="Q36" i="17"/>
  <c r="R36" i="17" s="1"/>
  <c r="Q18" i="17"/>
  <c r="Q23" i="17" s="1"/>
  <c r="Q29" i="17"/>
  <c r="Q35" i="17"/>
  <c r="R35" i="17" s="1"/>
  <c r="Q34" i="17"/>
  <c r="R40" i="17"/>
  <c r="Q31" i="17"/>
  <c r="R31" i="17" s="1"/>
  <c r="AH26" i="17"/>
  <c r="P40" i="17"/>
  <c r="O31" i="17"/>
  <c r="P31" i="17" s="1"/>
  <c r="P37" i="17"/>
  <c r="O29" i="17"/>
  <c r="O18" i="17"/>
  <c r="O23" i="17" s="1"/>
  <c r="O36" i="17"/>
  <c r="P36" i="17" s="1"/>
  <c r="O30" i="17"/>
  <c r="P30" i="17" s="1"/>
  <c r="O34" i="17"/>
  <c r="O35" i="17"/>
  <c r="P35" i="17" s="1"/>
  <c r="N37" i="17"/>
  <c r="AR37" i="17"/>
  <c r="S29" i="17"/>
  <c r="S35" i="17"/>
  <c r="T35" i="17" s="1"/>
  <c r="T40" i="17"/>
  <c r="S31" i="17"/>
  <c r="T31" i="17" s="1"/>
  <c r="S30" i="17"/>
  <c r="T30" i="17" s="1"/>
  <c r="S34" i="17"/>
  <c r="S36" i="17"/>
  <c r="T36" i="17" s="1"/>
  <c r="S18" i="17"/>
  <c r="S23" i="17" s="1"/>
  <c r="AB34" i="17"/>
  <c r="Z25" i="17"/>
  <c r="T26" i="17"/>
  <c r="AG30" i="17"/>
  <c r="AH30" i="17" s="1"/>
  <c r="AG36" i="17"/>
  <c r="AH36" i="17" s="1"/>
  <c r="AG18" i="17"/>
  <c r="AG23" i="17" s="1"/>
  <c r="AG29" i="17"/>
  <c r="AG31" i="17"/>
  <c r="AH31" i="17" s="1"/>
  <c r="AG35" i="17"/>
  <c r="AH35" i="17" s="1"/>
  <c r="AG34" i="17"/>
  <c r="AH40" i="17"/>
  <c r="AF40" i="17"/>
  <c r="AE31" i="17"/>
  <c r="AF31" i="17" s="1"/>
  <c r="AF37" i="17"/>
  <c r="AE29" i="17"/>
  <c r="AE36" i="17"/>
  <c r="AF36" i="17" s="1"/>
  <c r="AE35" i="17"/>
  <c r="AF35" i="17" s="1"/>
  <c r="AE34" i="17"/>
  <c r="AE30" i="17"/>
  <c r="AF30" i="17" s="1"/>
  <c r="AE18" i="17"/>
  <c r="AE23" i="17" s="1"/>
  <c r="G31" i="17"/>
  <c r="H31" i="17" s="1"/>
  <c r="H37" i="17"/>
  <c r="G29" i="17"/>
  <c r="G30" i="17"/>
  <c r="H30" i="17" s="1"/>
  <c r="G36" i="17"/>
  <c r="H36" i="17" s="1"/>
  <c r="G35" i="17"/>
  <c r="H35" i="17" s="1"/>
  <c r="G34" i="17"/>
  <c r="G18" i="17"/>
  <c r="G23" i="17" s="1"/>
  <c r="AI29" i="17"/>
  <c r="AI35" i="17"/>
  <c r="AJ35" i="17" s="1"/>
  <c r="AJ40" i="17"/>
  <c r="AI31" i="17"/>
  <c r="AJ31" i="17" s="1"/>
  <c r="AI34" i="17"/>
  <c r="AI36" i="17"/>
  <c r="AJ36" i="17" s="1"/>
  <c r="AI18" i="17"/>
  <c r="AI23" i="17" s="1"/>
  <c r="AI30" i="17"/>
  <c r="AJ30" i="17" s="1"/>
  <c r="D40" i="17"/>
  <c r="C29" i="17"/>
  <c r="C35" i="17"/>
  <c r="D35" i="17" s="1"/>
  <c r="C31" i="17"/>
  <c r="D31" i="17" s="1"/>
  <c r="C34" i="17"/>
  <c r="C30" i="17"/>
  <c r="D30" i="17" s="1"/>
  <c r="C36" i="17"/>
  <c r="D36" i="17" s="1"/>
  <c r="C18" i="17"/>
  <c r="C23" i="17" s="1"/>
  <c r="J25" i="17"/>
  <c r="AJ17" i="17"/>
  <c r="AL23" i="17"/>
  <c r="AK24" i="17"/>
  <c r="AL24" i="17" s="1"/>
  <c r="AH17" i="17"/>
  <c r="AC38" i="17"/>
  <c r="AD34" i="17"/>
  <c r="F29" i="17"/>
  <c r="L41" i="17"/>
  <c r="K42" i="17"/>
  <c r="J41" i="17"/>
  <c r="AF41" i="17"/>
  <c r="AA24" i="17"/>
  <c r="AB24" i="17" s="1"/>
  <c r="AB23" i="17"/>
  <c r="V23" i="17"/>
  <c r="U24" i="17"/>
  <c r="V24" i="17" s="1"/>
  <c r="V34" i="17"/>
  <c r="U38" i="17"/>
  <c r="AF25" i="17"/>
  <c r="Z26" i="17"/>
  <c r="R17" i="17"/>
  <c r="AB29" i="17"/>
  <c r="P26" i="17"/>
  <c r="X17" i="17"/>
  <c r="D17" i="17"/>
  <c r="AR40" i="17"/>
  <c r="AQ29" i="17"/>
  <c r="AQ35" i="17"/>
  <c r="AR35" i="17" s="1"/>
  <c r="AQ31" i="17"/>
  <c r="AR31" i="17" s="1"/>
  <c r="AQ30" i="17"/>
  <c r="AR30" i="17" s="1"/>
  <c r="AQ34" i="17"/>
  <c r="AQ18" i="17"/>
  <c r="AQ23" i="17" s="1"/>
  <c r="AQ36" i="17"/>
  <c r="AR36" i="17" s="1"/>
  <c r="AR26" i="17"/>
  <c r="H17" i="17"/>
  <c r="H40" i="17"/>
  <c r="J37" i="17"/>
  <c r="N40" i="17"/>
  <c r="M34" i="17"/>
  <c r="M30" i="17"/>
  <c r="N30" i="17" s="1"/>
  <c r="M31" i="17"/>
  <c r="N31" i="17" s="1"/>
  <c r="M18" i="17"/>
  <c r="M23" i="17" s="1"/>
  <c r="M36" i="17"/>
  <c r="N36" i="17" s="1"/>
  <c r="M35" i="17"/>
  <c r="N35" i="17" s="1"/>
  <c r="M29" i="17"/>
  <c r="G42" i="17"/>
  <c r="L40" i="17"/>
  <c r="K29" i="17"/>
  <c r="K35" i="17"/>
  <c r="L35" i="17" s="1"/>
  <c r="K31" i="17"/>
  <c r="L31" i="17" s="1"/>
  <c r="K36" i="17"/>
  <c r="L36" i="17" s="1"/>
  <c r="K18" i="17"/>
  <c r="K23" i="17" s="1"/>
  <c r="K30" i="17"/>
  <c r="L30" i="17" s="1"/>
  <c r="K34" i="17"/>
  <c r="AO30" i="17"/>
  <c r="AP30" i="17" s="1"/>
  <c r="AP40" i="17"/>
  <c r="AO36" i="17"/>
  <c r="AP36" i="17" s="1"/>
  <c r="AO31" i="17"/>
  <c r="AP31" i="17" s="1"/>
  <c r="AP25" i="17"/>
  <c r="AO35" i="17"/>
  <c r="AP35" i="17" s="1"/>
  <c r="AO34" i="17"/>
  <c r="AO18" i="17"/>
  <c r="AO23" i="17" s="1"/>
  <c r="AO29" i="17"/>
  <c r="N26" i="17"/>
  <c r="AM31" i="17"/>
  <c r="AN31" i="17" s="1"/>
  <c r="AN40" i="17"/>
  <c r="AN37" i="17"/>
  <c r="AM29" i="17"/>
  <c r="AM30" i="17"/>
  <c r="AN30" i="17" s="1"/>
  <c r="AM36" i="17"/>
  <c r="AN36" i="17" s="1"/>
  <c r="AM35" i="17"/>
  <c r="AN35" i="17" s="1"/>
  <c r="AM34" i="17"/>
  <c r="AM18" i="17"/>
  <c r="AM23" i="17" s="1"/>
  <c r="AN25" i="17"/>
  <c r="L25" i="17"/>
  <c r="AN26" i="17"/>
  <c r="Z17" i="17"/>
  <c r="AH25" i="17"/>
  <c r="AF26" i="17"/>
  <c r="AC24" i="17" l="1"/>
  <c r="AD24" i="17" s="1"/>
  <c r="AA32" i="17"/>
  <c r="AD29" i="17"/>
  <c r="AL29" i="17"/>
  <c r="U32" i="17"/>
  <c r="AA38" i="17"/>
  <c r="E38" i="17"/>
  <c r="AD43" i="17"/>
  <c r="AC44" i="17" s="1"/>
  <c r="E24" i="17"/>
  <c r="F24" i="17" s="1"/>
  <c r="F43" i="17"/>
  <c r="E44" i="17" s="1"/>
  <c r="AK38" i="17"/>
  <c r="AL43" i="17"/>
  <c r="AK44" i="17" s="1"/>
  <c r="AK27" i="17"/>
  <c r="AK43" i="17" s="1"/>
  <c r="AK50" i="17" s="1"/>
  <c r="AK51" i="17" s="1"/>
  <c r="AK52" i="17" s="1"/>
  <c r="AB43" i="17"/>
  <c r="AA44" i="17" s="1"/>
  <c r="AO24" i="17"/>
  <c r="AP24" i="17" s="1"/>
  <c r="AP23" i="17"/>
  <c r="Q32" i="17"/>
  <c r="R29" i="17"/>
  <c r="AC27" i="17"/>
  <c r="AC43" i="17" s="1"/>
  <c r="AC50" i="17" s="1"/>
  <c r="AC51" i="17" s="1"/>
  <c r="AC52" i="17" s="1"/>
  <c r="AO32" i="17"/>
  <c r="AP29" i="17"/>
  <c r="M38" i="17"/>
  <c r="N34" i="17"/>
  <c r="AQ38" i="17"/>
  <c r="AR34" i="17"/>
  <c r="S32" i="17"/>
  <c r="T29" i="17"/>
  <c r="P29" i="17"/>
  <c r="O32" i="17"/>
  <c r="Z29" i="17"/>
  <c r="Y32" i="17"/>
  <c r="K38" i="17"/>
  <c r="L34" i="17"/>
  <c r="AF29" i="17"/>
  <c r="AE32" i="17"/>
  <c r="Y24" i="17"/>
  <c r="Z24" i="17" s="1"/>
  <c r="Z23" i="17"/>
  <c r="AP34" i="17"/>
  <c r="AO38" i="17"/>
  <c r="M32" i="17"/>
  <c r="N29" i="17"/>
  <c r="AH23" i="17"/>
  <c r="AG24" i="17"/>
  <c r="AH24" i="17" s="1"/>
  <c r="Q24" i="17"/>
  <c r="R24" i="17" s="1"/>
  <c r="R23" i="17"/>
  <c r="AG32" i="17"/>
  <c r="AH29" i="17"/>
  <c r="AM32" i="17"/>
  <c r="AN29" i="17"/>
  <c r="L23" i="17"/>
  <c r="K24" i="17"/>
  <c r="L24" i="17" s="1"/>
  <c r="D23" i="17"/>
  <c r="C24" i="17"/>
  <c r="D24" i="17" s="1"/>
  <c r="AI32" i="17"/>
  <c r="AJ29" i="17"/>
  <c r="T34" i="17"/>
  <c r="S38" i="17"/>
  <c r="J29" i="17"/>
  <c r="I32" i="17"/>
  <c r="W32" i="17"/>
  <c r="X29" i="17"/>
  <c r="Z34" i="17"/>
  <c r="Y38" i="17"/>
  <c r="I24" i="17"/>
  <c r="J24" i="17" s="1"/>
  <c r="J23" i="17"/>
  <c r="AQ32" i="17"/>
  <c r="AR29" i="17"/>
  <c r="V43" i="17"/>
  <c r="U44" i="17" s="1"/>
  <c r="G24" i="17"/>
  <c r="H24" i="17" s="1"/>
  <c r="H23" i="17"/>
  <c r="AF23" i="17"/>
  <c r="AE24" i="17"/>
  <c r="AF24" i="17" s="1"/>
  <c r="O38" i="17"/>
  <c r="P34" i="17"/>
  <c r="J34" i="17"/>
  <c r="I38" i="17"/>
  <c r="M24" i="17"/>
  <c r="N24" i="17" s="1"/>
  <c r="N23" i="17"/>
  <c r="U27" i="17"/>
  <c r="U43" i="17" s="1"/>
  <c r="U50" i="17" s="1"/>
  <c r="U51" i="17" s="1"/>
  <c r="U52" i="17" s="1"/>
  <c r="AI24" i="17"/>
  <c r="AJ24" i="17" s="1"/>
  <c r="AJ23" i="17"/>
  <c r="H34" i="17"/>
  <c r="G38" i="17"/>
  <c r="D29" i="17"/>
  <c r="C32" i="17"/>
  <c r="G32" i="17"/>
  <c r="H29" i="17"/>
  <c r="T23" i="17"/>
  <c r="S24" i="17"/>
  <c r="T24" i="17" s="1"/>
  <c r="AM24" i="17"/>
  <c r="AN24" i="17" s="1"/>
  <c r="AN23" i="17"/>
  <c r="AA27" i="17"/>
  <c r="AA43" i="17" s="1"/>
  <c r="AA50" i="17" s="1"/>
  <c r="AA51" i="17" s="1"/>
  <c r="AA52" i="17" s="1"/>
  <c r="D34" i="17"/>
  <c r="C38" i="17"/>
  <c r="AE38" i="17"/>
  <c r="AF34" i="17"/>
  <c r="AG38" i="17"/>
  <c r="AH34" i="17"/>
  <c r="W24" i="17"/>
  <c r="X24" i="17" s="1"/>
  <c r="X23" i="17"/>
  <c r="AN34" i="17"/>
  <c r="AM38" i="17"/>
  <c r="K32" i="17"/>
  <c r="L29" i="17"/>
  <c r="AQ24" i="17"/>
  <c r="AR24" i="17" s="1"/>
  <c r="AR23" i="17"/>
  <c r="AJ34" i="17"/>
  <c r="AI38" i="17"/>
  <c r="O24" i="17"/>
  <c r="P24" i="17" s="1"/>
  <c r="P23" i="17"/>
  <c r="Q38" i="17"/>
  <c r="R34" i="17"/>
  <c r="X34" i="17"/>
  <c r="W38" i="17"/>
  <c r="E27" i="17" l="1"/>
  <c r="E43" i="17" s="1"/>
  <c r="E50" i="17" s="1"/>
  <c r="E51" i="17" s="1"/>
  <c r="E52" i="17" s="1"/>
  <c r="AR43" i="17"/>
  <c r="AQ44" i="17" s="1"/>
  <c r="R43" i="17"/>
  <c r="Q44" i="17" s="1"/>
  <c r="J43" i="17"/>
  <c r="I44" i="17" s="1"/>
  <c r="Y27" i="17"/>
  <c r="Y43" i="17" s="1"/>
  <c r="Y50" i="17" s="1"/>
  <c r="Y51" i="17" s="1"/>
  <c r="Y52" i="17" s="1"/>
  <c r="AH43" i="17"/>
  <c r="AG44" i="17" s="1"/>
  <c r="N43" i="17"/>
  <c r="M44" i="17" s="1"/>
  <c r="AJ43" i="17"/>
  <c r="AI44" i="17" s="1"/>
  <c r="Q27" i="17"/>
  <c r="Q43" i="17" s="1"/>
  <c r="Q50" i="17" s="1"/>
  <c r="Q51" i="17" s="1"/>
  <c r="Q52" i="17" s="1"/>
  <c r="K27" i="17"/>
  <c r="K43" i="17" s="1"/>
  <c r="K50" i="17" s="1"/>
  <c r="K51" i="17" s="1"/>
  <c r="K52" i="17" s="1"/>
  <c r="AF43" i="17"/>
  <c r="AE44" i="17" s="1"/>
  <c r="AE27" i="17"/>
  <c r="AE43" i="17" s="1"/>
  <c r="AE50" i="17" s="1"/>
  <c r="AE51" i="17" s="1"/>
  <c r="AE52" i="17" s="1"/>
  <c r="I27" i="17"/>
  <c r="I43" i="17" s="1"/>
  <c r="I50" i="17" s="1"/>
  <c r="I51" i="17" s="1"/>
  <c r="I52" i="17" s="1"/>
  <c r="Z43" i="17"/>
  <c r="Y44" i="17" s="1"/>
  <c r="D43" i="17"/>
  <c r="C44" i="17" s="1"/>
  <c r="AG27" i="17"/>
  <c r="AG43" i="17" s="1"/>
  <c r="AG50" i="17" s="1"/>
  <c r="AG51" i="17" s="1"/>
  <c r="AG52" i="17" s="1"/>
  <c r="X43" i="17"/>
  <c r="W44" i="17" s="1"/>
  <c r="H43" i="17"/>
  <c r="G44" i="17" s="1"/>
  <c r="AQ27" i="17"/>
  <c r="AQ43" i="17" s="1"/>
  <c r="AQ50" i="17" s="1"/>
  <c r="AQ51" i="17" s="1"/>
  <c r="AQ52" i="17" s="1"/>
  <c r="T43" i="17"/>
  <c r="S44" i="17" s="1"/>
  <c r="AI27" i="17"/>
  <c r="AI43" i="17" s="1"/>
  <c r="AI50" i="17" s="1"/>
  <c r="AI51" i="17" s="1"/>
  <c r="AI52" i="17" s="1"/>
  <c r="M27" i="17"/>
  <c r="M43" i="17" s="1"/>
  <c r="M50" i="17" s="1"/>
  <c r="M51" i="17" s="1"/>
  <c r="M52" i="17" s="1"/>
  <c r="O27" i="17"/>
  <c r="O43" i="17" s="1"/>
  <c r="O50" i="17" s="1"/>
  <c r="O51" i="17" s="1"/>
  <c r="O52" i="17" s="1"/>
  <c r="W27" i="17"/>
  <c r="W43" i="17" s="1"/>
  <c r="W50" i="17" s="1"/>
  <c r="W51" i="17" s="1"/>
  <c r="W52" i="17" s="1"/>
  <c r="G27" i="17"/>
  <c r="G43" i="17" s="1"/>
  <c r="G50" i="17" s="1"/>
  <c r="G51" i="17" s="1"/>
  <c r="G52" i="17" s="1"/>
  <c r="L43" i="17"/>
  <c r="K44" i="17" s="1"/>
  <c r="P43" i="17"/>
  <c r="O44" i="17" s="1"/>
  <c r="AN43" i="17"/>
  <c r="AM44" i="17" s="1"/>
  <c r="AO27" i="17"/>
  <c r="AO43" i="17" s="1"/>
  <c r="AO50" i="17" s="1"/>
  <c r="AO51" i="17" s="1"/>
  <c r="AO52" i="17" s="1"/>
  <c r="AM27" i="17"/>
  <c r="AM43" i="17" s="1"/>
  <c r="AM50" i="17" s="1"/>
  <c r="AM51" i="17" s="1"/>
  <c r="AM52" i="17" s="1"/>
  <c r="C27" i="17"/>
  <c r="C43" i="17" s="1"/>
  <c r="C50" i="17" s="1"/>
  <c r="C51" i="17" s="1"/>
  <c r="C52" i="17" s="1"/>
  <c r="AP43" i="17"/>
  <c r="AO44" i="17" s="1"/>
  <c r="S27" i="17"/>
  <c r="S43" i="17" s="1"/>
  <c r="S50" i="17" s="1"/>
  <c r="S51" i="17" s="1"/>
  <c r="S52" i="17" s="1"/>
  <c r="G12" i="10" l="1"/>
  <c r="K14" i="10" l="1"/>
  <c r="F31" i="10"/>
  <c r="F38" i="10" l="1"/>
  <c r="J16" i="11" l="1"/>
  <c r="B14" i="11" s="1"/>
  <c r="D14" i="11" s="1"/>
  <c r="D10" i="11"/>
  <c r="D12" i="11"/>
  <c r="H12" i="11" s="1"/>
  <c r="D11" i="11"/>
  <c r="H18" i="5" l="1"/>
  <c r="H30" i="5"/>
  <c r="G25" i="5" l="1"/>
  <c r="H25" i="5" s="1"/>
  <c r="G26" i="5"/>
  <c r="H26" i="5" s="1"/>
  <c r="B5" i="11" l="1"/>
  <c r="G8" i="10"/>
  <c r="F11" i="11" l="1"/>
  <c r="H11" i="11" s="1"/>
  <c r="F10" i="11"/>
  <c r="H10" i="11" s="1"/>
  <c r="E14" i="11"/>
  <c r="H14" i="11" s="1"/>
  <c r="G24" i="10"/>
  <c r="G23" i="10"/>
  <c r="G29" i="5"/>
  <c r="H29" i="5" s="1"/>
  <c r="G27" i="5"/>
  <c r="H27" i="5" s="1"/>
  <c r="G24" i="5"/>
  <c r="H16" i="11" l="1"/>
  <c r="H8" i="10"/>
  <c r="H7" i="10"/>
  <c r="G26" i="10" l="1"/>
  <c r="H10" i="10"/>
  <c r="H11" i="10"/>
  <c r="H12" i="10"/>
  <c r="H13" i="10"/>
  <c r="H15" i="10"/>
  <c r="H9" i="10"/>
  <c r="H24" i="5" l="1"/>
  <c r="A3" i="10"/>
  <c r="A4" i="10"/>
  <c r="H28" i="5" l="1"/>
  <c r="H32" i="5" s="1"/>
  <c r="C20" i="10"/>
  <c r="H10" i="5" l="1"/>
  <c r="H9" i="5"/>
  <c r="J7" i="10" l="1"/>
  <c r="K7" i="10" s="1"/>
  <c r="J8" i="10"/>
  <c r="K8" i="10" s="1"/>
  <c r="J9" i="10"/>
  <c r="K9" i="10" s="1"/>
  <c r="J10" i="10"/>
  <c r="K10" i="10" s="1"/>
  <c r="J11" i="10"/>
  <c r="K11" i="10" s="1"/>
  <c r="J12" i="10"/>
  <c r="K12" i="10" s="1"/>
  <c r="J13" i="10"/>
  <c r="K13" i="10" s="1"/>
  <c r="J15" i="10"/>
  <c r="K15" i="10" s="1"/>
  <c r="J6" i="10"/>
  <c r="K6" i="10" s="1"/>
  <c r="K16" i="10" l="1"/>
  <c r="K19" i="10" l="1"/>
  <c r="G25" i="10" s="1"/>
  <c r="C7" i="10"/>
  <c r="H11" i="5"/>
  <c r="H15" i="5" l="1"/>
  <c r="J22" i="10" l="1"/>
  <c r="C24" i="10" l="1"/>
  <c r="C23" i="10"/>
  <c r="C25" i="10"/>
  <c r="C26" i="10"/>
  <c r="C27" i="10" l="1"/>
  <c r="O9" i="5" l="1"/>
  <c r="I12" i="5" s="1"/>
  <c r="N10" i="5"/>
  <c r="P9" i="5" l="1"/>
  <c r="D16" i="23"/>
  <c r="O10" i="5"/>
  <c r="A16" i="23" l="1"/>
  <c r="I14" i="5"/>
  <c r="H17" i="5" l="1"/>
  <c r="H21" i="5" s="1"/>
  <c r="H33" i="5" s="1"/>
  <c r="J26" i="10" l="1"/>
  <c r="G34" i="10" l="1"/>
  <c r="G37" i="10"/>
  <c r="G35" i="10"/>
  <c r="G33" i="10"/>
  <c r="G31" i="10"/>
  <c r="G36" i="10"/>
  <c r="G32" i="10"/>
  <c r="G38" i="10" l="1"/>
  <c r="C31" i="10"/>
  <c r="C38" i="10" s="1"/>
  <c r="C40" i="10" s="1"/>
  <c r="C42" i="10" s="1"/>
  <c r="C43" i="10" l="1"/>
  <c r="F43" i="10" s="1"/>
  <c r="H34" i="5" s="1"/>
  <c r="N12" i="5" l="1"/>
  <c r="O12" i="5" s="1"/>
  <c r="H35" i="5"/>
  <c r="I9" i="5"/>
  <c r="J9" i="5" s="1"/>
  <c r="D1" i="12" l="1"/>
  <c r="D3" i="12" s="1"/>
  <c r="M20" i="5"/>
  <c r="I10" i="5"/>
  <c r="A15" i="23" s="1"/>
  <c r="D18" i="23"/>
  <c r="D19" i="23" s="1"/>
  <c r="B18" i="23"/>
  <c r="B19" i="23" s="1"/>
  <c r="C18" i="23"/>
  <c r="C19" i="23" s="1"/>
  <c r="B9" i="12"/>
  <c r="B7" i="12"/>
  <c r="E3" i="12" l="1"/>
  <c r="F3" i="12" s="1"/>
  <c r="B10" i="12"/>
  <c r="B6" i="12"/>
  <c r="B8" i="12"/>
  <c r="C20" i="23"/>
  <c r="B20" i="23"/>
  <c r="C9" i="12"/>
  <c r="D9" i="12" s="1"/>
  <c r="B11" i="12"/>
  <c r="C6" i="12"/>
  <c r="C8" i="12"/>
  <c r="D8" i="12" s="1"/>
  <c r="C7" i="12"/>
  <c r="D7" i="12" s="1"/>
  <c r="C10" i="12"/>
  <c r="D10" i="12" s="1"/>
  <c r="C11" i="12" l="1"/>
  <c r="D6" i="12"/>
  <c r="D11" i="1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Alejandro Gómez</author>
  </authors>
  <commentList>
    <comment ref="B17" authorId="0" shapeId="0" xr:uid="{00000000-0006-0000-0200-000001000000}">
      <text>
        <r>
          <rPr>
            <sz val="9"/>
            <color indexed="81"/>
            <rFont val="Tahoma"/>
            <family val="2"/>
          </rPr>
          <t xml:space="preserve">No tiene IVA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Camilo Andres Gacharna Bermeo</author>
    <author>JIOVAN RIOS</author>
  </authors>
  <commentList>
    <comment ref="B23" authorId="0" shapeId="0" xr:uid="{00000000-0006-0000-0300-000001000000}">
      <text>
        <r>
          <rPr>
            <b/>
            <sz val="9"/>
            <color indexed="81"/>
            <rFont val="Tahoma"/>
            <family val="2"/>
          </rPr>
          <t xml:space="preserve">CAGB: </t>
        </r>
        <r>
          <rPr>
            <sz val="9"/>
            <color indexed="81"/>
            <rFont val="Tahoma"/>
            <family val="2"/>
          </rPr>
          <t xml:space="preserve">El Art. 310 del código sustantivo del trabajo establece que el pago de las cesantias se hará a razón de tres días de salario por cada mes de trabajo. Por esta razón, se debe liquidar las cesantias sobre 36 días al año. (12x3=36)
</t>
        </r>
      </text>
    </comment>
    <comment ref="B24" authorId="0" shapeId="0" xr:uid="{00000000-0006-0000-0300-000002000000}">
      <text>
        <r>
          <rPr>
            <b/>
            <sz val="9"/>
            <color indexed="81"/>
            <rFont val="Tahoma"/>
            <family val="2"/>
          </rPr>
          <t xml:space="preserve">CAGB: </t>
        </r>
        <r>
          <rPr>
            <sz val="9"/>
            <color indexed="81"/>
            <rFont val="Tahoma"/>
            <family val="2"/>
          </rPr>
          <t>Ley 52 de 1975</t>
        </r>
      </text>
    </comment>
    <comment ref="B29" authorId="0" shapeId="0" xr:uid="{00000000-0006-0000-0300-000003000000}">
      <text>
        <r>
          <rPr>
            <b/>
            <sz val="9"/>
            <color indexed="81"/>
            <rFont val="Tahoma"/>
            <family val="2"/>
          </rPr>
          <t xml:space="preserve">CAGB: </t>
        </r>
        <r>
          <rPr>
            <sz val="9"/>
            <color indexed="81"/>
            <rFont val="Tahoma"/>
            <family val="2"/>
          </rPr>
          <t xml:space="preserve">Ley 797 de 2003 y el decreto 4982 de 2007. Los aportes a pensión son orientados a cubrir los riesgos laborales o de jubilación por vejez.
El 12% del valor debe ser pagado por el empleador y 4% por el empleado.
</t>
        </r>
      </text>
    </comment>
    <comment ref="B31" authorId="0" shapeId="0" xr:uid="{00000000-0006-0000-0300-000004000000}">
      <text>
        <r>
          <rPr>
            <b/>
            <sz val="9"/>
            <color indexed="81"/>
            <rFont val="Tahoma"/>
            <family val="2"/>
          </rPr>
          <t xml:space="preserve">CAGB: </t>
        </r>
        <r>
          <rPr>
            <sz val="9"/>
            <color indexed="81"/>
            <rFont val="Tahoma"/>
            <family val="2"/>
          </rPr>
          <t xml:space="preserve">Ley 1562 de 2012. Este gasto corresponde pagarlo al empleador. Para el caso de construcción corresponde a 6.96% (Art 13 del decreto 1772 de 1994)
</t>
        </r>
      </text>
    </comment>
    <comment ref="B36" authorId="0" shapeId="0" xr:uid="{00000000-0006-0000-0300-000005000000}">
      <text>
        <r>
          <rPr>
            <b/>
            <sz val="9"/>
            <color indexed="81"/>
            <rFont val="Tahoma"/>
            <family val="2"/>
          </rPr>
          <t xml:space="preserve">CAGB: </t>
        </r>
        <r>
          <rPr>
            <sz val="9"/>
            <color indexed="81"/>
            <rFont val="Tahoma"/>
            <family val="2"/>
          </rPr>
          <t xml:space="preserve">Ley 1122 de 2007 (Art10), Ley 1607 (Art 25) y el decreto 1828 de 2013.
</t>
        </r>
      </text>
    </comment>
    <comment ref="B37" authorId="0" shapeId="0" xr:uid="{00000000-0006-0000-0300-000006000000}">
      <text>
        <r>
          <rPr>
            <sz val="9"/>
            <color indexed="81"/>
            <rFont val="Tahoma"/>
            <family val="2"/>
          </rPr>
          <t>El dueño de la obra debe pagar 1 salario minimo por cada 40 trabajadores, cada mes</t>
        </r>
      </text>
    </comment>
    <comment ref="C40" authorId="1" shapeId="0" xr:uid="{00000000-0006-0000-0300-000007000000}">
      <text>
        <r>
          <rPr>
            <b/>
            <sz val="9"/>
            <color indexed="81"/>
            <rFont val="Tahoma"/>
            <family val="2"/>
          </rPr>
          <t>Se conserva valor de 2020 dado que se presento variación negativa de la inflación el el sector.</t>
        </r>
        <r>
          <rPr>
            <sz val="9"/>
            <color indexed="81"/>
            <rFont val="Tahoma"/>
            <family val="2"/>
          </rPr>
          <t xml:space="preserve">
</t>
        </r>
      </text>
    </comment>
    <comment ref="C41" authorId="1" shapeId="0" xr:uid="{00000000-0006-0000-0300-000008000000}">
      <text>
        <r>
          <rPr>
            <b/>
            <sz val="9"/>
            <color indexed="81"/>
            <rFont val="Tahoma"/>
            <family val="2"/>
          </rPr>
          <t>Se aplica ajuste del 2,95% con respecto a 2019 para el sector de Bienes y servicios diversos atendiendo aumento de algunos insumos.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LUZ ELENA HERNANDEZ MARTINEZ</author>
  </authors>
  <commentList>
    <comment ref="G26" authorId="0" shapeId="0" xr:uid="{00000000-0006-0000-0400-000001000000}">
      <text>
        <r>
          <rPr>
            <b/>
            <sz val="9"/>
            <color indexed="81"/>
            <rFont val="Tahoma"/>
            <family val="2"/>
          </rPr>
          <t>VER HOJA PÓLIZAS</t>
        </r>
        <r>
          <rPr>
            <sz val="9"/>
            <color indexed="81"/>
            <rFont val="Tahoma"/>
            <family val="2"/>
          </rPr>
          <t xml:space="preserve">
</t>
        </r>
      </text>
    </comment>
  </commentList>
</comments>
</file>

<file path=xl/sharedStrings.xml><?xml version="1.0" encoding="utf-8"?>
<sst xmlns="http://schemas.openxmlformats.org/spreadsheetml/2006/main" count="625" uniqueCount="415">
  <si>
    <t>GOBERNACIÓN DE ANTIOQUIA</t>
  </si>
  <si>
    <t>PLAZO</t>
  </si>
  <si>
    <t>Salario Básico</t>
  </si>
  <si>
    <t>Prestaciones Sociales</t>
  </si>
  <si>
    <t>Prima anual</t>
  </si>
  <si>
    <t>Interés a las cesantías</t>
  </si>
  <si>
    <t>Vacaciones anuales</t>
  </si>
  <si>
    <t>EPS</t>
  </si>
  <si>
    <t>Pensiones (AFP)</t>
  </si>
  <si>
    <t>Subsidio familiar</t>
  </si>
  <si>
    <t>Sena</t>
  </si>
  <si>
    <t>ICBF</t>
  </si>
  <si>
    <t>Subtotal 1</t>
  </si>
  <si>
    <t>Costos Indirectos</t>
  </si>
  <si>
    <t>Estampilla Pro Hospitalaria (1%)</t>
  </si>
  <si>
    <t>Estampilla Politécnico Colombiano Jaime Isaza Cadavid 4/1000</t>
  </si>
  <si>
    <t>Subtotal 2</t>
  </si>
  <si>
    <t>SALARIO CON FACTOR PRESTACIONAL</t>
  </si>
  <si>
    <t>PRESUPUESTO OFICIAL</t>
  </si>
  <si>
    <t>ITEM</t>
  </si>
  <si>
    <t>A</t>
  </si>
  <si>
    <t>COSTOS DIRECTOS DE PERSONAL</t>
  </si>
  <si>
    <t>Personal Profesional:</t>
  </si>
  <si>
    <t>SUBTOTAL COSTOS DE PERSONAL</t>
  </si>
  <si>
    <t xml:space="preserve">COSTOS DE PERSONAL CON FM </t>
  </si>
  <si>
    <t>TOTAL COSTOS DIRECTOS DE PERSONAL (A)</t>
  </si>
  <si>
    <t>B</t>
  </si>
  <si>
    <t>OTROS COSTOS DIRECTOS</t>
  </si>
  <si>
    <t>SUBTOTAL OTROS COSTOS DIRECTOS (B)</t>
  </si>
  <si>
    <t>VALOR BÁSICO (A + B)</t>
  </si>
  <si>
    <t>VALOR TOTAL DE LA INTERVENTORÍA</t>
  </si>
  <si>
    <t>OBSERVACIONES:</t>
  </si>
  <si>
    <t>CÁLCULO DEL VALOR DE LAS PRIMAS DE LOS SEGUROS</t>
  </si>
  <si>
    <t>Costo total (CT):</t>
  </si>
  <si>
    <t>Plazo contractual en meses (PC):</t>
  </si>
  <si>
    <t>Anticipo / costo total</t>
  </si>
  <si>
    <t>Tipo de garantía</t>
  </si>
  <si>
    <t>Valor asegurado</t>
  </si>
  <si>
    <t>Vigencia</t>
  </si>
  <si>
    <t>Prima</t>
  </si>
  <si>
    <t>Porcentaje</t>
  </si>
  <si>
    <t>De</t>
  </si>
  <si>
    <t>Valor</t>
  </si>
  <si>
    <t>Según pliego</t>
  </si>
  <si>
    <t>Meses</t>
  </si>
  <si>
    <t>Tasa anual</t>
  </si>
  <si>
    <t>Valor total para el proyecto</t>
  </si>
  <si>
    <t>PC + 6 m</t>
  </si>
  <si>
    <t>Cumplimiento</t>
  </si>
  <si>
    <t>CT</t>
  </si>
  <si>
    <t>Salarios y prestaciones sociales</t>
  </si>
  <si>
    <t>PC + 36 m</t>
  </si>
  <si>
    <t xml:space="preserve">RESPONSABILIDAD CIVIL EXTRACONTRACTUAL </t>
  </si>
  <si>
    <t>VALOR TOTAL DE LAS PRIMAS</t>
  </si>
  <si>
    <t>DEPARTAMENTO DE ANTIOQUIA</t>
  </si>
  <si>
    <t>SUELDO O TARIFA MENSUAL</t>
  </si>
  <si>
    <t>VALOR PARCIAL ($)</t>
  </si>
  <si>
    <t xml:space="preserve">SECRETARÍA DE INFRAESTRUCTURA FÍSICA </t>
  </si>
  <si>
    <t xml:space="preserve">VR TOTAL CTTO </t>
  </si>
  <si>
    <t xml:space="preserve">Cesantía anual </t>
  </si>
  <si>
    <t>Personal Administrativo y técnico no facturable</t>
  </si>
  <si>
    <t xml:space="preserve">Pólizas </t>
  </si>
  <si>
    <t>Subtotal 3</t>
  </si>
  <si>
    <t>Subtotal 4</t>
  </si>
  <si>
    <t>Subtotal   1+2+3+4+5</t>
  </si>
  <si>
    <t>Factor Multiplicador ajustado a dos cifras decimales</t>
  </si>
  <si>
    <t>PERSONAL</t>
  </si>
  <si>
    <t>CANTIDAD</t>
  </si>
  <si>
    <t xml:space="preserve">SALARIOS </t>
  </si>
  <si>
    <t>FACTOR PRESTACIONAL:EPS, AFP, PARAFISCALES</t>
  </si>
  <si>
    <t>ARL</t>
  </si>
  <si>
    <t>TOTAL FACTOR PRESTACIONAL</t>
  </si>
  <si>
    <t>Gerente General</t>
  </si>
  <si>
    <t>Coordinadores</t>
  </si>
  <si>
    <t>Secretaria</t>
  </si>
  <si>
    <t>Mensajero</t>
  </si>
  <si>
    <t>Contador</t>
  </si>
  <si>
    <t>Abogado</t>
  </si>
  <si>
    <t>DESCRIPCION</t>
  </si>
  <si>
    <t>Calidad en el Servicio</t>
  </si>
  <si>
    <t>Director Tecnico</t>
  </si>
  <si>
    <t>Director Admon-Financiero</t>
  </si>
  <si>
    <t>Auxiliares Admon</t>
  </si>
  <si>
    <t>UNIDAD</t>
  </si>
  <si>
    <t xml:space="preserve">CANTIDAD </t>
  </si>
  <si>
    <t>DEDICACIÓN MENSUAL  (%)</t>
  </si>
  <si>
    <t>DURACIÓN (meses)</t>
  </si>
  <si>
    <t>DESCRIPCIÓN</t>
  </si>
  <si>
    <t>Persona</t>
  </si>
  <si>
    <t>Unidad</t>
  </si>
  <si>
    <t>Factor Multiplicador  (FM)</t>
  </si>
  <si>
    <t>Gastos de Transporte, Alquiler de equipos y Otros:</t>
  </si>
  <si>
    <t xml:space="preserve">PRESUPUESTO OFICIAL </t>
  </si>
  <si>
    <t>ANTICIPO</t>
  </si>
  <si>
    <t>MES</t>
  </si>
  <si>
    <t xml:space="preserve">VALOR ACTA </t>
  </si>
  <si>
    <t xml:space="preserve">AMORTIZACION </t>
  </si>
  <si>
    <t>NETO A PAGAR</t>
  </si>
  <si>
    <t>Elaboró:</t>
  </si>
  <si>
    <t>1.1</t>
  </si>
  <si>
    <t>1.2</t>
  </si>
  <si>
    <t>Director de Interventoria</t>
  </si>
  <si>
    <t>2.1</t>
  </si>
  <si>
    <t>3.1</t>
  </si>
  <si>
    <r>
      <rPr>
        <b/>
        <sz val="11"/>
        <rFont val="Arial"/>
        <family val="2"/>
      </rPr>
      <t xml:space="preserve">1. </t>
    </r>
    <r>
      <rPr>
        <sz val="11"/>
        <rFont val="Arial"/>
        <family val="2"/>
      </rPr>
      <t xml:space="preserve"> Para la determinación de las tarifas unitarias correspondientes a "OTROS COSTOS DIRECTOS", se entiende que el oferente incluyó todas las variables que inciden en su cálculo y además el porcentaje de honorarios que haya establecido dentro de su Factor Multiplicador.</t>
    </r>
  </si>
  <si>
    <r>
      <rPr>
        <b/>
        <sz val="11"/>
        <rFont val="Arial"/>
        <family val="2"/>
      </rPr>
      <t>2.</t>
    </r>
    <r>
      <rPr>
        <sz val="11"/>
        <rFont val="Arial"/>
        <family val="2"/>
      </rPr>
      <t xml:space="preserve"> Los costos de personal se reembolsarán según la dedicación efectiva que hubiere tenido en la ejecución de los trabajos.</t>
    </r>
  </si>
  <si>
    <t>Estimado</t>
  </si>
  <si>
    <t>Estampilla Prodesarrollo Institución Educativa de Envigado  4/1000</t>
  </si>
  <si>
    <t>FACTOR MULTIPLICADOR OFICIAL</t>
  </si>
  <si>
    <t>Impuesto del 4/1000 (50%)</t>
  </si>
  <si>
    <t xml:space="preserve">Residente de interventoria </t>
  </si>
  <si>
    <t xml:space="preserve"> GERENCIA DE SERVICIOS PUBLICOS</t>
  </si>
  <si>
    <t xml:space="preserve"> Honorarios ó Utilidad (10% de (1+2+3+4)) </t>
  </si>
  <si>
    <t>Profesional PAP-PDA</t>
  </si>
  <si>
    <t>1.3</t>
  </si>
  <si>
    <t>1.4</t>
  </si>
  <si>
    <t>3.2</t>
  </si>
  <si>
    <t>3.3</t>
  </si>
  <si>
    <t>3.4</t>
  </si>
  <si>
    <t>3.5</t>
  </si>
  <si>
    <t>3.6</t>
  </si>
  <si>
    <r>
      <t xml:space="preserve">3. </t>
    </r>
    <r>
      <rPr>
        <sz val="11"/>
        <rFont val="Arial"/>
        <family val="2"/>
      </rPr>
      <t xml:space="preserve">El valor a pagar en el ítem "Gastos implementacion protocolos Bioseguridad" será acordado previamentre entre las partes, a saber: Interventor y Supervisor. En todo caso solo se reconocerá </t>
    </r>
    <r>
      <rPr>
        <b/>
        <u/>
        <sz val="11"/>
        <rFont val="Arial"/>
        <family val="2"/>
      </rPr>
      <t>hasta</t>
    </r>
    <r>
      <rPr>
        <sz val="11"/>
        <rFont val="Arial"/>
        <family val="2"/>
      </rPr>
      <t xml:space="preserve"> el valor establecido en la unidad "Estimado". Se pagará contra factura.</t>
    </r>
  </si>
  <si>
    <r>
      <rPr>
        <b/>
        <sz val="11"/>
        <rFont val="Arial"/>
        <family val="2"/>
      </rPr>
      <t xml:space="preserve">4. </t>
    </r>
    <r>
      <rPr>
        <sz val="11"/>
        <rFont val="Arial"/>
        <family val="2"/>
      </rPr>
      <t>El valor a pagar en el item "Ensayos de laboratorio" incluirá el porcentaje de honorarios establecido dentro de su factor multiplicador, los costos de transporte y demás gastos necesarios para el cumplimiento de las especificaciones solicitadas, así como el estudio de mercado correspondiente a las tarifas unitarias que se estén estudiando, Dicho  valor (ensayo) será acordado previamentre entre las partes, a saber: Interventor y Supervisor. En todo caso solo se reconocerá</t>
    </r>
    <r>
      <rPr>
        <b/>
        <sz val="11"/>
        <rFont val="Arial"/>
        <family val="2"/>
      </rPr>
      <t xml:space="preserve"> </t>
    </r>
    <r>
      <rPr>
        <b/>
        <u/>
        <sz val="11"/>
        <rFont val="Arial"/>
        <family val="2"/>
      </rPr>
      <t>hasta</t>
    </r>
    <r>
      <rPr>
        <b/>
        <sz val="11"/>
        <rFont val="Arial"/>
        <family val="2"/>
      </rPr>
      <t xml:space="preserve"> </t>
    </r>
    <r>
      <rPr>
        <sz val="11"/>
        <rFont val="Arial"/>
        <family val="2"/>
      </rPr>
      <t>el valor establecido en la unidad "Estimado". Las coprobaciones técnicas serán previamente aprobadas por el Director de Agua Potable y Saneamiento Básico y se pagará contra factura</t>
    </r>
  </si>
  <si>
    <t>Estampilla Prodeportes</t>
  </si>
  <si>
    <t xml:space="preserve">Oficina de campo (alqulier y pago de servicios públicos) </t>
  </si>
  <si>
    <t xml:space="preserve">Tarifa alquiler de equipo de oficina para uso del proyecto: 1 equipo de cómputo, muebles y enseres de oficina </t>
  </si>
  <si>
    <t xml:space="preserve">Fotocopias, edicion informes, registros fotográficos entre otros </t>
  </si>
  <si>
    <t>Estudios y ensayos (Densidades, Granulometría, Límites de consistencia, Proctor modificado, pruebas de infiltración, pruebas de estanqueidad, Resistencia a la Compresión del concreto, Ensayo de absorción para cámaras prefabricadas,  según la necesidad</t>
  </si>
  <si>
    <t>Alexander Arango</t>
  </si>
  <si>
    <t>FECHA:Mayo de 2021</t>
  </si>
  <si>
    <t xml:space="preserve">CONCURSO DE MERITOS No. </t>
  </si>
  <si>
    <t xml:space="preserve">Comunicaciones (Celular, Internet) mensual  </t>
  </si>
  <si>
    <t>Alquiler Impresora oficina (Una sola vez)</t>
  </si>
  <si>
    <t>2.2</t>
  </si>
  <si>
    <t>Gastos AUXILIO DE LOCALIZACIÓN</t>
  </si>
  <si>
    <t xml:space="preserve">Motos.  Alquiler modelo 2017 o superior  - tarifa de alquiler </t>
  </si>
  <si>
    <r>
      <rPr>
        <b/>
        <sz val="11"/>
        <rFont val="Arial"/>
        <family val="2"/>
      </rPr>
      <t>5.</t>
    </r>
    <r>
      <rPr>
        <sz val="11"/>
        <rFont val="Arial"/>
        <family val="2"/>
      </rPr>
      <t xml:space="preserve"> Los demás valores subrayados, corresponden a montos </t>
    </r>
    <r>
      <rPr>
        <u/>
        <sz val="11"/>
        <rFont val="Arial"/>
        <family val="2"/>
      </rPr>
      <t>estimados</t>
    </r>
    <r>
      <rPr>
        <sz val="11"/>
        <rFont val="Arial"/>
        <family val="2"/>
      </rPr>
      <t xml:space="preserve">  con los cuales se atenderán las actividades correspondientes, las cuales se reembolsarán según su costo real, previa presentación de la factura por parte del supervisor. En todo caso solo se reconocerá </t>
    </r>
    <r>
      <rPr>
        <b/>
        <u/>
        <sz val="11"/>
        <rFont val="Arial"/>
        <family val="2"/>
      </rPr>
      <t>hasta</t>
    </r>
    <r>
      <rPr>
        <sz val="11"/>
        <rFont val="Arial"/>
        <family val="2"/>
      </rPr>
      <t xml:space="preserve"> el valor establecido en el presente formulario y no podrá ser modificado en el formulario propuesto.</t>
    </r>
  </si>
  <si>
    <r>
      <rPr>
        <b/>
        <sz val="11"/>
        <rFont val="Arial"/>
        <family val="2"/>
      </rPr>
      <t>6.</t>
    </r>
    <r>
      <rPr>
        <sz val="11"/>
        <rFont val="Arial"/>
        <family val="2"/>
      </rPr>
      <t xml:space="preserve"> Los auxilios de localización está dado para el cabal cumplimiento del contrato y no hacen parte del factor prestacional y salarial contemplado en el presente contrato </t>
    </r>
  </si>
  <si>
    <t>ESTIMATIVOS PERSONAL NO FACTURABLE</t>
  </si>
  <si>
    <t>NIVEL DE RIESGO</t>
  </si>
  <si>
    <t>% COTIZACIÓN</t>
  </si>
  <si>
    <t>Riesgo I</t>
  </si>
  <si>
    <t>0.522%</t>
  </si>
  <si>
    <t>Riesgo II</t>
  </si>
  <si>
    <t>Riesgo III</t>
  </si>
  <si>
    <t>Riesgo IV</t>
  </si>
  <si>
    <t>Riesgo V</t>
  </si>
  <si>
    <t>Papelería de la oficina del consultor para uso del proyecto ( cafetería y otros gastos funcionamiento</t>
  </si>
  <si>
    <t>Decreto 1607 de 20002 Niveles de Riesgo</t>
  </si>
  <si>
    <t>Oficina</t>
  </si>
  <si>
    <t>En obra</t>
  </si>
  <si>
    <t>SUBTOTAL NOMINA MENSUAL PERSONAL DE EMPRESA NO FACTURABLE EN LA OBRA</t>
  </si>
  <si>
    <t>TOTAL DE CONTRATOS DE LA EMPRESA EN EL MOMENTO DEL PROYECTO</t>
  </si>
  <si>
    <t>% CORRESPONDIENTE AL PROYECTO</t>
  </si>
  <si>
    <t>TOTAL NOMINA DE PERSONAL NO FACTURABLE CORRESPONDIENTE AL PROYECTO</t>
  </si>
  <si>
    <t>% DE INCIDENCIA</t>
  </si>
  <si>
    <t>SUBTOTAL BASADOS 
EN S.M.M.L.V</t>
  </si>
  <si>
    <t>NOMINA SIN FM</t>
  </si>
  <si>
    <t>SUBTOTAL GRAVAMENES</t>
  </si>
  <si>
    <t>Costos Gravamenes</t>
  </si>
  <si>
    <t>VR  CTTO ANTES  IVA</t>
  </si>
  <si>
    <t>FM SIN ESTAMPILLAS</t>
  </si>
  <si>
    <t>V todo lo que sea para entrar a obra asi sea exporadico</t>
  </si>
  <si>
    <t>Director adm tiene oficinas dentro de obra si, si no no</t>
  </si>
  <si>
    <t>Conductor riesgo iV por traslados</t>
  </si>
  <si>
    <t>Profesional Especialista Director General</t>
  </si>
  <si>
    <t>Tecnólogo 1</t>
  </si>
  <si>
    <t>Técnico 3</t>
  </si>
  <si>
    <t>Técnico 2</t>
  </si>
  <si>
    <t>Técnico 1</t>
  </si>
  <si>
    <t>Auxiliar (H)</t>
  </si>
  <si>
    <t>CALCULO DEL FACTOR PRESTACIONAL PERSONAL OPERATIVO Y ADMINISTRATIVO</t>
  </si>
  <si>
    <t>VALOR REAL DEL SALARIO 2021 - AFECTACIÓN PRESTACIONAL ANUAL</t>
  </si>
  <si>
    <t>Salario minimo vigente</t>
  </si>
  <si>
    <t>Subsidio de transporte</t>
  </si>
  <si>
    <t>AFECTACIÓN PRESTACIONAL ANUAL</t>
  </si>
  <si>
    <t>PERSONAL OPERATIVO - APU</t>
  </si>
  <si>
    <t>PERSONAL ADMINISTRATIVO - AIU Y OTROS</t>
  </si>
  <si>
    <t>Ayudante raso / Liguero / Cadenero 2</t>
  </si>
  <si>
    <t>Ayudante entendido / Ayudante electricista / Operario de equipo liviano / Vigía en salud</t>
  </si>
  <si>
    <t>Jardinero</t>
  </si>
  <si>
    <t>Oficial / Oficial Electricista / Oficial minero / Oficial demoliciones / Oficial Mvto Tierra / Oficial Impermeabilizaciones / Oficial para llenos de filtros / Oficial para pisos varios / Oficial Pintura / Oficial Refuerzo / Oficial Urbanismo / Operario de inyección / Operario de perforación / Rastrillero / Cadenero 1</t>
  </si>
  <si>
    <t>Técnico de laboratorio</t>
  </si>
  <si>
    <t>Operario especializado</t>
  </si>
  <si>
    <t>Topógrafo</t>
  </si>
  <si>
    <t>Básico sin experiencia - administrativo</t>
  </si>
  <si>
    <t>Tecnólogo 2 -  Tecnologo (a) de obras civiles, Tecnologo ambiental, Tecnologo (a) SST, Tecnologo (a) área social</t>
  </si>
  <si>
    <t>Tecnólogo 3 - Tecnologo (a) de obras civiles, Tecnologo ambiental, Tecnologo (a) SST, Tecnologo (a) área social</t>
  </si>
  <si>
    <t>Profesional Pregrado 1 - Profesional  Residente SST y Profesional del Área Social y los correspondientes para Interventoría</t>
  </si>
  <si>
    <t>Profesional Pregrado 2 - Profesional Residente ambiental, Profesional  Residente SST y Profesional del Área Social y los correspondientes para Interventoría</t>
  </si>
  <si>
    <t>Profesional Pregrado 3 - Profesional Residente de obra y Profesional Residente de Interventoría</t>
  </si>
  <si>
    <t>Profesional Especialista Director 1 - Profesional Director de Obra y Profesional Director de Interventoría</t>
  </si>
  <si>
    <t>Profesional Especialista Director 2 - Profesional Director de Obra y Profesional Director de Interventoría</t>
  </si>
  <si>
    <t>Vr. Sueldo día</t>
  </si>
  <si>
    <t>SMMLV</t>
  </si>
  <si>
    <t>SALARIO</t>
  </si>
  <si>
    <t>%</t>
  </si>
  <si>
    <t>Mensual</t>
  </si>
  <si>
    <t>Total mensual</t>
  </si>
  <si>
    <t>JORNAL</t>
  </si>
  <si>
    <t>Total anual (A/30*360)</t>
  </si>
  <si>
    <t>Subsidio de transporte anual</t>
  </si>
  <si>
    <t>Salario anual con sub. de transporte</t>
  </si>
  <si>
    <t>SALARIO NOMINAL (365 días)</t>
  </si>
  <si>
    <t xml:space="preserve">Salario anual </t>
  </si>
  <si>
    <t>PRESTACIONES SOCIALES</t>
  </si>
  <si>
    <t>Cesantias anuales</t>
  </si>
  <si>
    <t>Interes sobre cesantia</t>
  </si>
  <si>
    <t>Prima - 30 días</t>
  </si>
  <si>
    <t>Vacaciones - 15 días</t>
  </si>
  <si>
    <t>SUBTOTAL PRESTACIONES SOCIALES</t>
  </si>
  <si>
    <t>SEGURIDAD SOCIAL</t>
  </si>
  <si>
    <t>Pensiones</t>
  </si>
  <si>
    <t>Salud (Afectado por la reforma tributaria)</t>
  </si>
  <si>
    <t>De acuerdo al artículo 114-1 del Estatuto Tributario</t>
  </si>
  <si>
    <t>Riesgos Laborales (ARL)</t>
  </si>
  <si>
    <t>SUBTOTAL SEGURIDAD SOCIAL</t>
  </si>
  <si>
    <t>APORTES PARAFISCALES</t>
  </si>
  <si>
    <t>SENA (Afectado por la reforma tributaria) - asumido por el CREE</t>
  </si>
  <si>
    <t>ICBF (Afectado por la reforma tributaria) - asumido por el CREE</t>
  </si>
  <si>
    <t>Caja de compensación familiar</t>
  </si>
  <si>
    <t>FIC (Fondo Nacional de Formación Profesional de la Industria de la Construcción)</t>
  </si>
  <si>
    <t>SUBTOTAL PARAFISCALES</t>
  </si>
  <si>
    <t>DOTACIÓN</t>
  </si>
  <si>
    <t>Dotación</t>
  </si>
  <si>
    <t>Implementos de Seguridad</t>
  </si>
  <si>
    <t>SUBTOTAL DOTACIÓN</t>
  </si>
  <si>
    <t>VALOR REAL DEL SALARIO</t>
  </si>
  <si>
    <t>FACTOR PRESTACIONAL NOMINAL A USAR</t>
  </si>
  <si>
    <t>TIEMPO PRODUCTIVO</t>
  </si>
  <si>
    <t>HORAS HÁBILES LABORALES</t>
  </si>
  <si>
    <t>RECUPERACIÓN SALARIAL</t>
  </si>
  <si>
    <t>Valor hora efectiva (FP + FR)</t>
  </si>
  <si>
    <t>Valor real del salario</t>
  </si>
  <si>
    <t>FACTOR PRESTACIONAL</t>
  </si>
  <si>
    <t>El subsidio de transporte se reconoce hasta dos (2) SMMLV</t>
  </si>
  <si>
    <t>Domingos</t>
  </si>
  <si>
    <t>Festivos</t>
  </si>
  <si>
    <t>Permisos</t>
  </si>
  <si>
    <t>Total días no hábiles</t>
  </si>
  <si>
    <t>meses</t>
  </si>
  <si>
    <t>VALOR ASEGURADO</t>
  </si>
  <si>
    <t>PRIMA</t>
  </si>
  <si>
    <t>1.    Doscientos (200) SMMLV para contratos cuyo valor sea inferior o igual a mil quinientos (1.500) SMMLV.</t>
  </si>
  <si>
    <t>2.    Trescientos (300) SMMLV para contratos cuyo valor sea superior a mil quinientos (1.500) SMMLV e inferior o igual a dos mil quinientos (2.500) SMMLV.</t>
  </si>
  <si>
    <t>3.    Cuatrocientos (400) SMMLV para contratos cuyo valor sea superior a dos mil quinientos (2.500) SMMLV e inferior o igual a cinco mil (5.000) SMMLV.</t>
  </si>
  <si>
    <t>4.    Quinientos (500) SMMLV para contratos cuyo valor sea superior a cinco mil (5.000) SMMLV e inferior o igual a diez mil (10.000) SMMLV.</t>
  </si>
  <si>
    <t>5.    El cinco por ciento (5%) del valor del contrato cuando este sea superior a diez mil (10.000) SMMLV, caso en el cual el valor asegurado debe ser máximo setenta y cinco mil (75.000) SMMLV.</t>
  </si>
  <si>
    <t>La vigencia de esta garantía deberá ser igual al período de ejecución del contrato.</t>
  </si>
  <si>
    <t>PORCENTAJES A ASEGURAR Y VIGENCIA DE ACUERDO A LO DEFINIDO EN LOS ESTUDIOS PREVIOS Y OTROS DOCUMENTOS CONTRACTUALES. (Vigencias sugeridas)</t>
  </si>
  <si>
    <t>60 m</t>
  </si>
  <si>
    <t>MONTO - 1082 EN SMMLV</t>
  </si>
  <si>
    <t>VR SMMLV</t>
  </si>
  <si>
    <t>VIGENCIA MESES</t>
  </si>
  <si>
    <t>Verificar si aplica o no</t>
  </si>
  <si>
    <t>Valor para el FM</t>
  </si>
  <si>
    <t>TOPE DE RECONOCIMIENTO</t>
  </si>
  <si>
    <t>VALOR ESTABLECIDO MENSUAL HASTA S.M.M.L.V</t>
  </si>
  <si>
    <t>% DE RECONOCIMIENTO EN EL FACTOR</t>
  </si>
  <si>
    <t>UTILIZADO EN EL CÁLCULO</t>
  </si>
  <si>
    <t>Observaciones</t>
  </si>
  <si>
    <t>Costos oficina (arrendamiento,administración y servicios púlbicos, mantenimiento de oficinas, aseo, vigilancia, seguros de robo e incendio, alquiler (o depreciación)  y mantenimiento de vehículos de administración y gerencia,   asociaciones profesionales, documentación técnica, revistas, representación y promoción, preparación y edición de propuestas, gastos de viaje, gastos de representación)</t>
  </si>
  <si>
    <t>HASTA 3 SMMLV</t>
  </si>
  <si>
    <t>Se debe tener en cuenta que este tope es mensual y se paga por la duración del proyecto. Porcentaje reconocido se estima de acuerdo a requerimiento de oficina central para la obra, tamaño de la empresa, entre otros (entre el 20% y el 50%)</t>
  </si>
  <si>
    <t>Papelería de la oficina del consultor para uso del proyecto (cafetería y otros gastos funcionamiento</t>
  </si>
  <si>
    <t>Calculable</t>
  </si>
  <si>
    <t>Porcentaje reconocido: __. Porcentaje reconocido se estima de acuerdo a requerimiento de oficina central para la obra, tamaño de la empresa, entre otros (entre el 20% y el 50%)</t>
  </si>
  <si>
    <t>Muebles y equipos de oficina, pago programas, sistematización  y actualización tecnológica, rack.</t>
  </si>
  <si>
    <t>Se define el valor a reconocer y se calcula según la tabla adjunta. Se asume depreciación de 18 meses y un porcentaje de uso que se estima de acuerdo a requerimiento de oficina central para la obra, tamaño de la empresa, entre otros (entre el 20% y el 50%)</t>
  </si>
  <si>
    <t>Personal administrativo, técnico y no técnico, no facturable, entrenamiento de personal, capacitación y actualización técnica (cursos, seminarios, congresos).</t>
  </si>
  <si>
    <t>Se debe definir el tipo de personal que se va a reconocer y se calcula. Se estima de acuerdo a requerimiento de oficina central para la obra, tamaño de la empresa, entre otros (entre el 20% y el 50%)</t>
  </si>
  <si>
    <t>Asesoría contable, tributaria (revisoría fiscal) y médica</t>
  </si>
  <si>
    <t>Se cancela un solo valor por todo el proyecto.  Porcentaje reconocido: 30%</t>
  </si>
  <si>
    <t>Depreciación</t>
  </si>
  <si>
    <t>Nota: Estos valores de equipos de oficina para uso del proyeto, es un reconocimiento a los equipos de la empresa como tal, más no los equipos que estan en la obradirectamente.</t>
  </si>
  <si>
    <t>Equipo de oficina central</t>
  </si>
  <si>
    <t>Descripción / Detalle</t>
  </si>
  <si>
    <t>Cantidad</t>
  </si>
  <si>
    <t>% de Dedicación</t>
  </si>
  <si>
    <t>valor antes de IVA</t>
  </si>
  <si>
    <t>IVA</t>
  </si>
  <si>
    <t>Plazo 
(Meses)</t>
  </si>
  <si>
    <t>Valor Total</t>
  </si>
  <si>
    <t>Alquiler computador portatil + Base + Refrigerante + Teclado</t>
  </si>
  <si>
    <t>Sofware ofimatica</t>
  </si>
  <si>
    <t>Impresora Láser</t>
  </si>
  <si>
    <t>Quemador de CD y DVD</t>
  </si>
  <si>
    <t xml:space="preserve">Video Beam </t>
  </si>
  <si>
    <t>Cámara digital</t>
  </si>
  <si>
    <t>Archivador de Escritorio Metálico</t>
  </si>
  <si>
    <t>Locker Metálico 2 X 3</t>
  </si>
  <si>
    <t>Archivador vertical metálico 4 gavetas</t>
  </si>
  <si>
    <t>Estante con Puertas</t>
  </si>
  <si>
    <t>Biblioteca Doble</t>
  </si>
  <si>
    <t>Puestos de Trabajo</t>
  </si>
  <si>
    <t>Mesa de Juntas Ovalada con dos Patas</t>
  </si>
  <si>
    <t>Mesa Para Televisor en Madera Aglomerada</t>
  </si>
  <si>
    <t>Mesa Redonda Grande</t>
  </si>
  <si>
    <t>Silla Ergonómica  con Brazos</t>
  </si>
  <si>
    <t>Silla Ergonómica Ejecutiva sin Descansa Cabeza</t>
  </si>
  <si>
    <t xml:space="preserve">Silla Interlocutora Abollonada </t>
  </si>
  <si>
    <t>Tablero en Corcho y Marco en Aluminio</t>
  </si>
  <si>
    <t>Total</t>
  </si>
  <si>
    <t>Se debe borrar</t>
  </si>
  <si>
    <t>Personal administrativo, técnico y no técnico, no facturable</t>
  </si>
  <si>
    <t>Descricpión</t>
  </si>
  <si>
    <t>Nivel Riesgo 
ARL</t>
  </si>
  <si>
    <t>Salario</t>
  </si>
  <si>
    <t>F.P</t>
  </si>
  <si>
    <t>I</t>
  </si>
  <si>
    <t>III</t>
  </si>
  <si>
    <t>Gerente de la empresa</t>
  </si>
  <si>
    <t xml:space="preserve">Contador </t>
  </si>
  <si>
    <t>Revisor fiscal</t>
  </si>
  <si>
    <t>Profesional de licitaciones</t>
  </si>
  <si>
    <t>Profesional Ambiental</t>
  </si>
  <si>
    <t>Profesional social</t>
  </si>
  <si>
    <t>Auxiliar administrativo</t>
  </si>
  <si>
    <t>Papelería de la oficina del consultor para uso del proyecto</t>
  </si>
  <si>
    <t>IVA (NO INCLUYE GRAVÁMENES) (19%)</t>
  </si>
  <si>
    <t>ARP 6,96 % NORMAL</t>
  </si>
  <si>
    <t>SUBTOTAL</t>
  </si>
  <si>
    <t>ENSAYO</t>
  </si>
  <si>
    <t>VALOR DE ENSAYO</t>
  </si>
  <si>
    <t>VALOR DE TRANSPORTES</t>
  </si>
  <si>
    <t>Granulometría (NTC 77:2007 y NTC 78:1995)</t>
  </si>
  <si>
    <t>VALOR + IVA</t>
  </si>
  <si>
    <t>TOTAL</t>
  </si>
  <si>
    <t>Diseño de mezcla con dos agregados (incluye ensayos)</t>
  </si>
  <si>
    <t>Resistencia a la compresión cilindros de 6” (NTC 673:2010</t>
  </si>
  <si>
    <t>Densidad (cono y arena) (NTC 1667:2002)</t>
  </si>
  <si>
    <t>Diseño suelo-cemento (incluye todos los ensayos)</t>
  </si>
  <si>
    <t>Límites: líquido y plástico (NTC 4630:1999 - INV 125 - INV 126)</t>
  </si>
  <si>
    <t>Proctor modificado (INV E-142)</t>
  </si>
  <si>
    <t>N° MUESTRAS</t>
  </si>
  <si>
    <t>Auxilio de localización</t>
  </si>
  <si>
    <t>Transporte</t>
  </si>
  <si>
    <t>Viáticos</t>
  </si>
  <si>
    <t>Viaje en flota</t>
  </si>
  <si>
    <t>Viáticos día</t>
  </si>
  <si>
    <t>BASE DE LIQUIDACIÓN - DADA EN RANGOS SALARIALES</t>
  </si>
  <si>
    <t>TARIFA GENERAL POR DÍA EN PESOS</t>
  </si>
  <si>
    <t>TARIFA POR DÍA EN PESOS DEFINA PARA TODOS LOS MUNICIPIOS DE URABA, BAJO CAUCA, NORDESTE Y MAGADALENA MEDIO</t>
  </si>
  <si>
    <t>DESDE</t>
  </si>
  <si>
    <t> $                      -  </t>
  </si>
  <si>
    <t>HASTA</t>
  </si>
  <si>
    <t> $         1.197.166</t>
  </si>
  <si>
    <t> $          75.600</t>
  </si>
  <si>
    <t> $       1.197.167</t>
  </si>
  <si>
    <t> $         1.881.232</t>
  </si>
  <si>
    <t> $        103.600</t>
  </si>
  <si>
    <t> $       1.881.233</t>
  </si>
  <si>
    <t> $         2.512.112</t>
  </si>
  <si>
    <t> $        126.000</t>
  </si>
  <si>
    <t> $       2.512.113</t>
  </si>
  <si>
    <t> $         3.186.275</t>
  </si>
  <si>
    <t> $        146.300</t>
  </si>
  <si>
    <t> $       3.186.276</t>
  </si>
  <si>
    <t> $         3.848.087</t>
  </si>
  <si>
    <t> $        168.000</t>
  </si>
  <si>
    <t> $       3.848.088</t>
  </si>
  <si>
    <t> $         5.803.498</t>
  </si>
  <si>
    <t> $        189.700</t>
  </si>
  <si>
    <t> $       5.803.499</t>
  </si>
  <si>
    <t> $         8.111.292</t>
  </si>
  <si>
    <t> $        230.300</t>
  </si>
  <si>
    <t> $       8.111.293</t>
  </si>
  <si>
    <t> $         9.631.033</t>
  </si>
  <si>
    <t> $        277.550</t>
  </si>
  <si>
    <t> $       9.631.034</t>
  </si>
  <si>
    <t> $       11.856.160</t>
  </si>
  <si>
    <t> $        360.750</t>
  </si>
  <si>
    <t> $     11.856.162</t>
  </si>
  <si>
    <t> $       14.336.370</t>
  </si>
  <si>
    <t> $        436.150</t>
  </si>
  <si>
    <t> $     14.336.371</t>
  </si>
  <si>
    <t>EN ADELANTE</t>
  </si>
  <si>
    <t> $        513.500</t>
  </si>
  <si>
    <t>TARIFA POR DÍA EN PESOS DEFINIDA PARA MUNICIPIOS SITUADOS A MENOS DE 60 kms. DESDE MEDELLÍN</t>
  </si>
  <si>
    <t>Costos oficina central (arrendamiento oficina central, administración y servicios públicos)</t>
  </si>
  <si>
    <t>Revisor Fiscal</t>
  </si>
  <si>
    <t>Auxilio de localización para el Director y Residente de interventoría. Se reconoceran de manera proporcional a la permanecia en obra respecto de su porcentaje de dedicación.</t>
  </si>
  <si>
    <t>Auxilio de localización para el Social, Ambiental,Teconologo SST y Auxiliares de Residencia. Se reconoceran de manera proporcional a la permanencia en obra respecto de su porcentaje de dedicación. El residente deberá cumplir con la premanencia mínima de 22 días en la obra, en caso contrario se pagará proporcional a su permanencia</t>
  </si>
  <si>
    <t>Social y otros</t>
  </si>
  <si>
    <t>Director y Residente</t>
  </si>
  <si>
    <t>.</t>
  </si>
  <si>
    <t>OBRA FISICA</t>
  </si>
  <si>
    <t>U = 5%</t>
  </si>
  <si>
    <t>Subtotal Obras</t>
  </si>
  <si>
    <t xml:space="preserve"> SUMINISTROS</t>
  </si>
  <si>
    <t>Subtotal Suministros</t>
  </si>
  <si>
    <t>PROTOCOLO BIOS</t>
  </si>
  <si>
    <t>TOTAL INVERSIÓN</t>
  </si>
  <si>
    <t>Depto</t>
  </si>
  <si>
    <t>OTROS</t>
  </si>
  <si>
    <t>Municipio</t>
  </si>
  <si>
    <r>
      <t xml:space="preserve">Seguimiento MVCT 
</t>
    </r>
    <r>
      <rPr>
        <sz val="8"/>
        <color indexed="8"/>
        <rFont val="Calibri"/>
        <family val="2"/>
      </rPr>
      <t>(Valor Nación *0,02)/0,98</t>
    </r>
  </si>
  <si>
    <t>Subtotal Otros</t>
  </si>
  <si>
    <t>PLAN FINANCIERO TOTAL</t>
  </si>
  <si>
    <t>S.M.M.L.V 2022</t>
  </si>
  <si>
    <t>OTRO</t>
  </si>
  <si>
    <t xml:space="preserve">Tecnólogo social de interventoría </t>
  </si>
  <si>
    <t xml:space="preserve">Tecnólogo ambiental de interventoría </t>
  </si>
  <si>
    <t>DEPARTAMENTO S.G.P</t>
  </si>
  <si>
    <t xml:space="preserve">MUNICIPIO S.G.P </t>
  </si>
  <si>
    <t>Estampilla Procultura</t>
  </si>
  <si>
    <t xml:space="preserve">Estampilla para el Bienestar del Adulto Mayor </t>
  </si>
  <si>
    <t xml:space="preserve">PROYECTO "OPTIMIZACION DEL ACUEDUCTO RURAL DEL BARRIO CEFERINO EN ZONA RURAL DEL MUNICIPIO DE HELICONIA-ANTIOQUIA"     </t>
  </si>
  <si>
    <t>Estampila Pro Adulto Mayor</t>
  </si>
  <si>
    <t>Estampillla Ppro  Cultura</t>
  </si>
  <si>
    <t>Estampilla Pro Hospital</t>
  </si>
  <si>
    <t xml:space="preserve">Estampilla Pro Deportes </t>
  </si>
  <si>
    <t>T.P</t>
  </si>
  <si>
    <t>I = 12%</t>
  </si>
  <si>
    <t>MUNICIPIO DE XXXXX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</si>
</sst>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0">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0_-;\-&quot;$&quot;* #,##0_-;_-&quot;$&quot;* &quot;-&quot;_-;_-@_-"/>
    <numFmt numFmtId="165" formatCode="&quot;$&quot;\ #,##0_);[Red]\(&quot;$&quot;\ #,##0\)"/>
    <numFmt numFmtId="166" formatCode="_(* #,##0_);_(* \(#,##0\);_(* &quot;-&quot;_);_(@_)"/>
    <numFmt numFmtId="167" formatCode="_(&quot;$&quot;\ * #,##0.00_);_(&quot;$&quot;\ * \(#,##0.00\);_(&quot;$&quot;\ * &quot;-&quot;??_);_(@_)"/>
    <numFmt numFmtId="168" formatCode="_(* #,##0.00_);_(* \(#,##0.00\);_(* &quot;-&quot;??_);_(@_)"/>
    <numFmt numFmtId="169" formatCode="0.000%"/>
    <numFmt numFmtId="170" formatCode="&quot;$&quot;\ #,##0"/>
    <numFmt numFmtId="171" formatCode="&quot;$&quot;\ #,##0.0000"/>
    <numFmt numFmtId="172" formatCode="&quot;$&quot;\ #,##0.00000"/>
    <numFmt numFmtId="173" formatCode="#,##0.0"/>
    <numFmt numFmtId="174" formatCode="_-* #,##0.00\ _$_-;\-* #,##0.00\ _$_-;_-* &quot;-&quot;??\ _$_-;_-@_-"/>
    <numFmt numFmtId="175" formatCode="_(* #,##0_);_(* \(#,##0\);_(* &quot;-&quot;??_);_(@_)"/>
    <numFmt numFmtId="176" formatCode="_-* #,##0.00\ &quot;$&quot;_-;\-* #,##0.00\ &quot;$&quot;_-;_-* &quot;-&quot;??\ &quot;$&quot;_-;_-@_-"/>
    <numFmt numFmtId="177" formatCode="_(&quot;$&quot;\ * #,##0_);_(&quot;$&quot;\ * \(#,##0\);_(&quot;$&quot;\ * &quot;-&quot;??_);_(@_)"/>
    <numFmt numFmtId="178" formatCode="##0"/>
    <numFmt numFmtId="179" formatCode="0.000"/>
    <numFmt numFmtId="180" formatCode="0.0000"/>
    <numFmt numFmtId="181" formatCode="_-* #,##0\ _P_t_s_-;\-* #,##0\ _P_t_s_-;_-* &quot;-&quot;??\ _P_t_s_-;_-@_-"/>
    <numFmt numFmtId="182" formatCode="0.00%;\-0.00%;&quot;&quot;"/>
    <numFmt numFmtId="183" formatCode="_(&quot;$&quot;* #,##0_);_(&quot;$&quot;* \(#,##0\);_(&quot;$&quot;* &quot;-&quot;_);_(@_)"/>
    <numFmt numFmtId="184" formatCode="_(&quot;$&quot;* #,##0.00_);_(&quot;$&quot;* \(#,##0.00\);_(&quot;$&quot;* &quot;-&quot;??_);_(@_)"/>
    <numFmt numFmtId="185" formatCode="&quot;$&quot;#,##0\ ;\(&quot;$&quot;#,##0\)"/>
    <numFmt numFmtId="186" formatCode="\$#,##0\ ;&quot;($&quot;#,##0\)"/>
    <numFmt numFmtId="187" formatCode="\(0%\)"/>
    <numFmt numFmtId="188" formatCode="_ [$€-2]\ * #,##0.00_ ;_ [$€-2]\ * \-#,##0.00_ ;_ [$€-2]\ * &quot;-&quot;??_ "/>
    <numFmt numFmtId="189" formatCode=";;"/>
    <numFmt numFmtId="190" formatCode="d\ \d\e\ mmmm\ \d\e\ yyyy"/>
    <numFmt numFmtId="191" formatCode="0%;\-0%;&quot;&quot;"/>
    <numFmt numFmtId="192" formatCode="#0&quot;.&quot;000&quot;´&quot;000&quot;.&quot;000"/>
    <numFmt numFmtId="193" formatCode="##0&quot;.&quot;000"/>
    <numFmt numFmtId="194" formatCode="_ * #,##0.00_ ;_ * \-#,##0.00_ ;_ * &quot;-&quot;??_ ;_ @_ "/>
    <numFmt numFmtId="195" formatCode="0.0"/>
    <numFmt numFmtId="196" formatCode="_-* #,##0.00\ _€_-;\-* #,##0.00\ _€_-;_-* &quot;-&quot;??\ _€_-;_-@_-"/>
    <numFmt numFmtId="197" formatCode="##0&quot;´&quot;000&quot;.&quot;000"/>
    <numFmt numFmtId="198" formatCode="_([$$-240A]\ * #,##0.00_);_([$$-240A]\ * \(#,##0.00\);_([$$-240A]\ * \-??_);_(@_)"/>
    <numFmt numFmtId="199" formatCode="_ * #,##0.000_ ;_ * \-#,##0.000_ ;_ * \-??_ ;_ @_ "/>
    <numFmt numFmtId="200" formatCode="0.0%;\-0.0%;&quot;&quot;"/>
    <numFmt numFmtId="201" formatCode="#,##0.000"/>
    <numFmt numFmtId="202" formatCode="_(* #,##0.00_);_(* \(#,##0.00\);_(* \-??_);_(@_)"/>
    <numFmt numFmtId="203" formatCode="_ * #,##0.00_ ;_ * \-#,##0.00_ ;_ * \-??_ ;_ @_ "/>
    <numFmt numFmtId="204" formatCode="_ &quot;$&quot;\ * #,##0.00_ ;_ &quot;$&quot;\ * \-#,##0.00_ ;_ &quot;$&quot;\ * &quot;-&quot;??_ ;_ @_ "/>
    <numFmt numFmtId="205" formatCode="_ &quot;$&quot;\ * #,##0_ ;_ &quot;$&quot;\ * \-#,##0_ ;_ &quot;$&quot;\ * &quot;-&quot;??_ ;_ @_ "/>
    <numFmt numFmtId="206" formatCode="#0&quot;.&quot;"/>
    <numFmt numFmtId="207" formatCode="[$$-240A]\ #,##0"/>
    <numFmt numFmtId="208" formatCode="0.0000000%"/>
    <numFmt numFmtId="209" formatCode="#,##0.00000"/>
    <numFmt numFmtId="210" formatCode="0.0000%"/>
    <numFmt numFmtId="211" formatCode="&quot;$&quot;\ #,##0.00"/>
    <numFmt numFmtId="212" formatCode="_([$$-240A]\ * #,##0.00_);_([$$-240A]\ * \(#,##0.00\);_([$$-240A]\ * &quot;-&quot;??_);_(@_)"/>
    <numFmt numFmtId="213" formatCode="#\ &quot;MINIMO&quot;"/>
    <numFmt numFmtId="214" formatCode="0.0%"/>
    <numFmt numFmtId="215" formatCode="_(* #,##0.000_);_(* \(#,##0.000\);_(* &quot;-&quot;??_);_(@_)"/>
    <numFmt numFmtId="216" formatCode="&quot;$&quot;#,##0.00"/>
    <numFmt numFmtId="217" formatCode="_(&quot;$&quot;* #,##0_);_(&quot;$&quot;* \(#,##0\);_(&quot;$&quot;* &quot;-&quot;??_);_(@_)"/>
    <numFmt numFmtId="218" formatCode="_-* #,##0\ _€_-;\-* #,##0\ _€_-;_-* &quot;-&quot;??\ _€_-;_-@_-"/>
    <numFmt numFmtId="219" formatCode="_(* #,##0.0_);_(* \(#,##0.0\);_(* &quot;-&quot;??_);_(@_)"/>
  </numFmts>
  <fonts count="88">
    <font>
      <sz val="11"/>
      <color theme="1"/>
      <name val="Calibri"/>
      <family val="2"/>
      <scheme val="minor"/>
    </font>
    <font>
      <sz val="10"/>
      <name val="Arial"/>
      <family val="2"/>
    </font>
    <font>
      <b/>
      <sz val="14"/>
      <name val="Arial"/>
      <family val="2"/>
    </font>
    <font>
      <sz val="9"/>
      <color indexed="8"/>
      <name val="Calibri"/>
      <family val="2"/>
    </font>
    <font>
      <b/>
      <sz val="12"/>
      <name val="Arial"/>
      <family val="2"/>
    </font>
    <font>
      <b/>
      <sz val="11"/>
      <name val="Arial"/>
      <family val="2"/>
    </font>
    <font>
      <b/>
      <sz val="10"/>
      <name val="Arial"/>
      <family val="2"/>
    </font>
    <font>
      <sz val="11"/>
      <color indexed="8"/>
      <name val="Calibri"/>
      <family val="2"/>
    </font>
    <font>
      <sz val="10"/>
      <color indexed="8"/>
      <name val="Arial"/>
      <family val="2"/>
    </font>
    <font>
      <sz val="8"/>
      <color indexed="8"/>
      <name val="Arial"/>
      <family val="2"/>
    </font>
    <font>
      <u/>
      <sz val="10"/>
      <color indexed="8"/>
      <name val="Arial"/>
      <family val="2"/>
    </font>
    <font>
      <u/>
      <sz val="10"/>
      <name val="Arial"/>
      <family val="2"/>
    </font>
    <font>
      <sz val="11"/>
      <name val="Arial"/>
      <family val="2"/>
    </font>
    <font>
      <b/>
      <sz val="16"/>
      <name val="Arial"/>
      <family val="2"/>
    </font>
    <font>
      <sz val="8"/>
      <name val="Arial"/>
      <family val="2"/>
    </font>
    <font>
      <sz val="10"/>
      <name val="Arial"/>
      <family val="2"/>
    </font>
    <font>
      <sz val="11"/>
      <color indexed="8"/>
      <name val="Arial"/>
      <family val="2"/>
    </font>
    <font>
      <b/>
      <sz val="9"/>
      <color indexed="8"/>
      <name val="Arial"/>
      <family val="2"/>
    </font>
    <font>
      <b/>
      <sz val="11"/>
      <color indexed="8"/>
      <name val="Arial"/>
      <family val="2"/>
    </font>
    <font>
      <sz val="11"/>
      <color theme="1"/>
      <name val="Calibri"/>
      <family val="2"/>
      <scheme val="minor"/>
    </font>
    <font>
      <sz val="10"/>
      <color rgb="FFFF0000"/>
      <name val="Arial"/>
      <family val="2"/>
    </font>
    <font>
      <sz val="10"/>
      <color theme="1"/>
      <name val="Arial"/>
      <family val="2"/>
    </font>
    <font>
      <sz val="11"/>
      <color rgb="FFFF0000"/>
      <name val="Arial"/>
      <family val="2"/>
    </font>
    <font>
      <sz val="12"/>
      <name val="Arial"/>
      <family val="2"/>
    </font>
    <font>
      <b/>
      <u/>
      <sz val="10"/>
      <name val="Arial"/>
      <family val="2"/>
    </font>
    <font>
      <sz val="9"/>
      <color indexed="8"/>
      <name val="Arial"/>
      <family val="2"/>
    </font>
    <font>
      <sz val="11"/>
      <color theme="1"/>
      <name val="Arial"/>
      <family val="2"/>
    </font>
    <font>
      <b/>
      <sz val="9"/>
      <name val="Arial"/>
      <family val="2"/>
    </font>
    <font>
      <b/>
      <sz val="11"/>
      <color theme="1"/>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8"/>
      <name val="Arial"/>
      <family val="2"/>
    </font>
    <font>
      <sz val="10"/>
      <color indexed="24"/>
      <name val="Modern"/>
      <family val="3"/>
      <charset val="255"/>
    </font>
    <font>
      <sz val="12"/>
      <color indexed="24"/>
      <name val="Arial"/>
      <family val="2"/>
    </font>
    <font>
      <b/>
      <sz val="11"/>
      <color indexed="56"/>
      <name val="Calibri"/>
      <family val="2"/>
    </font>
    <font>
      <sz val="11"/>
      <color indexed="62"/>
      <name val="Calibri"/>
      <family val="2"/>
    </font>
    <font>
      <i/>
      <sz val="11"/>
      <color indexed="23"/>
      <name val="Calibri"/>
      <family val="2"/>
    </font>
    <font>
      <sz val="1"/>
      <color indexed="8"/>
      <name val="Courier"/>
      <family val="3"/>
    </font>
    <font>
      <b/>
      <sz val="10"/>
      <color indexed="24"/>
      <name val="Modern"/>
      <family val="3"/>
      <charset val="255"/>
    </font>
    <font>
      <sz val="8"/>
      <color indexed="24"/>
      <name val="Arial"/>
      <family val="2"/>
    </font>
    <font>
      <u/>
      <sz val="10"/>
      <color theme="10"/>
      <name val="Arial"/>
      <family val="2"/>
    </font>
    <font>
      <sz val="12"/>
      <color indexed="8"/>
      <name val="Arial"/>
      <family val="2"/>
    </font>
    <font>
      <sz val="11"/>
      <color indexed="60"/>
      <name val="Calibri"/>
      <family val="2"/>
    </font>
    <font>
      <sz val="12"/>
      <color theme="1"/>
      <name val="Arial"/>
      <family val="2"/>
    </font>
    <font>
      <b/>
      <sz val="11"/>
      <color indexed="63"/>
      <name val="Calibri"/>
      <family val="2"/>
    </font>
    <font>
      <sz val="10"/>
      <color indexed="10"/>
      <name val="Arial"/>
      <family val="2"/>
    </font>
    <font>
      <sz val="11"/>
      <color indexed="10"/>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1"/>
      <name val="Phinster"/>
    </font>
    <font>
      <sz val="14"/>
      <name val="Arial"/>
      <family val="2"/>
    </font>
    <font>
      <sz val="16"/>
      <name val="Arial"/>
      <family val="2"/>
    </font>
    <font>
      <b/>
      <sz val="11"/>
      <color theme="1"/>
      <name val="Calibri"/>
      <family val="2"/>
      <scheme val="minor"/>
    </font>
    <font>
      <sz val="10"/>
      <color indexed="8"/>
      <name val="Franklin Gothic Book"/>
      <family val="2"/>
    </font>
    <font>
      <sz val="10"/>
      <color rgb="FFFFFF00"/>
      <name val="Arial"/>
      <family val="2"/>
    </font>
    <font>
      <b/>
      <u/>
      <sz val="11"/>
      <name val="Arial"/>
      <family val="2"/>
    </font>
    <font>
      <u/>
      <sz val="11"/>
      <name val="Arial"/>
      <family val="2"/>
    </font>
    <font>
      <b/>
      <sz val="10"/>
      <color theme="9" tint="-0.499984740745262"/>
      <name val="Arial"/>
      <family val="2"/>
    </font>
    <font>
      <sz val="8"/>
      <color theme="1"/>
      <name val="Arial"/>
      <family val="2"/>
    </font>
    <font>
      <sz val="10"/>
      <color theme="5" tint="-0.499984740745262"/>
      <name val="Arial"/>
      <family val="2"/>
    </font>
    <font>
      <sz val="10"/>
      <color rgb="FFC00000"/>
      <name val="Arial"/>
      <family val="2"/>
    </font>
    <font>
      <sz val="11"/>
      <color rgb="FF464646"/>
      <name val="Arial"/>
      <family val="2"/>
    </font>
    <font>
      <b/>
      <sz val="10"/>
      <color theme="1"/>
      <name val="Arial"/>
      <family val="2"/>
    </font>
    <font>
      <sz val="9"/>
      <color indexed="81"/>
      <name val="Tahoma"/>
      <family val="2"/>
    </font>
    <font>
      <b/>
      <sz val="9"/>
      <color indexed="81"/>
      <name val="Tahoma"/>
      <family val="2"/>
    </font>
    <font>
      <b/>
      <sz val="10"/>
      <color indexed="8"/>
      <name val="Arial"/>
      <family val="2"/>
    </font>
    <font>
      <b/>
      <sz val="9"/>
      <color theme="1"/>
      <name val="Arial"/>
      <family val="2"/>
    </font>
    <font>
      <b/>
      <sz val="9"/>
      <color indexed="8"/>
      <name val="Calibri"/>
      <family val="2"/>
    </font>
    <font>
      <sz val="11"/>
      <name val="Calibri"/>
      <family val="2"/>
      <scheme val="minor"/>
    </font>
    <font>
      <b/>
      <u/>
      <sz val="8"/>
      <color rgb="FFC00000"/>
      <name val="Arial"/>
      <family val="2"/>
    </font>
    <font>
      <b/>
      <sz val="16"/>
      <color rgb="FF00B050"/>
      <name val="Arial"/>
      <family val="2"/>
    </font>
    <font>
      <sz val="9"/>
      <color rgb="FF333333"/>
      <name val="Arial"/>
      <family val="2"/>
    </font>
    <font>
      <sz val="10"/>
      <color rgb="FFFF00FF"/>
      <name val="Arial"/>
      <family val="2"/>
    </font>
    <font>
      <b/>
      <sz val="14"/>
      <color theme="0"/>
      <name val="Arial"/>
      <family val="2"/>
    </font>
    <font>
      <b/>
      <sz val="11"/>
      <name val="Calibri"/>
      <family val="2"/>
      <scheme val="minor"/>
    </font>
    <font>
      <b/>
      <sz val="11"/>
      <color rgb="FF000000"/>
      <name val="Calibri"/>
      <family val="2"/>
      <scheme val="minor"/>
    </font>
    <font>
      <sz val="11"/>
      <color rgb="FF000000"/>
      <name val="Calibri"/>
      <family val="2"/>
      <scheme val="minor"/>
    </font>
    <font>
      <b/>
      <sz val="14"/>
      <name val="Calibri"/>
      <family val="2"/>
      <scheme val="minor"/>
    </font>
    <font>
      <b/>
      <i/>
      <sz val="11"/>
      <color theme="1"/>
      <name val="Calibri"/>
      <family val="2"/>
      <scheme val="minor"/>
    </font>
    <font>
      <i/>
      <sz val="11"/>
      <color theme="1"/>
      <name val="Calibri"/>
      <family val="2"/>
      <scheme val="minor"/>
    </font>
    <font>
      <sz val="8"/>
      <color indexed="8"/>
      <name val="Calibri"/>
      <family val="2"/>
    </font>
    <font>
      <sz val="8"/>
      <name val="Calibri"/>
      <family val="2"/>
      <scheme val="minor"/>
    </font>
  </fonts>
  <fills count="72">
    <fill>
      <patternFill patternType="none"/>
    </fill>
    <fill>
      <patternFill patternType="gray125"/>
    </fill>
    <fill>
      <patternFill patternType="solid">
        <fgColor indexed="51"/>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indexed="2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rgb="FFFF0000"/>
        <bgColor indexed="64"/>
      </patternFill>
    </fill>
    <fill>
      <patternFill patternType="solid">
        <fgColor rgb="FF00B0F0"/>
        <bgColor indexed="64"/>
      </patternFill>
    </fill>
    <fill>
      <patternFill patternType="solid">
        <fgColor theme="6" tint="0.79998168889431442"/>
        <bgColor indexed="64"/>
      </patternFill>
    </fill>
    <fill>
      <patternFill patternType="solid">
        <fgColor rgb="FFFFFFFF"/>
        <bgColor indexed="64"/>
      </patternFill>
    </fill>
    <fill>
      <patternFill patternType="solid">
        <fgColor rgb="FFFAF9F4"/>
        <bgColor indexed="64"/>
      </patternFill>
    </fill>
    <fill>
      <patternFill patternType="solid">
        <fgColor rgb="FFF1EEE0"/>
        <bgColor indexed="64"/>
      </patternFill>
    </fill>
    <fill>
      <patternFill patternType="solid">
        <fgColor theme="3" tint="0.79998168889431442"/>
        <bgColor indexed="64"/>
      </patternFill>
    </fill>
    <fill>
      <patternFill patternType="solid">
        <fgColor theme="0" tint="-0.34998626667073579"/>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rgb="FF99FF66"/>
        <bgColor indexed="64"/>
      </patternFill>
    </fill>
    <fill>
      <patternFill patternType="solid">
        <fgColor rgb="FF9A0000"/>
        <bgColor indexed="64"/>
      </patternFill>
    </fill>
    <fill>
      <gradientFill degree="90">
        <stop position="0">
          <color theme="0" tint="-5.0965910824915313E-2"/>
        </stop>
        <stop position="1">
          <color theme="0" tint="-0.1490218817712943"/>
        </stop>
      </gradientFill>
    </fill>
    <fill>
      <patternFill patternType="solid">
        <fgColor rgb="FFFFFF00"/>
        <bgColor auto="1"/>
      </patternFill>
    </fill>
    <fill>
      <patternFill patternType="solid">
        <fgColor rgb="FFFFFFCC"/>
        <bgColor auto="1"/>
      </patternFill>
    </fill>
    <fill>
      <patternFill patternType="solid">
        <fgColor rgb="FFF8CBAD"/>
        <bgColor indexed="64"/>
      </patternFill>
    </fill>
    <fill>
      <patternFill patternType="solid">
        <fgColor rgb="FFC6E0B4"/>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indexed="9"/>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style="thin">
        <color indexed="62"/>
      </top>
      <bottom style="double">
        <color indexed="62"/>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style="medium">
        <color rgb="FFCCCCCC"/>
      </left>
      <right style="medium">
        <color rgb="FFCCCCCC"/>
      </right>
      <top style="medium">
        <color rgb="FFCCCCCC"/>
      </top>
      <bottom style="medium">
        <color rgb="FFCCCCCC"/>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indexed="64"/>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indexed="64"/>
      </right>
      <top/>
      <bottom style="thin">
        <color indexed="64"/>
      </bottom>
      <diagonal/>
    </border>
    <border>
      <left style="thin">
        <color indexed="64"/>
      </left>
      <right/>
      <top style="thin">
        <color indexed="64"/>
      </top>
      <bottom/>
      <diagonal/>
    </border>
    <border>
      <left/>
      <right style="thin">
        <color auto="1"/>
      </right>
      <top style="thin">
        <color auto="1"/>
      </top>
      <bottom/>
      <diagonal/>
    </border>
    <border>
      <left style="thin">
        <color indexed="64"/>
      </left>
      <right/>
      <top/>
      <bottom/>
      <diagonal/>
    </border>
    <border>
      <left/>
      <right/>
      <top/>
      <bottom style="medium">
        <color indexed="64"/>
      </bottom>
      <diagonal/>
    </border>
    <border>
      <left style="medium">
        <color theme="0" tint="-0.14996795556505021"/>
      </left>
      <right style="thin">
        <color theme="0" tint="-0.24994659260841701"/>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theme="0" tint="-0.14996795556505021"/>
      </left>
      <right/>
      <top style="thin">
        <color theme="0" tint="-0.24994659260841701"/>
      </top>
      <bottom style="thin">
        <color theme="0" tint="-0.24994659260841701"/>
      </bottom>
      <diagonal/>
    </border>
    <border>
      <left style="thin">
        <color theme="0" tint="-0.24994659260841701"/>
      </left>
      <right style="medium">
        <color theme="0" tint="-0.24994659260841701"/>
      </right>
      <top style="thin">
        <color theme="0" tint="-0.24994659260841701"/>
      </top>
      <bottom style="thin">
        <color theme="0" tint="-0.24994659260841701"/>
      </bottom>
      <diagonal/>
    </border>
    <border>
      <left style="thin">
        <color theme="0" tint="-0.14996795556505021"/>
      </left>
      <right style="thin">
        <color theme="0" tint="-0.14996795556505021"/>
      </right>
      <top style="thin">
        <color theme="0" tint="-0.24994659260841701"/>
      </top>
      <bottom style="thin">
        <color theme="0" tint="-0.24994659260841701"/>
      </bottom>
      <diagonal/>
    </border>
    <border>
      <left/>
      <right/>
      <top style="thin">
        <color theme="0" tint="-0.24994659260841701"/>
      </top>
      <bottom/>
      <diagonal/>
    </border>
    <border>
      <left/>
      <right style="thin">
        <color theme="0" tint="-0.24994659260841701"/>
      </right>
      <top style="thin">
        <color theme="0" tint="-0.24994659260841701"/>
      </top>
      <bottom/>
      <diagonal/>
    </border>
    <border>
      <left/>
      <right/>
      <top style="thin">
        <color theme="0" tint="-0.24994659260841701"/>
      </top>
      <bottom style="thin">
        <color theme="0" tint="-0.24994659260841701"/>
      </bottom>
      <diagonal/>
    </border>
    <border>
      <left style="thin">
        <color theme="0" tint="-0.14996795556505021"/>
      </left>
      <right/>
      <top style="thin">
        <color theme="0" tint="-0.24994659260841701"/>
      </top>
      <bottom style="thin">
        <color theme="0" tint="-0.2499465926084170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indexed="64"/>
      </right>
      <top style="medium">
        <color indexed="64"/>
      </top>
      <bottom style="thin">
        <color indexed="64"/>
      </bottom>
      <diagonal/>
    </border>
  </borders>
  <cellStyleXfs count="3865">
    <xf numFmtId="0" fontId="0" fillId="0" borderId="0"/>
    <xf numFmtId="168" fontId="19" fillId="0" borderId="0" applyFont="0" applyFill="0" applyBorder="0" applyAlignment="0" applyProtection="0"/>
    <xf numFmtId="168" fontId="7" fillId="0" borderId="0" applyFont="0" applyFill="0" applyBorder="0" applyAlignment="0" applyProtection="0"/>
    <xf numFmtId="167" fontId="1" fillId="0" borderId="0" applyFont="0" applyFill="0" applyBorder="0" applyAlignment="0" applyProtection="0"/>
    <xf numFmtId="0" fontId="1" fillId="0" borderId="0"/>
    <xf numFmtId="0" fontId="19" fillId="0" borderId="0"/>
    <xf numFmtId="0" fontId="15" fillId="0" borderId="0"/>
    <xf numFmtId="9" fontId="19" fillId="0" borderId="0" applyFont="0" applyFill="0" applyBorder="0" applyAlignment="0" applyProtection="0"/>
    <xf numFmtId="9" fontId="7" fillId="0" borderId="0" applyFont="0" applyFill="0" applyBorder="0" applyAlignment="0" applyProtection="0"/>
    <xf numFmtId="167" fontId="19" fillId="0" borderId="0" applyFont="0" applyFill="0" applyBorder="0" applyAlignment="0" applyProtection="0"/>
    <xf numFmtId="0" fontId="1" fillId="0" borderId="0"/>
    <xf numFmtId="0" fontId="1" fillId="0" borderId="0"/>
    <xf numFmtId="9" fontId="7" fillId="0" borderId="0" applyFont="0" applyFill="0" applyBorder="0" applyAlignment="0" applyProtection="0"/>
    <xf numFmtId="174" fontId="1" fillId="0" borderId="0" applyFont="0" applyFill="0" applyBorder="0" applyAlignment="0" applyProtection="0"/>
    <xf numFmtId="176" fontId="1" fillId="0" borderId="0" applyFont="0" applyFill="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7" borderId="0" applyNumberFormat="0" applyBorder="0" applyAlignment="0" applyProtection="0"/>
    <xf numFmtId="0" fontId="7" fillId="17" borderId="0" applyNumberFormat="0" applyBorder="0" applyAlignment="0" applyProtection="0"/>
    <xf numFmtId="0" fontId="7" fillId="17"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12" borderId="0" applyNumberFormat="0" applyBorder="0" applyAlignment="0" applyProtection="0"/>
    <xf numFmtId="0" fontId="7" fillId="21"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5"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7" fillId="28" borderId="0" applyNumberFormat="0" applyBorder="0" applyAlignment="0" applyProtection="0"/>
    <xf numFmtId="0" fontId="29" fillId="29"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29" fillId="32" borderId="0" applyNumberFormat="0" applyBorder="0" applyAlignment="0" applyProtection="0"/>
    <xf numFmtId="0" fontId="29" fillId="33" borderId="0" applyNumberFormat="0" applyBorder="0" applyAlignment="0" applyProtection="0"/>
    <xf numFmtId="0" fontId="29" fillId="33" borderId="0" applyNumberFormat="0" applyBorder="0" applyAlignment="0" applyProtection="0"/>
    <xf numFmtId="0" fontId="29" fillId="33" borderId="0" applyNumberFormat="0" applyBorder="0" applyAlignment="0" applyProtection="0"/>
    <xf numFmtId="0" fontId="29" fillId="33" borderId="0" applyNumberFormat="0" applyBorder="0" applyAlignment="0" applyProtection="0"/>
    <xf numFmtId="0" fontId="29" fillId="33"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6"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29" fillId="30" borderId="0" applyNumberFormat="0" applyBorder="0" applyAlignment="0" applyProtection="0"/>
    <xf numFmtId="0" fontId="29" fillId="31" borderId="0" applyNumberFormat="0" applyBorder="0" applyAlignment="0" applyProtection="0"/>
    <xf numFmtId="0" fontId="29" fillId="40" borderId="0" applyNumberFormat="0" applyBorder="0" applyAlignment="0" applyProtection="0"/>
    <xf numFmtId="0" fontId="30" fillId="10"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2" fillId="41" borderId="30" applyNumberFormat="0" applyAlignment="0" applyProtection="0"/>
    <xf numFmtId="0" fontId="32" fillId="42" borderId="30" applyNumberFormat="0" applyAlignment="0" applyProtection="0"/>
    <xf numFmtId="0" fontId="32" fillId="42" borderId="30" applyNumberFormat="0" applyAlignment="0" applyProtection="0"/>
    <xf numFmtId="0" fontId="32" fillId="42" borderId="30" applyNumberFormat="0" applyAlignment="0" applyProtection="0"/>
    <xf numFmtId="0" fontId="32" fillId="42" borderId="30" applyNumberFormat="0" applyAlignment="0" applyProtection="0"/>
    <xf numFmtId="0" fontId="32" fillId="42" borderId="30" applyNumberFormat="0" applyAlignment="0" applyProtection="0"/>
    <xf numFmtId="0" fontId="33" fillId="43" borderId="31" applyNumberFormat="0" applyAlignment="0" applyProtection="0"/>
    <xf numFmtId="0" fontId="33" fillId="43" borderId="31" applyNumberFormat="0" applyAlignment="0" applyProtection="0"/>
    <xf numFmtId="0" fontId="33" fillId="43" borderId="31" applyNumberFormat="0" applyAlignment="0" applyProtection="0"/>
    <xf numFmtId="0" fontId="33" fillId="43" borderId="31" applyNumberFormat="0" applyAlignment="0" applyProtection="0"/>
    <xf numFmtId="0" fontId="33" fillId="43" borderId="31" applyNumberFormat="0" applyAlignment="0" applyProtection="0"/>
    <xf numFmtId="0" fontId="34" fillId="0" borderId="32" applyNumberFormat="0" applyFill="0" applyAlignment="0" applyProtection="0"/>
    <xf numFmtId="0" fontId="34" fillId="0" borderId="32" applyNumberFormat="0" applyFill="0" applyAlignment="0" applyProtection="0"/>
    <xf numFmtId="0" fontId="34" fillId="0" borderId="32" applyNumberFormat="0" applyFill="0" applyAlignment="0" applyProtection="0"/>
    <xf numFmtId="0" fontId="34" fillId="0" borderId="32" applyNumberFormat="0" applyFill="0" applyAlignment="0" applyProtection="0"/>
    <xf numFmtId="0" fontId="34" fillId="0" borderId="32" applyNumberFormat="0" applyFill="0" applyAlignment="0" applyProtection="0"/>
    <xf numFmtId="0" fontId="33" fillId="44" borderId="31" applyNumberFormat="0" applyAlignment="0" applyProtection="0"/>
    <xf numFmtId="178" fontId="14" fillId="0" borderId="2">
      <alignment horizontal="right"/>
    </xf>
    <xf numFmtId="2" fontId="14" fillId="0" borderId="0"/>
    <xf numFmtId="179" fontId="14" fillId="0" borderId="0"/>
    <xf numFmtId="180" fontId="35" fillId="0" borderId="0"/>
    <xf numFmtId="181" fontId="1" fillId="0" borderId="0">
      <protection locked="0"/>
    </xf>
    <xf numFmtId="166" fontId="1" fillId="0" borderId="0" applyFont="0" applyFill="0" applyBorder="0" applyAlignment="0" applyProtection="0"/>
    <xf numFmtId="168" fontId="1" fillId="0" borderId="0" applyFont="0" applyFill="0" applyBorder="0" applyAlignment="0" applyProtection="0"/>
    <xf numFmtId="3" fontId="36" fillId="0" borderId="0" applyFont="0" applyFill="0" applyBorder="0" applyAlignment="0" applyProtection="0"/>
    <xf numFmtId="3" fontId="1" fillId="0" borderId="0" applyFill="0" applyBorder="0" applyAlignment="0" applyProtection="0"/>
    <xf numFmtId="3" fontId="1" fillId="0" borderId="0" applyFill="0" applyBorder="0" applyAlignment="0" applyProtection="0"/>
    <xf numFmtId="3" fontId="1" fillId="0" borderId="0" applyFill="0" applyBorder="0" applyAlignment="0" applyProtection="0"/>
    <xf numFmtId="182" fontId="1" fillId="0" borderId="0">
      <protection locked="0"/>
    </xf>
    <xf numFmtId="183" fontId="1" fillId="0" borderId="0" applyFont="0" applyFill="0" applyBorder="0" applyAlignment="0" applyProtection="0"/>
    <xf numFmtId="184" fontId="1" fillId="0" borderId="0" applyFont="0" applyFill="0" applyBorder="0" applyAlignment="0" applyProtection="0"/>
    <xf numFmtId="185" fontId="36" fillId="0" borderId="0" applyFont="0" applyFill="0" applyBorder="0" applyAlignment="0" applyProtection="0"/>
    <xf numFmtId="186" fontId="1" fillId="0" borderId="0" applyFill="0" applyBorder="0" applyAlignment="0" applyProtection="0"/>
    <xf numFmtId="186" fontId="1" fillId="0" borderId="0" applyFill="0" applyBorder="0" applyAlignment="0" applyProtection="0"/>
    <xf numFmtId="186" fontId="1" fillId="0" borderId="0" applyFill="0" applyBorder="0" applyAlignment="0" applyProtection="0"/>
    <xf numFmtId="187" fontId="1" fillId="0" borderId="0">
      <protection locked="0"/>
    </xf>
    <xf numFmtId="0" fontId="1" fillId="0" borderId="0" applyFill="0" applyBorder="0" applyAlignment="0" applyProtection="0"/>
    <xf numFmtId="0" fontId="1"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37"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1" fillId="0" borderId="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5"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4"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35"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39" fillId="20" borderId="30" applyNumberFormat="0" applyAlignment="0" applyProtection="0"/>
    <xf numFmtId="0" fontId="39" fillId="20" borderId="30" applyNumberFormat="0" applyAlignment="0" applyProtection="0"/>
    <xf numFmtId="0" fontId="39" fillId="20" borderId="30" applyNumberFormat="0" applyAlignment="0" applyProtection="0"/>
    <xf numFmtId="0" fontId="39" fillId="20" borderId="30" applyNumberFormat="0" applyAlignment="0" applyProtection="0"/>
    <xf numFmtId="0" fontId="39" fillId="20" borderId="30" applyNumberFormat="0" applyAlignment="0" applyProtection="0"/>
    <xf numFmtId="0" fontId="8" fillId="0" borderId="0">
      <alignment vertical="top"/>
    </xf>
    <xf numFmtId="188" fontId="1" fillId="0" borderId="0" applyFont="0" applyFill="0" applyBorder="0" applyAlignment="0" applyProtection="0"/>
    <xf numFmtId="188" fontId="1" fillId="0" borderId="0" applyFont="0" applyFill="0" applyBorder="0" applyAlignment="0" applyProtection="0"/>
    <xf numFmtId="188" fontId="1" fillId="0" borderId="0" applyFont="0" applyFill="0" applyBorder="0" applyAlignment="0" applyProtection="0"/>
    <xf numFmtId="188" fontId="1" fillId="0" borderId="0" applyFont="0" applyFill="0" applyBorder="0" applyAlignment="0" applyProtection="0"/>
    <xf numFmtId="0" fontId="40" fillId="0" borderId="0" applyNumberFormat="0" applyFill="0" applyBorder="0" applyAlignment="0" applyProtection="0"/>
    <xf numFmtId="189" fontId="41" fillId="0" borderId="0">
      <protection locked="0"/>
    </xf>
    <xf numFmtId="189" fontId="41" fillId="0" borderId="0">
      <protection locked="0"/>
    </xf>
    <xf numFmtId="189" fontId="41" fillId="0" borderId="0">
      <protection locked="0"/>
    </xf>
    <xf numFmtId="189" fontId="41" fillId="0" borderId="0">
      <protection locked="0"/>
    </xf>
    <xf numFmtId="189" fontId="41" fillId="0" borderId="0">
      <protection locked="0"/>
    </xf>
    <xf numFmtId="189" fontId="41" fillId="0" borderId="0">
      <protection locked="0"/>
    </xf>
    <xf numFmtId="189" fontId="41" fillId="0" borderId="0">
      <protection locked="0"/>
    </xf>
    <xf numFmtId="190" fontId="1" fillId="0" borderId="0">
      <protection locked="0"/>
    </xf>
    <xf numFmtId="2" fontId="1" fillId="0" borderId="0" applyFill="0" applyBorder="0" applyAlignment="0" applyProtection="0"/>
    <xf numFmtId="2" fontId="1"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37"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2" fontId="1" fillId="0" borderId="0" applyFill="0" applyBorder="0" applyAlignment="0" applyProtection="0"/>
    <xf numFmtId="0" fontId="31" fillId="11" borderId="0" applyNumberFormat="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38" fillId="0" borderId="33" applyNumberFormat="0" applyFill="0" applyAlignment="0" applyProtection="0"/>
    <xf numFmtId="0" fontId="38" fillId="0" borderId="0" applyNumberFormat="0" applyFill="0" applyBorder="0" applyAlignment="0" applyProtection="0"/>
    <xf numFmtId="191" fontId="1" fillId="0" borderId="0">
      <protection locked="0"/>
    </xf>
    <xf numFmtId="191" fontId="1" fillId="0" borderId="0">
      <protection locked="0"/>
    </xf>
    <xf numFmtId="0" fontId="44" fillId="0" borderId="0" applyNumberFormat="0" applyFill="0" applyBorder="0" applyAlignment="0" applyProtection="0">
      <alignment vertical="top"/>
      <protection locked="0"/>
    </xf>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9" fillId="14" borderId="30" applyNumberFormat="0" applyAlignment="0" applyProtection="0"/>
    <xf numFmtId="0" fontId="34" fillId="0" borderId="32" applyNumberFormat="0" applyFill="0" applyAlignment="0" applyProtection="0"/>
    <xf numFmtId="192" fontId="14" fillId="0" borderId="0">
      <alignment horizontal="right"/>
    </xf>
    <xf numFmtId="193" fontId="14" fillId="0" borderId="0" applyFont="0" applyFill="0" applyBorder="0" applyAlignment="0">
      <alignment horizontal="center"/>
    </xf>
    <xf numFmtId="2" fontId="1" fillId="0" borderId="0" applyBorder="0"/>
    <xf numFmtId="2" fontId="1" fillId="0" borderId="0" applyBorder="0"/>
    <xf numFmtId="2" fontId="1" fillId="0" borderId="0" applyBorder="0"/>
    <xf numFmtId="2" fontId="1" fillId="0" borderId="0" applyBorder="0"/>
    <xf numFmtId="183"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4" fontId="1" fillId="0" borderId="0" applyFont="0" applyFill="0" applyBorder="0" applyAlignment="0" applyProtection="0"/>
    <xf numFmtId="168" fontId="7"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83" fontId="1" fillId="0" borderId="0" applyFill="0" applyBorder="0" applyAlignment="0" applyProtection="0"/>
    <xf numFmtId="183" fontId="1" fillId="0" borderId="0" applyFill="0" applyBorder="0" applyAlignment="0" applyProtection="0"/>
    <xf numFmtId="183" fontId="1" fillId="0" borderId="0" applyFill="0" applyBorder="0" applyAlignment="0" applyProtection="0"/>
    <xf numFmtId="183" fontId="1" fillId="0" borderId="0" applyFill="0" applyBorder="0" applyAlignment="0" applyProtection="0"/>
    <xf numFmtId="183" fontId="1" fillId="0" borderId="0" applyFill="0" applyBorder="0" applyAlignment="0" applyProtection="0"/>
    <xf numFmtId="183" fontId="1" fillId="0" borderId="0" applyFill="0" applyBorder="0" applyAlignment="0" applyProtection="0"/>
    <xf numFmtId="183" fontId="1" fillId="0" borderId="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5"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4" fontId="1" fillId="0" borderId="0" applyFont="0" applyFill="0" applyBorder="0" applyAlignment="0" applyProtection="0"/>
    <xf numFmtId="197" fontId="1"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8" fontId="1" fillId="0" borderId="0" applyFill="0" applyBorder="0" applyAlignment="0" applyProtection="0"/>
    <xf numFmtId="194" fontId="1" fillId="0" borderId="0" applyFont="0" applyFill="0" applyBorder="0" applyAlignment="0" applyProtection="0"/>
    <xf numFmtId="195" fontId="1" fillId="0" borderId="0" applyFont="0" applyFill="0" applyBorder="0" applyAlignment="0" applyProtection="0"/>
    <xf numFmtId="199" fontId="1" fillId="0" borderId="0" applyFill="0" applyBorder="0" applyAlignment="0" applyProtection="0"/>
    <xf numFmtId="199" fontId="1" fillId="0" borderId="0" applyFill="0" applyBorder="0" applyAlignment="0" applyProtection="0"/>
    <xf numFmtId="199" fontId="1" fillId="0" borderId="0" applyFill="0" applyBorder="0" applyAlignment="0" applyProtection="0"/>
    <xf numFmtId="200" fontId="1" fillId="0" borderId="0" applyFont="0" applyFill="0" applyBorder="0" applyAlignment="0" applyProtection="0"/>
    <xf numFmtId="195" fontId="1" fillId="0" borderId="0" applyFont="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0" fontId="1" fillId="0" borderId="0" applyFont="0" applyFill="0" applyBorder="0" applyAlignment="0" applyProtection="0"/>
    <xf numFmtId="195" fontId="1" fillId="0" borderId="0" applyFont="0" applyFill="0" applyBorder="0" applyAlignment="0" applyProtection="0"/>
    <xf numFmtId="202" fontId="1" fillId="0" borderId="0" applyFill="0" applyBorder="0" applyAlignment="0" applyProtection="0"/>
    <xf numFmtId="202" fontId="1" fillId="0" borderId="0" applyFill="0" applyBorder="0" applyAlignment="0" applyProtection="0"/>
    <xf numFmtId="202" fontId="1" fillId="0" borderId="0" applyFill="0" applyBorder="0" applyAlignment="0" applyProtection="0"/>
    <xf numFmtId="200" fontId="1" fillId="0" borderId="0" applyFont="0" applyFill="0" applyBorder="0" applyAlignment="0" applyProtection="0"/>
    <xf numFmtId="195" fontId="1" fillId="0" borderId="0" applyFont="0" applyFill="0" applyBorder="0" applyAlignment="0" applyProtection="0"/>
    <xf numFmtId="203" fontId="1" fillId="0" borderId="0" applyFill="0" applyBorder="0" applyAlignment="0" applyProtection="0"/>
    <xf numFmtId="203" fontId="1" fillId="0" borderId="0" applyFill="0" applyBorder="0" applyAlignment="0" applyProtection="0"/>
    <xf numFmtId="203" fontId="1" fillId="0" borderId="0" applyFill="0" applyBorder="0" applyAlignment="0" applyProtection="0"/>
    <xf numFmtId="195" fontId="1" fillId="0" borderId="0" applyFont="0" applyFill="0" applyBorder="0" applyAlignment="0" applyProtection="0"/>
    <xf numFmtId="196" fontId="7" fillId="0" borderId="0" applyFont="0" applyFill="0" applyBorder="0" applyAlignment="0" applyProtection="0"/>
    <xf numFmtId="195" fontId="7" fillId="0" borderId="0" applyFont="0" applyFill="0" applyBorder="0" applyAlignment="0" applyProtection="0"/>
    <xf numFmtId="197" fontId="14" fillId="0" borderId="0">
      <alignment horizontal="right"/>
    </xf>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167" fontId="7"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67" fontId="7"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67" fontId="1"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67" fontId="7" fillId="0" borderId="0" applyFont="0" applyFill="0" applyBorder="0" applyAlignment="0" applyProtection="0"/>
    <xf numFmtId="173"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67" fontId="7" fillId="0" borderId="0" applyFont="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73"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73"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73"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73"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73"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201"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67" fontId="7"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0" fontId="1"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84" fontId="1"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204" fontId="1" fillId="0" borderId="0" applyFont="0" applyFill="0" applyBorder="0" applyAlignment="0" applyProtection="0"/>
    <xf numFmtId="167" fontId="7"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67" fontId="7"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167" fontId="7" fillId="0" borderId="0" applyFont="0" applyFill="0" applyBorder="0" applyAlignment="0" applyProtection="0"/>
    <xf numFmtId="173" fontId="1" fillId="0" borderId="0" applyFill="0" applyBorder="0" applyAlignment="0" applyProtection="0"/>
    <xf numFmtId="173" fontId="1" fillId="0" borderId="0" applyFill="0" applyBorder="0" applyAlignment="0" applyProtection="0"/>
    <xf numFmtId="173" fontId="1" fillId="0" borderId="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205" fontId="1" fillId="0" borderId="0" applyFont="0" applyFill="0" applyBorder="0" applyAlignment="0" applyProtection="0"/>
    <xf numFmtId="204" fontId="1" fillId="0" borderId="0" applyFill="0" applyBorder="0" applyAlignment="0" applyProtection="0"/>
    <xf numFmtId="204" fontId="1" fillId="0" borderId="0" applyFill="0" applyBorder="0" applyAlignment="0" applyProtection="0"/>
    <xf numFmtId="204" fontId="1" fillId="0" borderId="0" applyFont="0" applyFill="0" applyBorder="0" applyAlignment="0" applyProtection="0"/>
    <xf numFmtId="204" fontId="1" fillId="0" borderId="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ont="0" applyFill="0" applyBorder="0" applyAlignment="0" applyProtection="0"/>
    <xf numFmtId="204" fontId="1" fillId="0" borderId="0" applyFill="0" applyBorder="0" applyAlignment="0" applyProtection="0"/>
    <xf numFmtId="204" fontId="1" fillId="0" borderId="0" applyFill="0" applyBorder="0" applyAlignment="0" applyProtection="0"/>
    <xf numFmtId="204" fontId="1" fillId="0" borderId="0" applyFill="0" applyBorder="0" applyAlignment="0" applyProtection="0"/>
    <xf numFmtId="204" fontId="1" fillId="0" borderId="0" applyFill="0" applyBorder="0" applyAlignment="0" applyProtection="0"/>
    <xf numFmtId="204" fontId="1" fillId="0" borderId="0" applyFill="0" applyBorder="0" applyAlignment="0" applyProtection="0"/>
    <xf numFmtId="204" fontId="1" fillId="0" borderId="0" applyFill="0" applyBorder="0" applyAlignment="0" applyProtection="0"/>
    <xf numFmtId="204" fontId="1" fillId="0" borderId="0" applyFill="0" applyBorder="0" applyAlignment="0" applyProtection="0"/>
    <xf numFmtId="204" fontId="1" fillId="0" borderId="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84" fontId="1" fillId="0" borderId="0" applyFont="0" applyFill="0" applyBorder="0" applyAlignment="0" applyProtection="0"/>
    <xf numFmtId="184" fontId="1" fillId="0" borderId="0" applyFont="0" applyFill="0" applyBorder="0" applyAlignment="0" applyProtection="0"/>
    <xf numFmtId="204" fontId="1" fillId="0" borderId="0" applyFont="0" applyFill="0" applyBorder="0" applyAlignment="0" applyProtection="0"/>
    <xf numFmtId="167" fontId="45" fillId="0" borderId="0" applyFont="0" applyFill="0" applyBorder="0" applyAlignment="0" applyProtection="0"/>
    <xf numFmtId="204" fontId="1" fillId="0" borderId="0" applyFont="0" applyFill="0" applyBorder="0" applyAlignment="0" applyProtection="0"/>
    <xf numFmtId="167" fontId="7" fillId="0" borderId="0" applyFont="0" applyFill="0" applyBorder="0" applyAlignment="0" applyProtection="0"/>
    <xf numFmtId="0" fontId="46" fillId="49" borderId="0" applyNumberFormat="0" applyBorder="0" applyAlignment="0" applyProtection="0"/>
    <xf numFmtId="0" fontId="46" fillId="49" borderId="0" applyNumberFormat="0" applyBorder="0" applyAlignment="0" applyProtection="0"/>
    <xf numFmtId="0" fontId="46" fillId="49" borderId="0" applyNumberFormat="0" applyBorder="0" applyAlignment="0" applyProtection="0"/>
    <xf numFmtId="0" fontId="46" fillId="49" borderId="0" applyNumberFormat="0" applyBorder="0" applyAlignment="0" applyProtection="0"/>
    <xf numFmtId="0" fontId="46" fillId="49" borderId="0" applyNumberFormat="0" applyBorder="0" applyAlignment="0" applyProtection="0"/>
    <xf numFmtId="206" fontId="14" fillId="0" borderId="0" applyFont="0" applyFill="0" applyBorder="0" applyAlignment="0">
      <alignment horizont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 fillId="0" borderId="0">
      <alignment horizontal="justify" wrapText="1"/>
    </xf>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 fillId="0" borderId="0"/>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applyNumberFormat="0" applyFont="0" applyFill="0" applyBorder="0" applyAlignment="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 fillId="0" borderId="0"/>
    <xf numFmtId="0" fontId="19"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1" fillId="0" borderId="0"/>
    <xf numFmtId="0" fontId="1" fillId="0" borderId="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0" borderId="34" applyNumberForma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1" fillId="51" borderId="34" applyNumberFormat="0" applyFont="0" applyAlignment="0" applyProtection="0"/>
    <xf numFmtId="0" fontId="48" fillId="41" borderId="35" applyNumberFormat="0" applyAlignment="0" applyProtection="0"/>
    <xf numFmtId="200" fontId="1" fillId="0" borderId="0">
      <protection locked="0"/>
    </xf>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1" fillId="0" borderId="0" applyFill="0" applyBorder="0" applyAlignment="0" applyProtection="0"/>
    <xf numFmtId="9" fontId="45" fillId="0" borderId="0" applyFont="0" applyFill="0" applyBorder="0" applyAlignment="0" applyProtection="0"/>
    <xf numFmtId="0" fontId="49" fillId="0" borderId="0">
      <alignment vertical="top"/>
    </xf>
    <xf numFmtId="0" fontId="48" fillId="42" borderId="35" applyNumberFormat="0" applyAlignment="0" applyProtection="0"/>
    <xf numFmtId="0" fontId="48" fillId="42" borderId="35" applyNumberFormat="0" applyAlignment="0" applyProtection="0"/>
    <xf numFmtId="0" fontId="48" fillId="42" borderId="35" applyNumberFormat="0" applyAlignment="0" applyProtection="0"/>
    <xf numFmtId="0" fontId="48" fillId="42" borderId="35" applyNumberFormat="0" applyAlignment="0" applyProtection="0"/>
    <xf numFmtId="0" fontId="48" fillId="42" borderId="35"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51" fillId="0" borderId="0" applyNumberFormat="0" applyFill="0" applyBorder="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2" fillId="0" borderId="36" applyNumberFormat="0" applyFill="0" applyAlignment="0" applyProtection="0"/>
    <xf numFmtId="0" fontId="53" fillId="0" borderId="37" applyNumberFormat="0" applyFill="0" applyAlignment="0" applyProtection="0"/>
    <xf numFmtId="0" fontId="53" fillId="0" borderId="37" applyNumberFormat="0" applyFill="0" applyAlignment="0" applyProtection="0"/>
    <xf numFmtId="0" fontId="53" fillId="0" borderId="37" applyNumberFormat="0" applyFill="0" applyAlignment="0" applyProtection="0"/>
    <xf numFmtId="0" fontId="53" fillId="0" borderId="37" applyNumberFormat="0" applyFill="0" applyAlignment="0" applyProtection="0"/>
    <xf numFmtId="0" fontId="53" fillId="0" borderId="37" applyNumberFormat="0" applyFill="0" applyAlignment="0" applyProtection="0"/>
    <xf numFmtId="0" fontId="38" fillId="0" borderId="33" applyNumberFormat="0" applyFill="0" applyAlignment="0" applyProtection="0"/>
    <xf numFmtId="0" fontId="38" fillId="0" borderId="33" applyNumberFormat="0" applyFill="0" applyAlignment="0" applyProtection="0"/>
    <xf numFmtId="0" fontId="38" fillId="0" borderId="33" applyNumberFormat="0" applyFill="0" applyAlignment="0" applyProtection="0"/>
    <xf numFmtId="0" fontId="38" fillId="0" borderId="33" applyNumberFormat="0" applyFill="0" applyAlignment="0" applyProtection="0"/>
    <xf numFmtId="0" fontId="38" fillId="0" borderId="33" applyNumberFormat="0" applyFill="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4" fillId="0" borderId="38" applyNumberFormat="0" applyFill="0" applyAlignment="0" applyProtection="0"/>
    <xf numFmtId="0" fontId="54" fillId="0" borderId="38" applyNumberFormat="0" applyFill="0" applyAlignment="0" applyProtection="0"/>
    <xf numFmtId="0" fontId="54" fillId="0" borderId="38" applyNumberFormat="0" applyFill="0" applyAlignment="0" applyProtection="0"/>
    <xf numFmtId="0" fontId="54" fillId="0" borderId="38" applyNumberFormat="0" applyFill="0" applyAlignment="0" applyProtection="0"/>
    <xf numFmtId="0" fontId="54" fillId="0" borderId="38" applyNumberFormat="0" applyFill="0" applyAlignment="0" applyProtection="0"/>
    <xf numFmtId="0" fontId="50" fillId="0" borderId="0" applyNumberForma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0" fontId="19" fillId="0" borderId="0"/>
    <xf numFmtId="0" fontId="19" fillId="0" borderId="0"/>
    <xf numFmtId="164" fontId="19" fillId="0" borderId="0" applyFont="0" applyFill="0" applyBorder="0" applyAlignment="0" applyProtection="0"/>
    <xf numFmtId="0" fontId="1" fillId="0" borderId="0"/>
    <xf numFmtId="9" fontId="1" fillId="0" borderId="0" applyFont="0" applyFill="0" applyBorder="0" applyAlignment="0" applyProtection="0"/>
    <xf numFmtId="0" fontId="7" fillId="0" borderId="0"/>
    <xf numFmtId="167" fontId="45" fillId="0" borderId="0" applyFont="0" applyFill="0" applyBorder="0" applyAlignment="0" applyProtection="0"/>
    <xf numFmtId="0" fontId="1" fillId="0" borderId="0"/>
    <xf numFmtId="0" fontId="1" fillId="0" borderId="0"/>
    <xf numFmtId="0" fontId="1" fillId="0" borderId="0"/>
    <xf numFmtId="0" fontId="1" fillId="0" borderId="0"/>
    <xf numFmtId="42" fontId="1" fillId="0" borderId="0" applyFont="0" applyFill="0" applyBorder="0" applyAlignment="0" applyProtection="0"/>
    <xf numFmtId="0" fontId="19" fillId="0" borderId="0"/>
    <xf numFmtId="9" fontId="19" fillId="0" borderId="0" applyFont="0" applyFill="0" applyBorder="0" applyAlignment="0" applyProtection="0"/>
    <xf numFmtId="43" fontId="19" fillId="0" borderId="0" applyFont="0" applyFill="0" applyBorder="0" applyAlignment="0" applyProtection="0"/>
    <xf numFmtId="43" fontId="7"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ill="0" applyBorder="0" applyAlignment="0" applyProtection="0"/>
    <xf numFmtId="42" fontId="1" fillId="0" borderId="0" applyFill="0" applyBorder="0" applyAlignment="0" applyProtection="0"/>
    <xf numFmtId="42" fontId="1" fillId="0" borderId="0" applyFill="0" applyBorder="0" applyAlignment="0" applyProtection="0"/>
    <xf numFmtId="42" fontId="1" fillId="0" borderId="0" applyFill="0" applyBorder="0" applyAlignment="0" applyProtection="0"/>
    <xf numFmtId="42" fontId="1" fillId="0" borderId="0" applyFill="0" applyBorder="0" applyAlignment="0" applyProtection="0"/>
    <xf numFmtId="42" fontId="1" fillId="0" borderId="0" applyFill="0" applyBorder="0" applyAlignment="0" applyProtection="0"/>
    <xf numFmtId="42" fontId="1"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626">
    <xf numFmtId="0" fontId="0" fillId="0" borderId="0" xfId="0"/>
    <xf numFmtId="0" fontId="5" fillId="0" borderId="6" xfId="4" applyFont="1" applyBorder="1" applyAlignment="1">
      <alignment vertical="center"/>
    </xf>
    <xf numFmtId="0" fontId="5" fillId="4" borderId="7" xfId="4" applyFont="1" applyFill="1" applyBorder="1" applyAlignment="1">
      <alignment vertical="center"/>
    </xf>
    <xf numFmtId="0" fontId="23" fillId="0" borderId="0" xfId="10" applyFont="1" applyAlignment="1">
      <alignment wrapText="1"/>
    </xf>
    <xf numFmtId="0" fontId="1" fillId="0" borderId="0" xfId="10" applyAlignment="1">
      <alignment wrapText="1"/>
    </xf>
    <xf numFmtId="0" fontId="19" fillId="0" borderId="0" xfId="11" applyFont="1"/>
    <xf numFmtId="0" fontId="12" fillId="0" borderId="0" xfId="0" applyFont="1" applyAlignment="1">
      <alignment vertical="center" wrapText="1"/>
    </xf>
    <xf numFmtId="0" fontId="8" fillId="0" borderId="0" xfId="11" applyFont="1"/>
    <xf numFmtId="0" fontId="3" fillId="0" borderId="0" xfId="11" applyFont="1"/>
    <xf numFmtId="0" fontId="25" fillId="6" borderId="0" xfId="11" applyFont="1" applyFill="1" applyAlignment="1">
      <alignment horizontal="center" wrapText="1"/>
    </xf>
    <xf numFmtId="0" fontId="6" fillId="0" borderId="1" xfId="11" applyFont="1" applyBorder="1" applyAlignment="1">
      <alignment horizontal="justify" vertical="center"/>
    </xf>
    <xf numFmtId="3" fontId="8" fillId="6" borderId="0" xfId="11" applyNumberFormat="1" applyFont="1" applyFill="1"/>
    <xf numFmtId="0" fontId="6" fillId="7" borderId="21" xfId="11" applyFont="1" applyFill="1" applyBorder="1" applyAlignment="1">
      <alignment horizontal="right" vertical="top"/>
    </xf>
    <xf numFmtId="0" fontId="6" fillId="7" borderId="16" xfId="11" applyFont="1" applyFill="1" applyBorder="1" applyAlignment="1">
      <alignment horizontal="justify" vertical="center"/>
    </xf>
    <xf numFmtId="169" fontId="1" fillId="7" borderId="22" xfId="12" applyNumberFormat="1" applyFont="1" applyFill="1" applyBorder="1" applyAlignment="1">
      <alignment horizontal="center"/>
    </xf>
    <xf numFmtId="0" fontId="26" fillId="6" borderId="0" xfId="11" applyFont="1" applyFill="1"/>
    <xf numFmtId="0" fontId="6" fillId="0" borderId="9" xfId="11" applyFont="1" applyBorder="1" applyAlignment="1">
      <alignment horizontal="right" vertical="top"/>
    </xf>
    <xf numFmtId="169" fontId="1" fillId="0" borderId="10" xfId="12" applyNumberFormat="1" applyFont="1" applyBorder="1" applyAlignment="1">
      <alignment horizontal="center"/>
    </xf>
    <xf numFmtId="0" fontId="1" fillId="0" borderId="1" xfId="11" applyBorder="1" applyAlignment="1">
      <alignment horizontal="justify" vertical="center"/>
    </xf>
    <xf numFmtId="169" fontId="1" fillId="0" borderId="10" xfId="12" applyNumberFormat="1" applyFont="1" applyFill="1" applyBorder="1" applyAlignment="1">
      <alignment horizontal="center"/>
    </xf>
    <xf numFmtId="0" fontId="19" fillId="6" borderId="0" xfId="11" applyFont="1" applyFill="1"/>
    <xf numFmtId="0" fontId="8" fillId="6" borderId="0" xfId="11" applyFont="1" applyFill="1"/>
    <xf numFmtId="170" fontId="8" fillId="0" borderId="0" xfId="11" applyNumberFormat="1" applyFont="1"/>
    <xf numFmtId="169" fontId="8" fillId="0" borderId="0" xfId="11" applyNumberFormat="1" applyFont="1"/>
    <xf numFmtId="10" fontId="8" fillId="0" borderId="0" xfId="12" applyNumberFormat="1" applyFont="1"/>
    <xf numFmtId="0" fontId="6" fillId="0" borderId="6" xfId="11" applyFont="1" applyBorder="1" applyAlignment="1">
      <alignment horizontal="justify" vertical="center"/>
    </xf>
    <xf numFmtId="175" fontId="8" fillId="6" borderId="0" xfId="13" applyNumberFormat="1" applyFont="1" applyFill="1"/>
    <xf numFmtId="0" fontId="6" fillId="7" borderId="9" xfId="11" applyFont="1" applyFill="1" applyBorder="1" applyAlignment="1">
      <alignment horizontal="right" vertical="top"/>
    </xf>
    <xf numFmtId="0" fontId="6" fillId="7" borderId="1" xfId="11" applyFont="1" applyFill="1" applyBorder="1" applyAlignment="1">
      <alignment horizontal="justify" vertical="justify"/>
    </xf>
    <xf numFmtId="0" fontId="1" fillId="0" borderId="1" xfId="11" applyBorder="1" applyAlignment="1">
      <alignment horizontal="justify" vertical="center" wrapText="1"/>
    </xf>
    <xf numFmtId="175" fontId="8" fillId="0" borderId="0" xfId="13" applyNumberFormat="1" applyFont="1" applyFill="1"/>
    <xf numFmtId="1" fontId="10" fillId="0" borderId="0" xfId="12" applyNumberFormat="1" applyFont="1" applyFill="1" applyAlignment="1">
      <alignment horizontal="center"/>
    </xf>
    <xf numFmtId="172" fontId="8" fillId="0" borderId="0" xfId="11" applyNumberFormat="1" applyFont="1"/>
    <xf numFmtId="1" fontId="11" fillId="0" borderId="0" xfId="12" applyNumberFormat="1" applyFont="1" applyFill="1" applyAlignment="1">
      <alignment horizontal="center"/>
    </xf>
    <xf numFmtId="0" fontId="6" fillId="0" borderId="6" xfId="11" applyFont="1" applyBorder="1" applyAlignment="1">
      <alignment horizontal="justify" vertical="center" wrapText="1"/>
    </xf>
    <xf numFmtId="169" fontId="6" fillId="0" borderId="20" xfId="12" applyNumberFormat="1" applyFont="1" applyFill="1" applyBorder="1" applyAlignment="1">
      <alignment horizontal="center"/>
    </xf>
    <xf numFmtId="0" fontId="6" fillId="0" borderId="1" xfId="11" applyFont="1" applyBorder="1" applyAlignment="1">
      <alignment horizontal="justify" vertical="center" wrapText="1"/>
    </xf>
    <xf numFmtId="169" fontId="1" fillId="0" borderId="22" xfId="12" applyNumberFormat="1" applyFont="1" applyFill="1" applyBorder="1" applyAlignment="1">
      <alignment horizontal="center"/>
    </xf>
    <xf numFmtId="175" fontId="8" fillId="0" borderId="0" xfId="13" applyNumberFormat="1" applyFont="1"/>
    <xf numFmtId="171" fontId="8" fillId="0" borderId="0" xfId="11" applyNumberFormat="1" applyFont="1"/>
    <xf numFmtId="169" fontId="1" fillId="7" borderId="10" xfId="12" applyNumberFormat="1" applyFont="1" applyFill="1" applyBorder="1" applyAlignment="1">
      <alignment horizontal="center"/>
    </xf>
    <xf numFmtId="169" fontId="6" fillId="0" borderId="10" xfId="12" applyNumberFormat="1" applyFont="1" applyBorder="1" applyAlignment="1">
      <alignment horizontal="center"/>
    </xf>
    <xf numFmtId="3" fontId="8" fillId="0" borderId="0" xfId="11" applyNumberFormat="1" applyFont="1"/>
    <xf numFmtId="0" fontId="6" fillId="0" borderId="12" xfId="11" applyFont="1" applyBorder="1" applyAlignment="1">
      <alignment horizontal="right" vertical="top"/>
    </xf>
    <xf numFmtId="0" fontId="6" fillId="0" borderId="13" xfId="11" applyFont="1" applyBorder="1" applyAlignment="1">
      <alignment horizontal="justify" vertical="center"/>
    </xf>
    <xf numFmtId="4" fontId="8" fillId="0" borderId="0" xfId="11" applyNumberFormat="1" applyFont="1"/>
    <xf numFmtId="0" fontId="27" fillId="0" borderId="0" xfId="11" applyFont="1"/>
    <xf numFmtId="175" fontId="8" fillId="0" borderId="0" xfId="11" applyNumberFormat="1" applyFont="1"/>
    <xf numFmtId="0" fontId="21" fillId="0" borderId="1" xfId="10" applyFont="1" applyBorder="1" applyAlignment="1">
      <alignment horizontal="left" vertical="center" wrapText="1"/>
    </xf>
    <xf numFmtId="168" fontId="1" fillId="0" borderId="1" xfId="13" applyNumberFormat="1" applyFont="1" applyBorder="1" applyAlignment="1">
      <alignment vertical="center"/>
    </xf>
    <xf numFmtId="0" fontId="1" fillId="0" borderId="1" xfId="11" applyBorder="1" applyAlignment="1">
      <alignment horizontal="justify" vertical="justify" wrapText="1"/>
    </xf>
    <xf numFmtId="169" fontId="3" fillId="0" borderId="0" xfId="11" applyNumberFormat="1" applyFont="1"/>
    <xf numFmtId="0" fontId="21" fillId="0" borderId="9" xfId="0" applyFont="1" applyBorder="1"/>
    <xf numFmtId="0" fontId="21" fillId="0" borderId="1" xfId="0" applyFont="1" applyBorder="1" applyAlignment="1">
      <alignment horizontal="center"/>
    </xf>
    <xf numFmtId="10" fontId="1" fillId="0" borderId="6" xfId="9" applyNumberFormat="1" applyFont="1" applyBorder="1" applyAlignment="1">
      <alignment vertical="center"/>
    </xf>
    <xf numFmtId="177" fontId="1" fillId="0" borderId="10" xfId="9" applyNumberFormat="1" applyFont="1" applyBorder="1" applyAlignment="1">
      <alignment vertical="center"/>
    </xf>
    <xf numFmtId="177" fontId="6" fillId="0" borderId="29" xfId="0" applyNumberFormat="1" applyFont="1" applyBorder="1" applyAlignment="1">
      <alignment vertical="center"/>
    </xf>
    <xf numFmtId="0" fontId="8" fillId="0" borderId="0" xfId="11" applyFont="1" applyAlignment="1">
      <alignment horizontal="left" vertical="center"/>
    </xf>
    <xf numFmtId="169" fontId="8" fillId="0" borderId="0" xfId="11" applyNumberFormat="1" applyFont="1" applyAlignment="1">
      <alignment horizontal="left" vertical="center"/>
    </xf>
    <xf numFmtId="0" fontId="6" fillId="3" borderId="26" xfId="4" applyFont="1" applyFill="1" applyBorder="1" applyAlignment="1">
      <alignment horizontal="center" vertical="center"/>
    </xf>
    <xf numFmtId="0" fontId="6" fillId="3" borderId="24" xfId="4" applyFont="1" applyFill="1" applyBorder="1" applyAlignment="1">
      <alignment horizontal="center" vertical="center"/>
    </xf>
    <xf numFmtId="0" fontId="6" fillId="3" borderId="24" xfId="4" applyFont="1" applyFill="1" applyBorder="1" applyAlignment="1">
      <alignment horizontal="center" vertical="center" wrapText="1"/>
    </xf>
    <xf numFmtId="4" fontId="6" fillId="3" borderId="24" xfId="4" applyNumberFormat="1" applyFont="1" applyFill="1" applyBorder="1" applyAlignment="1">
      <alignment horizontal="center" vertical="center" wrapText="1"/>
    </xf>
    <xf numFmtId="3" fontId="6" fillId="3" borderId="25" xfId="4" applyNumberFormat="1" applyFont="1" applyFill="1" applyBorder="1" applyAlignment="1">
      <alignment horizontal="center" vertical="center" wrapText="1"/>
    </xf>
    <xf numFmtId="49" fontId="12" fillId="0" borderId="0" xfId="3733" applyNumberFormat="1" applyFont="1" applyAlignment="1">
      <alignment horizontal="center" vertical="center"/>
    </xf>
    <xf numFmtId="0" fontId="12" fillId="0" borderId="0" xfId="3733" applyFont="1" applyAlignment="1">
      <alignment vertical="center"/>
    </xf>
    <xf numFmtId="3" fontId="12" fillId="0" borderId="0" xfId="3733" applyNumberFormat="1" applyFont="1" applyAlignment="1">
      <alignment vertical="center"/>
    </xf>
    <xf numFmtId="173" fontId="12" fillId="0" borderId="0" xfId="3733" applyNumberFormat="1" applyFont="1" applyAlignment="1">
      <alignment vertical="center"/>
    </xf>
    <xf numFmtId="0" fontId="12" fillId="0" borderId="0" xfId="3733" applyFont="1" applyAlignment="1">
      <alignment horizontal="left" vertical="center"/>
    </xf>
    <xf numFmtId="3" fontId="12" fillId="0" borderId="0" xfId="3733" applyNumberFormat="1" applyFont="1" applyAlignment="1">
      <alignment horizontal="right" vertical="center"/>
    </xf>
    <xf numFmtId="3" fontId="12" fillId="0" borderId="0" xfId="3733" applyNumberFormat="1" applyFont="1" applyAlignment="1" applyProtection="1">
      <alignment horizontal="center" vertical="center"/>
      <protection locked="0"/>
    </xf>
    <xf numFmtId="9" fontId="12" fillId="0" borderId="0" xfId="7" applyFont="1" applyAlignment="1">
      <alignment horizontal="left" vertical="center"/>
    </xf>
    <xf numFmtId="0" fontId="12" fillId="0" borderId="0" xfId="3733" applyFont="1" applyAlignment="1" applyProtection="1">
      <alignment vertical="center"/>
      <protection locked="0"/>
    </xf>
    <xf numFmtId="0" fontId="12" fillId="0" borderId="0" xfId="3733" applyFont="1" applyAlignment="1">
      <alignment horizontal="center" vertical="center"/>
    </xf>
    <xf numFmtId="173" fontId="12" fillId="0" borderId="0" xfId="3733" applyNumberFormat="1" applyFont="1" applyAlignment="1">
      <alignment horizontal="center" vertical="center"/>
    </xf>
    <xf numFmtId="0" fontId="55" fillId="0" borderId="0" xfId="3733" applyFont="1" applyAlignment="1">
      <alignment horizontal="left" vertical="center"/>
    </xf>
    <xf numFmtId="4" fontId="1" fillId="0" borderId="0" xfId="3733" applyNumberFormat="1" applyAlignment="1">
      <alignment horizontal="center" vertical="center"/>
    </xf>
    <xf numFmtId="4" fontId="12" fillId="0" borderId="0" xfId="3733" applyNumberFormat="1" applyFont="1" applyAlignment="1">
      <alignment horizontal="center" vertical="center"/>
    </xf>
    <xf numFmtId="3" fontId="5" fillId="0" borderId="0" xfId="3733" applyNumberFormat="1" applyFont="1" applyAlignment="1">
      <alignment vertical="center"/>
    </xf>
    <xf numFmtId="3" fontId="12" fillId="0" borderId="0" xfId="3733" applyNumberFormat="1" applyFont="1" applyAlignment="1">
      <alignment horizontal="left" vertical="center"/>
    </xf>
    <xf numFmtId="201" fontId="12" fillId="0" borderId="0" xfId="3733" applyNumberFormat="1" applyFont="1" applyAlignment="1">
      <alignment horizontal="left" vertical="center"/>
    </xf>
    <xf numFmtId="0" fontId="6" fillId="0" borderId="21" xfId="11" applyFont="1" applyBorder="1" applyAlignment="1">
      <alignment horizontal="right" vertical="top"/>
    </xf>
    <xf numFmtId="0" fontId="6" fillId="0" borderId="16" xfId="11" applyFont="1" applyBorder="1" applyAlignment="1">
      <alignment horizontal="justify" vertical="center"/>
    </xf>
    <xf numFmtId="169" fontId="6" fillId="0" borderId="22" xfId="12" applyNumberFormat="1" applyFont="1" applyBorder="1" applyAlignment="1">
      <alignment horizontal="center"/>
    </xf>
    <xf numFmtId="0" fontId="12" fillId="0" borderId="9" xfId="4" applyFont="1" applyBorder="1" applyAlignment="1">
      <alignment horizontal="center" vertical="center"/>
    </xf>
    <xf numFmtId="0" fontId="5" fillId="4" borderId="40" xfId="4" applyFont="1" applyFill="1" applyBorder="1" applyAlignment="1">
      <alignment horizontal="center" vertical="center"/>
    </xf>
    <xf numFmtId="0" fontId="1" fillId="0" borderId="0" xfId="4" applyAlignment="1">
      <alignment horizontal="center" vertical="center"/>
    </xf>
    <xf numFmtId="0" fontId="6" fillId="4" borderId="9" xfId="4" applyFont="1" applyFill="1" applyBorder="1" applyAlignment="1">
      <alignment horizontal="center" vertical="center"/>
    </xf>
    <xf numFmtId="0" fontId="6" fillId="0" borderId="9" xfId="4" applyFont="1" applyBorder="1" applyAlignment="1">
      <alignment horizontal="center" vertical="center"/>
    </xf>
    <xf numFmtId="0" fontId="6" fillId="0" borderId="6" xfId="4" applyFont="1" applyBorder="1" applyAlignment="1">
      <alignment vertical="center"/>
    </xf>
    <xf numFmtId="0" fontId="1" fillId="0" borderId="1" xfId="4" applyBorder="1" applyAlignment="1">
      <alignment horizontal="center" vertical="center"/>
    </xf>
    <xf numFmtId="0" fontId="1" fillId="8" borderId="1" xfId="4" applyFill="1" applyBorder="1" applyAlignment="1">
      <alignment horizontal="center" vertical="center"/>
    </xf>
    <xf numFmtId="3" fontId="1" fillId="0" borderId="1" xfId="4" applyNumberFormat="1" applyBorder="1" applyAlignment="1">
      <alignment horizontal="center" vertical="center"/>
    </xf>
    <xf numFmtId="4" fontId="1" fillId="0" borderId="1" xfId="4" applyNumberFormat="1" applyBorder="1" applyAlignment="1">
      <alignment horizontal="center" vertical="center"/>
    </xf>
    <xf numFmtId="4" fontId="1" fillId="8" borderId="1" xfId="4" applyNumberFormat="1" applyFill="1" applyBorder="1" applyAlignment="1">
      <alignment horizontal="center" vertical="center"/>
    </xf>
    <xf numFmtId="0" fontId="6" fillId="0" borderId="1" xfId="4" applyFont="1" applyBorder="1" applyAlignment="1">
      <alignment vertical="center"/>
    </xf>
    <xf numFmtId="207" fontId="1" fillId="0" borderId="1" xfId="4" applyNumberFormat="1" applyBorder="1" applyAlignment="1">
      <alignment horizontal="center" vertical="center"/>
    </xf>
    <xf numFmtId="207" fontId="1" fillId="8" borderId="1" xfId="4" applyNumberFormat="1" applyFill="1" applyBorder="1" applyAlignment="1">
      <alignment horizontal="center" vertical="center"/>
    </xf>
    <xf numFmtId="0" fontId="6" fillId="4" borderId="6" xfId="4" applyFont="1" applyFill="1" applyBorder="1" applyAlignment="1">
      <alignment vertical="center"/>
    </xf>
    <xf numFmtId="0" fontId="1" fillId="0" borderId="9" xfId="4" applyBorder="1" applyAlignment="1">
      <alignment horizontal="center" vertical="center"/>
    </xf>
    <xf numFmtId="0" fontId="6" fillId="0" borderId="1" xfId="4" applyFont="1" applyBorder="1" applyAlignment="1">
      <alignment horizontal="left" vertical="center"/>
    </xf>
    <xf numFmtId="0" fontId="1" fillId="0" borderId="1" xfId="4" applyBorder="1" applyAlignment="1">
      <alignment horizontal="left" vertical="center" wrapText="1"/>
    </xf>
    <xf numFmtId="168" fontId="19" fillId="0" borderId="0" xfId="1" applyFont="1"/>
    <xf numFmtId="4" fontId="1" fillId="8" borderId="8" xfId="4" applyNumberFormat="1" applyFill="1" applyBorder="1" applyAlignment="1">
      <alignment horizontal="center" vertical="center"/>
    </xf>
    <xf numFmtId="0" fontId="5" fillId="0" borderId="9" xfId="4" applyFont="1" applyBorder="1" applyAlignment="1">
      <alignment horizontal="center" vertical="center"/>
    </xf>
    <xf numFmtId="169" fontId="1" fillId="8" borderId="10" xfId="12" applyNumberFormat="1" applyFont="1" applyFill="1" applyBorder="1" applyAlignment="1">
      <alignment horizontal="center"/>
    </xf>
    <xf numFmtId="169" fontId="1" fillId="8" borderId="4" xfId="12" applyNumberFormat="1" applyFont="1" applyFill="1" applyBorder="1" applyAlignment="1">
      <alignment horizontal="center"/>
    </xf>
    <xf numFmtId="0" fontId="12" fillId="0" borderId="0" xfId="4" applyFont="1" applyAlignment="1">
      <alignment horizontal="center" vertical="center"/>
    </xf>
    <xf numFmtId="0" fontId="5" fillId="0" borderId="0" xfId="4" applyFont="1" applyAlignment="1">
      <alignment vertical="center"/>
    </xf>
    <xf numFmtId="4" fontId="6" fillId="0" borderId="5" xfId="4" applyNumberFormat="1" applyFont="1" applyBorder="1" applyAlignment="1">
      <alignment horizontal="center" vertical="center"/>
    </xf>
    <xf numFmtId="0" fontId="6" fillId="0" borderId="24" xfId="0" applyFont="1" applyBorder="1"/>
    <xf numFmtId="167" fontId="6" fillId="0" borderId="25" xfId="3" applyFont="1" applyBorder="1"/>
    <xf numFmtId="0" fontId="6" fillId="3" borderId="9" xfId="0" applyFont="1" applyFill="1" applyBorder="1"/>
    <xf numFmtId="9" fontId="6" fillId="0" borderId="1" xfId="0" applyNumberFormat="1" applyFont="1" applyBorder="1"/>
    <xf numFmtId="0" fontId="6" fillId="0" borderId="1" xfId="0" applyFont="1" applyBorder="1"/>
    <xf numFmtId="167" fontId="6" fillId="0" borderId="10" xfId="3" applyFont="1" applyBorder="1"/>
    <xf numFmtId="0" fontId="6" fillId="3" borderId="1" xfId="0" applyFont="1" applyFill="1" applyBorder="1"/>
    <xf numFmtId="0" fontId="6" fillId="3" borderId="10" xfId="0" applyFont="1" applyFill="1" applyBorder="1"/>
    <xf numFmtId="177" fontId="0" fillId="0" borderId="1" xfId="3" applyNumberFormat="1" applyFont="1" applyBorder="1"/>
    <xf numFmtId="177" fontId="0" fillId="0" borderId="10" xfId="0" applyNumberFormat="1" applyBorder="1"/>
    <xf numFmtId="177" fontId="0" fillId="0" borderId="0" xfId="0" applyNumberFormat="1"/>
    <xf numFmtId="2" fontId="0" fillId="0" borderId="0" xfId="0" applyNumberFormat="1"/>
    <xf numFmtId="0" fontId="0" fillId="0" borderId="12" xfId="0" applyBorder="1"/>
    <xf numFmtId="167" fontId="6" fillId="0" borderId="13" xfId="0" applyNumberFormat="1" applyFont="1" applyBorder="1"/>
    <xf numFmtId="167" fontId="6" fillId="0" borderId="14" xfId="0" applyNumberFormat="1" applyFont="1" applyBorder="1"/>
    <xf numFmtId="165" fontId="12" fillId="0" borderId="0" xfId="0" applyNumberFormat="1" applyFont="1"/>
    <xf numFmtId="4" fontId="6" fillId="8" borderId="20" xfId="4" applyNumberFormat="1" applyFont="1" applyFill="1" applyBorder="1" applyAlignment="1">
      <alignment horizontal="center" vertical="center"/>
    </xf>
    <xf numFmtId="0" fontId="3" fillId="0" borderId="19" xfId="11" applyFont="1" applyBorder="1"/>
    <xf numFmtId="169" fontId="1" fillId="8" borderId="10" xfId="12" applyNumberFormat="1" applyFont="1" applyFill="1" applyBorder="1" applyAlignment="1">
      <alignment horizontal="center" vertical="center"/>
    </xf>
    <xf numFmtId="169" fontId="1" fillId="0" borderId="10" xfId="12" applyNumberFormat="1" applyFont="1" applyFill="1" applyBorder="1" applyAlignment="1">
      <alignment horizontal="center" vertical="center"/>
    </xf>
    <xf numFmtId="0" fontId="5" fillId="8" borderId="9" xfId="4" applyFont="1" applyFill="1" applyBorder="1" applyAlignment="1">
      <alignment horizontal="center" vertical="center"/>
    </xf>
    <xf numFmtId="0" fontId="12" fillId="0" borderId="12" xfId="4" applyFont="1" applyBorder="1" applyAlignment="1">
      <alignment horizontal="center" vertical="center"/>
    </xf>
    <xf numFmtId="0" fontId="5" fillId="0" borderId="28" xfId="4" applyFont="1" applyBorder="1" applyAlignment="1">
      <alignment vertical="center"/>
    </xf>
    <xf numFmtId="0" fontId="5" fillId="8" borderId="40" xfId="4" applyFont="1" applyFill="1" applyBorder="1" applyAlignment="1">
      <alignment horizontal="center" vertical="center"/>
    </xf>
    <xf numFmtId="0" fontId="1" fillId="8" borderId="7" xfId="4" applyFill="1" applyBorder="1" applyAlignment="1">
      <alignment horizontal="left" vertical="center" wrapText="1"/>
    </xf>
    <xf numFmtId="0" fontId="1" fillId="8" borderId="7" xfId="4" applyFill="1" applyBorder="1" applyAlignment="1">
      <alignment horizontal="center" vertical="center"/>
    </xf>
    <xf numFmtId="207" fontId="1" fillId="8" borderId="7" xfId="4" applyNumberFormat="1" applyFill="1" applyBorder="1" applyAlignment="1">
      <alignment horizontal="center" vertical="center"/>
    </xf>
    <xf numFmtId="4" fontId="1" fillId="8" borderId="7" xfId="4" applyNumberFormat="1" applyFill="1" applyBorder="1" applyAlignment="1">
      <alignment horizontal="center" vertical="center"/>
    </xf>
    <xf numFmtId="0" fontId="2" fillId="0" borderId="0" xfId="4" applyFont="1" applyAlignment="1">
      <alignment vertical="center"/>
    </xf>
    <xf numFmtId="0" fontId="56" fillId="0" borderId="0" xfId="4" applyFont="1" applyAlignment="1">
      <alignment vertical="center"/>
    </xf>
    <xf numFmtId="0" fontId="23" fillId="0" borderId="3" xfId="4" applyFont="1" applyBorder="1" applyAlignment="1">
      <alignment vertical="center"/>
    </xf>
    <xf numFmtId="0" fontId="23" fillId="0" borderId="0" xfId="4" applyFont="1" applyAlignment="1">
      <alignment vertical="center"/>
    </xf>
    <xf numFmtId="0" fontId="57" fillId="0" borderId="0" xfId="4" applyFont="1" applyAlignment="1">
      <alignment vertical="center"/>
    </xf>
    <xf numFmtId="3" fontId="6" fillId="3" borderId="24" xfId="4" applyNumberFormat="1" applyFont="1" applyFill="1" applyBorder="1" applyAlignment="1">
      <alignment horizontal="center" vertical="center" wrapText="1"/>
    </xf>
    <xf numFmtId="0" fontId="1" fillId="0" borderId="0" xfId="4" applyAlignment="1">
      <alignment vertical="center"/>
    </xf>
    <xf numFmtId="0" fontId="1" fillId="4" borderId="7" xfId="4" applyFill="1" applyBorder="1" applyAlignment="1">
      <alignment vertical="center"/>
    </xf>
    <xf numFmtId="3" fontId="20" fillId="4" borderId="7" xfId="4" applyNumberFormat="1" applyFont="1" applyFill="1" applyBorder="1" applyAlignment="1">
      <alignment vertical="center"/>
    </xf>
    <xf numFmtId="4" fontId="1" fillId="4" borderId="7" xfId="4" applyNumberFormat="1" applyFill="1" applyBorder="1" applyAlignment="1">
      <alignment vertical="center"/>
    </xf>
    <xf numFmtId="0" fontId="1" fillId="0" borderId="7" xfId="4" applyBorder="1" applyAlignment="1">
      <alignment vertical="center"/>
    </xf>
    <xf numFmtId="3" fontId="20" fillId="0" borderId="7" xfId="4" applyNumberFormat="1" applyFont="1" applyBorder="1" applyAlignment="1">
      <alignment vertical="center"/>
    </xf>
    <xf numFmtId="4" fontId="1" fillId="0" borderId="7" xfId="4" applyNumberFormat="1" applyBorder="1" applyAlignment="1">
      <alignment vertical="center"/>
    </xf>
    <xf numFmtId="0" fontId="12" fillId="8" borderId="1" xfId="4" applyFont="1" applyFill="1" applyBorder="1" applyAlignment="1">
      <alignment horizontal="center" vertical="center"/>
    </xf>
    <xf numFmtId="0" fontId="12" fillId="0" borderId="1" xfId="4" applyFont="1" applyBorder="1" applyAlignment="1">
      <alignment horizontal="center" vertical="center"/>
    </xf>
    <xf numFmtId="3" fontId="12" fillId="0" borderId="1" xfId="4" applyNumberFormat="1" applyFont="1" applyBorder="1" applyAlignment="1">
      <alignment horizontal="center" vertical="center"/>
    </xf>
    <xf numFmtId="4" fontId="12" fillId="0" borderId="41" xfId="4" applyNumberFormat="1" applyFont="1" applyBorder="1" applyAlignment="1">
      <alignment horizontal="center" vertical="center"/>
    </xf>
    <xf numFmtId="3" fontId="5" fillId="0" borderId="11" xfId="4" applyNumberFormat="1" applyFont="1" applyBorder="1" applyAlignment="1">
      <alignment horizontal="right" vertical="center"/>
    </xf>
    <xf numFmtId="0" fontId="12" fillId="0" borderId="7" xfId="4" applyFont="1" applyBorder="1" applyAlignment="1">
      <alignment horizontal="center" vertical="center"/>
    </xf>
    <xf numFmtId="3" fontId="22" fillId="0" borderId="7" xfId="4" applyNumberFormat="1" applyFont="1" applyBorder="1" applyAlignment="1">
      <alignment horizontal="center" vertical="center"/>
    </xf>
    <xf numFmtId="4" fontId="12" fillId="0" borderId="7" xfId="4" applyNumberFormat="1" applyFont="1" applyBorder="1" applyAlignment="1">
      <alignment horizontal="center" vertical="center"/>
    </xf>
    <xf numFmtId="0" fontId="12" fillId="4" borderId="7" xfId="4" applyFont="1" applyFill="1" applyBorder="1" applyAlignment="1">
      <alignment horizontal="center" vertical="center"/>
    </xf>
    <xf numFmtId="3" fontId="22" fillId="4" borderId="7" xfId="4" applyNumberFormat="1" applyFont="1" applyFill="1" applyBorder="1" applyAlignment="1">
      <alignment horizontal="center" vertical="center"/>
    </xf>
    <xf numFmtId="4" fontId="12" fillId="4" borderId="7" xfId="4" applyNumberFormat="1" applyFont="1" applyFill="1" applyBorder="1" applyAlignment="1">
      <alignment horizontal="center" vertical="center"/>
    </xf>
    <xf numFmtId="3" fontId="1" fillId="0" borderId="0" xfId="4" applyNumberFormat="1" applyAlignment="1">
      <alignment vertical="center"/>
    </xf>
    <xf numFmtId="0" fontId="5" fillId="0" borderId="7" xfId="4" applyFont="1" applyBorder="1" applyAlignment="1">
      <alignment horizontal="center" vertical="center"/>
    </xf>
    <xf numFmtId="3" fontId="22" fillId="0" borderId="7" xfId="4" applyNumberFormat="1" applyFont="1" applyBorder="1" applyAlignment="1">
      <alignment vertical="center"/>
    </xf>
    <xf numFmtId="4" fontId="12" fillId="0" borderId="7" xfId="4" applyNumberFormat="1" applyFont="1" applyBorder="1" applyAlignment="1">
      <alignment vertical="center"/>
    </xf>
    <xf numFmtId="0" fontId="20" fillId="0" borderId="0" xfId="4" applyFont="1" applyAlignment="1">
      <alignment horizontal="center" vertical="center"/>
    </xf>
    <xf numFmtId="4" fontId="12" fillId="0" borderId="8" xfId="4" applyNumberFormat="1" applyFont="1" applyBorder="1" applyAlignment="1">
      <alignment vertical="center"/>
    </xf>
    <xf numFmtId="3" fontId="20" fillId="0" borderId="0" xfId="4" applyNumberFormat="1" applyFont="1" applyAlignment="1">
      <alignment horizontal="center" vertical="center"/>
    </xf>
    <xf numFmtId="0" fontId="5" fillId="0" borderId="45" xfId="4" applyFont="1" applyBorder="1" applyAlignment="1">
      <alignment horizontal="center" vertical="center"/>
    </xf>
    <xf numFmtId="3" fontId="22" fillId="0" borderId="45" xfId="4" applyNumberFormat="1" applyFont="1" applyBorder="1" applyAlignment="1">
      <alignment vertical="center"/>
    </xf>
    <xf numFmtId="4" fontId="12" fillId="0" borderId="45" xfId="4" applyNumberFormat="1" applyFont="1" applyBorder="1" applyAlignment="1">
      <alignment vertical="center"/>
    </xf>
    <xf numFmtId="168" fontId="1" fillId="0" borderId="0" xfId="1" applyFont="1" applyFill="1" applyAlignment="1">
      <alignment vertical="center"/>
    </xf>
    <xf numFmtId="0" fontId="5" fillId="0" borderId="0" xfId="4" applyFont="1" applyAlignment="1">
      <alignment horizontal="center" vertical="center"/>
    </xf>
    <xf numFmtId="3" fontId="22" fillId="0" borderId="0" xfId="4" applyNumberFormat="1" applyFont="1" applyAlignment="1">
      <alignment vertical="center"/>
    </xf>
    <xf numFmtId="4" fontId="12" fillId="0" borderId="0" xfId="4" applyNumberFormat="1" applyFont="1" applyAlignment="1">
      <alignment vertical="center"/>
    </xf>
    <xf numFmtId="0" fontId="3" fillId="0" borderId="0" xfId="11" applyFont="1" applyAlignment="1">
      <alignment vertical="center"/>
    </xf>
    <xf numFmtId="3" fontId="20" fillId="0" borderId="0" xfId="4" applyNumberFormat="1" applyFont="1" applyAlignment="1">
      <alignment vertical="center"/>
    </xf>
    <xf numFmtId="4" fontId="1" fillId="0" borderId="0" xfId="4" applyNumberFormat="1" applyAlignment="1">
      <alignment vertical="center"/>
    </xf>
    <xf numFmtId="0" fontId="3" fillId="0" borderId="19" xfId="11" applyFont="1" applyBorder="1" applyAlignment="1">
      <alignment vertical="center"/>
    </xf>
    <xf numFmtId="9" fontId="6" fillId="3" borderId="24" xfId="4" applyNumberFormat="1" applyFont="1" applyFill="1" applyBorder="1" applyAlignment="1">
      <alignment horizontal="center" vertical="center" wrapText="1"/>
    </xf>
    <xf numFmtId="9" fontId="1" fillId="4" borderId="7" xfId="4" applyNumberFormat="1" applyFill="1" applyBorder="1" applyAlignment="1">
      <alignment vertical="center"/>
    </xf>
    <xf numFmtId="9" fontId="1" fillId="0" borderId="7" xfId="4" applyNumberFormat="1" applyBorder="1" applyAlignment="1">
      <alignment vertical="center"/>
    </xf>
    <xf numFmtId="9" fontId="1" fillId="8" borderId="1" xfId="4" applyNumberFormat="1" applyFill="1" applyBorder="1" applyAlignment="1">
      <alignment horizontal="center" vertical="center"/>
    </xf>
    <xf numFmtId="9" fontId="1" fillId="0" borderId="1" xfId="4" applyNumberFormat="1" applyBorder="1" applyAlignment="1">
      <alignment horizontal="center" vertical="center"/>
    </xf>
    <xf numFmtId="9" fontId="12" fillId="0" borderId="1" xfId="4" applyNumberFormat="1" applyFont="1" applyBorder="1" applyAlignment="1">
      <alignment horizontal="center" vertical="center"/>
    </xf>
    <xf numFmtId="9" fontId="12" fillId="0" borderId="6" xfId="4" applyNumberFormat="1" applyFont="1" applyBorder="1" applyAlignment="1">
      <alignment horizontal="center" vertical="center"/>
    </xf>
    <xf numFmtId="9" fontId="12" fillId="0" borderId="7" xfId="4" applyNumberFormat="1" applyFont="1" applyBorder="1" applyAlignment="1">
      <alignment horizontal="center" vertical="center"/>
    </xf>
    <xf numFmtId="9" fontId="12" fillId="4" borderId="7" xfId="4" applyNumberFormat="1" applyFont="1" applyFill="1" applyBorder="1" applyAlignment="1">
      <alignment horizontal="center" vertical="center"/>
    </xf>
    <xf numFmtId="9" fontId="1" fillId="8" borderId="7" xfId="4" applyNumberFormat="1" applyFill="1" applyBorder="1" applyAlignment="1">
      <alignment horizontal="center" vertical="center"/>
    </xf>
    <xf numFmtId="9" fontId="12" fillId="0" borderId="7" xfId="4" applyNumberFormat="1" applyFont="1" applyBorder="1" applyAlignment="1">
      <alignment vertical="center"/>
    </xf>
    <xf numFmtId="9" fontId="12" fillId="0" borderId="45" xfId="4" applyNumberFormat="1" applyFont="1" applyBorder="1" applyAlignment="1">
      <alignment vertical="center"/>
    </xf>
    <xf numFmtId="9" fontId="12" fillId="0" borderId="0" xfId="4" applyNumberFormat="1" applyFont="1" applyAlignment="1">
      <alignment vertical="center"/>
    </xf>
    <xf numFmtId="9" fontId="12" fillId="0" borderId="0" xfId="3733" applyNumberFormat="1" applyFont="1" applyAlignment="1">
      <alignment horizontal="center" vertical="center"/>
    </xf>
    <xf numFmtId="9" fontId="1" fillId="0" borderId="0" xfId="4" applyNumberFormat="1" applyAlignment="1">
      <alignment vertical="center"/>
    </xf>
    <xf numFmtId="3" fontId="1" fillId="4" borderId="39" xfId="4" applyNumberFormat="1" applyFill="1" applyBorder="1" applyAlignment="1">
      <alignment horizontal="right" vertical="center"/>
    </xf>
    <xf numFmtId="3" fontId="1" fillId="0" borderId="39" xfId="4" applyNumberFormat="1" applyBorder="1" applyAlignment="1">
      <alignment horizontal="right" vertical="center"/>
    </xf>
    <xf numFmtId="207" fontId="1" fillId="0" borderId="10" xfId="4" applyNumberFormat="1" applyBorder="1" applyAlignment="1">
      <alignment horizontal="right" vertical="center"/>
    </xf>
    <xf numFmtId="207" fontId="1" fillId="8" borderId="10" xfId="4" applyNumberFormat="1" applyFill="1" applyBorder="1" applyAlignment="1">
      <alignment horizontal="right" vertical="center"/>
    </xf>
    <xf numFmtId="207" fontId="6" fillId="0" borderId="20" xfId="4" applyNumberFormat="1" applyFont="1" applyBorder="1" applyAlignment="1">
      <alignment horizontal="right" vertical="center"/>
    </xf>
    <xf numFmtId="3" fontId="5" fillId="4" borderId="42" xfId="4" applyNumberFormat="1" applyFont="1" applyFill="1" applyBorder="1" applyAlignment="1">
      <alignment horizontal="right" vertical="center"/>
    </xf>
    <xf numFmtId="3" fontId="12" fillId="0" borderId="39" xfId="4" applyNumberFormat="1" applyFont="1" applyBorder="1" applyAlignment="1">
      <alignment horizontal="right" vertical="center"/>
    </xf>
    <xf numFmtId="207" fontId="1" fillId="8" borderId="39" xfId="4" applyNumberFormat="1" applyFill="1" applyBorder="1" applyAlignment="1">
      <alignment horizontal="right" vertical="center"/>
    </xf>
    <xf numFmtId="0" fontId="12" fillId="0" borderId="0" xfId="3733" applyFont="1" applyAlignment="1">
      <alignment horizontal="right" vertical="center"/>
    </xf>
    <xf numFmtId="3" fontId="1" fillId="0" borderId="0" xfId="4" applyNumberFormat="1" applyAlignment="1">
      <alignment horizontal="right" vertical="center"/>
    </xf>
    <xf numFmtId="3" fontId="6" fillId="0" borderId="0" xfId="4" applyNumberFormat="1" applyFont="1" applyAlignment="1">
      <alignment horizontal="right" vertical="center"/>
    </xf>
    <xf numFmtId="0" fontId="0" fillId="0" borderId="9" xfId="0" applyBorder="1" applyAlignment="1">
      <alignment horizontal="center"/>
    </xf>
    <xf numFmtId="168" fontId="1" fillId="0" borderId="0" xfId="4" applyNumberFormat="1" applyAlignment="1">
      <alignment vertical="center"/>
    </xf>
    <xf numFmtId="207" fontId="1" fillId="0" borderId="0" xfId="4" applyNumberFormat="1" applyAlignment="1">
      <alignment vertical="center"/>
    </xf>
    <xf numFmtId="3" fontId="1" fillId="0" borderId="0" xfId="4" applyNumberFormat="1" applyAlignment="1">
      <alignment horizontal="center" vertical="center"/>
    </xf>
    <xf numFmtId="0" fontId="8" fillId="0" borderId="1" xfId="3736" applyFont="1" applyBorder="1" applyAlignment="1">
      <alignment horizontal="left" vertical="center" wrapText="1"/>
    </xf>
    <xf numFmtId="0" fontId="1" fillId="0" borderId="1" xfId="4" applyBorder="1" applyAlignment="1">
      <alignment horizontal="justify" vertical="center" wrapText="1"/>
    </xf>
    <xf numFmtId="0" fontId="11" fillId="8" borderId="1" xfId="4" applyFont="1" applyFill="1" applyBorder="1" applyAlignment="1">
      <alignment horizontal="center" vertical="center"/>
    </xf>
    <xf numFmtId="207" fontId="11" fillId="8" borderId="10" xfId="4" applyNumberFormat="1" applyFont="1" applyFill="1" applyBorder="1" applyAlignment="1">
      <alignment horizontal="right" vertical="center"/>
    </xf>
    <xf numFmtId="177" fontId="19" fillId="0" borderId="0" xfId="11" applyNumberFormat="1" applyFont="1"/>
    <xf numFmtId="0" fontId="0" fillId="0" borderId="0" xfId="11" applyFont="1"/>
    <xf numFmtId="0" fontId="12" fillId="0" borderId="0" xfId="4" applyFont="1" applyAlignment="1">
      <alignment horizontal="left" vertical="center" wrapText="1"/>
    </xf>
    <xf numFmtId="0" fontId="1" fillId="52" borderId="0" xfId="4" applyFill="1" applyAlignment="1">
      <alignment vertical="center"/>
    </xf>
    <xf numFmtId="167" fontId="1" fillId="52" borderId="0" xfId="9" applyFont="1" applyFill="1" applyAlignment="1">
      <alignment vertical="center"/>
    </xf>
    <xf numFmtId="0" fontId="1" fillId="52" borderId="0" xfId="4" applyFill="1" applyAlignment="1">
      <alignment horizontal="center" vertical="center"/>
    </xf>
    <xf numFmtId="167" fontId="1" fillId="0" borderId="0" xfId="9" applyFont="1" applyFill="1" applyAlignment="1">
      <alignment horizontal="center" vertical="center"/>
    </xf>
    <xf numFmtId="10" fontId="1" fillId="53" borderId="0" xfId="7" applyNumberFormat="1" applyFont="1" applyFill="1" applyAlignment="1">
      <alignment horizontal="center" vertical="center"/>
    </xf>
    <xf numFmtId="207" fontId="1" fillId="0" borderId="0" xfId="4" applyNumberFormat="1" applyAlignment="1">
      <alignment horizontal="center" vertical="center"/>
    </xf>
    <xf numFmtId="0" fontId="1" fillId="8" borderId="1" xfId="4" applyFill="1" applyBorder="1" applyAlignment="1">
      <alignment horizontal="left" vertical="center" wrapText="1"/>
    </xf>
    <xf numFmtId="0" fontId="1" fillId="8" borderId="1" xfId="11" applyFill="1" applyBorder="1" applyAlignment="1">
      <alignment horizontal="justify" vertical="center" wrapText="1"/>
    </xf>
    <xf numFmtId="10" fontId="1" fillId="0" borderId="0" xfId="7" applyNumberFormat="1" applyFont="1" applyFill="1" applyAlignment="1">
      <alignment horizontal="center" vertical="center"/>
    </xf>
    <xf numFmtId="0" fontId="56" fillId="0" borderId="0" xfId="4" applyFont="1" applyAlignment="1">
      <alignment horizontal="center" vertical="center"/>
    </xf>
    <xf numFmtId="3" fontId="23" fillId="0" borderId="0" xfId="4" applyNumberFormat="1" applyFont="1" applyAlignment="1">
      <alignment vertical="center"/>
    </xf>
    <xf numFmtId="4" fontId="1" fillId="0" borderId="41" xfId="4" applyNumberFormat="1" applyBorder="1" applyAlignment="1">
      <alignment horizontal="center" vertical="center"/>
    </xf>
    <xf numFmtId="207" fontId="6" fillId="0" borderId="29" xfId="4" applyNumberFormat="1" applyFont="1" applyBorder="1" applyAlignment="1">
      <alignment horizontal="right" vertical="center"/>
    </xf>
    <xf numFmtId="207" fontId="11" fillId="8" borderId="1" xfId="4" applyNumberFormat="1" applyFont="1" applyFill="1" applyBorder="1" applyAlignment="1">
      <alignment horizontal="right" vertical="center"/>
    </xf>
    <xf numFmtId="209" fontId="27" fillId="0" borderId="0" xfId="3733" applyNumberFormat="1" applyFont="1" applyAlignment="1">
      <alignment horizontal="left" vertical="center" wrapText="1"/>
    </xf>
    <xf numFmtId="210" fontId="1" fillId="0" borderId="10" xfId="12" applyNumberFormat="1" applyFont="1" applyBorder="1" applyAlignment="1">
      <alignment horizontal="center"/>
    </xf>
    <xf numFmtId="0" fontId="20" fillId="0" borderId="9" xfId="0" applyFont="1" applyBorder="1"/>
    <xf numFmtId="0" fontId="20" fillId="0" borderId="1" xfId="0" applyFont="1" applyBorder="1" applyAlignment="1">
      <alignment horizontal="center"/>
    </xf>
    <xf numFmtId="10" fontId="20" fillId="0" borderId="6" xfId="9" applyNumberFormat="1" applyFont="1" applyBorder="1" applyAlignment="1">
      <alignment vertical="center"/>
    </xf>
    <xf numFmtId="177" fontId="20" fillId="0" borderId="10" xfId="9" applyNumberFormat="1" applyFont="1" applyBorder="1" applyAlignment="1">
      <alignment vertical="center"/>
    </xf>
    <xf numFmtId="0" fontId="64" fillId="0" borderId="26" xfId="0" applyFont="1" applyBorder="1" applyAlignment="1">
      <alignment horizontal="center" vertical="center"/>
    </xf>
    <xf numFmtId="0" fontId="64" fillId="0" borderId="24" xfId="0" applyFont="1" applyBorder="1" applyAlignment="1">
      <alignment horizontal="center" vertical="center"/>
    </xf>
    <xf numFmtId="0" fontId="64" fillId="0" borderId="27" xfId="0" applyFont="1" applyBorder="1" applyAlignment="1">
      <alignment horizontal="center" vertical="center" wrapText="1"/>
    </xf>
    <xf numFmtId="0" fontId="64" fillId="0" borderId="27" xfId="0" applyFont="1" applyBorder="1" applyAlignment="1">
      <alignment horizontal="center" vertical="center"/>
    </xf>
    <xf numFmtId="0" fontId="64" fillId="0" borderId="25" xfId="0" applyFont="1" applyBorder="1" applyAlignment="1">
      <alignment horizontal="center" vertical="center" wrapText="1"/>
    </xf>
    <xf numFmtId="10" fontId="66" fillId="0" borderId="6" xfId="9" applyNumberFormat="1" applyFont="1" applyBorder="1" applyAlignment="1">
      <alignment vertical="center"/>
    </xf>
    <xf numFmtId="0" fontId="67" fillId="56" borderId="47" xfId="0" applyFont="1" applyFill="1" applyBorder="1" applyAlignment="1">
      <alignment horizontal="left" vertical="center" wrapText="1" indent="1"/>
    </xf>
    <xf numFmtId="6" fontId="67" fillId="56" borderId="47" xfId="0" applyNumberFormat="1" applyFont="1" applyFill="1" applyBorder="1" applyAlignment="1">
      <alignment horizontal="right" vertical="center" wrapText="1" indent="1"/>
    </xf>
    <xf numFmtId="0" fontId="67" fillId="57" borderId="47" xfId="0" applyFont="1" applyFill="1" applyBorder="1" applyAlignment="1">
      <alignment horizontal="left" vertical="center" wrapText="1" indent="1"/>
    </xf>
    <xf numFmtId="6" fontId="67" fillId="57" borderId="47" xfId="0" applyNumberFormat="1" applyFont="1" applyFill="1" applyBorder="1" applyAlignment="1">
      <alignment horizontal="right" vertical="center" wrapText="1" indent="1"/>
    </xf>
    <xf numFmtId="0" fontId="28" fillId="55" borderId="47" xfId="0" applyFont="1" applyFill="1" applyBorder="1" applyAlignment="1">
      <alignment horizontal="center" vertical="center" wrapText="1"/>
    </xf>
    <xf numFmtId="6" fontId="67" fillId="56" borderId="47" xfId="0" applyNumberFormat="1" applyFont="1" applyFill="1" applyBorder="1" applyAlignment="1">
      <alignment horizontal="left" vertical="center" wrapText="1" indent="1"/>
    </xf>
    <xf numFmtId="169" fontId="67" fillId="56" borderId="47" xfId="0" applyNumberFormat="1" applyFont="1" applyFill="1" applyBorder="1" applyAlignment="1">
      <alignment horizontal="left" vertical="center" wrapText="1" indent="1"/>
    </xf>
    <xf numFmtId="6" fontId="67" fillId="57" borderId="47" xfId="0" applyNumberFormat="1" applyFont="1" applyFill="1" applyBorder="1" applyAlignment="1">
      <alignment horizontal="left" vertical="center" wrapText="1" indent="1"/>
    </xf>
    <xf numFmtId="0" fontId="21" fillId="0" borderId="48" xfId="0" applyFont="1" applyBorder="1"/>
    <xf numFmtId="0" fontId="21" fillId="0" borderId="49" xfId="0" applyFont="1" applyBorder="1" applyAlignment="1">
      <alignment horizontal="center"/>
    </xf>
    <xf numFmtId="167" fontId="21" fillId="0" borderId="49" xfId="9" applyFont="1" applyBorder="1"/>
    <xf numFmtId="167" fontId="21" fillId="0" borderId="50" xfId="9" applyFont="1" applyBorder="1"/>
    <xf numFmtId="0" fontId="68" fillId="0" borderId="48" xfId="0" applyFont="1" applyBorder="1"/>
    <xf numFmtId="0" fontId="68" fillId="0" borderId="49" xfId="0" applyFont="1" applyBorder="1" applyAlignment="1">
      <alignment horizontal="center"/>
    </xf>
    <xf numFmtId="167" fontId="68" fillId="0" borderId="49" xfId="9" applyFont="1" applyBorder="1"/>
    <xf numFmtId="167" fontId="68" fillId="0" borderId="50" xfId="9" applyFont="1" applyBorder="1"/>
    <xf numFmtId="3" fontId="6" fillId="0" borderId="29" xfId="0" applyNumberFormat="1" applyFont="1" applyBorder="1" applyAlignment="1">
      <alignment horizontal="center" vertical="center"/>
    </xf>
    <xf numFmtId="10" fontId="6" fillId="0" borderId="29" xfId="7" applyNumberFormat="1" applyFont="1" applyBorder="1" applyAlignment="1">
      <alignment horizontal="center" vertical="center"/>
    </xf>
    <xf numFmtId="170" fontId="60" fillId="0" borderId="1" xfId="13" applyNumberFormat="1" applyFont="1" applyBorder="1" applyAlignment="1">
      <alignment vertical="center"/>
    </xf>
    <xf numFmtId="0" fontId="72" fillId="0" borderId="1" xfId="10" applyFont="1" applyBorder="1" applyAlignment="1">
      <alignment vertical="center"/>
    </xf>
    <xf numFmtId="0" fontId="8" fillId="8" borderId="0" xfId="11" applyFont="1" applyFill="1"/>
    <xf numFmtId="175" fontId="8" fillId="0" borderId="0" xfId="13" applyNumberFormat="1" applyFont="1" applyFill="1" applyBorder="1"/>
    <xf numFmtId="170" fontId="25" fillId="0" borderId="0" xfId="11" applyNumberFormat="1" applyFont="1"/>
    <xf numFmtId="10" fontId="25" fillId="0" borderId="0" xfId="12" applyNumberFormat="1" applyFont="1" applyBorder="1"/>
    <xf numFmtId="170" fontId="16" fillId="5" borderId="1" xfId="11" applyNumberFormat="1" applyFont="1" applyFill="1" applyBorder="1"/>
    <xf numFmtId="170" fontId="65" fillId="54" borderId="1" xfId="9" applyNumberFormat="1" applyFont="1" applyFill="1" applyBorder="1" applyAlignment="1">
      <alignment vertical="center"/>
    </xf>
    <xf numFmtId="0" fontId="73" fillId="0" borderId="0" xfId="11" applyFont="1"/>
    <xf numFmtId="170" fontId="71" fillId="0" borderId="0" xfId="11" applyNumberFormat="1" applyFont="1"/>
    <xf numFmtId="169" fontId="8" fillId="0" borderId="1" xfId="7" applyNumberFormat="1" applyFont="1" applyFill="1" applyBorder="1"/>
    <xf numFmtId="170" fontId="8" fillId="0" borderId="1" xfId="11" applyNumberFormat="1" applyFont="1" applyBorder="1"/>
    <xf numFmtId="180" fontId="71" fillId="0" borderId="1" xfId="7" applyNumberFormat="1" applyFont="1" applyFill="1" applyBorder="1"/>
    <xf numFmtId="177" fontId="0" fillId="0" borderId="0" xfId="11" applyNumberFormat="1" applyFont="1"/>
    <xf numFmtId="10" fontId="67" fillId="56" borderId="47" xfId="0" applyNumberFormat="1" applyFont="1" applyFill="1" applyBorder="1" applyAlignment="1">
      <alignment horizontal="left" vertical="center" wrapText="1" indent="1"/>
    </xf>
    <xf numFmtId="10" fontId="67" fillId="57" borderId="47" xfId="0" applyNumberFormat="1" applyFont="1" applyFill="1" applyBorder="1" applyAlignment="1">
      <alignment horizontal="left" vertical="center" wrapText="1" indent="1"/>
    </xf>
    <xf numFmtId="0" fontId="18" fillId="5" borderId="1" xfId="11" applyFont="1" applyFill="1" applyBorder="1" applyAlignment="1">
      <alignment horizontal="center"/>
    </xf>
    <xf numFmtId="0" fontId="18" fillId="2" borderId="1" xfId="11" applyFont="1" applyFill="1" applyBorder="1" applyAlignment="1">
      <alignment horizontal="center"/>
    </xf>
    <xf numFmtId="0" fontId="6" fillId="0" borderId="0" xfId="0" applyFont="1"/>
    <xf numFmtId="0" fontId="1" fillId="0" borderId="0" xfId="0" applyFont="1" applyAlignment="1">
      <alignment horizontal="center"/>
    </xf>
    <xf numFmtId="0" fontId="1" fillId="0" borderId="0" xfId="0" applyFont="1"/>
    <xf numFmtId="195" fontId="1" fillId="0" borderId="0" xfId="426" applyFont="1"/>
    <xf numFmtId="0" fontId="1" fillId="0" borderId="0" xfId="0" applyFont="1" applyAlignment="1">
      <alignment horizontal="right"/>
    </xf>
    <xf numFmtId="0" fontId="6" fillId="0" borderId="51" xfId="0" applyFont="1" applyBorder="1"/>
    <xf numFmtId="195" fontId="6" fillId="0" borderId="51" xfId="426" applyFont="1" applyBorder="1" applyAlignment="1">
      <alignment horizontal="center"/>
    </xf>
    <xf numFmtId="0" fontId="6" fillId="0" borderId="52" xfId="0" applyFont="1" applyBorder="1"/>
    <xf numFmtId="168" fontId="1" fillId="0" borderId="0" xfId="0" applyNumberFormat="1" applyFont="1"/>
    <xf numFmtId="0" fontId="6" fillId="59" borderId="0" xfId="0" applyFont="1" applyFill="1" applyAlignment="1">
      <alignment horizontal="center"/>
    </xf>
    <xf numFmtId="212" fontId="1" fillId="0" borderId="0" xfId="739" applyNumberFormat="1" applyFont="1"/>
    <xf numFmtId="0" fontId="6" fillId="0" borderId="0" xfId="0" applyFont="1" applyAlignment="1">
      <alignment horizontal="center"/>
    </xf>
    <xf numFmtId="0" fontId="1" fillId="60" borderId="0" xfId="0" applyFont="1" applyFill="1" applyAlignment="1">
      <alignment horizontal="center"/>
    </xf>
    <xf numFmtId="2" fontId="6" fillId="3" borderId="54" xfId="0" applyNumberFormat="1" applyFont="1" applyFill="1" applyBorder="1"/>
    <xf numFmtId="213" fontId="6" fillId="3" borderId="55" xfId="0" applyNumberFormat="1" applyFont="1" applyFill="1" applyBorder="1"/>
    <xf numFmtId="2" fontId="6" fillId="60" borderId="54" xfId="0" applyNumberFormat="1" applyFont="1" applyFill="1" applyBorder="1"/>
    <xf numFmtId="213" fontId="6" fillId="60" borderId="55" xfId="0" applyNumberFormat="1" applyFont="1" applyFill="1" applyBorder="1"/>
    <xf numFmtId="0" fontId="6" fillId="3" borderId="54" xfId="0" applyFont="1" applyFill="1" applyBorder="1"/>
    <xf numFmtId="0" fontId="6" fillId="3" borderId="55" xfId="0" applyFont="1" applyFill="1" applyBorder="1" applyAlignment="1">
      <alignment horizontal="center"/>
    </xf>
    <xf numFmtId="0" fontId="6" fillId="3" borderId="51" xfId="0" applyFont="1" applyFill="1" applyBorder="1"/>
    <xf numFmtId="0" fontId="6" fillId="3" borderId="51" xfId="0" applyFont="1" applyFill="1" applyBorder="1" applyAlignment="1">
      <alignment horizontal="center"/>
    </xf>
    <xf numFmtId="0" fontId="1" fillId="3" borderId="51" xfId="0" applyFont="1" applyFill="1" applyBorder="1"/>
    <xf numFmtId="0" fontId="1" fillId="60" borderId="51" xfId="0" applyFont="1" applyFill="1" applyBorder="1"/>
    <xf numFmtId="0" fontId="6" fillId="60" borderId="51" xfId="0" applyFont="1" applyFill="1" applyBorder="1" applyAlignment="1">
      <alignment horizontal="center"/>
    </xf>
    <xf numFmtId="0" fontId="1" fillId="0" borderId="51" xfId="0" applyFont="1" applyBorder="1"/>
    <xf numFmtId="0" fontId="1" fillId="0" borderId="51" xfId="0" applyFont="1" applyBorder="1" applyAlignment="1">
      <alignment horizontal="center"/>
    </xf>
    <xf numFmtId="195" fontId="1" fillId="0" borderId="51" xfId="426" applyFont="1" applyFill="1" applyBorder="1"/>
    <xf numFmtId="195" fontId="1" fillId="0" borderId="51" xfId="426" applyFont="1" applyFill="1" applyBorder="1" applyAlignment="1"/>
    <xf numFmtId="195" fontId="1" fillId="0" borderId="51" xfId="426" applyFont="1" applyBorder="1" applyAlignment="1">
      <alignment horizontal="center"/>
    </xf>
    <xf numFmtId="9" fontId="1" fillId="0" borderId="51" xfId="0" applyNumberFormat="1" applyFont="1" applyBorder="1" applyAlignment="1">
      <alignment horizontal="center"/>
    </xf>
    <xf numFmtId="10" fontId="1" fillId="0" borderId="51" xfId="0" applyNumberFormat="1" applyFont="1" applyBorder="1" applyAlignment="1">
      <alignment horizontal="center"/>
    </xf>
    <xf numFmtId="195" fontId="6" fillId="0" borderId="51" xfId="426" applyFont="1" applyFill="1" applyBorder="1"/>
    <xf numFmtId="0" fontId="6" fillId="60" borderId="51" xfId="0" applyFont="1" applyFill="1" applyBorder="1"/>
    <xf numFmtId="10" fontId="1" fillId="0" borderId="51" xfId="7" applyNumberFormat="1" applyFont="1" applyBorder="1" applyAlignment="1">
      <alignment horizontal="center"/>
    </xf>
    <xf numFmtId="10" fontId="1" fillId="0" borderId="51" xfId="7" applyNumberFormat="1" applyFont="1" applyFill="1" applyBorder="1" applyAlignment="1">
      <alignment horizontal="center"/>
    </xf>
    <xf numFmtId="214" fontId="1" fillId="5" borderId="51" xfId="0" applyNumberFormat="1" applyFont="1" applyFill="1" applyBorder="1" applyAlignment="1">
      <alignment horizontal="center"/>
    </xf>
    <xf numFmtId="9" fontId="1" fillId="5" borderId="51" xfId="0" applyNumberFormat="1" applyFont="1" applyFill="1" applyBorder="1" applyAlignment="1">
      <alignment horizontal="center"/>
    </xf>
    <xf numFmtId="10" fontId="1" fillId="0" borderId="51" xfId="7" applyNumberFormat="1" applyFont="1" applyFill="1" applyBorder="1"/>
    <xf numFmtId="195" fontId="1" fillId="0" borderId="51" xfId="426" applyFont="1" applyBorder="1" applyAlignment="1">
      <alignment horizontal="center" vertical="center"/>
    </xf>
    <xf numFmtId="195" fontId="1" fillId="61" borderId="51" xfId="426" applyFont="1" applyFill="1" applyBorder="1"/>
    <xf numFmtId="0" fontId="6" fillId="5" borderId="51" xfId="0" applyFont="1" applyFill="1" applyBorder="1"/>
    <xf numFmtId="0" fontId="1" fillId="5" borderId="51" xfId="0" applyFont="1" applyFill="1" applyBorder="1" applyAlignment="1">
      <alignment horizontal="center"/>
    </xf>
    <xf numFmtId="168" fontId="6" fillId="5" borderId="51" xfId="0" applyNumberFormat="1" applyFont="1" applyFill="1" applyBorder="1"/>
    <xf numFmtId="9" fontId="6" fillId="5" borderId="51" xfId="0" applyNumberFormat="1" applyFont="1" applyFill="1" applyBorder="1" applyAlignment="1">
      <alignment horizontal="center"/>
    </xf>
    <xf numFmtId="9" fontId="6" fillId="5" borderId="51" xfId="0" applyNumberFormat="1" applyFont="1" applyFill="1" applyBorder="1"/>
    <xf numFmtId="0" fontId="1" fillId="5" borderId="0" xfId="0" applyFont="1" applyFill="1"/>
    <xf numFmtId="0" fontId="6" fillId="3" borderId="56" xfId="0" applyFont="1" applyFill="1" applyBorder="1"/>
    <xf numFmtId="0" fontId="6" fillId="60" borderId="54" xfId="0" applyFont="1" applyFill="1" applyBorder="1"/>
    <xf numFmtId="0" fontId="6" fillId="60" borderId="56" xfId="0" applyFont="1" applyFill="1" applyBorder="1"/>
    <xf numFmtId="2" fontId="6" fillId="60" borderId="5" xfId="0" applyNumberFormat="1" applyFont="1" applyFill="1" applyBorder="1"/>
    <xf numFmtId="213" fontId="6" fillId="60" borderId="57" xfId="0" applyNumberFormat="1" applyFont="1" applyFill="1" applyBorder="1"/>
    <xf numFmtId="0" fontId="6" fillId="60" borderId="56" xfId="0" applyFont="1" applyFill="1" applyBorder="1" applyAlignment="1">
      <alignment horizontal="center"/>
    </xf>
    <xf numFmtId="215" fontId="1" fillId="0" borderId="0" xfId="426" applyNumberFormat="1" applyFont="1"/>
    <xf numFmtId="0" fontId="1" fillId="0" borderId="0" xfId="0" applyFont="1" applyAlignment="1">
      <alignment horizontal="left" vertical="center" wrapText="1"/>
    </xf>
    <xf numFmtId="169" fontId="1" fillId="0" borderId="0" xfId="7" applyNumberFormat="1" applyFont="1"/>
    <xf numFmtId="0" fontId="75" fillId="0" borderId="0" xfId="11" applyFont="1" applyAlignment="1">
      <alignment horizontal="left" vertical="center"/>
    </xf>
    <xf numFmtId="177" fontId="59" fillId="8" borderId="51" xfId="3744" applyNumberFormat="1" applyFont="1" applyFill="1" applyBorder="1" applyAlignment="1">
      <alignment vertical="center" wrapText="1"/>
    </xf>
    <xf numFmtId="0" fontId="75" fillId="0" borderId="60" xfId="11" applyFont="1" applyBorder="1" applyAlignment="1">
      <alignment vertical="center" wrapText="1"/>
    </xf>
    <xf numFmtId="0" fontId="75" fillId="0" borderId="0" xfId="11" applyFont="1" applyAlignment="1">
      <alignment vertical="center" wrapText="1"/>
    </xf>
    <xf numFmtId="0" fontId="59" fillId="0" borderId="51" xfId="3737" applyNumberFormat="1" applyFont="1" applyFill="1" applyBorder="1" applyAlignment="1">
      <alignment horizontal="center" vertical="center" wrapText="1"/>
    </xf>
    <xf numFmtId="0" fontId="76" fillId="0" borderId="0" xfId="10" applyFont="1" applyAlignment="1">
      <alignment horizontal="center" vertical="center"/>
    </xf>
    <xf numFmtId="0" fontId="1" fillId="0" borderId="0" xfId="3746"/>
    <xf numFmtId="0" fontId="19" fillId="0" borderId="0" xfId="3234"/>
    <xf numFmtId="0" fontId="16" fillId="0" borderId="0" xfId="3745" applyFont="1" applyAlignment="1">
      <alignment vertical="top" wrapText="1"/>
    </xf>
    <xf numFmtId="0" fontId="17" fillId="0" borderId="0" xfId="3745" applyFont="1" applyAlignment="1">
      <alignment vertical="top" wrapText="1"/>
    </xf>
    <xf numFmtId="3" fontId="16" fillId="0" borderId="0" xfId="3745" applyNumberFormat="1" applyFont="1" applyAlignment="1">
      <alignment horizontal="center" vertical="center" wrapText="1"/>
    </xf>
    <xf numFmtId="0" fontId="16" fillId="0" borderId="51" xfId="3745" applyFont="1" applyBorder="1" applyAlignment="1">
      <alignment vertical="top" wrapText="1"/>
    </xf>
    <xf numFmtId="173" fontId="16" fillId="0" borderId="51" xfId="3745" applyNumberFormat="1" applyFont="1" applyBorder="1" applyAlignment="1">
      <alignment horizontal="center" vertical="top" wrapText="1"/>
    </xf>
    <xf numFmtId="173" fontId="16" fillId="0" borderId="51" xfId="3745" applyNumberFormat="1" applyFont="1" applyBorder="1" applyAlignment="1">
      <alignment horizontal="center" vertical="center" wrapText="1"/>
    </xf>
    <xf numFmtId="9" fontId="16" fillId="0" borderId="51" xfId="3745" applyNumberFormat="1" applyFont="1" applyBorder="1" applyAlignment="1">
      <alignment horizontal="center" vertical="top" wrapText="1"/>
    </xf>
    <xf numFmtId="0" fontId="18" fillId="0" borderId="51" xfId="3745" applyFont="1" applyBorder="1" applyAlignment="1">
      <alignment horizontal="center" vertical="top" wrapText="1"/>
    </xf>
    <xf numFmtId="0" fontId="16" fillId="0" borderId="51" xfId="3745" applyFont="1" applyBorder="1" applyAlignment="1">
      <alignment vertical="center" wrapText="1"/>
    </xf>
    <xf numFmtId="9" fontId="16" fillId="0" borderId="51" xfId="3745" applyNumberFormat="1" applyFont="1" applyBorder="1" applyAlignment="1">
      <alignment horizontal="center" vertical="center" wrapText="1"/>
    </xf>
    <xf numFmtId="0" fontId="16" fillId="0" borderId="51" xfId="3745" applyFont="1" applyBorder="1" applyAlignment="1">
      <alignment horizontal="center" vertical="center" wrapText="1"/>
    </xf>
    <xf numFmtId="3" fontId="16" fillId="0" borderId="51" xfId="3745" applyNumberFormat="1" applyFont="1" applyBorder="1" applyAlignment="1">
      <alignment horizontal="center" vertical="center" wrapText="1"/>
    </xf>
    <xf numFmtId="10" fontId="12" fillId="0" borderId="51" xfId="3745" applyNumberFormat="1" applyFont="1" applyBorder="1" applyAlignment="1">
      <alignment horizontal="center" vertical="center" wrapText="1"/>
    </xf>
    <xf numFmtId="184" fontId="16" fillId="0" borderId="51" xfId="741" applyFont="1" applyBorder="1" applyAlignment="1">
      <alignment horizontal="center" vertical="center" wrapText="1"/>
    </xf>
    <xf numFmtId="10" fontId="16" fillId="0" borderId="51" xfId="3745" applyNumberFormat="1" applyFont="1" applyBorder="1" applyAlignment="1">
      <alignment horizontal="center" vertical="center" wrapText="1"/>
    </xf>
    <xf numFmtId="9" fontId="18" fillId="0" borderId="51" xfId="3745" applyNumberFormat="1" applyFont="1" applyBorder="1" applyAlignment="1">
      <alignment horizontal="center" vertical="center" wrapText="1"/>
    </xf>
    <xf numFmtId="0" fontId="18" fillId="0" borderId="51" xfId="3745" applyFont="1" applyBorder="1" applyAlignment="1">
      <alignment horizontal="center" vertical="center" wrapText="1"/>
    </xf>
    <xf numFmtId="3" fontId="18" fillId="0" borderId="51" xfId="3745" applyNumberFormat="1" applyFont="1" applyBorder="1" applyAlignment="1">
      <alignment horizontal="center" vertical="center" wrapText="1"/>
    </xf>
    <xf numFmtId="177" fontId="16" fillId="0" borderId="51" xfId="741" applyNumberFormat="1" applyFont="1" applyBorder="1" applyAlignment="1">
      <alignment horizontal="center" vertical="center" wrapText="1"/>
    </xf>
    <xf numFmtId="184" fontId="18" fillId="0" borderId="51" xfId="741" applyFont="1" applyBorder="1" applyAlignment="1">
      <alignment horizontal="center" vertical="center" wrapText="1"/>
    </xf>
    <xf numFmtId="9" fontId="16" fillId="0" borderId="0" xfId="3745" applyNumberFormat="1" applyFont="1" applyAlignment="1">
      <alignment horizontal="center" vertical="top" wrapText="1"/>
    </xf>
    <xf numFmtId="0" fontId="16" fillId="0" borderId="0" xfId="3745" applyFont="1" applyAlignment="1">
      <alignment horizontal="center" vertical="top" wrapText="1"/>
    </xf>
    <xf numFmtId="3" fontId="16" fillId="0" borderId="0" xfId="3745" applyNumberFormat="1" applyFont="1" applyAlignment="1">
      <alignment horizontal="center" vertical="top" wrapText="1"/>
    </xf>
    <xf numFmtId="173" fontId="16" fillId="0" borderId="0" xfId="3745" applyNumberFormat="1" applyFont="1" applyAlignment="1">
      <alignment horizontal="center" vertical="top" wrapText="1"/>
    </xf>
    <xf numFmtId="10" fontId="16" fillId="0" borderId="0" xfId="3745" applyNumberFormat="1" applyFont="1" applyAlignment="1">
      <alignment horizontal="center" vertical="top" wrapText="1"/>
    </xf>
    <xf numFmtId="184" fontId="16" fillId="0" borderId="0" xfId="741" applyFont="1" applyBorder="1" applyAlignment="1">
      <alignment horizontal="center" vertical="top" wrapText="1"/>
    </xf>
    <xf numFmtId="184" fontId="18" fillId="58" borderId="51" xfId="741" applyFont="1" applyFill="1" applyBorder="1" applyAlignment="1">
      <alignment horizontal="center" vertical="center" wrapText="1"/>
    </xf>
    <xf numFmtId="169" fontId="1" fillId="0" borderId="51" xfId="12" applyNumberFormat="1" applyFont="1" applyBorder="1" applyAlignment="1">
      <alignment horizontal="center" vertical="center"/>
    </xf>
    <xf numFmtId="0" fontId="77" fillId="0" borderId="0" xfId="0" applyFont="1" applyAlignment="1">
      <alignment horizontal="justify" vertical="center" wrapText="1"/>
    </xf>
    <xf numFmtId="195" fontId="0" fillId="0" borderId="0" xfId="426" applyFont="1"/>
    <xf numFmtId="0" fontId="9" fillId="0" borderId="0" xfId="3745" applyFont="1" applyAlignment="1">
      <alignment horizontal="center" vertical="top" wrapText="1"/>
    </xf>
    <xf numFmtId="0" fontId="12" fillId="0" borderId="0" xfId="3746" applyFont="1"/>
    <xf numFmtId="0" fontId="3" fillId="0" borderId="0" xfId="3745" applyFont="1"/>
    <xf numFmtId="0" fontId="28" fillId="0" borderId="51" xfId="10" applyFont="1" applyBorder="1" applyAlignment="1">
      <alignment vertical="center"/>
    </xf>
    <xf numFmtId="0" fontId="28" fillId="0" borderId="51" xfId="10" applyFont="1" applyBorder="1" applyAlignment="1">
      <alignment horizontal="center" vertical="center" wrapText="1"/>
    </xf>
    <xf numFmtId="177" fontId="6" fillId="0" borderId="51" xfId="14" applyNumberFormat="1" applyFont="1" applyBorder="1" applyAlignment="1">
      <alignment horizontal="center" vertical="center" wrapText="1"/>
    </xf>
    <xf numFmtId="0" fontId="8" fillId="0" borderId="0" xfId="3745" applyFont="1"/>
    <xf numFmtId="0" fontId="19" fillId="0" borderId="0" xfId="3745" applyFont="1"/>
    <xf numFmtId="0" fontId="21" fillId="0" borderId="51" xfId="10" applyFont="1" applyBorder="1" applyAlignment="1">
      <alignment horizontal="left" vertical="center" wrapText="1"/>
    </xf>
    <xf numFmtId="0" fontId="21" fillId="0" borderId="51" xfId="10" applyFont="1" applyBorder="1" applyAlignment="1">
      <alignment horizontal="center" vertical="center" wrapText="1"/>
    </xf>
    <xf numFmtId="168" fontId="1" fillId="0" borderId="51" xfId="13" applyNumberFormat="1" applyFont="1" applyBorder="1" applyAlignment="1">
      <alignment horizontal="center" vertical="center"/>
    </xf>
    <xf numFmtId="168" fontId="78" fillId="0" borderId="51" xfId="13" applyNumberFormat="1" applyFont="1" applyBorder="1" applyAlignment="1">
      <alignment horizontal="center" vertical="center"/>
    </xf>
    <xf numFmtId="168" fontId="1" fillId="0" borderId="51" xfId="13" applyNumberFormat="1" applyBorder="1" applyAlignment="1">
      <alignment vertical="center"/>
    </xf>
    <xf numFmtId="168" fontId="1" fillId="0" borderId="51" xfId="13" applyNumberFormat="1" applyBorder="1" applyAlignment="1">
      <alignment horizontal="left" vertical="center" wrapText="1"/>
    </xf>
    <xf numFmtId="0" fontId="1" fillId="0" borderId="51" xfId="0" applyFont="1" applyBorder="1" applyAlignment="1">
      <alignment vertical="center" wrapText="1"/>
    </xf>
    <xf numFmtId="0" fontId="1" fillId="0" borderId="51" xfId="3745" applyBorder="1" applyAlignment="1">
      <alignment horizontal="justify" vertical="center" wrapText="1"/>
    </xf>
    <xf numFmtId="0" fontId="1" fillId="0" borderId="51" xfId="3745" applyBorder="1" applyAlignment="1">
      <alignment horizontal="center" vertical="center" wrapText="1"/>
    </xf>
    <xf numFmtId="169" fontId="1" fillId="0" borderId="51" xfId="12" applyNumberFormat="1" applyFont="1" applyBorder="1" applyAlignment="1">
      <alignment horizontal="left" vertical="center"/>
    </xf>
    <xf numFmtId="168" fontId="1" fillId="0" borderId="51" xfId="13" applyNumberFormat="1" applyBorder="1" applyAlignment="1">
      <alignment horizontal="center" vertical="center"/>
    </xf>
    <xf numFmtId="49" fontId="12" fillId="0" borderId="0" xfId="3748" applyNumberFormat="1" applyFont="1" applyAlignment="1">
      <alignment horizontal="center" vertical="center"/>
    </xf>
    <xf numFmtId="0" fontId="12" fillId="0" borderId="0" xfId="3748" applyFont="1" applyAlignment="1" applyProtection="1">
      <alignment vertical="center"/>
      <protection locked="0"/>
    </xf>
    <xf numFmtId="173" fontId="12" fillId="0" borderId="0" xfId="3748" applyNumberFormat="1" applyFont="1" applyAlignment="1">
      <alignment horizontal="center" vertical="center"/>
    </xf>
    <xf numFmtId="4" fontId="1" fillId="0" borderId="0" xfId="3748" applyNumberFormat="1" applyAlignment="1">
      <alignment horizontal="center" vertical="center"/>
    </xf>
    <xf numFmtId="175" fontId="8" fillId="0" borderId="0" xfId="3745" applyNumberFormat="1" applyFont="1"/>
    <xf numFmtId="0" fontId="12" fillId="0" borderId="0" xfId="3748" applyFont="1" applyAlignment="1">
      <alignment vertical="center"/>
    </xf>
    <xf numFmtId="0" fontId="12" fillId="0" borderId="0" xfId="3748" applyFont="1" applyAlignment="1">
      <alignment horizontal="center" vertical="center"/>
    </xf>
    <xf numFmtId="3" fontId="12" fillId="0" borderId="0" xfId="3748" applyNumberFormat="1" applyFont="1" applyAlignment="1">
      <alignment horizontal="right" vertical="center"/>
    </xf>
    <xf numFmtId="4" fontId="12" fillId="0" borderId="0" xfId="3748" applyNumberFormat="1" applyFont="1" applyAlignment="1">
      <alignment horizontal="center" vertical="center"/>
    </xf>
    <xf numFmtId="173" fontId="12" fillId="0" borderId="0" xfId="3748" applyNumberFormat="1" applyFont="1" applyAlignment="1">
      <alignment horizontal="right" vertical="center"/>
    </xf>
    <xf numFmtId="4" fontId="12" fillId="0" borderId="0" xfId="3748" applyNumberFormat="1" applyFont="1" applyAlignment="1" applyProtection="1">
      <alignment horizontal="left" vertical="center"/>
      <protection locked="0"/>
    </xf>
    <xf numFmtId="216" fontId="1" fillId="0" borderId="0" xfId="3748" applyNumberFormat="1" applyAlignment="1" applyProtection="1">
      <alignment horizontal="center" vertical="center"/>
      <protection locked="0"/>
    </xf>
    <xf numFmtId="0" fontId="6" fillId="0" borderId="0" xfId="3746" applyFont="1"/>
    <xf numFmtId="0" fontId="79" fillId="63" borderId="62" xfId="0" applyFont="1" applyFill="1" applyBorder="1" applyAlignment="1">
      <alignment vertical="center"/>
    </xf>
    <xf numFmtId="0" fontId="79" fillId="63" borderId="63" xfId="0" applyFont="1" applyFill="1" applyBorder="1" applyAlignment="1">
      <alignment vertical="center"/>
    </xf>
    <xf numFmtId="0" fontId="79" fillId="63" borderId="64" xfId="0" applyFont="1" applyFill="1" applyBorder="1" applyAlignment="1">
      <alignment vertical="center"/>
    </xf>
    <xf numFmtId="2" fontId="68" fillId="64" borderId="65" xfId="0" applyNumberFormat="1" applyFont="1" applyFill="1" applyBorder="1" applyAlignment="1">
      <alignment vertical="center" wrapText="1"/>
    </xf>
    <xf numFmtId="2" fontId="68" fillId="64" borderId="63" xfId="0" applyNumberFormat="1" applyFont="1" applyFill="1" applyBorder="1" applyAlignment="1">
      <alignment vertical="center" wrapText="1"/>
    </xf>
    <xf numFmtId="2" fontId="68" fillId="64" borderId="64" xfId="0" applyNumberFormat="1" applyFont="1" applyFill="1" applyBorder="1" applyAlignment="1">
      <alignment horizontal="center" vertical="center" wrapText="1"/>
    </xf>
    <xf numFmtId="2" fontId="68" fillId="65" borderId="64" xfId="0" applyNumberFormat="1" applyFont="1" applyFill="1" applyBorder="1" applyAlignment="1">
      <alignment horizontal="center" vertical="center" wrapText="1"/>
    </xf>
    <xf numFmtId="2" fontId="68" fillId="64" borderId="66" xfId="0" applyNumberFormat="1" applyFont="1" applyFill="1" applyBorder="1" applyAlignment="1">
      <alignment horizontal="center" vertical="center"/>
    </xf>
    <xf numFmtId="217" fontId="21" fillId="64" borderId="66" xfId="0" applyNumberFormat="1" applyFont="1" applyFill="1" applyBorder="1"/>
    <xf numFmtId="0" fontId="21" fillId="66" borderId="64" xfId="0" applyFont="1" applyFill="1" applyBorder="1" applyAlignment="1" applyProtection="1">
      <alignment horizontal="center"/>
      <protection locked="0"/>
    </xf>
    <xf numFmtId="10" fontId="21" fillId="64" borderId="66" xfId="3737" applyNumberFormat="1" applyFont="1" applyFill="1" applyBorder="1" applyAlignment="1">
      <alignment horizontal="center"/>
    </xf>
    <xf numFmtId="2" fontId="21" fillId="64" borderId="67" xfId="0" applyNumberFormat="1" applyFont="1" applyFill="1" applyBorder="1" applyAlignment="1" applyProtection="1">
      <alignment horizontal="center"/>
      <protection hidden="1"/>
    </xf>
    <xf numFmtId="0" fontId="6" fillId="0" borderId="68" xfId="3746" applyFont="1" applyBorder="1"/>
    <xf numFmtId="0" fontId="6" fillId="0" borderId="69" xfId="3746" applyFont="1" applyBorder="1"/>
    <xf numFmtId="169" fontId="3" fillId="0" borderId="0" xfId="3745" applyNumberFormat="1" applyFont="1"/>
    <xf numFmtId="0" fontId="79" fillId="63" borderId="65" xfId="0" applyFont="1" applyFill="1" applyBorder="1" applyAlignment="1">
      <alignment vertical="center"/>
    </xf>
    <xf numFmtId="0" fontId="79" fillId="63" borderId="70" xfId="0" applyFont="1" applyFill="1" applyBorder="1" applyAlignment="1">
      <alignment vertical="center"/>
    </xf>
    <xf numFmtId="2" fontId="68" fillId="64" borderId="66" xfId="0" applyNumberFormat="1" applyFont="1" applyFill="1" applyBorder="1" applyAlignment="1">
      <alignment horizontal="center" vertical="center" wrapText="1"/>
    </xf>
    <xf numFmtId="42" fontId="21" fillId="64" borderId="71" xfId="3749" applyFont="1" applyFill="1" applyBorder="1" applyAlignment="1" applyProtection="1">
      <protection hidden="1"/>
    </xf>
    <xf numFmtId="42" fontId="21" fillId="64" borderId="67" xfId="3749" applyFont="1" applyFill="1" applyBorder="1" applyAlignment="1" applyProtection="1">
      <alignment horizontal="center"/>
      <protection hidden="1"/>
    </xf>
    <xf numFmtId="207" fontId="6" fillId="0" borderId="48" xfId="4" applyNumberFormat="1" applyFont="1" applyBorder="1" applyAlignment="1">
      <alignment horizontal="right" vertical="center"/>
    </xf>
    <xf numFmtId="2" fontId="6" fillId="0" borderId="28" xfId="12" applyNumberFormat="1" applyFont="1" applyBorder="1" applyAlignment="1">
      <alignment horizontal="center"/>
    </xf>
    <xf numFmtId="2" fontId="63" fillId="0" borderId="51" xfId="12" applyNumberFormat="1" applyFont="1" applyBorder="1" applyAlignment="1">
      <alignment horizontal="center"/>
    </xf>
    <xf numFmtId="169" fontId="6" fillId="0" borderId="20" xfId="12" applyNumberFormat="1" applyFont="1" applyBorder="1" applyAlignment="1">
      <alignment horizontal="center" vertical="center"/>
    </xf>
    <xf numFmtId="0" fontId="0" fillId="0" borderId="51" xfId="0" applyBorder="1"/>
    <xf numFmtId="211" fontId="0" fillId="0" borderId="0" xfId="0" applyNumberFormat="1"/>
    <xf numFmtId="211" fontId="58" fillId="0" borderId="0" xfId="0" applyNumberFormat="1" applyFont="1"/>
    <xf numFmtId="0" fontId="58" fillId="0" borderId="0" xfId="0" applyFont="1"/>
    <xf numFmtId="0" fontId="6" fillId="0" borderId="9" xfId="11" applyFont="1" applyBorder="1" applyAlignment="1">
      <alignment horizontal="right" vertical="center"/>
    </xf>
    <xf numFmtId="169" fontId="1" fillId="0" borderId="10" xfId="12" applyNumberFormat="1" applyFont="1" applyBorder="1" applyAlignment="1">
      <alignment horizontal="center" vertical="center"/>
    </xf>
    <xf numFmtId="177" fontId="27" fillId="0" borderId="1" xfId="14" applyNumberFormat="1" applyFont="1" applyBorder="1" applyAlignment="1">
      <alignment horizontal="center" vertical="center" wrapText="1"/>
    </xf>
    <xf numFmtId="170" fontId="17" fillId="8" borderId="1" xfId="11" applyNumberFormat="1" applyFont="1" applyFill="1" applyBorder="1" applyAlignment="1">
      <alignment horizontal="center" vertical="center" wrapText="1"/>
    </xf>
    <xf numFmtId="175" fontId="8" fillId="0" borderId="0" xfId="13" applyNumberFormat="1" applyFont="1" applyFill="1" applyBorder="1" applyAlignment="1">
      <alignment vertical="center"/>
    </xf>
    <xf numFmtId="0" fontId="18" fillId="5" borderId="1" xfId="11" applyFont="1" applyFill="1" applyBorder="1" applyAlignment="1">
      <alignment horizontal="center" vertical="center"/>
    </xf>
    <xf numFmtId="170" fontId="16" fillId="5" borderId="1" xfId="11" applyNumberFormat="1" applyFont="1" applyFill="1" applyBorder="1" applyAlignment="1">
      <alignment vertical="center"/>
    </xf>
    <xf numFmtId="0" fontId="19" fillId="0" borderId="0" xfId="11" applyFont="1" applyAlignment="1">
      <alignment vertical="center"/>
    </xf>
    <xf numFmtId="0" fontId="8" fillId="0" borderId="0" xfId="11" applyFont="1" applyAlignment="1">
      <alignment vertical="center"/>
    </xf>
    <xf numFmtId="170" fontId="25" fillId="0" borderId="51" xfId="11" applyNumberFormat="1" applyFont="1" applyBorder="1"/>
    <xf numFmtId="0" fontId="0" fillId="0" borderId="51" xfId="11" applyFont="1" applyBorder="1"/>
    <xf numFmtId="170" fontId="10" fillId="0" borderId="51" xfId="11" applyNumberFormat="1" applyFont="1" applyBorder="1" applyAlignment="1">
      <alignment horizontal="justify" vertical="top" wrapText="1"/>
    </xf>
    <xf numFmtId="0" fontId="19" fillId="0" borderId="51" xfId="11" applyFont="1" applyBorder="1"/>
    <xf numFmtId="0" fontId="80" fillId="55" borderId="51" xfId="0" applyFont="1" applyFill="1" applyBorder="1" applyAlignment="1">
      <alignment horizontal="center" vertical="center" wrapText="1"/>
    </xf>
    <xf numFmtId="0" fontId="80" fillId="67" borderId="51" xfId="0" applyFont="1" applyFill="1" applyBorder="1" applyAlignment="1">
      <alignment horizontal="center" vertical="center" wrapText="1"/>
    </xf>
    <xf numFmtId="0" fontId="80" fillId="68" borderId="51" xfId="0" applyFont="1" applyFill="1" applyBorder="1" applyAlignment="1">
      <alignment horizontal="center" vertical="center" wrapText="1"/>
    </xf>
    <xf numFmtId="0" fontId="81" fillId="55" borderId="51" xfId="0" applyFont="1" applyFill="1" applyBorder="1" applyAlignment="1">
      <alignment horizontal="center" vertical="center" wrapText="1"/>
    </xf>
    <xf numFmtId="0" fontId="74" fillId="55" borderId="51" xfId="0" applyFont="1" applyFill="1" applyBorder="1" applyAlignment="1">
      <alignment horizontal="center" vertical="center" wrapText="1"/>
    </xf>
    <xf numFmtId="0" fontId="82" fillId="55" borderId="51" xfId="0" applyFont="1" applyFill="1" applyBorder="1" applyAlignment="1">
      <alignment horizontal="center" vertical="center" wrapText="1"/>
    </xf>
    <xf numFmtId="211" fontId="1" fillId="0" borderId="51" xfId="9" applyNumberFormat="1" applyFont="1" applyFill="1" applyBorder="1" applyAlignment="1">
      <alignment horizontal="center"/>
    </xf>
    <xf numFmtId="211" fontId="1" fillId="0" borderId="51" xfId="12" applyNumberFormat="1" applyFont="1" applyFill="1" applyBorder="1" applyAlignment="1">
      <alignment horizontal="center"/>
    </xf>
    <xf numFmtId="211" fontId="74" fillId="55" borderId="51" xfId="0" applyNumberFormat="1" applyFont="1" applyFill="1" applyBorder="1" applyAlignment="1">
      <alignment horizontal="center" vertical="center" wrapText="1"/>
    </xf>
    <xf numFmtId="0" fontId="1" fillId="0" borderId="51" xfId="10" applyBorder="1" applyAlignment="1">
      <alignment horizontal="left" vertical="center" wrapText="1"/>
    </xf>
    <xf numFmtId="0" fontId="21" fillId="0" borderId="72" xfId="0" applyFont="1" applyBorder="1"/>
    <xf numFmtId="0" fontId="21" fillId="0" borderId="51" xfId="0" applyFont="1" applyBorder="1" applyAlignment="1">
      <alignment horizontal="center"/>
    </xf>
    <xf numFmtId="170" fontId="65" fillId="54" borderId="51" xfId="9" applyNumberFormat="1" applyFont="1" applyFill="1" applyBorder="1" applyAlignment="1">
      <alignment vertical="center"/>
    </xf>
    <xf numFmtId="10" fontId="66" fillId="0" borderId="54" xfId="9" applyNumberFormat="1" applyFont="1" applyBorder="1" applyAlignment="1">
      <alignment vertical="center"/>
    </xf>
    <xf numFmtId="10" fontId="20" fillId="0" borderId="54" xfId="9" applyNumberFormat="1" applyFont="1" applyBorder="1" applyAlignment="1">
      <alignment vertical="center"/>
    </xf>
    <xf numFmtId="10" fontId="1" fillId="0" borderId="54" xfId="9" applyNumberFormat="1" applyFont="1" applyBorder="1" applyAlignment="1">
      <alignment vertical="center"/>
    </xf>
    <xf numFmtId="177" fontId="1" fillId="0" borderId="73" xfId="9" applyNumberFormat="1" applyFont="1" applyBorder="1" applyAlignment="1">
      <alignment vertical="center"/>
    </xf>
    <xf numFmtId="0" fontId="1" fillId="0" borderId="0" xfId="4"/>
    <xf numFmtId="0" fontId="1" fillId="3" borderId="72" xfId="4" applyFill="1" applyBorder="1"/>
    <xf numFmtId="0" fontId="58" fillId="3" borderId="51" xfId="4" applyFont="1" applyFill="1" applyBorder="1" applyAlignment="1">
      <alignment horizontal="center" vertical="center" wrapText="1"/>
    </xf>
    <xf numFmtId="0" fontId="58" fillId="3" borderId="73" xfId="4" applyFont="1" applyFill="1" applyBorder="1" applyAlignment="1">
      <alignment horizontal="center" vertical="center"/>
    </xf>
    <xf numFmtId="0" fontId="84" fillId="69" borderId="72" xfId="4" applyFont="1" applyFill="1" applyBorder="1" applyAlignment="1">
      <alignment horizontal="center" vertical="center"/>
    </xf>
    <xf numFmtId="175" fontId="19" fillId="69" borderId="51" xfId="381" applyNumberFormat="1" applyFont="1" applyFill="1" applyBorder="1" applyAlignment="1">
      <alignment horizontal="right" vertical="center"/>
    </xf>
    <xf numFmtId="175" fontId="19" fillId="69" borderId="73" xfId="381" applyNumberFormat="1" applyFont="1" applyFill="1" applyBorder="1" applyAlignment="1">
      <alignment horizontal="right" vertical="center"/>
    </xf>
    <xf numFmtId="0" fontId="1" fillId="0" borderId="72" xfId="4" applyBorder="1" applyAlignment="1">
      <alignment horizontal="center" vertical="center"/>
    </xf>
    <xf numFmtId="175" fontId="19" fillId="0" borderId="73" xfId="381" applyNumberFormat="1" applyFont="1" applyFill="1" applyBorder="1" applyAlignment="1">
      <alignment horizontal="right" vertical="center"/>
    </xf>
    <xf numFmtId="218" fontId="1" fillId="0" borderId="0" xfId="4" applyNumberFormat="1"/>
    <xf numFmtId="175" fontId="1" fillId="0" borderId="0" xfId="4" applyNumberFormat="1"/>
    <xf numFmtId="0" fontId="21" fillId="0" borderId="0" xfId="4" applyFont="1"/>
    <xf numFmtId="214" fontId="21" fillId="0" borderId="0" xfId="3737" applyNumberFormat="1" applyFont="1"/>
    <xf numFmtId="0" fontId="84" fillId="69" borderId="72" xfId="4" applyFont="1" applyFill="1" applyBorder="1" applyAlignment="1">
      <alignment horizontal="center" vertical="center" wrapText="1"/>
    </xf>
    <xf numFmtId="175" fontId="84" fillId="69" borderId="51" xfId="381" applyNumberFormat="1" applyFont="1" applyFill="1" applyBorder="1" applyAlignment="1">
      <alignment horizontal="right" vertical="center"/>
    </xf>
    <xf numFmtId="175" fontId="21" fillId="0" borderId="0" xfId="4" applyNumberFormat="1" applyFont="1"/>
    <xf numFmtId="9" fontId="21" fillId="0" borderId="0" xfId="3737" applyFont="1"/>
    <xf numFmtId="175" fontId="84" fillId="69" borderId="73" xfId="381" applyNumberFormat="1" applyFont="1" applyFill="1" applyBorder="1" applyAlignment="1">
      <alignment horizontal="right" vertical="center"/>
    </xf>
    <xf numFmtId="168" fontId="21" fillId="0" borderId="0" xfId="4" applyNumberFormat="1" applyFont="1"/>
    <xf numFmtId="205" fontId="21" fillId="0" borderId="0" xfId="680" applyNumberFormat="1" applyFont="1"/>
    <xf numFmtId="175" fontId="19" fillId="0" borderId="51" xfId="381" applyNumberFormat="1" applyFont="1" applyBorder="1" applyAlignment="1">
      <alignment horizontal="right" vertical="center"/>
    </xf>
    <xf numFmtId="196" fontId="58" fillId="3" borderId="51" xfId="381" applyNumberFormat="1" applyFont="1" applyFill="1" applyBorder="1" applyAlignment="1">
      <alignment horizontal="center" vertical="center"/>
    </xf>
    <xf numFmtId="0" fontId="84" fillId="0" borderId="72" xfId="4" applyFont="1" applyBorder="1" applyAlignment="1">
      <alignment horizontal="center" vertical="center"/>
    </xf>
    <xf numFmtId="175" fontId="85" fillId="0" borderId="51" xfId="381" applyNumberFormat="1" applyFont="1" applyFill="1" applyBorder="1" applyAlignment="1">
      <alignment horizontal="right" vertical="center"/>
    </xf>
    <xf numFmtId="175" fontId="85" fillId="0" borderId="73" xfId="381" applyNumberFormat="1" applyFont="1" applyFill="1" applyBorder="1" applyAlignment="1">
      <alignment horizontal="right" vertical="center"/>
    </xf>
    <xf numFmtId="10" fontId="21" fillId="0" borderId="0" xfId="3737" applyNumberFormat="1" applyFont="1" applyFill="1"/>
    <xf numFmtId="218" fontId="21" fillId="0" borderId="0" xfId="4" applyNumberFormat="1" applyFont="1"/>
    <xf numFmtId="0" fontId="58" fillId="70" borderId="72" xfId="4" applyFont="1" applyFill="1" applyBorder="1" applyAlignment="1">
      <alignment horizontal="center" vertical="center"/>
    </xf>
    <xf numFmtId="175" fontId="84" fillId="70" borderId="51" xfId="381" applyNumberFormat="1" applyFont="1" applyFill="1" applyBorder="1" applyAlignment="1">
      <alignment horizontal="right" vertical="center"/>
    </xf>
    <xf numFmtId="0" fontId="58" fillId="0" borderId="72" xfId="4" applyFont="1" applyBorder="1" applyAlignment="1">
      <alignment horizontal="center" vertical="center"/>
    </xf>
    <xf numFmtId="175" fontId="58" fillId="0" borderId="51" xfId="381" applyNumberFormat="1" applyFont="1" applyBorder="1" applyAlignment="1">
      <alignment horizontal="right" vertical="center"/>
    </xf>
    <xf numFmtId="175" fontId="19" fillId="8" borderId="73" xfId="381" applyNumberFormat="1" applyFont="1" applyFill="1" applyBorder="1" applyAlignment="1">
      <alignment horizontal="right" vertical="center"/>
    </xf>
    <xf numFmtId="0" fontId="1" fillId="0" borderId="72" xfId="4" applyBorder="1" applyAlignment="1">
      <alignment horizontal="center" vertical="center" wrapText="1"/>
    </xf>
    <xf numFmtId="9" fontId="21" fillId="0" borderId="0" xfId="3737" applyFont="1" applyFill="1"/>
    <xf numFmtId="10" fontId="1" fillId="0" borderId="0" xfId="7" applyNumberFormat="1" applyFont="1" applyAlignment="1">
      <alignment horizontal="center"/>
    </xf>
    <xf numFmtId="9" fontId="1" fillId="0" borderId="0" xfId="7" applyFont="1" applyAlignment="1">
      <alignment horizontal="center"/>
    </xf>
    <xf numFmtId="167" fontId="1" fillId="0" borderId="51" xfId="9" applyFont="1" applyFill="1" applyBorder="1" applyAlignment="1">
      <alignment horizontal="left" vertical="center"/>
    </xf>
    <xf numFmtId="177" fontId="1" fillId="0" borderId="51" xfId="9" applyNumberFormat="1" applyFont="1" applyFill="1" applyBorder="1" applyAlignment="1">
      <alignment vertical="center"/>
    </xf>
    <xf numFmtId="10" fontId="1" fillId="0" borderId="51" xfId="7" applyNumberFormat="1" applyFont="1" applyFill="1" applyBorder="1" applyAlignment="1">
      <alignment horizontal="right" vertical="center"/>
    </xf>
    <xf numFmtId="177" fontId="1" fillId="0" borderId="51" xfId="9" applyNumberFormat="1" applyFont="1" applyFill="1" applyBorder="1" applyAlignment="1">
      <alignment horizontal="center" vertical="center"/>
    </xf>
    <xf numFmtId="10" fontId="20" fillId="0" borderId="0" xfId="7" applyNumberFormat="1" applyFont="1" applyFill="1" applyAlignment="1">
      <alignment horizontal="center" vertical="center"/>
    </xf>
    <xf numFmtId="196" fontId="1" fillId="0" borderId="0" xfId="4" applyNumberFormat="1" applyAlignment="1">
      <alignment horizontal="center" vertical="center"/>
    </xf>
    <xf numFmtId="177" fontId="1" fillId="0" borderId="51" xfId="4" applyNumberFormat="1" applyBorder="1" applyAlignment="1">
      <alignment horizontal="center" vertical="center"/>
    </xf>
    <xf numFmtId="167" fontId="1" fillId="0" borderId="0" xfId="4" applyNumberFormat="1" applyAlignment="1">
      <alignment horizontal="center" vertical="center"/>
    </xf>
    <xf numFmtId="208" fontId="20" fillId="0" borderId="0" xfId="7" applyNumberFormat="1" applyFont="1" applyFill="1" applyAlignment="1">
      <alignment horizontal="center" vertical="center"/>
    </xf>
    <xf numFmtId="167" fontId="1" fillId="0" borderId="0" xfId="9" applyFont="1" applyFill="1" applyBorder="1" applyAlignment="1">
      <alignment horizontal="left" vertical="center"/>
    </xf>
    <xf numFmtId="177" fontId="1" fillId="0" borderId="0" xfId="9" applyNumberFormat="1" applyFont="1" applyFill="1" applyBorder="1" applyAlignment="1">
      <alignment horizontal="center" vertical="center"/>
    </xf>
    <xf numFmtId="177" fontId="1" fillId="0" borderId="0" xfId="4" applyNumberFormat="1" applyAlignment="1">
      <alignment horizontal="center" vertical="center"/>
    </xf>
    <xf numFmtId="177" fontId="20" fillId="5" borderId="0" xfId="9" applyNumberFormat="1" applyFont="1" applyFill="1" applyAlignment="1">
      <alignment horizontal="left" vertical="center"/>
    </xf>
    <xf numFmtId="10" fontId="20" fillId="5" borderId="0" xfId="7" applyNumberFormat="1" applyFont="1" applyFill="1" applyAlignment="1">
      <alignment vertical="center"/>
    </xf>
    <xf numFmtId="2" fontId="1" fillId="0" borderId="0" xfId="4" applyNumberFormat="1" applyAlignment="1">
      <alignment vertical="center"/>
    </xf>
    <xf numFmtId="177" fontId="1" fillId="0" borderId="0" xfId="9" applyNumberFormat="1" applyFont="1" applyFill="1" applyAlignment="1">
      <alignment vertical="center"/>
    </xf>
    <xf numFmtId="173" fontId="16" fillId="5" borderId="1" xfId="11" applyNumberFormat="1" applyFont="1" applyFill="1" applyBorder="1"/>
    <xf numFmtId="0" fontId="58" fillId="3" borderId="54" xfId="4" applyFont="1" applyFill="1" applyBorder="1" applyAlignment="1">
      <alignment horizontal="center" vertical="center" wrapText="1"/>
    </xf>
    <xf numFmtId="175" fontId="19" fillId="69" borderId="54" xfId="381" applyNumberFormat="1" applyFont="1" applyFill="1" applyBorder="1" applyAlignment="1">
      <alignment horizontal="right" vertical="center"/>
    </xf>
    <xf numFmtId="175" fontId="84" fillId="69" borderId="54" xfId="381" applyNumberFormat="1" applyFont="1" applyFill="1" applyBorder="1" applyAlignment="1">
      <alignment horizontal="right" vertical="center"/>
    </xf>
    <xf numFmtId="175" fontId="19" fillId="0" borderId="54" xfId="381" applyNumberFormat="1" applyFont="1" applyBorder="1" applyAlignment="1">
      <alignment horizontal="right" vertical="center"/>
    </xf>
    <xf numFmtId="175" fontId="58" fillId="0" borderId="54" xfId="381" applyNumberFormat="1" applyFont="1" applyBorder="1" applyAlignment="1">
      <alignment horizontal="right" vertical="center"/>
    </xf>
    <xf numFmtId="219" fontId="85" fillId="0" borderId="54" xfId="381" applyNumberFormat="1" applyFont="1" applyFill="1" applyBorder="1" applyAlignment="1">
      <alignment horizontal="right" vertical="center"/>
    </xf>
    <xf numFmtId="0" fontId="1" fillId="0" borderId="51" xfId="4" applyBorder="1" applyAlignment="1">
      <alignment horizontal="left" vertical="center" wrapText="1"/>
    </xf>
    <xf numFmtId="0" fontId="1" fillId="8" borderId="51" xfId="4" applyFill="1" applyBorder="1" applyAlignment="1">
      <alignment horizontal="center" vertical="center"/>
    </xf>
    <xf numFmtId="0" fontId="6" fillId="0" borderId="72" xfId="11" applyFont="1" applyBorder="1" applyAlignment="1">
      <alignment horizontal="right" vertical="top"/>
    </xf>
    <xf numFmtId="0" fontId="6" fillId="0" borderId="51" xfId="11" applyFont="1" applyBorder="1" applyAlignment="1">
      <alignment horizontal="justify" vertical="center" wrapText="1"/>
    </xf>
    <xf numFmtId="167" fontId="20" fillId="0" borderId="0" xfId="9" applyFont="1" applyFill="1" applyAlignment="1">
      <alignment horizontal="center" vertical="center"/>
    </xf>
    <xf numFmtId="4" fontId="16" fillId="0" borderId="51" xfId="3736" applyNumberFormat="1" applyFont="1" applyBorder="1" applyAlignment="1">
      <alignment horizontal="center" vertical="center" wrapText="1"/>
    </xf>
    <xf numFmtId="4" fontId="12" fillId="0" borderId="51" xfId="3736" applyNumberFormat="1" applyFont="1" applyBorder="1" applyAlignment="1">
      <alignment horizontal="center" vertical="center" wrapText="1"/>
    </xf>
    <xf numFmtId="0" fontId="16" fillId="0" borderId="51" xfId="3736" applyFont="1" applyBorder="1" applyAlignment="1">
      <alignment horizontal="left" vertical="center" wrapText="1"/>
    </xf>
    <xf numFmtId="214" fontId="12" fillId="0" borderId="51" xfId="3735" applyNumberFormat="1" applyFont="1" applyFill="1" applyBorder="1" applyAlignment="1">
      <alignment horizontal="center" vertical="center" wrapText="1"/>
    </xf>
    <xf numFmtId="0" fontId="16" fillId="71" borderId="51" xfId="3736" applyFont="1" applyFill="1" applyBorder="1" applyAlignment="1">
      <alignment horizontal="left" vertical="center" wrapText="1"/>
    </xf>
    <xf numFmtId="169" fontId="12" fillId="0" borderId="51" xfId="3735" applyNumberFormat="1" applyFont="1" applyFill="1" applyBorder="1" applyAlignment="1">
      <alignment horizontal="center" vertical="center" wrapText="1"/>
    </xf>
    <xf numFmtId="214" fontId="12" fillId="54" borderId="51" xfId="3735" applyNumberFormat="1" applyFont="1" applyFill="1" applyBorder="1" applyAlignment="1">
      <alignment horizontal="center" vertical="center" wrapText="1"/>
    </xf>
    <xf numFmtId="0" fontId="83" fillId="3" borderId="43" xfId="4" applyFont="1" applyFill="1" applyBorder="1" applyAlignment="1">
      <alignment horizontal="center" vertical="center" wrapText="1"/>
    </xf>
    <xf numFmtId="0" fontId="83" fillId="3" borderId="46" xfId="4" applyFont="1" applyFill="1" applyBorder="1" applyAlignment="1">
      <alignment horizontal="center" vertical="center" wrapText="1"/>
    </xf>
    <xf numFmtId="0" fontId="83" fillId="3" borderId="74" xfId="4" applyFont="1" applyFill="1" applyBorder="1" applyAlignment="1">
      <alignment horizontal="center" vertical="center" wrapText="1"/>
    </xf>
    <xf numFmtId="0" fontId="12" fillId="0" borderId="0" xfId="4" applyFont="1" applyAlignment="1">
      <alignment horizontal="left" vertical="center" wrapText="1"/>
    </xf>
    <xf numFmtId="0" fontId="2" fillId="0" borderId="17" xfId="4" applyFont="1" applyBorder="1" applyAlignment="1">
      <alignment horizontal="center" vertical="center" wrapText="1"/>
    </xf>
    <xf numFmtId="0" fontId="56" fillId="0" borderId="15" xfId="4" applyFont="1" applyBorder="1" applyAlignment="1">
      <alignment vertical="center" wrapText="1"/>
    </xf>
    <xf numFmtId="0" fontId="56" fillId="0" borderId="18" xfId="4" applyFont="1" applyBorder="1" applyAlignment="1">
      <alignment vertical="center" wrapText="1"/>
    </xf>
    <xf numFmtId="0" fontId="2" fillId="0" borderId="3" xfId="4" applyFont="1" applyBorder="1" applyAlignment="1">
      <alignment horizontal="center" vertical="center" wrapText="1"/>
    </xf>
    <xf numFmtId="0" fontId="56" fillId="0" borderId="0" xfId="4" applyFont="1" applyAlignment="1">
      <alignment vertical="center" wrapText="1"/>
    </xf>
    <xf numFmtId="0" fontId="56" fillId="0" borderId="11" xfId="4" applyFont="1" applyBorder="1" applyAlignment="1">
      <alignment vertical="center" wrapText="1"/>
    </xf>
    <xf numFmtId="0" fontId="4" fillId="0" borderId="3" xfId="4" applyFont="1" applyBorder="1" applyAlignment="1">
      <alignment horizontal="center" vertical="center" wrapText="1"/>
    </xf>
    <xf numFmtId="0" fontId="23" fillId="0" borderId="0" xfId="4" applyFont="1" applyAlignment="1">
      <alignment horizontal="center" vertical="center"/>
    </xf>
    <xf numFmtId="0" fontId="23" fillId="0" borderId="11" xfId="4" applyFont="1" applyBorder="1" applyAlignment="1">
      <alignment horizontal="center" vertical="center"/>
    </xf>
    <xf numFmtId="0" fontId="23" fillId="0" borderId="0" xfId="4" applyFont="1" applyAlignment="1">
      <alignment vertical="center" wrapText="1"/>
    </xf>
    <xf numFmtId="0" fontId="23" fillId="0" borderId="11" xfId="4" applyFont="1" applyBorder="1" applyAlignment="1">
      <alignment vertical="center" wrapText="1"/>
    </xf>
    <xf numFmtId="0" fontId="5" fillId="0" borderId="0" xfId="4" applyFont="1" applyAlignment="1">
      <alignment horizontal="left" vertical="center" wrapText="1"/>
    </xf>
    <xf numFmtId="0" fontId="13" fillId="0" borderId="3" xfId="4" applyFont="1" applyBorder="1" applyAlignment="1">
      <alignment horizontal="center" vertical="center" wrapText="1"/>
    </xf>
    <xf numFmtId="0" fontId="57" fillId="0" borderId="0" xfId="4" applyFont="1" applyAlignment="1">
      <alignment vertical="center" wrapText="1"/>
    </xf>
    <xf numFmtId="0" fontId="57" fillId="0" borderId="11" xfId="4" applyFont="1" applyBorder="1" applyAlignment="1">
      <alignment vertical="center" wrapText="1"/>
    </xf>
    <xf numFmtId="0" fontId="6" fillId="59" borderId="51" xfId="0" applyFont="1" applyFill="1" applyBorder="1" applyAlignment="1">
      <alignment horizontal="center"/>
    </xf>
    <xf numFmtId="0" fontId="1" fillId="3" borderId="51" xfId="0" applyFont="1" applyFill="1" applyBorder="1" applyAlignment="1">
      <alignment horizontal="center"/>
    </xf>
    <xf numFmtId="0" fontId="1" fillId="60" borderId="51" xfId="0" applyFont="1" applyFill="1" applyBorder="1" applyAlignment="1">
      <alignment horizontal="center"/>
    </xf>
    <xf numFmtId="2" fontId="6" fillId="3" borderId="51" xfId="0" applyNumberFormat="1" applyFont="1" applyFill="1" applyBorder="1" applyAlignment="1">
      <alignment horizontal="center" vertical="center" wrapText="1"/>
    </xf>
    <xf numFmtId="0" fontId="6" fillId="3" borderId="51" xfId="0" applyFont="1" applyFill="1" applyBorder="1" applyAlignment="1">
      <alignment horizontal="center" vertical="center" wrapText="1"/>
    </xf>
    <xf numFmtId="0" fontId="6" fillId="60" borderId="51" xfId="0" applyFont="1" applyFill="1" applyBorder="1" applyAlignment="1">
      <alignment horizontal="center" vertical="center" wrapText="1"/>
    </xf>
    <xf numFmtId="0" fontId="1" fillId="0" borderId="0" xfId="0" applyFont="1" applyAlignment="1">
      <alignment horizontal="right"/>
    </xf>
    <xf numFmtId="0" fontId="1" fillId="0" borderId="53" xfId="0" applyFont="1" applyBorder="1" applyAlignment="1">
      <alignment horizontal="right"/>
    </xf>
    <xf numFmtId="177" fontId="6" fillId="3" borderId="54" xfId="739" applyNumberFormat="1" applyFont="1" applyFill="1" applyBorder="1" applyAlignment="1">
      <alignment horizontal="center" vertical="center" wrapText="1"/>
    </xf>
    <xf numFmtId="177" fontId="6" fillId="3" borderId="55" xfId="739" applyNumberFormat="1" applyFont="1" applyFill="1" applyBorder="1" applyAlignment="1">
      <alignment horizontal="center" vertical="center" wrapText="1"/>
    </xf>
    <xf numFmtId="177" fontId="6" fillId="60" borderId="54" xfId="739" applyNumberFormat="1" applyFont="1" applyFill="1" applyBorder="1" applyAlignment="1">
      <alignment horizontal="center" vertical="center" wrapText="1"/>
    </xf>
    <xf numFmtId="177" fontId="6" fillId="60" borderId="55" xfId="739" applyNumberFormat="1" applyFont="1" applyFill="1" applyBorder="1" applyAlignment="1">
      <alignment horizontal="center" vertical="center" wrapText="1"/>
    </xf>
    <xf numFmtId="0" fontId="6" fillId="3" borderId="54" xfId="0" applyFont="1" applyFill="1" applyBorder="1" applyAlignment="1">
      <alignment horizontal="left"/>
    </xf>
    <xf numFmtId="0" fontId="6" fillId="3" borderId="55" xfId="0" applyFont="1" applyFill="1" applyBorder="1" applyAlignment="1">
      <alignment horizontal="left"/>
    </xf>
    <xf numFmtId="0" fontId="6" fillId="0" borderId="54" xfId="0" applyFont="1" applyBorder="1" applyAlignment="1">
      <alignment horizontal="right"/>
    </xf>
    <xf numFmtId="0" fontId="6" fillId="0" borderId="55" xfId="0" applyFont="1" applyBorder="1" applyAlignment="1">
      <alignment horizontal="right"/>
    </xf>
    <xf numFmtId="195" fontId="1" fillId="0" borderId="54" xfId="426" applyFont="1" applyBorder="1" applyAlignment="1">
      <alignment horizontal="right"/>
    </xf>
    <xf numFmtId="195" fontId="1" fillId="0" borderId="55" xfId="426" applyFont="1" applyBorder="1" applyAlignment="1">
      <alignment horizontal="right"/>
    </xf>
    <xf numFmtId="0" fontId="1" fillId="0" borderId="54" xfId="0" applyFont="1" applyBorder="1" applyAlignment="1">
      <alignment horizontal="left"/>
    </xf>
    <xf numFmtId="0" fontId="1" fillId="0" borderId="55" xfId="0" applyFont="1" applyBorder="1" applyAlignment="1">
      <alignment horizontal="left"/>
    </xf>
    <xf numFmtId="195" fontId="1" fillId="0" borderId="58" xfId="426" applyFont="1" applyBorder="1" applyAlignment="1">
      <alignment horizontal="right"/>
    </xf>
    <xf numFmtId="195" fontId="1" fillId="0" borderId="59" xfId="426" applyFont="1" applyBorder="1" applyAlignment="1">
      <alignment horizontal="right"/>
    </xf>
    <xf numFmtId="195" fontId="1" fillId="0" borderId="5" xfId="426" applyFont="1" applyBorder="1" applyAlignment="1">
      <alignment horizontal="right"/>
    </xf>
    <xf numFmtId="195" fontId="1" fillId="0" borderId="57" xfId="426" applyFont="1" applyBorder="1" applyAlignment="1">
      <alignment horizontal="right"/>
    </xf>
    <xf numFmtId="0" fontId="6" fillId="62" borderId="54" xfId="0" applyFont="1" applyFill="1" applyBorder="1" applyAlignment="1">
      <alignment horizontal="left"/>
    </xf>
    <xf numFmtId="0" fontId="6" fillId="62" borderId="55" xfId="0" applyFont="1" applyFill="1" applyBorder="1" applyAlignment="1">
      <alignment horizontal="left"/>
    </xf>
    <xf numFmtId="9" fontId="6" fillId="62" borderId="54" xfId="7" applyFont="1" applyFill="1" applyBorder="1" applyAlignment="1">
      <alignment horizontal="center"/>
    </xf>
    <xf numFmtId="9" fontId="6" fillId="62" borderId="55" xfId="7" applyFont="1" applyFill="1" applyBorder="1" applyAlignment="1">
      <alignment horizontal="center"/>
    </xf>
    <xf numFmtId="168" fontId="1" fillId="0" borderId="54" xfId="289" applyFont="1" applyBorder="1" applyAlignment="1">
      <alignment horizontal="right"/>
    </xf>
    <xf numFmtId="168" fontId="1" fillId="0" borderId="55" xfId="289" applyFont="1" applyBorder="1" applyAlignment="1">
      <alignment horizontal="right"/>
    </xf>
    <xf numFmtId="0" fontId="1" fillId="0" borderId="51" xfId="0" applyFont="1" applyBorder="1" applyAlignment="1">
      <alignment horizontal="left" vertical="center" wrapText="1"/>
    </xf>
    <xf numFmtId="0" fontId="1" fillId="0" borderId="54" xfId="0" applyFont="1" applyBorder="1" applyAlignment="1">
      <alignment horizontal="left" vertical="center" wrapText="1"/>
    </xf>
    <xf numFmtId="0" fontId="1" fillId="0" borderId="56" xfId="0" applyFont="1" applyBorder="1" applyAlignment="1">
      <alignment horizontal="left" vertical="center" wrapText="1"/>
    </xf>
    <xf numFmtId="0" fontId="6" fillId="0" borderId="17" xfId="10" applyFont="1" applyBorder="1" applyAlignment="1">
      <alignment horizontal="center" vertical="center" wrapText="1"/>
    </xf>
    <xf numFmtId="0" fontId="6" fillId="0" borderId="15" xfId="10" applyFont="1" applyBorder="1" applyAlignment="1">
      <alignment horizontal="center" vertical="center" wrapText="1"/>
    </xf>
    <xf numFmtId="0" fontId="6" fillId="0" borderId="18" xfId="10" applyFont="1" applyBorder="1" applyAlignment="1">
      <alignment horizontal="center" vertical="center" wrapText="1"/>
    </xf>
    <xf numFmtId="0" fontId="6" fillId="0" borderId="3" xfId="10" applyFont="1" applyBorder="1" applyAlignment="1">
      <alignment horizontal="center" vertical="center" wrapText="1"/>
    </xf>
    <xf numFmtId="0" fontId="6" fillId="0" borderId="0" xfId="10" applyFont="1" applyAlignment="1">
      <alignment horizontal="center" vertical="center" wrapText="1"/>
    </xf>
    <xf numFmtId="0" fontId="6" fillId="0" borderId="11" xfId="10" applyFont="1" applyBorder="1" applyAlignment="1">
      <alignment horizontal="center" vertical="center" wrapText="1"/>
    </xf>
    <xf numFmtId="0" fontId="6" fillId="0" borderId="3" xfId="0" applyFont="1" applyBorder="1" applyAlignment="1">
      <alignment horizontal="center" vertical="center" wrapText="1"/>
    </xf>
    <xf numFmtId="0" fontId="6" fillId="0" borderId="0" xfId="0" applyFont="1" applyAlignment="1">
      <alignment horizontal="center" vertical="center" wrapText="1"/>
    </xf>
    <xf numFmtId="0" fontId="6" fillId="0" borderId="11" xfId="0" applyFont="1" applyBorder="1" applyAlignment="1">
      <alignment horizontal="center" vertical="center" wrapText="1"/>
    </xf>
    <xf numFmtId="0" fontId="24" fillId="0" borderId="44" xfId="11" applyFont="1" applyBorder="1" applyAlignment="1">
      <alignment horizontal="center" vertical="center"/>
    </xf>
    <xf numFmtId="0" fontId="24" fillId="0" borderId="19" xfId="11" applyFont="1" applyBorder="1" applyAlignment="1">
      <alignment horizontal="center" vertical="center"/>
    </xf>
    <xf numFmtId="0" fontId="24" fillId="0" borderId="42" xfId="11" applyFont="1" applyBorder="1" applyAlignment="1">
      <alignment horizontal="center" vertical="center"/>
    </xf>
    <xf numFmtId="0" fontId="18" fillId="0" borderId="61" xfId="3745" applyFont="1" applyBorder="1" applyAlignment="1">
      <alignment horizontal="center" vertical="center" wrapText="1"/>
    </xf>
    <xf numFmtId="0" fontId="5" fillId="0" borderId="43" xfId="3747" applyFont="1" applyBorder="1" applyAlignment="1">
      <alignment horizontal="center" vertical="center" wrapText="1"/>
    </xf>
    <xf numFmtId="0" fontId="5" fillId="0" borderId="46" xfId="3747" applyFont="1" applyBorder="1" applyAlignment="1">
      <alignment horizontal="center" vertical="center" wrapText="1"/>
    </xf>
    <xf numFmtId="0" fontId="5" fillId="0" borderId="23" xfId="3747" applyFont="1" applyBorder="1" applyAlignment="1">
      <alignment horizontal="center" vertical="center" wrapText="1"/>
    </xf>
    <xf numFmtId="0" fontId="18" fillId="0" borderId="52" xfId="3745" applyFont="1" applyBorder="1" applyAlignment="1">
      <alignment horizontal="center" vertical="top" wrapText="1"/>
    </xf>
    <xf numFmtId="0" fontId="18" fillId="0" borderId="16" xfId="3745" applyFont="1" applyBorder="1" applyAlignment="1">
      <alignment horizontal="center" vertical="top" wrapText="1"/>
    </xf>
    <xf numFmtId="0" fontId="18" fillId="0" borderId="54" xfId="3745" applyFont="1" applyBorder="1" applyAlignment="1">
      <alignment horizontal="center" vertical="top" wrapText="1"/>
    </xf>
    <xf numFmtId="0" fontId="18" fillId="0" borderId="56" xfId="3745" applyFont="1" applyBorder="1" applyAlignment="1">
      <alignment horizontal="center" vertical="top" wrapText="1"/>
    </xf>
    <xf numFmtId="0" fontId="18" fillId="0" borderId="55" xfId="3745" applyFont="1" applyBorder="1" applyAlignment="1">
      <alignment horizontal="center" vertical="top" wrapText="1"/>
    </xf>
    <xf numFmtId="0" fontId="58" fillId="0" borderId="54" xfId="3234" applyFont="1" applyBorder="1" applyAlignment="1">
      <alignment horizontal="center" vertical="center"/>
    </xf>
    <xf numFmtId="0" fontId="58" fillId="0" borderId="55" xfId="3234" applyFont="1" applyBorder="1" applyAlignment="1">
      <alignment horizontal="center" vertical="center"/>
    </xf>
    <xf numFmtId="49" fontId="2" fillId="0" borderId="0" xfId="3747" applyNumberFormat="1" applyFont="1" applyAlignment="1">
      <alignment horizontal="center" vertical="center" wrapText="1"/>
    </xf>
    <xf numFmtId="0" fontId="75" fillId="0" borderId="60" xfId="11" applyFont="1" applyBorder="1" applyAlignment="1">
      <alignment horizontal="left" vertical="center" wrapText="1"/>
    </xf>
    <xf numFmtId="0" fontId="75" fillId="0" borderId="0" xfId="11" applyFont="1" applyAlignment="1">
      <alignment horizontal="left" vertical="center" wrapText="1"/>
    </xf>
    <xf numFmtId="0" fontId="18" fillId="0" borderId="54" xfId="3745" applyFont="1" applyBorder="1" applyAlignment="1">
      <alignment horizontal="center" vertical="center" wrapText="1"/>
    </xf>
    <xf numFmtId="0" fontId="18" fillId="0" borderId="55" xfId="3745" applyFont="1" applyBorder="1" applyAlignment="1">
      <alignment horizontal="center" vertical="center" wrapText="1"/>
    </xf>
    <xf numFmtId="10" fontId="18" fillId="0" borderId="54" xfId="3745" applyNumberFormat="1" applyFont="1" applyBorder="1" applyAlignment="1">
      <alignment horizontal="center" vertical="center" wrapText="1"/>
    </xf>
    <xf numFmtId="10" fontId="18" fillId="0" borderId="55" xfId="3745" applyNumberFormat="1" applyFont="1" applyBorder="1" applyAlignment="1">
      <alignment horizontal="center" vertical="center" wrapText="1"/>
    </xf>
    <xf numFmtId="173" fontId="16" fillId="0" borderId="54" xfId="3745" applyNumberFormat="1" applyFont="1" applyBorder="1" applyAlignment="1">
      <alignment horizontal="center" vertical="center" wrapText="1"/>
    </xf>
    <xf numFmtId="173" fontId="16" fillId="0" borderId="55" xfId="3745" applyNumberFormat="1" applyFont="1" applyBorder="1" applyAlignment="1">
      <alignment horizontal="center" vertical="center" wrapText="1"/>
    </xf>
    <xf numFmtId="0" fontId="18" fillId="0" borderId="54" xfId="3745" applyFont="1" applyBorder="1" applyAlignment="1">
      <alignment horizontal="left" vertical="center" wrapText="1"/>
    </xf>
    <xf numFmtId="0" fontId="18" fillId="0" borderId="56" xfId="3745" applyFont="1" applyBorder="1" applyAlignment="1">
      <alignment horizontal="left" vertical="center" wrapText="1"/>
    </xf>
    <xf numFmtId="0" fontId="18" fillId="0" borderId="55" xfId="3745" applyFont="1" applyBorder="1" applyAlignment="1">
      <alignment horizontal="left" vertical="center" wrapText="1"/>
    </xf>
    <xf numFmtId="0" fontId="80" fillId="55" borderId="51" xfId="0" applyFont="1" applyFill="1" applyBorder="1" applyAlignment="1">
      <alignment horizontal="center" vertical="center" wrapText="1"/>
    </xf>
    <xf numFmtId="0" fontId="6" fillId="3" borderId="43" xfId="0" applyFont="1" applyFill="1" applyBorder="1" applyAlignment="1">
      <alignment horizontal="center"/>
    </xf>
    <xf numFmtId="0" fontId="6" fillId="3" borderId="23" xfId="0" applyFont="1" applyFill="1" applyBorder="1" applyAlignment="1">
      <alignment horizontal="center"/>
    </xf>
    <xf numFmtId="0" fontId="6" fillId="0" borderId="40" xfId="0" applyFont="1" applyBorder="1" applyAlignment="1">
      <alignment horizontal="center"/>
    </xf>
    <xf numFmtId="0" fontId="6" fillId="0" borderId="7" xfId="0" applyFont="1" applyBorder="1" applyAlignment="1">
      <alignment horizontal="center"/>
    </xf>
    <xf numFmtId="0" fontId="6" fillId="0" borderId="39" xfId="0" applyFont="1" applyBorder="1" applyAlignment="1">
      <alignment horizontal="center"/>
    </xf>
  </cellXfs>
  <cellStyles count="3865">
    <cellStyle name="20% - Accent1" xfId="15" xr:uid="{00000000-0005-0000-0000-000000000000}"/>
    <cellStyle name="20% - Accent2" xfId="16" xr:uid="{00000000-0005-0000-0000-000001000000}"/>
    <cellStyle name="20% - Accent3" xfId="17" xr:uid="{00000000-0005-0000-0000-000002000000}"/>
    <cellStyle name="20% - Accent4" xfId="18" xr:uid="{00000000-0005-0000-0000-000003000000}"/>
    <cellStyle name="20% - Accent5" xfId="19" xr:uid="{00000000-0005-0000-0000-000004000000}"/>
    <cellStyle name="20% - Accent6" xfId="20" xr:uid="{00000000-0005-0000-0000-000005000000}"/>
    <cellStyle name="20% - Énfasis1 2" xfId="21" xr:uid="{00000000-0005-0000-0000-000006000000}"/>
    <cellStyle name="20% - Énfasis1 3" xfId="22" xr:uid="{00000000-0005-0000-0000-000007000000}"/>
    <cellStyle name="20% - Énfasis1 4" xfId="23" xr:uid="{00000000-0005-0000-0000-000008000000}"/>
    <cellStyle name="20% - Énfasis1 5" xfId="24" xr:uid="{00000000-0005-0000-0000-000009000000}"/>
    <cellStyle name="20% - Énfasis1 6" xfId="25" xr:uid="{00000000-0005-0000-0000-00000A000000}"/>
    <cellStyle name="20% - Énfasis2 2" xfId="26" xr:uid="{00000000-0005-0000-0000-00000B000000}"/>
    <cellStyle name="20% - Énfasis2 3" xfId="27" xr:uid="{00000000-0005-0000-0000-00000C000000}"/>
    <cellStyle name="20% - Énfasis2 4" xfId="28" xr:uid="{00000000-0005-0000-0000-00000D000000}"/>
    <cellStyle name="20% - Énfasis2 5" xfId="29" xr:uid="{00000000-0005-0000-0000-00000E000000}"/>
    <cellStyle name="20% - Énfasis2 6" xfId="30" xr:uid="{00000000-0005-0000-0000-00000F000000}"/>
    <cellStyle name="20% - Énfasis3 2" xfId="31" xr:uid="{00000000-0005-0000-0000-000010000000}"/>
    <cellStyle name="20% - Énfasis3 3" xfId="32" xr:uid="{00000000-0005-0000-0000-000011000000}"/>
    <cellStyle name="20% - Énfasis3 4" xfId="33" xr:uid="{00000000-0005-0000-0000-000012000000}"/>
    <cellStyle name="20% - Énfasis3 5" xfId="34" xr:uid="{00000000-0005-0000-0000-000013000000}"/>
    <cellStyle name="20% - Énfasis3 6" xfId="35" xr:uid="{00000000-0005-0000-0000-000014000000}"/>
    <cellStyle name="20% - Énfasis4 2" xfId="36" xr:uid="{00000000-0005-0000-0000-000015000000}"/>
    <cellStyle name="20% - Énfasis4 3" xfId="37" xr:uid="{00000000-0005-0000-0000-000016000000}"/>
    <cellStyle name="20% - Énfasis4 4" xfId="38" xr:uid="{00000000-0005-0000-0000-000017000000}"/>
    <cellStyle name="20% - Énfasis4 5" xfId="39" xr:uid="{00000000-0005-0000-0000-000018000000}"/>
    <cellStyle name="20% - Énfasis4 6" xfId="40" xr:uid="{00000000-0005-0000-0000-000019000000}"/>
    <cellStyle name="20% - Énfasis5 2" xfId="41" xr:uid="{00000000-0005-0000-0000-00001A000000}"/>
    <cellStyle name="20% - Énfasis5 3" xfId="42" xr:uid="{00000000-0005-0000-0000-00001B000000}"/>
    <cellStyle name="20% - Énfasis5 4" xfId="43" xr:uid="{00000000-0005-0000-0000-00001C000000}"/>
    <cellStyle name="20% - Énfasis5 5" xfId="44" xr:uid="{00000000-0005-0000-0000-00001D000000}"/>
    <cellStyle name="20% - Énfasis5 6" xfId="45" xr:uid="{00000000-0005-0000-0000-00001E000000}"/>
    <cellStyle name="20% - Énfasis6 2" xfId="46" xr:uid="{00000000-0005-0000-0000-00001F000000}"/>
    <cellStyle name="20% - Énfasis6 3" xfId="47" xr:uid="{00000000-0005-0000-0000-000020000000}"/>
    <cellStyle name="20% - Énfasis6 4" xfId="48" xr:uid="{00000000-0005-0000-0000-000021000000}"/>
    <cellStyle name="20% - Énfasis6 5" xfId="49" xr:uid="{00000000-0005-0000-0000-000022000000}"/>
    <cellStyle name="20% - Énfasis6 6" xfId="50" xr:uid="{00000000-0005-0000-0000-000023000000}"/>
    <cellStyle name="40% - Accent1" xfId="51" xr:uid="{00000000-0005-0000-0000-000024000000}"/>
    <cellStyle name="40% - Accent2" xfId="52" xr:uid="{00000000-0005-0000-0000-000025000000}"/>
    <cellStyle name="40% - Accent3" xfId="53" xr:uid="{00000000-0005-0000-0000-000026000000}"/>
    <cellStyle name="40% - Accent4" xfId="54" xr:uid="{00000000-0005-0000-0000-000027000000}"/>
    <cellStyle name="40% - Accent5" xfId="55" xr:uid="{00000000-0005-0000-0000-000028000000}"/>
    <cellStyle name="40% - Accent6" xfId="56" xr:uid="{00000000-0005-0000-0000-000029000000}"/>
    <cellStyle name="40% - Énfasis1 2" xfId="57" xr:uid="{00000000-0005-0000-0000-00002A000000}"/>
    <cellStyle name="40% - Énfasis1 3" xfId="58" xr:uid="{00000000-0005-0000-0000-00002B000000}"/>
    <cellStyle name="40% - Énfasis1 4" xfId="59" xr:uid="{00000000-0005-0000-0000-00002C000000}"/>
    <cellStyle name="40% - Énfasis1 5" xfId="60" xr:uid="{00000000-0005-0000-0000-00002D000000}"/>
    <cellStyle name="40% - Énfasis1 6" xfId="61" xr:uid="{00000000-0005-0000-0000-00002E000000}"/>
    <cellStyle name="40% - Énfasis2 2" xfId="62" xr:uid="{00000000-0005-0000-0000-00002F000000}"/>
    <cellStyle name="40% - Énfasis2 3" xfId="63" xr:uid="{00000000-0005-0000-0000-000030000000}"/>
    <cellStyle name="40% - Énfasis2 4" xfId="64" xr:uid="{00000000-0005-0000-0000-000031000000}"/>
    <cellStyle name="40% - Énfasis2 5" xfId="65" xr:uid="{00000000-0005-0000-0000-000032000000}"/>
    <cellStyle name="40% - Énfasis2 6" xfId="66" xr:uid="{00000000-0005-0000-0000-000033000000}"/>
    <cellStyle name="40% - Énfasis3 2" xfId="67" xr:uid="{00000000-0005-0000-0000-000034000000}"/>
    <cellStyle name="40% - Énfasis3 3" xfId="68" xr:uid="{00000000-0005-0000-0000-000035000000}"/>
    <cellStyle name="40% - Énfasis3 4" xfId="69" xr:uid="{00000000-0005-0000-0000-000036000000}"/>
    <cellStyle name="40% - Énfasis3 5" xfId="70" xr:uid="{00000000-0005-0000-0000-000037000000}"/>
    <cellStyle name="40% - Énfasis3 6" xfId="71" xr:uid="{00000000-0005-0000-0000-000038000000}"/>
    <cellStyle name="40% - Énfasis4 2" xfId="72" xr:uid="{00000000-0005-0000-0000-000039000000}"/>
    <cellStyle name="40% - Énfasis4 3" xfId="73" xr:uid="{00000000-0005-0000-0000-00003A000000}"/>
    <cellStyle name="40% - Énfasis4 4" xfId="74" xr:uid="{00000000-0005-0000-0000-00003B000000}"/>
    <cellStyle name="40% - Énfasis4 5" xfId="75" xr:uid="{00000000-0005-0000-0000-00003C000000}"/>
    <cellStyle name="40% - Énfasis4 6" xfId="76" xr:uid="{00000000-0005-0000-0000-00003D000000}"/>
    <cellStyle name="40% - Énfasis5 2" xfId="77" xr:uid="{00000000-0005-0000-0000-00003E000000}"/>
    <cellStyle name="40% - Énfasis5 3" xfId="78" xr:uid="{00000000-0005-0000-0000-00003F000000}"/>
    <cellStyle name="40% - Énfasis5 4" xfId="79" xr:uid="{00000000-0005-0000-0000-000040000000}"/>
    <cellStyle name="40% - Énfasis5 5" xfId="80" xr:uid="{00000000-0005-0000-0000-000041000000}"/>
    <cellStyle name="40% - Énfasis5 6" xfId="81" xr:uid="{00000000-0005-0000-0000-000042000000}"/>
    <cellStyle name="40% - Énfasis6 2" xfId="82" xr:uid="{00000000-0005-0000-0000-000043000000}"/>
    <cellStyle name="40% - Énfasis6 3" xfId="83" xr:uid="{00000000-0005-0000-0000-000044000000}"/>
    <cellStyle name="40% - Énfasis6 4" xfId="84" xr:uid="{00000000-0005-0000-0000-000045000000}"/>
    <cellStyle name="40% - Énfasis6 5" xfId="85" xr:uid="{00000000-0005-0000-0000-000046000000}"/>
    <cellStyle name="40% - Énfasis6 6" xfId="86" xr:uid="{00000000-0005-0000-0000-000047000000}"/>
    <cellStyle name="60% - Accent1" xfId="87" xr:uid="{00000000-0005-0000-0000-000048000000}"/>
    <cellStyle name="60% - Accent2" xfId="88" xr:uid="{00000000-0005-0000-0000-000049000000}"/>
    <cellStyle name="60% - Accent3" xfId="89" xr:uid="{00000000-0005-0000-0000-00004A000000}"/>
    <cellStyle name="60% - Accent4" xfId="90" xr:uid="{00000000-0005-0000-0000-00004B000000}"/>
    <cellStyle name="60% - Accent5" xfId="91" xr:uid="{00000000-0005-0000-0000-00004C000000}"/>
    <cellStyle name="60% - Accent6" xfId="92" xr:uid="{00000000-0005-0000-0000-00004D000000}"/>
    <cellStyle name="60% - Énfasis1 2" xfId="93" xr:uid="{00000000-0005-0000-0000-00004E000000}"/>
    <cellStyle name="60% - Énfasis1 3" xfId="94" xr:uid="{00000000-0005-0000-0000-00004F000000}"/>
    <cellStyle name="60% - Énfasis1 4" xfId="95" xr:uid="{00000000-0005-0000-0000-000050000000}"/>
    <cellStyle name="60% - Énfasis1 5" xfId="96" xr:uid="{00000000-0005-0000-0000-000051000000}"/>
    <cellStyle name="60% - Énfasis1 6" xfId="97" xr:uid="{00000000-0005-0000-0000-000052000000}"/>
    <cellStyle name="60% - Énfasis2 2" xfId="98" xr:uid="{00000000-0005-0000-0000-000053000000}"/>
    <cellStyle name="60% - Énfasis2 3" xfId="99" xr:uid="{00000000-0005-0000-0000-000054000000}"/>
    <cellStyle name="60% - Énfasis2 4" xfId="100" xr:uid="{00000000-0005-0000-0000-000055000000}"/>
    <cellStyle name="60% - Énfasis2 5" xfId="101" xr:uid="{00000000-0005-0000-0000-000056000000}"/>
    <cellStyle name="60% - Énfasis2 6" xfId="102" xr:uid="{00000000-0005-0000-0000-000057000000}"/>
    <cellStyle name="60% - Énfasis3 2" xfId="103" xr:uid="{00000000-0005-0000-0000-000058000000}"/>
    <cellStyle name="60% - Énfasis3 3" xfId="104" xr:uid="{00000000-0005-0000-0000-000059000000}"/>
    <cellStyle name="60% - Énfasis3 4" xfId="105" xr:uid="{00000000-0005-0000-0000-00005A000000}"/>
    <cellStyle name="60% - Énfasis3 5" xfId="106" xr:uid="{00000000-0005-0000-0000-00005B000000}"/>
    <cellStyle name="60% - Énfasis3 6" xfId="107" xr:uid="{00000000-0005-0000-0000-00005C000000}"/>
    <cellStyle name="60% - Énfasis4 2" xfId="108" xr:uid="{00000000-0005-0000-0000-00005D000000}"/>
    <cellStyle name="60% - Énfasis4 3" xfId="109" xr:uid="{00000000-0005-0000-0000-00005E000000}"/>
    <cellStyle name="60% - Énfasis4 4" xfId="110" xr:uid="{00000000-0005-0000-0000-00005F000000}"/>
    <cellStyle name="60% - Énfasis4 5" xfId="111" xr:uid="{00000000-0005-0000-0000-000060000000}"/>
    <cellStyle name="60% - Énfasis4 6" xfId="112" xr:uid="{00000000-0005-0000-0000-000061000000}"/>
    <cellStyle name="60% - Énfasis5 2" xfId="113" xr:uid="{00000000-0005-0000-0000-000062000000}"/>
    <cellStyle name="60% - Énfasis5 3" xfId="114" xr:uid="{00000000-0005-0000-0000-000063000000}"/>
    <cellStyle name="60% - Énfasis5 4" xfId="115" xr:uid="{00000000-0005-0000-0000-000064000000}"/>
    <cellStyle name="60% - Énfasis5 5" xfId="116" xr:uid="{00000000-0005-0000-0000-000065000000}"/>
    <cellStyle name="60% - Énfasis5 6" xfId="117" xr:uid="{00000000-0005-0000-0000-000066000000}"/>
    <cellStyle name="60% - Énfasis6 2" xfId="118" xr:uid="{00000000-0005-0000-0000-000067000000}"/>
    <cellStyle name="60% - Énfasis6 3" xfId="119" xr:uid="{00000000-0005-0000-0000-000068000000}"/>
    <cellStyle name="60% - Énfasis6 4" xfId="120" xr:uid="{00000000-0005-0000-0000-000069000000}"/>
    <cellStyle name="60% - Énfasis6 5" xfId="121" xr:uid="{00000000-0005-0000-0000-00006A000000}"/>
    <cellStyle name="60% - Énfasis6 6" xfId="122" xr:uid="{00000000-0005-0000-0000-00006B000000}"/>
    <cellStyle name="Accent1" xfId="123" xr:uid="{00000000-0005-0000-0000-00006C000000}"/>
    <cellStyle name="Accent2" xfId="124" xr:uid="{00000000-0005-0000-0000-00006D000000}"/>
    <cellStyle name="Accent3" xfId="125" xr:uid="{00000000-0005-0000-0000-00006E000000}"/>
    <cellStyle name="Accent4" xfId="126" xr:uid="{00000000-0005-0000-0000-00006F000000}"/>
    <cellStyle name="Accent5" xfId="127" xr:uid="{00000000-0005-0000-0000-000070000000}"/>
    <cellStyle name="Accent6" xfId="128" xr:uid="{00000000-0005-0000-0000-000071000000}"/>
    <cellStyle name="Bad" xfId="129" xr:uid="{00000000-0005-0000-0000-000072000000}"/>
    <cellStyle name="Buena 2" xfId="130" xr:uid="{00000000-0005-0000-0000-000073000000}"/>
    <cellStyle name="Buena 3" xfId="131" xr:uid="{00000000-0005-0000-0000-000074000000}"/>
    <cellStyle name="Buena 4" xfId="132" xr:uid="{00000000-0005-0000-0000-000075000000}"/>
    <cellStyle name="Buena 5" xfId="133" xr:uid="{00000000-0005-0000-0000-000076000000}"/>
    <cellStyle name="Buena 6" xfId="134" xr:uid="{00000000-0005-0000-0000-000077000000}"/>
    <cellStyle name="Calculation" xfId="135" xr:uid="{00000000-0005-0000-0000-000078000000}"/>
    <cellStyle name="Cálculo 2" xfId="136" xr:uid="{00000000-0005-0000-0000-000079000000}"/>
    <cellStyle name="Cálculo 3" xfId="137" xr:uid="{00000000-0005-0000-0000-00007A000000}"/>
    <cellStyle name="Cálculo 4" xfId="138" xr:uid="{00000000-0005-0000-0000-00007B000000}"/>
    <cellStyle name="Cálculo 5" xfId="139" xr:uid="{00000000-0005-0000-0000-00007C000000}"/>
    <cellStyle name="Cálculo 6" xfId="140" xr:uid="{00000000-0005-0000-0000-00007D000000}"/>
    <cellStyle name="Celda de comprobación 2" xfId="141" xr:uid="{00000000-0005-0000-0000-00007E000000}"/>
    <cellStyle name="Celda de comprobación 3" xfId="142" xr:uid="{00000000-0005-0000-0000-00007F000000}"/>
    <cellStyle name="Celda de comprobación 4" xfId="143" xr:uid="{00000000-0005-0000-0000-000080000000}"/>
    <cellStyle name="Celda de comprobación 5" xfId="144" xr:uid="{00000000-0005-0000-0000-000081000000}"/>
    <cellStyle name="Celda de comprobación 6" xfId="145" xr:uid="{00000000-0005-0000-0000-000082000000}"/>
    <cellStyle name="Celda vinculada 2" xfId="146" xr:uid="{00000000-0005-0000-0000-000083000000}"/>
    <cellStyle name="Celda vinculada 3" xfId="147" xr:uid="{00000000-0005-0000-0000-000084000000}"/>
    <cellStyle name="Celda vinculada 4" xfId="148" xr:uid="{00000000-0005-0000-0000-000085000000}"/>
    <cellStyle name="Celda vinculada 5" xfId="149" xr:uid="{00000000-0005-0000-0000-000086000000}"/>
    <cellStyle name="Celda vinculada 6" xfId="150" xr:uid="{00000000-0005-0000-0000-000087000000}"/>
    <cellStyle name="Check Cell" xfId="151" xr:uid="{00000000-0005-0000-0000-000088000000}"/>
    <cellStyle name="CIENTOS" xfId="152" xr:uid="{00000000-0005-0000-0000-000089000000}"/>
    <cellStyle name="CIENTOS 2D" xfId="153" xr:uid="{00000000-0005-0000-0000-00008A000000}"/>
    <cellStyle name="CIENTOS 3D" xfId="154" xr:uid="{00000000-0005-0000-0000-00008B000000}"/>
    <cellStyle name="CIENTOS 4D" xfId="155" xr:uid="{00000000-0005-0000-0000-00008C000000}"/>
    <cellStyle name="Comma" xfId="156" xr:uid="{00000000-0005-0000-0000-00008D000000}"/>
    <cellStyle name="Comma [0]_21.6" xfId="157" xr:uid="{00000000-0005-0000-0000-00008E000000}"/>
    <cellStyle name="Comma_21.6" xfId="158" xr:uid="{00000000-0005-0000-0000-00008F000000}"/>
    <cellStyle name="Comma0" xfId="159" xr:uid="{00000000-0005-0000-0000-000090000000}"/>
    <cellStyle name="Comma0 2" xfId="160" xr:uid="{00000000-0005-0000-0000-000091000000}"/>
    <cellStyle name="Comma0 3" xfId="161" xr:uid="{00000000-0005-0000-0000-000092000000}"/>
    <cellStyle name="Comma0 4" xfId="162" xr:uid="{00000000-0005-0000-0000-000093000000}"/>
    <cellStyle name="Currency" xfId="163" xr:uid="{00000000-0005-0000-0000-000094000000}"/>
    <cellStyle name="Currency [0]_21.6" xfId="164" xr:uid="{00000000-0005-0000-0000-000095000000}"/>
    <cellStyle name="Currency_21.6" xfId="165" xr:uid="{00000000-0005-0000-0000-000096000000}"/>
    <cellStyle name="Currency0" xfId="166" xr:uid="{00000000-0005-0000-0000-000097000000}"/>
    <cellStyle name="Currency0 2" xfId="167" xr:uid="{00000000-0005-0000-0000-000098000000}"/>
    <cellStyle name="Currency0 3" xfId="168" xr:uid="{00000000-0005-0000-0000-000099000000}"/>
    <cellStyle name="Currency0 4" xfId="169" xr:uid="{00000000-0005-0000-0000-00009A000000}"/>
    <cellStyle name="Date" xfId="170" xr:uid="{00000000-0005-0000-0000-00009B000000}"/>
    <cellStyle name="Date 10" xfId="171" xr:uid="{00000000-0005-0000-0000-00009C000000}"/>
    <cellStyle name="Date 2" xfId="172" xr:uid="{00000000-0005-0000-0000-00009D000000}"/>
    <cellStyle name="DATE 2 2" xfId="173" xr:uid="{00000000-0005-0000-0000-00009E000000}"/>
    <cellStyle name="DATE 2 3" xfId="174" xr:uid="{00000000-0005-0000-0000-00009F000000}"/>
    <cellStyle name="DATE 2 4" xfId="175" xr:uid="{00000000-0005-0000-0000-0000A0000000}"/>
    <cellStyle name="DATE 2 5" xfId="176" xr:uid="{00000000-0005-0000-0000-0000A1000000}"/>
    <cellStyle name="DATE 2 6" xfId="177" xr:uid="{00000000-0005-0000-0000-0000A2000000}"/>
    <cellStyle name="DATE 2 7" xfId="178" xr:uid="{00000000-0005-0000-0000-0000A3000000}"/>
    <cellStyle name="DATE 2 8" xfId="179" xr:uid="{00000000-0005-0000-0000-0000A4000000}"/>
    <cellStyle name="DATE 3" xfId="180" xr:uid="{00000000-0005-0000-0000-0000A5000000}"/>
    <cellStyle name="DATE 4" xfId="181" xr:uid="{00000000-0005-0000-0000-0000A6000000}"/>
    <cellStyle name="Date 5" xfId="182" xr:uid="{00000000-0005-0000-0000-0000A7000000}"/>
    <cellStyle name="Date 6" xfId="183" xr:uid="{00000000-0005-0000-0000-0000A8000000}"/>
    <cellStyle name="Date 7" xfId="184" xr:uid="{00000000-0005-0000-0000-0000A9000000}"/>
    <cellStyle name="Date 8" xfId="185" xr:uid="{00000000-0005-0000-0000-0000AA000000}"/>
    <cellStyle name="Date 9" xfId="186" xr:uid="{00000000-0005-0000-0000-0000AB000000}"/>
    <cellStyle name="Encabezado 4 2" xfId="187" xr:uid="{00000000-0005-0000-0000-0000AC000000}"/>
    <cellStyle name="Encabezado 4 3" xfId="188" xr:uid="{00000000-0005-0000-0000-0000AD000000}"/>
    <cellStyle name="Encabezado 4 4" xfId="189" xr:uid="{00000000-0005-0000-0000-0000AE000000}"/>
    <cellStyle name="Encabezado 4 5" xfId="190" xr:uid="{00000000-0005-0000-0000-0000AF000000}"/>
    <cellStyle name="Encabezado 4 6" xfId="191" xr:uid="{00000000-0005-0000-0000-0000B0000000}"/>
    <cellStyle name="Énfasis1 2" xfId="192" xr:uid="{00000000-0005-0000-0000-0000B1000000}"/>
    <cellStyle name="Énfasis1 3" xfId="193" xr:uid="{00000000-0005-0000-0000-0000B2000000}"/>
    <cellStyle name="Énfasis1 4" xfId="194" xr:uid="{00000000-0005-0000-0000-0000B3000000}"/>
    <cellStyle name="Énfasis1 5" xfId="195" xr:uid="{00000000-0005-0000-0000-0000B4000000}"/>
    <cellStyle name="Énfasis1 6" xfId="196" xr:uid="{00000000-0005-0000-0000-0000B5000000}"/>
    <cellStyle name="Énfasis2 2" xfId="197" xr:uid="{00000000-0005-0000-0000-0000B6000000}"/>
    <cellStyle name="Énfasis2 3" xfId="198" xr:uid="{00000000-0005-0000-0000-0000B7000000}"/>
    <cellStyle name="Énfasis2 4" xfId="199" xr:uid="{00000000-0005-0000-0000-0000B8000000}"/>
    <cellStyle name="Énfasis2 5" xfId="200" xr:uid="{00000000-0005-0000-0000-0000B9000000}"/>
    <cellStyle name="Énfasis2 6" xfId="201" xr:uid="{00000000-0005-0000-0000-0000BA000000}"/>
    <cellStyle name="Énfasis3 2" xfId="202" xr:uid="{00000000-0005-0000-0000-0000BB000000}"/>
    <cellStyle name="Énfasis3 3" xfId="203" xr:uid="{00000000-0005-0000-0000-0000BC000000}"/>
    <cellStyle name="Énfasis3 4" xfId="204" xr:uid="{00000000-0005-0000-0000-0000BD000000}"/>
    <cellStyle name="Énfasis3 5" xfId="205" xr:uid="{00000000-0005-0000-0000-0000BE000000}"/>
    <cellStyle name="Énfasis3 6" xfId="206" xr:uid="{00000000-0005-0000-0000-0000BF000000}"/>
    <cellStyle name="Énfasis4 2" xfId="207" xr:uid="{00000000-0005-0000-0000-0000C0000000}"/>
    <cellStyle name="Énfasis4 3" xfId="208" xr:uid="{00000000-0005-0000-0000-0000C1000000}"/>
    <cellStyle name="Énfasis4 4" xfId="209" xr:uid="{00000000-0005-0000-0000-0000C2000000}"/>
    <cellStyle name="Énfasis4 5" xfId="210" xr:uid="{00000000-0005-0000-0000-0000C3000000}"/>
    <cellStyle name="Énfasis4 6" xfId="211" xr:uid="{00000000-0005-0000-0000-0000C4000000}"/>
    <cellStyle name="Énfasis5 2" xfId="212" xr:uid="{00000000-0005-0000-0000-0000C5000000}"/>
    <cellStyle name="Énfasis5 3" xfId="213" xr:uid="{00000000-0005-0000-0000-0000C6000000}"/>
    <cellStyle name="Énfasis5 4" xfId="214" xr:uid="{00000000-0005-0000-0000-0000C7000000}"/>
    <cellStyle name="Énfasis5 5" xfId="215" xr:uid="{00000000-0005-0000-0000-0000C8000000}"/>
    <cellStyle name="Énfasis5 6" xfId="216" xr:uid="{00000000-0005-0000-0000-0000C9000000}"/>
    <cellStyle name="Énfasis6 2" xfId="217" xr:uid="{00000000-0005-0000-0000-0000CA000000}"/>
    <cellStyle name="Énfasis6 3" xfId="218" xr:uid="{00000000-0005-0000-0000-0000CB000000}"/>
    <cellStyle name="Énfasis6 4" xfId="219" xr:uid="{00000000-0005-0000-0000-0000CC000000}"/>
    <cellStyle name="Énfasis6 5" xfId="220" xr:uid="{00000000-0005-0000-0000-0000CD000000}"/>
    <cellStyle name="Énfasis6 6" xfId="221" xr:uid="{00000000-0005-0000-0000-0000CE000000}"/>
    <cellStyle name="Entrada 2" xfId="222" xr:uid="{00000000-0005-0000-0000-0000CF000000}"/>
    <cellStyle name="Entrada 3" xfId="223" xr:uid="{00000000-0005-0000-0000-0000D0000000}"/>
    <cellStyle name="Entrada 4" xfId="224" xr:uid="{00000000-0005-0000-0000-0000D1000000}"/>
    <cellStyle name="Entrada 5" xfId="225" xr:uid="{00000000-0005-0000-0000-0000D2000000}"/>
    <cellStyle name="Entrada 6" xfId="226" xr:uid="{00000000-0005-0000-0000-0000D3000000}"/>
    <cellStyle name="Estilo 1" xfId="227" xr:uid="{00000000-0005-0000-0000-0000D4000000}"/>
    <cellStyle name="Euro" xfId="228" xr:uid="{00000000-0005-0000-0000-0000D5000000}"/>
    <cellStyle name="Euro 2" xfId="229" xr:uid="{00000000-0005-0000-0000-0000D6000000}"/>
    <cellStyle name="Euro 3" xfId="230" xr:uid="{00000000-0005-0000-0000-0000D7000000}"/>
    <cellStyle name="Euro 4" xfId="231" xr:uid="{00000000-0005-0000-0000-0000D8000000}"/>
    <cellStyle name="Explanatory Text" xfId="232" xr:uid="{00000000-0005-0000-0000-0000D9000000}"/>
    <cellStyle name="F2" xfId="233" xr:uid="{00000000-0005-0000-0000-0000DA000000}"/>
    <cellStyle name="F3" xfId="234" xr:uid="{00000000-0005-0000-0000-0000DB000000}"/>
    <cellStyle name="F4" xfId="235" xr:uid="{00000000-0005-0000-0000-0000DC000000}"/>
    <cellStyle name="F5" xfId="236" xr:uid="{00000000-0005-0000-0000-0000DD000000}"/>
    <cellStyle name="F6" xfId="237" xr:uid="{00000000-0005-0000-0000-0000DE000000}"/>
    <cellStyle name="F7" xfId="238" xr:uid="{00000000-0005-0000-0000-0000DF000000}"/>
    <cellStyle name="F8" xfId="239" xr:uid="{00000000-0005-0000-0000-0000E0000000}"/>
    <cellStyle name="Fixed" xfId="240" xr:uid="{00000000-0005-0000-0000-0000E1000000}"/>
    <cellStyle name="Fixed 10" xfId="241" xr:uid="{00000000-0005-0000-0000-0000E2000000}"/>
    <cellStyle name="Fixed 2" xfId="242" xr:uid="{00000000-0005-0000-0000-0000E3000000}"/>
    <cellStyle name="FIXED 2 2" xfId="243" xr:uid="{00000000-0005-0000-0000-0000E4000000}"/>
    <cellStyle name="FIXED 2 3" xfId="244" xr:uid="{00000000-0005-0000-0000-0000E5000000}"/>
    <cellStyle name="FIXED 2 4" xfId="245" xr:uid="{00000000-0005-0000-0000-0000E6000000}"/>
    <cellStyle name="FIXED 2 5" xfId="246" xr:uid="{00000000-0005-0000-0000-0000E7000000}"/>
    <cellStyle name="FIXED 2 6" xfId="247" xr:uid="{00000000-0005-0000-0000-0000E8000000}"/>
    <cellStyle name="FIXED 2 7" xfId="248" xr:uid="{00000000-0005-0000-0000-0000E9000000}"/>
    <cellStyle name="FIXED 2 8" xfId="249" xr:uid="{00000000-0005-0000-0000-0000EA000000}"/>
    <cellStyle name="FIXED 3" xfId="250" xr:uid="{00000000-0005-0000-0000-0000EB000000}"/>
    <cellStyle name="FIXED 4" xfId="251" xr:uid="{00000000-0005-0000-0000-0000EC000000}"/>
    <cellStyle name="Fixed 5" xfId="252" xr:uid="{00000000-0005-0000-0000-0000ED000000}"/>
    <cellStyle name="Fixed 6" xfId="253" xr:uid="{00000000-0005-0000-0000-0000EE000000}"/>
    <cellStyle name="Fixed 7" xfId="254" xr:uid="{00000000-0005-0000-0000-0000EF000000}"/>
    <cellStyle name="Fixed 8" xfId="255" xr:uid="{00000000-0005-0000-0000-0000F0000000}"/>
    <cellStyle name="Fixed 9" xfId="256" xr:uid="{00000000-0005-0000-0000-0000F1000000}"/>
    <cellStyle name="Good" xfId="257" xr:uid="{00000000-0005-0000-0000-0000F2000000}"/>
    <cellStyle name="Heading 1" xfId="258" xr:uid="{00000000-0005-0000-0000-0000F3000000}"/>
    <cellStyle name="Heading 2" xfId="259" xr:uid="{00000000-0005-0000-0000-0000F4000000}"/>
    <cellStyle name="Heading 3" xfId="260" xr:uid="{00000000-0005-0000-0000-0000F5000000}"/>
    <cellStyle name="Heading 4" xfId="261" xr:uid="{00000000-0005-0000-0000-0000F6000000}"/>
    <cellStyle name="Heading1" xfId="262" xr:uid="{00000000-0005-0000-0000-0000F7000000}"/>
    <cellStyle name="Heading2" xfId="263" xr:uid="{00000000-0005-0000-0000-0000F8000000}"/>
    <cellStyle name="Hipervínculo 2" xfId="264" xr:uid="{00000000-0005-0000-0000-0000F9000000}"/>
    <cellStyle name="Incorrecto 2" xfId="265" xr:uid="{00000000-0005-0000-0000-0000FA000000}"/>
    <cellStyle name="Incorrecto 3" xfId="266" xr:uid="{00000000-0005-0000-0000-0000FB000000}"/>
    <cellStyle name="Incorrecto 4" xfId="267" xr:uid="{00000000-0005-0000-0000-0000FC000000}"/>
    <cellStyle name="Incorrecto 5" xfId="268" xr:uid="{00000000-0005-0000-0000-0000FD000000}"/>
    <cellStyle name="Incorrecto 6" xfId="269" xr:uid="{00000000-0005-0000-0000-0000FE000000}"/>
    <cellStyle name="Input" xfId="270" xr:uid="{00000000-0005-0000-0000-0000FF000000}"/>
    <cellStyle name="Linked Cell" xfId="271" xr:uid="{00000000-0005-0000-0000-000000010000}"/>
    <cellStyle name="MILE DE MILLONES" xfId="272" xr:uid="{00000000-0005-0000-0000-000001010000}"/>
    <cellStyle name="MILES" xfId="273" xr:uid="{00000000-0005-0000-0000-000002010000}"/>
    <cellStyle name="Millares" xfId="1" builtinId="3"/>
    <cellStyle name="Millares [2]" xfId="274" xr:uid="{00000000-0005-0000-0000-000004010000}"/>
    <cellStyle name="Millares [2] 2" xfId="275" xr:uid="{00000000-0005-0000-0000-000005010000}"/>
    <cellStyle name="Millares [2] 3" xfId="276" xr:uid="{00000000-0005-0000-0000-000006010000}"/>
    <cellStyle name="Millares [2] 4" xfId="277" xr:uid="{00000000-0005-0000-0000-000007010000}"/>
    <cellStyle name="Millares 10" xfId="278" xr:uid="{00000000-0005-0000-0000-000008010000}"/>
    <cellStyle name="Millares 10 2" xfId="3754" xr:uid="{00000000-0005-0000-0000-000009010000}"/>
    <cellStyle name="Millares 11" xfId="279" xr:uid="{00000000-0005-0000-0000-00000A010000}"/>
    <cellStyle name="Millares 12" xfId="280" xr:uid="{00000000-0005-0000-0000-00000B010000}"/>
    <cellStyle name="Millares 13" xfId="281" xr:uid="{00000000-0005-0000-0000-00000C010000}"/>
    <cellStyle name="Millares 14" xfId="282" xr:uid="{00000000-0005-0000-0000-00000D010000}"/>
    <cellStyle name="Millares 15" xfId="283" xr:uid="{00000000-0005-0000-0000-00000E010000}"/>
    <cellStyle name="Millares 16" xfId="284" xr:uid="{00000000-0005-0000-0000-00000F010000}"/>
    <cellStyle name="Millares 17" xfId="285" xr:uid="{00000000-0005-0000-0000-000010010000}"/>
    <cellStyle name="Millares 18" xfId="286" xr:uid="{00000000-0005-0000-0000-000011010000}"/>
    <cellStyle name="Millares 19" xfId="287" xr:uid="{00000000-0005-0000-0000-000012010000}"/>
    <cellStyle name="Millares 2" xfId="2" xr:uid="{00000000-0005-0000-0000-000013010000}"/>
    <cellStyle name="Millares 2 10" xfId="288" xr:uid="{00000000-0005-0000-0000-000014010000}"/>
    <cellStyle name="Millares 2 10 2" xfId="289" xr:uid="{00000000-0005-0000-0000-000015010000}"/>
    <cellStyle name="Millares 2 10 2 2" xfId="3755" xr:uid="{00000000-0005-0000-0000-000016010000}"/>
    <cellStyle name="Millares 2 10 3" xfId="290" xr:uid="{00000000-0005-0000-0000-000017010000}"/>
    <cellStyle name="Millares 2 10 3 2" xfId="3756" xr:uid="{00000000-0005-0000-0000-000018010000}"/>
    <cellStyle name="Millares 2 10 4" xfId="291" xr:uid="{00000000-0005-0000-0000-000019010000}"/>
    <cellStyle name="Millares 2 10 4 2" xfId="3757" xr:uid="{00000000-0005-0000-0000-00001A010000}"/>
    <cellStyle name="Millares 2 11" xfId="292" xr:uid="{00000000-0005-0000-0000-00001B010000}"/>
    <cellStyle name="Millares 2 11 2" xfId="293" xr:uid="{00000000-0005-0000-0000-00001C010000}"/>
    <cellStyle name="Millares 2 11 2 2" xfId="3758" xr:uid="{00000000-0005-0000-0000-00001D010000}"/>
    <cellStyle name="Millares 2 11 3" xfId="294" xr:uid="{00000000-0005-0000-0000-00001E010000}"/>
    <cellStyle name="Millares 2 11 3 2" xfId="3759" xr:uid="{00000000-0005-0000-0000-00001F010000}"/>
    <cellStyle name="Millares 2 11 4" xfId="295" xr:uid="{00000000-0005-0000-0000-000020010000}"/>
    <cellStyle name="Millares 2 11 4 2" xfId="3760" xr:uid="{00000000-0005-0000-0000-000021010000}"/>
    <cellStyle name="Millares 2 12" xfId="296" xr:uid="{00000000-0005-0000-0000-000022010000}"/>
    <cellStyle name="Millares 2 12 2" xfId="297" xr:uid="{00000000-0005-0000-0000-000023010000}"/>
    <cellStyle name="Millares 2 12 2 2" xfId="3761" xr:uid="{00000000-0005-0000-0000-000024010000}"/>
    <cellStyle name="Millares 2 12 3" xfId="298" xr:uid="{00000000-0005-0000-0000-000025010000}"/>
    <cellStyle name="Millares 2 12 3 2" xfId="3762" xr:uid="{00000000-0005-0000-0000-000026010000}"/>
    <cellStyle name="Millares 2 12 4" xfId="299" xr:uid="{00000000-0005-0000-0000-000027010000}"/>
    <cellStyle name="Millares 2 12 4 2" xfId="3763" xr:uid="{00000000-0005-0000-0000-000028010000}"/>
    <cellStyle name="Millares 2 13" xfId="300" xr:uid="{00000000-0005-0000-0000-000029010000}"/>
    <cellStyle name="Millares 2 13 2" xfId="301" xr:uid="{00000000-0005-0000-0000-00002A010000}"/>
    <cellStyle name="Millares 2 13 2 2" xfId="3765" xr:uid="{00000000-0005-0000-0000-00002B010000}"/>
    <cellStyle name="Millares 2 13 3" xfId="302" xr:uid="{00000000-0005-0000-0000-00002C010000}"/>
    <cellStyle name="Millares 2 13 3 2" xfId="3766" xr:uid="{00000000-0005-0000-0000-00002D010000}"/>
    <cellStyle name="Millares 2 13 4" xfId="303" xr:uid="{00000000-0005-0000-0000-00002E010000}"/>
    <cellStyle name="Millares 2 13 4 2" xfId="3767" xr:uid="{00000000-0005-0000-0000-00002F010000}"/>
    <cellStyle name="Millares 2 13 5" xfId="3764" xr:uid="{00000000-0005-0000-0000-000030010000}"/>
    <cellStyle name="Millares 2 14" xfId="304" xr:uid="{00000000-0005-0000-0000-000031010000}"/>
    <cellStyle name="Millares 2 14 2" xfId="305" xr:uid="{00000000-0005-0000-0000-000032010000}"/>
    <cellStyle name="Millares 2 14 2 2" xfId="3769" xr:uid="{00000000-0005-0000-0000-000033010000}"/>
    <cellStyle name="Millares 2 14 3" xfId="306" xr:uid="{00000000-0005-0000-0000-000034010000}"/>
    <cellStyle name="Millares 2 14 3 2" xfId="3770" xr:uid="{00000000-0005-0000-0000-000035010000}"/>
    <cellStyle name="Millares 2 14 4" xfId="307" xr:uid="{00000000-0005-0000-0000-000036010000}"/>
    <cellStyle name="Millares 2 14 4 2" xfId="3771" xr:uid="{00000000-0005-0000-0000-000037010000}"/>
    <cellStyle name="Millares 2 14 5" xfId="3768" xr:uid="{00000000-0005-0000-0000-000038010000}"/>
    <cellStyle name="Millares 2 15" xfId="308" xr:uid="{00000000-0005-0000-0000-000039010000}"/>
    <cellStyle name="Millares 2 15 2" xfId="309" xr:uid="{00000000-0005-0000-0000-00003A010000}"/>
    <cellStyle name="Millares 2 15 3" xfId="310" xr:uid="{00000000-0005-0000-0000-00003B010000}"/>
    <cellStyle name="Millares 2 15 3 2" xfId="3772" xr:uid="{00000000-0005-0000-0000-00003C010000}"/>
    <cellStyle name="Millares 2 15 4" xfId="311" xr:uid="{00000000-0005-0000-0000-00003D010000}"/>
    <cellStyle name="Millares 2 15 4 2" xfId="3773" xr:uid="{00000000-0005-0000-0000-00003E010000}"/>
    <cellStyle name="Millares 2 16" xfId="312" xr:uid="{00000000-0005-0000-0000-00003F010000}"/>
    <cellStyle name="Millares 2 16 2" xfId="313" xr:uid="{00000000-0005-0000-0000-000040010000}"/>
    <cellStyle name="Millares 2 16 2 2" xfId="3775" xr:uid="{00000000-0005-0000-0000-000041010000}"/>
    <cellStyle name="Millares 2 16 3" xfId="314" xr:uid="{00000000-0005-0000-0000-000042010000}"/>
    <cellStyle name="Millares 2 16 3 2" xfId="3776" xr:uid="{00000000-0005-0000-0000-000043010000}"/>
    <cellStyle name="Millares 2 16 4" xfId="315" xr:uid="{00000000-0005-0000-0000-000044010000}"/>
    <cellStyle name="Millares 2 16 4 2" xfId="3777" xr:uid="{00000000-0005-0000-0000-000045010000}"/>
    <cellStyle name="Millares 2 16 5" xfId="3774" xr:uid="{00000000-0005-0000-0000-000046010000}"/>
    <cellStyle name="Millares 2 17" xfId="316" xr:uid="{00000000-0005-0000-0000-000047010000}"/>
    <cellStyle name="Millares 2 17 2" xfId="317" xr:uid="{00000000-0005-0000-0000-000048010000}"/>
    <cellStyle name="Millares 2 17 2 2" xfId="3779" xr:uid="{00000000-0005-0000-0000-000049010000}"/>
    <cellStyle name="Millares 2 17 3" xfId="318" xr:uid="{00000000-0005-0000-0000-00004A010000}"/>
    <cellStyle name="Millares 2 17 3 2" xfId="3780" xr:uid="{00000000-0005-0000-0000-00004B010000}"/>
    <cellStyle name="Millares 2 17 4" xfId="319" xr:uid="{00000000-0005-0000-0000-00004C010000}"/>
    <cellStyle name="Millares 2 17 4 2" xfId="3781" xr:uid="{00000000-0005-0000-0000-00004D010000}"/>
    <cellStyle name="Millares 2 17 5" xfId="3778" xr:uid="{00000000-0005-0000-0000-00004E010000}"/>
    <cellStyle name="Millares 2 18" xfId="320" xr:uid="{00000000-0005-0000-0000-00004F010000}"/>
    <cellStyle name="Millares 2 18 2" xfId="321" xr:uid="{00000000-0005-0000-0000-000050010000}"/>
    <cellStyle name="Millares 2 18 2 2" xfId="3783" xr:uid="{00000000-0005-0000-0000-000051010000}"/>
    <cellStyle name="Millares 2 18 3" xfId="322" xr:uid="{00000000-0005-0000-0000-000052010000}"/>
    <cellStyle name="Millares 2 18 3 2" xfId="3784" xr:uid="{00000000-0005-0000-0000-000053010000}"/>
    <cellStyle name="Millares 2 18 4" xfId="323" xr:uid="{00000000-0005-0000-0000-000054010000}"/>
    <cellStyle name="Millares 2 18 4 2" xfId="3785" xr:uid="{00000000-0005-0000-0000-000055010000}"/>
    <cellStyle name="Millares 2 18 5" xfId="3782" xr:uid="{00000000-0005-0000-0000-000056010000}"/>
    <cellStyle name="Millares 2 19" xfId="324" xr:uid="{00000000-0005-0000-0000-000057010000}"/>
    <cellStyle name="Millares 2 19 2" xfId="325" xr:uid="{00000000-0005-0000-0000-000058010000}"/>
    <cellStyle name="Millares 2 19 2 2" xfId="3787" xr:uid="{00000000-0005-0000-0000-000059010000}"/>
    <cellStyle name="Millares 2 19 3" xfId="326" xr:uid="{00000000-0005-0000-0000-00005A010000}"/>
    <cellStyle name="Millares 2 19 3 2" xfId="3788" xr:uid="{00000000-0005-0000-0000-00005B010000}"/>
    <cellStyle name="Millares 2 19 4" xfId="327" xr:uid="{00000000-0005-0000-0000-00005C010000}"/>
    <cellStyle name="Millares 2 19 4 2" xfId="3789" xr:uid="{00000000-0005-0000-0000-00005D010000}"/>
    <cellStyle name="Millares 2 19 5" xfId="3786" xr:uid="{00000000-0005-0000-0000-00005E010000}"/>
    <cellStyle name="Millares 2 2" xfId="328" xr:uid="{00000000-0005-0000-0000-00005F010000}"/>
    <cellStyle name="Millares 2 2 2" xfId="329" xr:uid="{00000000-0005-0000-0000-000060010000}"/>
    <cellStyle name="Millares 2 2 2 2" xfId="3790" xr:uid="{00000000-0005-0000-0000-000061010000}"/>
    <cellStyle name="Millares 2 2 3" xfId="330" xr:uid="{00000000-0005-0000-0000-000062010000}"/>
    <cellStyle name="Millares 2 2 3 2" xfId="3791" xr:uid="{00000000-0005-0000-0000-000063010000}"/>
    <cellStyle name="Millares 2 2 4" xfId="331" xr:uid="{00000000-0005-0000-0000-000064010000}"/>
    <cellStyle name="Millares 2 2 4 2" xfId="3792" xr:uid="{00000000-0005-0000-0000-000065010000}"/>
    <cellStyle name="Millares 2 2 5" xfId="332" xr:uid="{00000000-0005-0000-0000-000066010000}"/>
    <cellStyle name="Millares 2 2 5 2" xfId="3793" xr:uid="{00000000-0005-0000-0000-000067010000}"/>
    <cellStyle name="Millares 2 20" xfId="333" xr:uid="{00000000-0005-0000-0000-000068010000}"/>
    <cellStyle name="Millares 2 20 2" xfId="334" xr:uid="{00000000-0005-0000-0000-000069010000}"/>
    <cellStyle name="Millares 2 20 2 2" xfId="3795" xr:uid="{00000000-0005-0000-0000-00006A010000}"/>
    <cellStyle name="Millares 2 20 3" xfId="335" xr:uid="{00000000-0005-0000-0000-00006B010000}"/>
    <cellStyle name="Millares 2 20 3 2" xfId="3796" xr:uid="{00000000-0005-0000-0000-00006C010000}"/>
    <cellStyle name="Millares 2 20 4" xfId="336" xr:uid="{00000000-0005-0000-0000-00006D010000}"/>
    <cellStyle name="Millares 2 20 4 2" xfId="3797" xr:uid="{00000000-0005-0000-0000-00006E010000}"/>
    <cellStyle name="Millares 2 20 5" xfId="3794" xr:uid="{00000000-0005-0000-0000-00006F010000}"/>
    <cellStyle name="Millares 2 21" xfId="337" xr:uid="{00000000-0005-0000-0000-000070010000}"/>
    <cellStyle name="Millares 2 21 2" xfId="338" xr:uid="{00000000-0005-0000-0000-000071010000}"/>
    <cellStyle name="Millares 2 21 2 2" xfId="3799" xr:uid="{00000000-0005-0000-0000-000072010000}"/>
    <cellStyle name="Millares 2 21 3" xfId="339" xr:uid="{00000000-0005-0000-0000-000073010000}"/>
    <cellStyle name="Millares 2 21 3 2" xfId="3800" xr:uid="{00000000-0005-0000-0000-000074010000}"/>
    <cellStyle name="Millares 2 21 4" xfId="340" xr:uid="{00000000-0005-0000-0000-000075010000}"/>
    <cellStyle name="Millares 2 21 4 2" xfId="3801" xr:uid="{00000000-0005-0000-0000-000076010000}"/>
    <cellStyle name="Millares 2 21 5" xfId="3798" xr:uid="{00000000-0005-0000-0000-000077010000}"/>
    <cellStyle name="Millares 2 22" xfId="341" xr:uid="{00000000-0005-0000-0000-000078010000}"/>
    <cellStyle name="Millares 2 22 2" xfId="342" xr:uid="{00000000-0005-0000-0000-000079010000}"/>
    <cellStyle name="Millares 2 22 2 2" xfId="3803" xr:uid="{00000000-0005-0000-0000-00007A010000}"/>
    <cellStyle name="Millares 2 22 3" xfId="343" xr:uid="{00000000-0005-0000-0000-00007B010000}"/>
    <cellStyle name="Millares 2 22 3 2" xfId="3804" xr:uid="{00000000-0005-0000-0000-00007C010000}"/>
    <cellStyle name="Millares 2 22 4" xfId="344" xr:uid="{00000000-0005-0000-0000-00007D010000}"/>
    <cellStyle name="Millares 2 22 4 2" xfId="3805" xr:uid="{00000000-0005-0000-0000-00007E010000}"/>
    <cellStyle name="Millares 2 22 5" xfId="3802" xr:uid="{00000000-0005-0000-0000-00007F010000}"/>
    <cellStyle name="Millares 2 23" xfId="345" xr:uid="{00000000-0005-0000-0000-000080010000}"/>
    <cellStyle name="Millares 2 23 2" xfId="346" xr:uid="{00000000-0005-0000-0000-000081010000}"/>
    <cellStyle name="Millares 2 23 2 2" xfId="3807" xr:uid="{00000000-0005-0000-0000-000082010000}"/>
    <cellStyle name="Millares 2 23 3" xfId="347" xr:uid="{00000000-0005-0000-0000-000083010000}"/>
    <cellStyle name="Millares 2 23 3 2" xfId="3808" xr:uid="{00000000-0005-0000-0000-000084010000}"/>
    <cellStyle name="Millares 2 23 4" xfId="348" xr:uid="{00000000-0005-0000-0000-000085010000}"/>
    <cellStyle name="Millares 2 23 4 2" xfId="3809" xr:uid="{00000000-0005-0000-0000-000086010000}"/>
    <cellStyle name="Millares 2 23 5" xfId="3806" xr:uid="{00000000-0005-0000-0000-000087010000}"/>
    <cellStyle name="Millares 2 24" xfId="349" xr:uid="{00000000-0005-0000-0000-000088010000}"/>
    <cellStyle name="Millares 2 24 2" xfId="350" xr:uid="{00000000-0005-0000-0000-000089010000}"/>
    <cellStyle name="Millares 2 24 2 2" xfId="3811" xr:uid="{00000000-0005-0000-0000-00008A010000}"/>
    <cellStyle name="Millares 2 24 3" xfId="351" xr:uid="{00000000-0005-0000-0000-00008B010000}"/>
    <cellStyle name="Millares 2 24 3 2" xfId="3812" xr:uid="{00000000-0005-0000-0000-00008C010000}"/>
    <cellStyle name="Millares 2 24 4" xfId="352" xr:uid="{00000000-0005-0000-0000-00008D010000}"/>
    <cellStyle name="Millares 2 24 4 2" xfId="3813" xr:uid="{00000000-0005-0000-0000-00008E010000}"/>
    <cellStyle name="Millares 2 24 5" xfId="3810" xr:uid="{00000000-0005-0000-0000-00008F010000}"/>
    <cellStyle name="Millares 2 25" xfId="353" xr:uid="{00000000-0005-0000-0000-000090010000}"/>
    <cellStyle name="Millares 2 25 2" xfId="354" xr:uid="{00000000-0005-0000-0000-000091010000}"/>
    <cellStyle name="Millares 2 25 2 2" xfId="3815" xr:uid="{00000000-0005-0000-0000-000092010000}"/>
    <cellStyle name="Millares 2 25 3" xfId="355" xr:uid="{00000000-0005-0000-0000-000093010000}"/>
    <cellStyle name="Millares 2 25 3 2" xfId="3816" xr:uid="{00000000-0005-0000-0000-000094010000}"/>
    <cellStyle name="Millares 2 25 4" xfId="356" xr:uid="{00000000-0005-0000-0000-000095010000}"/>
    <cellStyle name="Millares 2 25 4 2" xfId="3817" xr:uid="{00000000-0005-0000-0000-000096010000}"/>
    <cellStyle name="Millares 2 25 5" xfId="3814" xr:uid="{00000000-0005-0000-0000-000097010000}"/>
    <cellStyle name="Millares 2 26" xfId="357" xr:uid="{00000000-0005-0000-0000-000098010000}"/>
    <cellStyle name="Millares 2 26 2" xfId="358" xr:uid="{00000000-0005-0000-0000-000099010000}"/>
    <cellStyle name="Millares 2 26 2 2" xfId="3819" xr:uid="{00000000-0005-0000-0000-00009A010000}"/>
    <cellStyle name="Millares 2 26 3" xfId="359" xr:uid="{00000000-0005-0000-0000-00009B010000}"/>
    <cellStyle name="Millares 2 26 3 2" xfId="3820" xr:uid="{00000000-0005-0000-0000-00009C010000}"/>
    <cellStyle name="Millares 2 26 4" xfId="360" xr:uid="{00000000-0005-0000-0000-00009D010000}"/>
    <cellStyle name="Millares 2 26 4 2" xfId="3821" xr:uid="{00000000-0005-0000-0000-00009E010000}"/>
    <cellStyle name="Millares 2 26 5" xfId="3818" xr:uid="{00000000-0005-0000-0000-00009F010000}"/>
    <cellStyle name="Millares 2 27" xfId="361" xr:uid="{00000000-0005-0000-0000-0000A0010000}"/>
    <cellStyle name="Millares 2 27 2" xfId="362" xr:uid="{00000000-0005-0000-0000-0000A1010000}"/>
    <cellStyle name="Millares 2 27 2 2" xfId="3823" xr:uid="{00000000-0005-0000-0000-0000A2010000}"/>
    <cellStyle name="Millares 2 27 3" xfId="363" xr:uid="{00000000-0005-0000-0000-0000A3010000}"/>
    <cellStyle name="Millares 2 27 3 2" xfId="3824" xr:uid="{00000000-0005-0000-0000-0000A4010000}"/>
    <cellStyle name="Millares 2 27 4" xfId="364" xr:uid="{00000000-0005-0000-0000-0000A5010000}"/>
    <cellStyle name="Millares 2 27 4 2" xfId="3825" xr:uid="{00000000-0005-0000-0000-0000A6010000}"/>
    <cellStyle name="Millares 2 27 5" xfId="3822" xr:uid="{00000000-0005-0000-0000-0000A7010000}"/>
    <cellStyle name="Millares 2 28" xfId="365" xr:uid="{00000000-0005-0000-0000-0000A8010000}"/>
    <cellStyle name="Millares 2 28 2" xfId="366" xr:uid="{00000000-0005-0000-0000-0000A9010000}"/>
    <cellStyle name="Millares 2 28 2 2" xfId="3827" xr:uid="{00000000-0005-0000-0000-0000AA010000}"/>
    <cellStyle name="Millares 2 28 3" xfId="367" xr:uid="{00000000-0005-0000-0000-0000AB010000}"/>
    <cellStyle name="Millares 2 28 3 2" xfId="3828" xr:uid="{00000000-0005-0000-0000-0000AC010000}"/>
    <cellStyle name="Millares 2 28 4" xfId="368" xr:uid="{00000000-0005-0000-0000-0000AD010000}"/>
    <cellStyle name="Millares 2 28 4 2" xfId="3829" xr:uid="{00000000-0005-0000-0000-0000AE010000}"/>
    <cellStyle name="Millares 2 28 5" xfId="3826" xr:uid="{00000000-0005-0000-0000-0000AF010000}"/>
    <cellStyle name="Millares 2 29" xfId="369" xr:uid="{00000000-0005-0000-0000-0000B0010000}"/>
    <cellStyle name="Millares 2 29 2" xfId="370" xr:uid="{00000000-0005-0000-0000-0000B1010000}"/>
    <cellStyle name="Millares 2 29 2 2" xfId="3831" xr:uid="{00000000-0005-0000-0000-0000B2010000}"/>
    <cellStyle name="Millares 2 29 3" xfId="371" xr:uid="{00000000-0005-0000-0000-0000B3010000}"/>
    <cellStyle name="Millares 2 29 3 2" xfId="3832" xr:uid="{00000000-0005-0000-0000-0000B4010000}"/>
    <cellStyle name="Millares 2 29 4" xfId="372" xr:uid="{00000000-0005-0000-0000-0000B5010000}"/>
    <cellStyle name="Millares 2 29 4 2" xfId="3833" xr:uid="{00000000-0005-0000-0000-0000B6010000}"/>
    <cellStyle name="Millares 2 29 5" xfId="3830" xr:uid="{00000000-0005-0000-0000-0000B7010000}"/>
    <cellStyle name="Millares 2 3" xfId="373" xr:uid="{00000000-0005-0000-0000-0000B8010000}"/>
    <cellStyle name="Millares 2 3 2" xfId="374" xr:uid="{00000000-0005-0000-0000-0000B9010000}"/>
    <cellStyle name="Millares 2 3 3" xfId="375" xr:uid="{00000000-0005-0000-0000-0000BA010000}"/>
    <cellStyle name="Millares 2 3 4" xfId="376" xr:uid="{00000000-0005-0000-0000-0000BB010000}"/>
    <cellStyle name="Millares 2 3 4 2" xfId="3834" xr:uid="{00000000-0005-0000-0000-0000BC010000}"/>
    <cellStyle name="Millares 2 30" xfId="377" xr:uid="{00000000-0005-0000-0000-0000BD010000}"/>
    <cellStyle name="Millares 2 30 2" xfId="378" xr:uid="{00000000-0005-0000-0000-0000BE010000}"/>
    <cellStyle name="Millares 2 30 2 2" xfId="3836" xr:uid="{00000000-0005-0000-0000-0000BF010000}"/>
    <cellStyle name="Millares 2 30 3" xfId="379" xr:uid="{00000000-0005-0000-0000-0000C0010000}"/>
    <cellStyle name="Millares 2 30 3 2" xfId="3837" xr:uid="{00000000-0005-0000-0000-0000C1010000}"/>
    <cellStyle name="Millares 2 30 4" xfId="380" xr:uid="{00000000-0005-0000-0000-0000C2010000}"/>
    <cellStyle name="Millares 2 30 4 2" xfId="3838" xr:uid="{00000000-0005-0000-0000-0000C3010000}"/>
    <cellStyle name="Millares 2 30 5" xfId="3835" xr:uid="{00000000-0005-0000-0000-0000C4010000}"/>
    <cellStyle name="Millares 2 31" xfId="381" xr:uid="{00000000-0005-0000-0000-0000C5010000}"/>
    <cellStyle name="Millares 2 32" xfId="382" xr:uid="{00000000-0005-0000-0000-0000C6010000}"/>
    <cellStyle name="Millares 2 32 2" xfId="3839" xr:uid="{00000000-0005-0000-0000-0000C7010000}"/>
    <cellStyle name="Millares 2 33" xfId="3753" xr:uid="{00000000-0005-0000-0000-0000C8010000}"/>
    <cellStyle name="Millares 2 4" xfId="383" xr:uid="{00000000-0005-0000-0000-0000C9010000}"/>
    <cellStyle name="Millares 2 4 2" xfId="384" xr:uid="{00000000-0005-0000-0000-0000CA010000}"/>
    <cellStyle name="Millares 2 4 2 2" xfId="3840" xr:uid="{00000000-0005-0000-0000-0000CB010000}"/>
    <cellStyle name="Millares 2 4 3" xfId="385" xr:uid="{00000000-0005-0000-0000-0000CC010000}"/>
    <cellStyle name="Millares 2 4 3 2" xfId="3841" xr:uid="{00000000-0005-0000-0000-0000CD010000}"/>
    <cellStyle name="Millares 2 4 4" xfId="386" xr:uid="{00000000-0005-0000-0000-0000CE010000}"/>
    <cellStyle name="Millares 2 4 4 2" xfId="3842" xr:uid="{00000000-0005-0000-0000-0000CF010000}"/>
    <cellStyle name="Millares 2 5" xfId="387" xr:uid="{00000000-0005-0000-0000-0000D0010000}"/>
    <cellStyle name="Millares 2 5 2" xfId="388" xr:uid="{00000000-0005-0000-0000-0000D1010000}"/>
    <cellStyle name="Millares 2 5 2 2" xfId="3843" xr:uid="{00000000-0005-0000-0000-0000D2010000}"/>
    <cellStyle name="Millares 2 5 3" xfId="389" xr:uid="{00000000-0005-0000-0000-0000D3010000}"/>
    <cellStyle name="Millares 2 5 3 2" xfId="3844" xr:uid="{00000000-0005-0000-0000-0000D4010000}"/>
    <cellStyle name="Millares 2 5 4" xfId="390" xr:uid="{00000000-0005-0000-0000-0000D5010000}"/>
    <cellStyle name="Millares 2 5 4 2" xfId="3845" xr:uid="{00000000-0005-0000-0000-0000D6010000}"/>
    <cellStyle name="Millares 2 6" xfId="391" xr:uid="{00000000-0005-0000-0000-0000D7010000}"/>
    <cellStyle name="Millares 2 6 2" xfId="392" xr:uid="{00000000-0005-0000-0000-0000D8010000}"/>
    <cellStyle name="Millares 2 6 2 2" xfId="3846" xr:uid="{00000000-0005-0000-0000-0000D9010000}"/>
    <cellStyle name="Millares 2 6 3" xfId="393" xr:uid="{00000000-0005-0000-0000-0000DA010000}"/>
    <cellStyle name="Millares 2 6 3 2" xfId="3847" xr:uid="{00000000-0005-0000-0000-0000DB010000}"/>
    <cellStyle name="Millares 2 6 4" xfId="394" xr:uid="{00000000-0005-0000-0000-0000DC010000}"/>
    <cellStyle name="Millares 2 6 4 2" xfId="3848" xr:uid="{00000000-0005-0000-0000-0000DD010000}"/>
    <cellStyle name="Millares 2 6 5" xfId="395" xr:uid="{00000000-0005-0000-0000-0000DE010000}"/>
    <cellStyle name="Millares 2 6 5 2" xfId="3849" xr:uid="{00000000-0005-0000-0000-0000DF010000}"/>
    <cellStyle name="Millares 2 6 6" xfId="396" xr:uid="{00000000-0005-0000-0000-0000E0010000}"/>
    <cellStyle name="Millares 2 6 6 2" xfId="3850" xr:uid="{00000000-0005-0000-0000-0000E1010000}"/>
    <cellStyle name="Millares 2 6 7" xfId="397" xr:uid="{00000000-0005-0000-0000-0000E2010000}"/>
    <cellStyle name="Millares 2 6 7 2" xfId="3851" xr:uid="{00000000-0005-0000-0000-0000E3010000}"/>
    <cellStyle name="Millares 2 6 8" xfId="398" xr:uid="{00000000-0005-0000-0000-0000E4010000}"/>
    <cellStyle name="Millares 2 6 8 2" xfId="3852" xr:uid="{00000000-0005-0000-0000-0000E5010000}"/>
    <cellStyle name="Millares 2 7" xfId="399" xr:uid="{00000000-0005-0000-0000-0000E6010000}"/>
    <cellStyle name="Millares 2 7 2" xfId="400" xr:uid="{00000000-0005-0000-0000-0000E7010000}"/>
    <cellStyle name="Millares 2 7 2 2" xfId="3853" xr:uid="{00000000-0005-0000-0000-0000E8010000}"/>
    <cellStyle name="Millares 2 7 3" xfId="401" xr:uid="{00000000-0005-0000-0000-0000E9010000}"/>
    <cellStyle name="Millares 2 7 3 2" xfId="3854" xr:uid="{00000000-0005-0000-0000-0000EA010000}"/>
    <cellStyle name="Millares 2 7 4" xfId="402" xr:uid="{00000000-0005-0000-0000-0000EB010000}"/>
    <cellStyle name="Millares 2 7 4 2" xfId="3855" xr:uid="{00000000-0005-0000-0000-0000EC010000}"/>
    <cellStyle name="Millares 2 8" xfId="403" xr:uid="{00000000-0005-0000-0000-0000ED010000}"/>
    <cellStyle name="Millares 2 8 2" xfId="404" xr:uid="{00000000-0005-0000-0000-0000EE010000}"/>
    <cellStyle name="Millares 2 8 2 2" xfId="3856" xr:uid="{00000000-0005-0000-0000-0000EF010000}"/>
    <cellStyle name="Millares 2 8 3" xfId="405" xr:uid="{00000000-0005-0000-0000-0000F0010000}"/>
    <cellStyle name="Millares 2 8 3 2" xfId="3857" xr:uid="{00000000-0005-0000-0000-0000F1010000}"/>
    <cellStyle name="Millares 2 8 4" xfId="406" xr:uid="{00000000-0005-0000-0000-0000F2010000}"/>
    <cellStyle name="Millares 2 8 4 2" xfId="3858" xr:uid="{00000000-0005-0000-0000-0000F3010000}"/>
    <cellStyle name="Millares 2 9" xfId="407" xr:uid="{00000000-0005-0000-0000-0000F4010000}"/>
    <cellStyle name="Millares 2 9 2" xfId="408" xr:uid="{00000000-0005-0000-0000-0000F5010000}"/>
    <cellStyle name="Millares 2 9 2 2" xfId="3859" xr:uid="{00000000-0005-0000-0000-0000F6010000}"/>
    <cellStyle name="Millares 2 9 3" xfId="409" xr:uid="{00000000-0005-0000-0000-0000F7010000}"/>
    <cellStyle name="Millares 2 9 3 2" xfId="3860" xr:uid="{00000000-0005-0000-0000-0000F8010000}"/>
    <cellStyle name="Millares 2 9 4" xfId="410" xr:uid="{00000000-0005-0000-0000-0000F9010000}"/>
    <cellStyle name="Millares 2 9 4 2" xfId="3861" xr:uid="{00000000-0005-0000-0000-0000FA010000}"/>
    <cellStyle name="Millares 20" xfId="411" xr:uid="{00000000-0005-0000-0000-0000FB010000}"/>
    <cellStyle name="Millares 21" xfId="412" xr:uid="{00000000-0005-0000-0000-0000FC010000}"/>
    <cellStyle name="Millares 22" xfId="413" xr:uid="{00000000-0005-0000-0000-0000FD010000}"/>
    <cellStyle name="Millares 23" xfId="414" xr:uid="{00000000-0005-0000-0000-0000FE010000}"/>
    <cellStyle name="Millares 24" xfId="415" xr:uid="{00000000-0005-0000-0000-0000FF010000}"/>
    <cellStyle name="Millares 25" xfId="416" xr:uid="{00000000-0005-0000-0000-000000020000}"/>
    <cellStyle name="Millares 26" xfId="417" xr:uid="{00000000-0005-0000-0000-000001020000}"/>
    <cellStyle name="Millares 27" xfId="418" xr:uid="{00000000-0005-0000-0000-000002020000}"/>
    <cellStyle name="Millares 28" xfId="419" xr:uid="{00000000-0005-0000-0000-000003020000}"/>
    <cellStyle name="Millares 29" xfId="420" xr:uid="{00000000-0005-0000-0000-000004020000}"/>
    <cellStyle name="Millares 3" xfId="421" xr:uid="{00000000-0005-0000-0000-000005020000}"/>
    <cellStyle name="Millares 3 2" xfId="422" xr:uid="{00000000-0005-0000-0000-000006020000}"/>
    <cellStyle name="Millares 3 3" xfId="423" xr:uid="{00000000-0005-0000-0000-000007020000}"/>
    <cellStyle name="Millares 3 4" xfId="424" xr:uid="{00000000-0005-0000-0000-000008020000}"/>
    <cellStyle name="Millares 30" xfId="425" xr:uid="{00000000-0005-0000-0000-000009020000}"/>
    <cellStyle name="Millares 31" xfId="13" xr:uid="{00000000-0005-0000-0000-00000A020000}"/>
    <cellStyle name="Millares 32" xfId="3752" xr:uid="{00000000-0005-0000-0000-00000B020000}"/>
    <cellStyle name="Millares 4" xfId="426" xr:uid="{00000000-0005-0000-0000-00000C020000}"/>
    <cellStyle name="Millares 4 2" xfId="427" xr:uid="{00000000-0005-0000-0000-00000D020000}"/>
    <cellStyle name="Millares 4 3" xfId="428" xr:uid="{00000000-0005-0000-0000-00000E020000}"/>
    <cellStyle name="Millares 4 4" xfId="429" xr:uid="{00000000-0005-0000-0000-00000F020000}"/>
    <cellStyle name="Millares 4 5" xfId="430" xr:uid="{00000000-0005-0000-0000-000010020000}"/>
    <cellStyle name="Millares 5" xfId="431" xr:uid="{00000000-0005-0000-0000-000011020000}"/>
    <cellStyle name="Millares 5 2" xfId="432" xr:uid="{00000000-0005-0000-0000-000012020000}"/>
    <cellStyle name="Millares 5 3" xfId="433" xr:uid="{00000000-0005-0000-0000-000013020000}"/>
    <cellStyle name="Millares 5 4" xfId="434" xr:uid="{00000000-0005-0000-0000-000014020000}"/>
    <cellStyle name="Millares 5 5" xfId="435" xr:uid="{00000000-0005-0000-0000-000015020000}"/>
    <cellStyle name="Millares 6" xfId="436" xr:uid="{00000000-0005-0000-0000-000016020000}"/>
    <cellStyle name="Millares 6 2" xfId="437" xr:uid="{00000000-0005-0000-0000-000017020000}"/>
    <cellStyle name="Millares 6 3" xfId="438" xr:uid="{00000000-0005-0000-0000-000018020000}"/>
    <cellStyle name="Millares 6 4" xfId="439" xr:uid="{00000000-0005-0000-0000-000019020000}"/>
    <cellStyle name="Millares 6 5" xfId="440" xr:uid="{00000000-0005-0000-0000-00001A020000}"/>
    <cellStyle name="Millares 7" xfId="441" xr:uid="{00000000-0005-0000-0000-00001B020000}"/>
    <cellStyle name="Millares 7 2" xfId="442" xr:uid="{00000000-0005-0000-0000-00001C020000}"/>
    <cellStyle name="Millares 7 3" xfId="443" xr:uid="{00000000-0005-0000-0000-00001D020000}"/>
    <cellStyle name="Millares 7 4" xfId="444" xr:uid="{00000000-0005-0000-0000-00001E020000}"/>
    <cellStyle name="Millares 8" xfId="445" xr:uid="{00000000-0005-0000-0000-00001F020000}"/>
    <cellStyle name="Millares 9" xfId="446" xr:uid="{00000000-0005-0000-0000-000020020000}"/>
    <cellStyle name="Millares 9 2" xfId="447" xr:uid="{00000000-0005-0000-0000-000021020000}"/>
    <cellStyle name="MILLONES" xfId="448" xr:uid="{00000000-0005-0000-0000-000022020000}"/>
    <cellStyle name="Moneda" xfId="9" builtinId="4"/>
    <cellStyle name="Moneda [0] 2" xfId="3749" xr:uid="{00000000-0005-0000-0000-000024020000}"/>
    <cellStyle name="Moneda [0] 2 2 2" xfId="3740" xr:uid="{00000000-0005-0000-0000-000025020000}"/>
    <cellStyle name="Moneda 10" xfId="449" xr:uid="{00000000-0005-0000-0000-000026020000}"/>
    <cellStyle name="Moneda 11" xfId="450" xr:uid="{00000000-0005-0000-0000-000027020000}"/>
    <cellStyle name="Moneda 12" xfId="451" xr:uid="{00000000-0005-0000-0000-000028020000}"/>
    <cellStyle name="Moneda 13" xfId="452" xr:uid="{00000000-0005-0000-0000-000029020000}"/>
    <cellStyle name="Moneda 14" xfId="453" xr:uid="{00000000-0005-0000-0000-00002A020000}"/>
    <cellStyle name="Moneda 15" xfId="454" xr:uid="{00000000-0005-0000-0000-00002B020000}"/>
    <cellStyle name="Moneda 16" xfId="455" xr:uid="{00000000-0005-0000-0000-00002C020000}"/>
    <cellStyle name="Moneda 17" xfId="456" xr:uid="{00000000-0005-0000-0000-00002D020000}"/>
    <cellStyle name="Moneda 18" xfId="457" xr:uid="{00000000-0005-0000-0000-00002E020000}"/>
    <cellStyle name="Moneda 19" xfId="458" xr:uid="{00000000-0005-0000-0000-00002F020000}"/>
    <cellStyle name="Moneda 2" xfId="3" xr:uid="{00000000-0005-0000-0000-000030020000}"/>
    <cellStyle name="Moneda 2 10" xfId="459" xr:uid="{00000000-0005-0000-0000-000031020000}"/>
    <cellStyle name="Moneda 2 10 2" xfId="460" xr:uid="{00000000-0005-0000-0000-000032020000}"/>
    <cellStyle name="Moneda 2 10 3" xfId="461" xr:uid="{00000000-0005-0000-0000-000033020000}"/>
    <cellStyle name="Moneda 2 10 4" xfId="462" xr:uid="{00000000-0005-0000-0000-000034020000}"/>
    <cellStyle name="Moneda 2 11" xfId="463" xr:uid="{00000000-0005-0000-0000-000035020000}"/>
    <cellStyle name="Moneda 2 11 2" xfId="464" xr:uid="{00000000-0005-0000-0000-000036020000}"/>
    <cellStyle name="Moneda 2 11 3" xfId="465" xr:uid="{00000000-0005-0000-0000-000037020000}"/>
    <cellStyle name="Moneda 2 11 4" xfId="466" xr:uid="{00000000-0005-0000-0000-000038020000}"/>
    <cellStyle name="Moneda 2 12" xfId="467" xr:uid="{00000000-0005-0000-0000-000039020000}"/>
    <cellStyle name="Moneda 2 12 2" xfId="468" xr:uid="{00000000-0005-0000-0000-00003A020000}"/>
    <cellStyle name="Moneda 2 12 3" xfId="469" xr:uid="{00000000-0005-0000-0000-00003B020000}"/>
    <cellStyle name="Moneda 2 12 4" xfId="470" xr:uid="{00000000-0005-0000-0000-00003C020000}"/>
    <cellStyle name="Moneda 2 12 5" xfId="471" xr:uid="{00000000-0005-0000-0000-00003D020000}"/>
    <cellStyle name="Moneda 2 12 6" xfId="472" xr:uid="{00000000-0005-0000-0000-00003E020000}"/>
    <cellStyle name="Moneda 2 12 7" xfId="473" xr:uid="{00000000-0005-0000-0000-00003F020000}"/>
    <cellStyle name="Moneda 2 12 8" xfId="474" xr:uid="{00000000-0005-0000-0000-000040020000}"/>
    <cellStyle name="Moneda 2 13" xfId="475" xr:uid="{00000000-0005-0000-0000-000041020000}"/>
    <cellStyle name="Moneda 2 13 2" xfId="476" xr:uid="{00000000-0005-0000-0000-000042020000}"/>
    <cellStyle name="Moneda 2 13 3" xfId="477" xr:uid="{00000000-0005-0000-0000-000043020000}"/>
    <cellStyle name="Moneda 2 13 4" xfId="478" xr:uid="{00000000-0005-0000-0000-000044020000}"/>
    <cellStyle name="Moneda 2 14" xfId="479" xr:uid="{00000000-0005-0000-0000-000045020000}"/>
    <cellStyle name="Moneda 2 14 2" xfId="480" xr:uid="{00000000-0005-0000-0000-000046020000}"/>
    <cellStyle name="Moneda 2 14 3" xfId="481" xr:uid="{00000000-0005-0000-0000-000047020000}"/>
    <cellStyle name="Moneda 2 14 4" xfId="482" xr:uid="{00000000-0005-0000-0000-000048020000}"/>
    <cellStyle name="Moneda 2 15" xfId="483" xr:uid="{00000000-0005-0000-0000-000049020000}"/>
    <cellStyle name="Moneda 2 15 2" xfId="484" xr:uid="{00000000-0005-0000-0000-00004A020000}"/>
    <cellStyle name="Moneda 2 15 3" xfId="485" xr:uid="{00000000-0005-0000-0000-00004B020000}"/>
    <cellStyle name="Moneda 2 15 4" xfId="486" xr:uid="{00000000-0005-0000-0000-00004C020000}"/>
    <cellStyle name="Moneda 2 16" xfId="487" xr:uid="{00000000-0005-0000-0000-00004D020000}"/>
    <cellStyle name="Moneda 2 16 2" xfId="488" xr:uid="{00000000-0005-0000-0000-00004E020000}"/>
    <cellStyle name="Moneda 2 16 3" xfId="489" xr:uid="{00000000-0005-0000-0000-00004F020000}"/>
    <cellStyle name="Moneda 2 16 4" xfId="490" xr:uid="{00000000-0005-0000-0000-000050020000}"/>
    <cellStyle name="Moneda 2 17" xfId="491" xr:uid="{00000000-0005-0000-0000-000051020000}"/>
    <cellStyle name="Moneda 2 17 2" xfId="492" xr:uid="{00000000-0005-0000-0000-000052020000}"/>
    <cellStyle name="Moneda 2 17 3" xfId="493" xr:uid="{00000000-0005-0000-0000-000053020000}"/>
    <cellStyle name="Moneda 2 17 4" xfId="494" xr:uid="{00000000-0005-0000-0000-000054020000}"/>
    <cellStyle name="Moneda 2 18" xfId="495" xr:uid="{00000000-0005-0000-0000-000055020000}"/>
    <cellStyle name="Moneda 2 18 2" xfId="496" xr:uid="{00000000-0005-0000-0000-000056020000}"/>
    <cellStyle name="Moneda 2 18 3" xfId="497" xr:uid="{00000000-0005-0000-0000-000057020000}"/>
    <cellStyle name="Moneda 2 18 4" xfId="498" xr:uid="{00000000-0005-0000-0000-000058020000}"/>
    <cellStyle name="Moneda 2 19" xfId="499" xr:uid="{00000000-0005-0000-0000-000059020000}"/>
    <cellStyle name="Moneda 2 19 2" xfId="500" xr:uid="{00000000-0005-0000-0000-00005A020000}"/>
    <cellStyle name="Moneda 2 19 3" xfId="501" xr:uid="{00000000-0005-0000-0000-00005B020000}"/>
    <cellStyle name="Moneda 2 19 4" xfId="502" xr:uid="{00000000-0005-0000-0000-00005C020000}"/>
    <cellStyle name="Moneda 2 2" xfId="503" xr:uid="{00000000-0005-0000-0000-00005D020000}"/>
    <cellStyle name="Moneda 2 2 10" xfId="504" xr:uid="{00000000-0005-0000-0000-00005E020000}"/>
    <cellStyle name="Moneda 2 2 10 2" xfId="505" xr:uid="{00000000-0005-0000-0000-00005F020000}"/>
    <cellStyle name="Moneda 2 2 10 3" xfId="506" xr:uid="{00000000-0005-0000-0000-000060020000}"/>
    <cellStyle name="Moneda 2 2 10 4" xfId="507" xr:uid="{00000000-0005-0000-0000-000061020000}"/>
    <cellStyle name="Moneda 2 2 11" xfId="508" xr:uid="{00000000-0005-0000-0000-000062020000}"/>
    <cellStyle name="Moneda 2 2 11 2" xfId="509" xr:uid="{00000000-0005-0000-0000-000063020000}"/>
    <cellStyle name="Moneda 2 2 11 3" xfId="510" xr:uid="{00000000-0005-0000-0000-000064020000}"/>
    <cellStyle name="Moneda 2 2 11 4" xfId="511" xr:uid="{00000000-0005-0000-0000-000065020000}"/>
    <cellStyle name="Moneda 2 2 12" xfId="512" xr:uid="{00000000-0005-0000-0000-000066020000}"/>
    <cellStyle name="Moneda 2 2 12 2" xfId="513" xr:uid="{00000000-0005-0000-0000-000067020000}"/>
    <cellStyle name="Moneda 2 2 12 3" xfId="514" xr:uid="{00000000-0005-0000-0000-000068020000}"/>
    <cellStyle name="Moneda 2 2 12 4" xfId="515" xr:uid="{00000000-0005-0000-0000-000069020000}"/>
    <cellStyle name="Moneda 2 2 13" xfId="516" xr:uid="{00000000-0005-0000-0000-00006A020000}"/>
    <cellStyle name="Moneda 2 2 13 2" xfId="517" xr:uid="{00000000-0005-0000-0000-00006B020000}"/>
    <cellStyle name="Moneda 2 2 13 3" xfId="518" xr:uid="{00000000-0005-0000-0000-00006C020000}"/>
    <cellStyle name="Moneda 2 2 13 4" xfId="519" xr:uid="{00000000-0005-0000-0000-00006D020000}"/>
    <cellStyle name="Moneda 2 2 14" xfId="520" xr:uid="{00000000-0005-0000-0000-00006E020000}"/>
    <cellStyle name="Moneda 2 2 14 2" xfId="521" xr:uid="{00000000-0005-0000-0000-00006F020000}"/>
    <cellStyle name="Moneda 2 2 14 3" xfId="522" xr:uid="{00000000-0005-0000-0000-000070020000}"/>
    <cellStyle name="Moneda 2 2 14 4" xfId="523" xr:uid="{00000000-0005-0000-0000-000071020000}"/>
    <cellStyle name="Moneda 2 2 15" xfId="524" xr:uid="{00000000-0005-0000-0000-000072020000}"/>
    <cellStyle name="Moneda 2 2 15 2" xfId="525" xr:uid="{00000000-0005-0000-0000-000073020000}"/>
    <cellStyle name="Moneda 2 2 15 3" xfId="526" xr:uid="{00000000-0005-0000-0000-000074020000}"/>
    <cellStyle name="Moneda 2 2 15 4" xfId="527" xr:uid="{00000000-0005-0000-0000-000075020000}"/>
    <cellStyle name="Moneda 2 2 16" xfId="528" xr:uid="{00000000-0005-0000-0000-000076020000}"/>
    <cellStyle name="Moneda 2 2 16 2" xfId="529" xr:uid="{00000000-0005-0000-0000-000077020000}"/>
    <cellStyle name="Moneda 2 2 16 3" xfId="530" xr:uid="{00000000-0005-0000-0000-000078020000}"/>
    <cellStyle name="Moneda 2 2 16 4" xfId="531" xr:uid="{00000000-0005-0000-0000-000079020000}"/>
    <cellStyle name="Moneda 2 2 17" xfId="532" xr:uid="{00000000-0005-0000-0000-00007A020000}"/>
    <cellStyle name="Moneda 2 2 17 2" xfId="533" xr:uid="{00000000-0005-0000-0000-00007B020000}"/>
    <cellStyle name="Moneda 2 2 17 3" xfId="534" xr:uid="{00000000-0005-0000-0000-00007C020000}"/>
    <cellStyle name="Moneda 2 2 17 4" xfId="535" xr:uid="{00000000-0005-0000-0000-00007D020000}"/>
    <cellStyle name="Moneda 2 2 18" xfId="536" xr:uid="{00000000-0005-0000-0000-00007E020000}"/>
    <cellStyle name="Moneda 2 2 18 2" xfId="537" xr:uid="{00000000-0005-0000-0000-00007F020000}"/>
    <cellStyle name="Moneda 2 2 18 3" xfId="538" xr:uid="{00000000-0005-0000-0000-000080020000}"/>
    <cellStyle name="Moneda 2 2 18 4" xfId="539" xr:uid="{00000000-0005-0000-0000-000081020000}"/>
    <cellStyle name="Moneda 2 2 19" xfId="540" xr:uid="{00000000-0005-0000-0000-000082020000}"/>
    <cellStyle name="Moneda 2 2 19 2" xfId="541" xr:uid="{00000000-0005-0000-0000-000083020000}"/>
    <cellStyle name="Moneda 2 2 19 3" xfId="542" xr:uid="{00000000-0005-0000-0000-000084020000}"/>
    <cellStyle name="Moneda 2 2 19 4" xfId="543" xr:uid="{00000000-0005-0000-0000-000085020000}"/>
    <cellStyle name="Moneda 2 2 2" xfId="544" xr:uid="{00000000-0005-0000-0000-000086020000}"/>
    <cellStyle name="Moneda 2 2 2 2" xfId="545" xr:uid="{00000000-0005-0000-0000-000087020000}"/>
    <cellStyle name="Moneda 2 2 2 3" xfId="546" xr:uid="{00000000-0005-0000-0000-000088020000}"/>
    <cellStyle name="Moneda 2 2 2 4" xfId="547" xr:uid="{00000000-0005-0000-0000-000089020000}"/>
    <cellStyle name="Moneda 2 2 2 5" xfId="548" xr:uid="{00000000-0005-0000-0000-00008A020000}"/>
    <cellStyle name="Moneda 2 2 2 6" xfId="549" xr:uid="{00000000-0005-0000-0000-00008B020000}"/>
    <cellStyle name="Moneda 2 2 2 7" xfId="550" xr:uid="{00000000-0005-0000-0000-00008C020000}"/>
    <cellStyle name="Moneda 2 2 20" xfId="551" xr:uid="{00000000-0005-0000-0000-00008D020000}"/>
    <cellStyle name="Moneda 2 2 20 2" xfId="552" xr:uid="{00000000-0005-0000-0000-00008E020000}"/>
    <cellStyle name="Moneda 2 2 20 3" xfId="553" xr:uid="{00000000-0005-0000-0000-00008F020000}"/>
    <cellStyle name="Moneda 2 2 20 4" xfId="554" xr:uid="{00000000-0005-0000-0000-000090020000}"/>
    <cellStyle name="Moneda 2 2 21" xfId="555" xr:uid="{00000000-0005-0000-0000-000091020000}"/>
    <cellStyle name="Moneda 2 2 21 2" xfId="556" xr:uid="{00000000-0005-0000-0000-000092020000}"/>
    <cellStyle name="Moneda 2 2 21 3" xfId="557" xr:uid="{00000000-0005-0000-0000-000093020000}"/>
    <cellStyle name="Moneda 2 2 21 4" xfId="558" xr:uid="{00000000-0005-0000-0000-000094020000}"/>
    <cellStyle name="Moneda 2 2 22" xfId="559" xr:uid="{00000000-0005-0000-0000-000095020000}"/>
    <cellStyle name="Moneda 2 2 22 2" xfId="560" xr:uid="{00000000-0005-0000-0000-000096020000}"/>
    <cellStyle name="Moneda 2 2 22 3" xfId="561" xr:uid="{00000000-0005-0000-0000-000097020000}"/>
    <cellStyle name="Moneda 2 2 22 4" xfId="562" xr:uid="{00000000-0005-0000-0000-000098020000}"/>
    <cellStyle name="Moneda 2 2 23" xfId="563" xr:uid="{00000000-0005-0000-0000-000099020000}"/>
    <cellStyle name="Moneda 2 2 23 2" xfId="564" xr:uid="{00000000-0005-0000-0000-00009A020000}"/>
    <cellStyle name="Moneda 2 2 23 3" xfId="565" xr:uid="{00000000-0005-0000-0000-00009B020000}"/>
    <cellStyle name="Moneda 2 2 23 4" xfId="566" xr:uid="{00000000-0005-0000-0000-00009C020000}"/>
    <cellStyle name="Moneda 2 2 24" xfId="567" xr:uid="{00000000-0005-0000-0000-00009D020000}"/>
    <cellStyle name="Moneda 2 2 24 2" xfId="568" xr:uid="{00000000-0005-0000-0000-00009E020000}"/>
    <cellStyle name="Moneda 2 2 24 3" xfId="569" xr:uid="{00000000-0005-0000-0000-00009F020000}"/>
    <cellStyle name="Moneda 2 2 24 4" xfId="570" xr:uid="{00000000-0005-0000-0000-0000A0020000}"/>
    <cellStyle name="Moneda 2 2 25" xfId="571" xr:uid="{00000000-0005-0000-0000-0000A1020000}"/>
    <cellStyle name="Moneda 2 2 25 2" xfId="572" xr:uid="{00000000-0005-0000-0000-0000A2020000}"/>
    <cellStyle name="Moneda 2 2 25 3" xfId="573" xr:uid="{00000000-0005-0000-0000-0000A3020000}"/>
    <cellStyle name="Moneda 2 2 25 4" xfId="574" xr:uid="{00000000-0005-0000-0000-0000A4020000}"/>
    <cellStyle name="Moneda 2 2 26" xfId="575" xr:uid="{00000000-0005-0000-0000-0000A5020000}"/>
    <cellStyle name="Moneda 2 2 26 2" xfId="576" xr:uid="{00000000-0005-0000-0000-0000A6020000}"/>
    <cellStyle name="Moneda 2 2 26 3" xfId="577" xr:uid="{00000000-0005-0000-0000-0000A7020000}"/>
    <cellStyle name="Moneda 2 2 26 4" xfId="578" xr:uid="{00000000-0005-0000-0000-0000A8020000}"/>
    <cellStyle name="Moneda 2 2 27" xfId="579" xr:uid="{00000000-0005-0000-0000-0000A9020000}"/>
    <cellStyle name="Moneda 2 2 27 2" xfId="580" xr:uid="{00000000-0005-0000-0000-0000AA020000}"/>
    <cellStyle name="Moneda 2 2 27 3" xfId="581" xr:uid="{00000000-0005-0000-0000-0000AB020000}"/>
    <cellStyle name="Moneda 2 2 27 4" xfId="582" xr:uid="{00000000-0005-0000-0000-0000AC020000}"/>
    <cellStyle name="Moneda 2 2 28" xfId="583" xr:uid="{00000000-0005-0000-0000-0000AD020000}"/>
    <cellStyle name="Moneda 2 2 28 2" xfId="584" xr:uid="{00000000-0005-0000-0000-0000AE020000}"/>
    <cellStyle name="Moneda 2 2 28 3" xfId="585" xr:uid="{00000000-0005-0000-0000-0000AF020000}"/>
    <cellStyle name="Moneda 2 2 28 4" xfId="586" xr:uid="{00000000-0005-0000-0000-0000B0020000}"/>
    <cellStyle name="Moneda 2 2 29" xfId="587" xr:uid="{00000000-0005-0000-0000-0000B1020000}"/>
    <cellStyle name="Moneda 2 2 29 2" xfId="588" xr:uid="{00000000-0005-0000-0000-0000B2020000}"/>
    <cellStyle name="Moneda 2 2 29 3" xfId="589" xr:uid="{00000000-0005-0000-0000-0000B3020000}"/>
    <cellStyle name="Moneda 2 2 29 4" xfId="590" xr:uid="{00000000-0005-0000-0000-0000B4020000}"/>
    <cellStyle name="Moneda 2 2 3" xfId="591" xr:uid="{00000000-0005-0000-0000-0000B5020000}"/>
    <cellStyle name="Moneda 2 2 3 2" xfId="592" xr:uid="{00000000-0005-0000-0000-0000B6020000}"/>
    <cellStyle name="Moneda 2 2 3 3" xfId="593" xr:uid="{00000000-0005-0000-0000-0000B7020000}"/>
    <cellStyle name="Moneda 2 2 3 4" xfId="594" xr:uid="{00000000-0005-0000-0000-0000B8020000}"/>
    <cellStyle name="Moneda 2 2 30" xfId="595" xr:uid="{00000000-0005-0000-0000-0000B9020000}"/>
    <cellStyle name="Moneda 2 2 30 2" xfId="596" xr:uid="{00000000-0005-0000-0000-0000BA020000}"/>
    <cellStyle name="Moneda 2 2 30 3" xfId="597" xr:uid="{00000000-0005-0000-0000-0000BB020000}"/>
    <cellStyle name="Moneda 2 2 30 4" xfId="598" xr:uid="{00000000-0005-0000-0000-0000BC020000}"/>
    <cellStyle name="Moneda 2 2 31" xfId="599" xr:uid="{00000000-0005-0000-0000-0000BD020000}"/>
    <cellStyle name="Moneda 2 2 32" xfId="600" xr:uid="{00000000-0005-0000-0000-0000BE020000}"/>
    <cellStyle name="Moneda 2 2 33" xfId="601" xr:uid="{00000000-0005-0000-0000-0000BF020000}"/>
    <cellStyle name="Moneda 2 2 34" xfId="602" xr:uid="{00000000-0005-0000-0000-0000C0020000}"/>
    <cellStyle name="Moneda 2 2 4" xfId="603" xr:uid="{00000000-0005-0000-0000-0000C1020000}"/>
    <cellStyle name="Moneda 2 2 4 2" xfId="604" xr:uid="{00000000-0005-0000-0000-0000C2020000}"/>
    <cellStyle name="Moneda 2 2 4 3" xfId="605" xr:uid="{00000000-0005-0000-0000-0000C3020000}"/>
    <cellStyle name="Moneda 2 2 4 4" xfId="606" xr:uid="{00000000-0005-0000-0000-0000C4020000}"/>
    <cellStyle name="Moneda 2 2 5" xfId="607" xr:uid="{00000000-0005-0000-0000-0000C5020000}"/>
    <cellStyle name="Moneda 2 2 5 2" xfId="608" xr:uid="{00000000-0005-0000-0000-0000C6020000}"/>
    <cellStyle name="Moneda 2 2 5 3" xfId="609" xr:uid="{00000000-0005-0000-0000-0000C7020000}"/>
    <cellStyle name="Moneda 2 2 5 4" xfId="610" xr:uid="{00000000-0005-0000-0000-0000C8020000}"/>
    <cellStyle name="Moneda 2 2 6" xfId="611" xr:uid="{00000000-0005-0000-0000-0000C9020000}"/>
    <cellStyle name="Moneda 2 2 6 2" xfId="612" xr:uid="{00000000-0005-0000-0000-0000CA020000}"/>
    <cellStyle name="Moneda 2 2 6 3" xfId="613" xr:uid="{00000000-0005-0000-0000-0000CB020000}"/>
    <cellStyle name="Moneda 2 2 6 4" xfId="614" xr:uid="{00000000-0005-0000-0000-0000CC020000}"/>
    <cellStyle name="Moneda 2 2 7" xfId="615" xr:uid="{00000000-0005-0000-0000-0000CD020000}"/>
    <cellStyle name="Moneda 2 2 7 2" xfId="616" xr:uid="{00000000-0005-0000-0000-0000CE020000}"/>
    <cellStyle name="Moneda 2 2 7 3" xfId="617" xr:uid="{00000000-0005-0000-0000-0000CF020000}"/>
    <cellStyle name="Moneda 2 2 7 4" xfId="618" xr:uid="{00000000-0005-0000-0000-0000D0020000}"/>
    <cellStyle name="Moneda 2 2 8" xfId="619" xr:uid="{00000000-0005-0000-0000-0000D1020000}"/>
    <cellStyle name="Moneda 2 2 8 2" xfId="620" xr:uid="{00000000-0005-0000-0000-0000D2020000}"/>
    <cellStyle name="Moneda 2 2 8 3" xfId="621" xr:uid="{00000000-0005-0000-0000-0000D3020000}"/>
    <cellStyle name="Moneda 2 2 8 4" xfId="622" xr:uid="{00000000-0005-0000-0000-0000D4020000}"/>
    <cellStyle name="Moneda 2 2 9" xfId="623" xr:uid="{00000000-0005-0000-0000-0000D5020000}"/>
    <cellStyle name="Moneda 2 2 9 2" xfId="624" xr:uid="{00000000-0005-0000-0000-0000D6020000}"/>
    <cellStyle name="Moneda 2 2 9 3" xfId="625" xr:uid="{00000000-0005-0000-0000-0000D7020000}"/>
    <cellStyle name="Moneda 2 2 9 4" xfId="626" xr:uid="{00000000-0005-0000-0000-0000D8020000}"/>
    <cellStyle name="Moneda 2 20" xfId="627" xr:uid="{00000000-0005-0000-0000-0000D9020000}"/>
    <cellStyle name="Moneda 2 20 2" xfId="628" xr:uid="{00000000-0005-0000-0000-0000DA020000}"/>
    <cellStyle name="Moneda 2 20 3" xfId="629" xr:uid="{00000000-0005-0000-0000-0000DB020000}"/>
    <cellStyle name="Moneda 2 20 4" xfId="630" xr:uid="{00000000-0005-0000-0000-0000DC020000}"/>
    <cellStyle name="Moneda 2 21" xfId="631" xr:uid="{00000000-0005-0000-0000-0000DD020000}"/>
    <cellStyle name="Moneda 2 21 2" xfId="632" xr:uid="{00000000-0005-0000-0000-0000DE020000}"/>
    <cellStyle name="Moneda 2 21 3" xfId="633" xr:uid="{00000000-0005-0000-0000-0000DF020000}"/>
    <cellStyle name="Moneda 2 21 4" xfId="634" xr:uid="{00000000-0005-0000-0000-0000E0020000}"/>
    <cellStyle name="Moneda 2 22" xfId="635" xr:uid="{00000000-0005-0000-0000-0000E1020000}"/>
    <cellStyle name="Moneda 2 22 2" xfId="636" xr:uid="{00000000-0005-0000-0000-0000E2020000}"/>
    <cellStyle name="Moneda 2 22 3" xfId="637" xr:uid="{00000000-0005-0000-0000-0000E3020000}"/>
    <cellStyle name="Moneda 2 22 4" xfId="638" xr:uid="{00000000-0005-0000-0000-0000E4020000}"/>
    <cellStyle name="Moneda 2 23" xfId="639" xr:uid="{00000000-0005-0000-0000-0000E5020000}"/>
    <cellStyle name="Moneda 2 23 2" xfId="640" xr:uid="{00000000-0005-0000-0000-0000E6020000}"/>
    <cellStyle name="Moneda 2 23 3" xfId="641" xr:uid="{00000000-0005-0000-0000-0000E7020000}"/>
    <cellStyle name="Moneda 2 23 4" xfId="642" xr:uid="{00000000-0005-0000-0000-0000E8020000}"/>
    <cellStyle name="Moneda 2 24" xfId="643" xr:uid="{00000000-0005-0000-0000-0000E9020000}"/>
    <cellStyle name="Moneda 2 24 2" xfId="644" xr:uid="{00000000-0005-0000-0000-0000EA020000}"/>
    <cellStyle name="Moneda 2 24 3" xfId="645" xr:uid="{00000000-0005-0000-0000-0000EB020000}"/>
    <cellStyle name="Moneda 2 24 4" xfId="646" xr:uid="{00000000-0005-0000-0000-0000EC020000}"/>
    <cellStyle name="Moneda 2 25" xfId="647" xr:uid="{00000000-0005-0000-0000-0000ED020000}"/>
    <cellStyle name="Moneda 2 25 2" xfId="648" xr:uid="{00000000-0005-0000-0000-0000EE020000}"/>
    <cellStyle name="Moneda 2 25 3" xfId="649" xr:uid="{00000000-0005-0000-0000-0000EF020000}"/>
    <cellStyle name="Moneda 2 25 4" xfId="650" xr:uid="{00000000-0005-0000-0000-0000F0020000}"/>
    <cellStyle name="Moneda 2 26" xfId="651" xr:uid="{00000000-0005-0000-0000-0000F1020000}"/>
    <cellStyle name="Moneda 2 26 2" xfId="652" xr:uid="{00000000-0005-0000-0000-0000F2020000}"/>
    <cellStyle name="Moneda 2 26 3" xfId="653" xr:uid="{00000000-0005-0000-0000-0000F3020000}"/>
    <cellStyle name="Moneda 2 26 4" xfId="654" xr:uid="{00000000-0005-0000-0000-0000F4020000}"/>
    <cellStyle name="Moneda 2 27" xfId="655" xr:uid="{00000000-0005-0000-0000-0000F5020000}"/>
    <cellStyle name="Moneda 2 27 2" xfId="656" xr:uid="{00000000-0005-0000-0000-0000F6020000}"/>
    <cellStyle name="Moneda 2 27 3" xfId="657" xr:uid="{00000000-0005-0000-0000-0000F7020000}"/>
    <cellStyle name="Moneda 2 27 4" xfId="658" xr:uid="{00000000-0005-0000-0000-0000F8020000}"/>
    <cellStyle name="Moneda 2 28" xfId="659" xr:uid="{00000000-0005-0000-0000-0000F9020000}"/>
    <cellStyle name="Moneda 2 28 2" xfId="660" xr:uid="{00000000-0005-0000-0000-0000FA020000}"/>
    <cellStyle name="Moneda 2 28 3" xfId="661" xr:uid="{00000000-0005-0000-0000-0000FB020000}"/>
    <cellStyle name="Moneda 2 28 4" xfId="662" xr:uid="{00000000-0005-0000-0000-0000FC020000}"/>
    <cellStyle name="Moneda 2 29" xfId="663" xr:uid="{00000000-0005-0000-0000-0000FD020000}"/>
    <cellStyle name="Moneda 2 29 2" xfId="664" xr:uid="{00000000-0005-0000-0000-0000FE020000}"/>
    <cellStyle name="Moneda 2 29 3" xfId="665" xr:uid="{00000000-0005-0000-0000-0000FF020000}"/>
    <cellStyle name="Moneda 2 29 4" xfId="666" xr:uid="{00000000-0005-0000-0000-000000030000}"/>
    <cellStyle name="Moneda 2 3" xfId="667" xr:uid="{00000000-0005-0000-0000-000001030000}"/>
    <cellStyle name="Moneda 2 3 2" xfId="668" xr:uid="{00000000-0005-0000-0000-000002030000}"/>
    <cellStyle name="Moneda 2 3 3" xfId="669" xr:uid="{00000000-0005-0000-0000-000003030000}"/>
    <cellStyle name="Moneda 2 3 4" xfId="670" xr:uid="{00000000-0005-0000-0000-000004030000}"/>
    <cellStyle name="Moneda 2 3 5" xfId="671" xr:uid="{00000000-0005-0000-0000-000005030000}"/>
    <cellStyle name="Moneda 2 3 5 2" xfId="3862" xr:uid="{00000000-0005-0000-0000-000006030000}"/>
    <cellStyle name="Moneda 2 30" xfId="672" xr:uid="{00000000-0005-0000-0000-000007030000}"/>
    <cellStyle name="Moneda 2 30 2" xfId="673" xr:uid="{00000000-0005-0000-0000-000008030000}"/>
    <cellStyle name="Moneda 2 30 3" xfId="674" xr:uid="{00000000-0005-0000-0000-000009030000}"/>
    <cellStyle name="Moneda 2 30 4" xfId="675" xr:uid="{00000000-0005-0000-0000-00000A030000}"/>
    <cellStyle name="Moneda 2 31" xfId="676" xr:uid="{00000000-0005-0000-0000-00000B030000}"/>
    <cellStyle name="Moneda 2 31 2" xfId="677" xr:uid="{00000000-0005-0000-0000-00000C030000}"/>
    <cellStyle name="Moneda 2 31 3" xfId="678" xr:uid="{00000000-0005-0000-0000-00000D030000}"/>
    <cellStyle name="Moneda 2 31 4" xfId="679" xr:uid="{00000000-0005-0000-0000-00000E030000}"/>
    <cellStyle name="Moneda 2 32" xfId="680" xr:uid="{00000000-0005-0000-0000-00000F030000}"/>
    <cellStyle name="Moneda 2 33" xfId="681" xr:uid="{00000000-0005-0000-0000-000010030000}"/>
    <cellStyle name="Moneda 2 4" xfId="682" xr:uid="{00000000-0005-0000-0000-000011030000}"/>
    <cellStyle name="Moneda 2 4 2" xfId="683" xr:uid="{00000000-0005-0000-0000-000012030000}"/>
    <cellStyle name="Moneda 2 4 3" xfId="684" xr:uid="{00000000-0005-0000-0000-000013030000}"/>
    <cellStyle name="Moneda 2 4 4" xfId="685" xr:uid="{00000000-0005-0000-0000-000014030000}"/>
    <cellStyle name="Moneda 2 5" xfId="686" xr:uid="{00000000-0005-0000-0000-000015030000}"/>
    <cellStyle name="Moneda 2 5 2" xfId="687" xr:uid="{00000000-0005-0000-0000-000016030000}"/>
    <cellStyle name="Moneda 2 5 3" xfId="688" xr:uid="{00000000-0005-0000-0000-000017030000}"/>
    <cellStyle name="Moneda 2 5 4" xfId="689" xr:uid="{00000000-0005-0000-0000-000018030000}"/>
    <cellStyle name="Moneda 2 6" xfId="690" xr:uid="{00000000-0005-0000-0000-000019030000}"/>
    <cellStyle name="Moneda 2 6 2" xfId="691" xr:uid="{00000000-0005-0000-0000-00001A030000}"/>
    <cellStyle name="Moneda 2 6 3" xfId="692" xr:uid="{00000000-0005-0000-0000-00001B030000}"/>
    <cellStyle name="Moneda 2 6 4" xfId="693" xr:uid="{00000000-0005-0000-0000-00001C030000}"/>
    <cellStyle name="Moneda 2 7" xfId="694" xr:uid="{00000000-0005-0000-0000-00001D030000}"/>
    <cellStyle name="Moneda 2 7 2" xfId="695" xr:uid="{00000000-0005-0000-0000-00001E030000}"/>
    <cellStyle name="Moneda 2 7 3" xfId="696" xr:uid="{00000000-0005-0000-0000-00001F030000}"/>
    <cellStyle name="Moneda 2 7 4" xfId="697" xr:uid="{00000000-0005-0000-0000-000020030000}"/>
    <cellStyle name="Moneda 2 8" xfId="698" xr:uid="{00000000-0005-0000-0000-000021030000}"/>
    <cellStyle name="Moneda 2 8 2" xfId="699" xr:uid="{00000000-0005-0000-0000-000022030000}"/>
    <cellStyle name="Moneda 2 8 3" xfId="700" xr:uid="{00000000-0005-0000-0000-000023030000}"/>
    <cellStyle name="Moneda 2 8 4" xfId="701" xr:uid="{00000000-0005-0000-0000-000024030000}"/>
    <cellStyle name="Moneda 2 9" xfId="702" xr:uid="{00000000-0005-0000-0000-000025030000}"/>
    <cellStyle name="Moneda 2 9 2" xfId="703" xr:uid="{00000000-0005-0000-0000-000026030000}"/>
    <cellStyle name="Moneda 2 9 3" xfId="704" xr:uid="{00000000-0005-0000-0000-000027030000}"/>
    <cellStyle name="Moneda 2 9 4" xfId="705" xr:uid="{00000000-0005-0000-0000-000028030000}"/>
    <cellStyle name="Moneda 20" xfId="706" xr:uid="{00000000-0005-0000-0000-000029030000}"/>
    <cellStyle name="Moneda 21" xfId="707" xr:uid="{00000000-0005-0000-0000-00002A030000}"/>
    <cellStyle name="Moneda 22" xfId="708" xr:uid="{00000000-0005-0000-0000-00002B030000}"/>
    <cellStyle name="Moneda 23" xfId="709" xr:uid="{00000000-0005-0000-0000-00002C030000}"/>
    <cellStyle name="Moneda 24" xfId="710" xr:uid="{00000000-0005-0000-0000-00002D030000}"/>
    <cellStyle name="Moneda 25" xfId="711" xr:uid="{00000000-0005-0000-0000-00002E030000}"/>
    <cellStyle name="Moneda 26" xfId="712" xr:uid="{00000000-0005-0000-0000-00002F030000}"/>
    <cellStyle name="Moneda 27" xfId="713" xr:uid="{00000000-0005-0000-0000-000030030000}"/>
    <cellStyle name="Moneda 28" xfId="714" xr:uid="{00000000-0005-0000-0000-000031030000}"/>
    <cellStyle name="Moneda 29" xfId="14" xr:uid="{00000000-0005-0000-0000-000032030000}"/>
    <cellStyle name="Moneda 3" xfId="715" xr:uid="{00000000-0005-0000-0000-000033030000}"/>
    <cellStyle name="Moneda 3 10" xfId="716" xr:uid="{00000000-0005-0000-0000-000034030000}"/>
    <cellStyle name="Moneda 3 2" xfId="717" xr:uid="{00000000-0005-0000-0000-000035030000}"/>
    <cellStyle name="Moneda 3 3" xfId="718" xr:uid="{00000000-0005-0000-0000-000036030000}"/>
    <cellStyle name="Moneda 3 3 2" xfId="719" xr:uid="{00000000-0005-0000-0000-000037030000}"/>
    <cellStyle name="Moneda 3 3 2 2" xfId="720" xr:uid="{00000000-0005-0000-0000-000038030000}"/>
    <cellStyle name="Moneda 3 3 2 3" xfId="721" xr:uid="{00000000-0005-0000-0000-000039030000}"/>
    <cellStyle name="Moneda 3 3 2 4" xfId="722" xr:uid="{00000000-0005-0000-0000-00003A030000}"/>
    <cellStyle name="Moneda 3 3 3" xfId="723" xr:uid="{00000000-0005-0000-0000-00003B030000}"/>
    <cellStyle name="Moneda 3 3 4" xfId="724" xr:uid="{00000000-0005-0000-0000-00003C030000}"/>
    <cellStyle name="Moneda 3 3 5" xfId="725" xr:uid="{00000000-0005-0000-0000-00003D030000}"/>
    <cellStyle name="Moneda 3 3 6" xfId="726" xr:uid="{00000000-0005-0000-0000-00003E030000}"/>
    <cellStyle name="Moneda 3 3 7" xfId="727" xr:uid="{00000000-0005-0000-0000-00003F030000}"/>
    <cellStyle name="Moneda 3 3 8" xfId="728" xr:uid="{00000000-0005-0000-0000-000040030000}"/>
    <cellStyle name="Moneda 3 3 9" xfId="729" xr:uid="{00000000-0005-0000-0000-000041030000}"/>
    <cellStyle name="Moneda 3 4" xfId="730" xr:uid="{00000000-0005-0000-0000-000042030000}"/>
    <cellStyle name="Moneda 3 5" xfId="731" xr:uid="{00000000-0005-0000-0000-000043030000}"/>
    <cellStyle name="Moneda 3 6" xfId="732" xr:uid="{00000000-0005-0000-0000-000044030000}"/>
    <cellStyle name="Moneda 3 7" xfId="733" xr:uid="{00000000-0005-0000-0000-000045030000}"/>
    <cellStyle name="Moneda 3 8" xfId="734" xr:uid="{00000000-0005-0000-0000-000046030000}"/>
    <cellStyle name="Moneda 3 9" xfId="735" xr:uid="{00000000-0005-0000-0000-000047030000}"/>
    <cellStyle name="Moneda 30" xfId="736" xr:uid="{00000000-0005-0000-0000-000048030000}"/>
    <cellStyle name="Moneda 31" xfId="737" xr:uid="{00000000-0005-0000-0000-000049030000}"/>
    <cellStyle name="Moneda 32" xfId="738" xr:uid="{00000000-0005-0000-0000-00004A030000}"/>
    <cellStyle name="Moneda 4" xfId="739" xr:uid="{00000000-0005-0000-0000-00004B030000}"/>
    <cellStyle name="Moneda 4 2" xfId="740" xr:uid="{00000000-0005-0000-0000-00004C030000}"/>
    <cellStyle name="Moneda 4 2 2" xfId="3863" xr:uid="{00000000-0005-0000-0000-00004D030000}"/>
    <cellStyle name="Moneda 5" xfId="741" xr:uid="{00000000-0005-0000-0000-00004E030000}"/>
    <cellStyle name="Moneda 5 2" xfId="3864" xr:uid="{00000000-0005-0000-0000-00004F030000}"/>
    <cellStyle name="Moneda 6" xfId="742" xr:uid="{00000000-0005-0000-0000-000050030000}"/>
    <cellStyle name="Moneda 7" xfId="743" xr:uid="{00000000-0005-0000-0000-000051030000}"/>
    <cellStyle name="Moneda 7 2" xfId="3744" xr:uid="{00000000-0005-0000-0000-000052030000}"/>
    <cellStyle name="Moneda 8" xfId="744" xr:uid="{00000000-0005-0000-0000-000053030000}"/>
    <cellStyle name="Moneda 9" xfId="745" xr:uid="{00000000-0005-0000-0000-000054030000}"/>
    <cellStyle name="Neutral 2" xfId="746" xr:uid="{00000000-0005-0000-0000-000055030000}"/>
    <cellStyle name="Neutral 3" xfId="747" xr:uid="{00000000-0005-0000-0000-000056030000}"/>
    <cellStyle name="Neutral 4" xfId="748" xr:uid="{00000000-0005-0000-0000-000057030000}"/>
    <cellStyle name="Neutral 5" xfId="749" xr:uid="{00000000-0005-0000-0000-000058030000}"/>
    <cellStyle name="Neutral 6" xfId="750" xr:uid="{00000000-0005-0000-0000-000059030000}"/>
    <cellStyle name="No. punto" xfId="751" xr:uid="{00000000-0005-0000-0000-00005A030000}"/>
    <cellStyle name="Normal" xfId="0" builtinId="0"/>
    <cellStyle name="Normal 10" xfId="10" xr:uid="{00000000-0005-0000-0000-00005C030000}"/>
    <cellStyle name="Normal 10 10" xfId="752" xr:uid="{00000000-0005-0000-0000-00005D030000}"/>
    <cellStyle name="Normal 10 11" xfId="753" xr:uid="{00000000-0005-0000-0000-00005E030000}"/>
    <cellStyle name="Normal 10 12" xfId="754" xr:uid="{00000000-0005-0000-0000-00005F030000}"/>
    <cellStyle name="Normal 10 13" xfId="755" xr:uid="{00000000-0005-0000-0000-000060030000}"/>
    <cellStyle name="Normal 10 14" xfId="756" xr:uid="{00000000-0005-0000-0000-000061030000}"/>
    <cellStyle name="Normal 10 15" xfId="757" xr:uid="{00000000-0005-0000-0000-000062030000}"/>
    <cellStyle name="Normal 10 16" xfId="758" xr:uid="{00000000-0005-0000-0000-000063030000}"/>
    <cellStyle name="Normal 10 17" xfId="759" xr:uid="{00000000-0005-0000-0000-000064030000}"/>
    <cellStyle name="Normal 10 18" xfId="760" xr:uid="{00000000-0005-0000-0000-000065030000}"/>
    <cellStyle name="Normal 10 19" xfId="761" xr:uid="{00000000-0005-0000-0000-000066030000}"/>
    <cellStyle name="Normal 10 2" xfId="762" xr:uid="{00000000-0005-0000-0000-000067030000}"/>
    <cellStyle name="Normal 10 20" xfId="763" xr:uid="{00000000-0005-0000-0000-000068030000}"/>
    <cellStyle name="Normal 10 21" xfId="764" xr:uid="{00000000-0005-0000-0000-000069030000}"/>
    <cellStyle name="Normal 10 22" xfId="765" xr:uid="{00000000-0005-0000-0000-00006A030000}"/>
    <cellStyle name="Normal 10 23" xfId="766" xr:uid="{00000000-0005-0000-0000-00006B030000}"/>
    <cellStyle name="Normal 10 24" xfId="767" xr:uid="{00000000-0005-0000-0000-00006C030000}"/>
    <cellStyle name="Normal 10 25" xfId="768" xr:uid="{00000000-0005-0000-0000-00006D030000}"/>
    <cellStyle name="Normal 10 26" xfId="769" xr:uid="{00000000-0005-0000-0000-00006E030000}"/>
    <cellStyle name="Normal 10 27" xfId="770" xr:uid="{00000000-0005-0000-0000-00006F030000}"/>
    <cellStyle name="Normal 10 28" xfId="771" xr:uid="{00000000-0005-0000-0000-000070030000}"/>
    <cellStyle name="Normal 10 29" xfId="772" xr:uid="{00000000-0005-0000-0000-000071030000}"/>
    <cellStyle name="Normal 10 3" xfId="773" xr:uid="{00000000-0005-0000-0000-000072030000}"/>
    <cellStyle name="Normal 10 30" xfId="774" xr:uid="{00000000-0005-0000-0000-000073030000}"/>
    <cellStyle name="Normal 10 31" xfId="775" xr:uid="{00000000-0005-0000-0000-000074030000}"/>
    <cellStyle name="Normal 10 32" xfId="776" xr:uid="{00000000-0005-0000-0000-000075030000}"/>
    <cellStyle name="Normal 10 33" xfId="777" xr:uid="{00000000-0005-0000-0000-000076030000}"/>
    <cellStyle name="Normal 10 34" xfId="778" xr:uid="{00000000-0005-0000-0000-000077030000}"/>
    <cellStyle name="Normal 10 35" xfId="779" xr:uid="{00000000-0005-0000-0000-000078030000}"/>
    <cellStyle name="Normal 10 36" xfId="780" xr:uid="{00000000-0005-0000-0000-000079030000}"/>
    <cellStyle name="Normal 10 37" xfId="781" xr:uid="{00000000-0005-0000-0000-00007A030000}"/>
    <cellStyle name="Normal 10 38" xfId="782" xr:uid="{00000000-0005-0000-0000-00007B030000}"/>
    <cellStyle name="Normal 10 39" xfId="783" xr:uid="{00000000-0005-0000-0000-00007C030000}"/>
    <cellStyle name="Normal 10 4" xfId="784" xr:uid="{00000000-0005-0000-0000-00007D030000}"/>
    <cellStyle name="Normal 10 40" xfId="785" xr:uid="{00000000-0005-0000-0000-00007E030000}"/>
    <cellStyle name="Normal 10 41" xfId="786" xr:uid="{00000000-0005-0000-0000-00007F030000}"/>
    <cellStyle name="Normal 10 42" xfId="787" xr:uid="{00000000-0005-0000-0000-000080030000}"/>
    <cellStyle name="Normal 10 43" xfId="788" xr:uid="{00000000-0005-0000-0000-000081030000}"/>
    <cellStyle name="Normal 10 44" xfId="789" xr:uid="{00000000-0005-0000-0000-000082030000}"/>
    <cellStyle name="Normal 10 5" xfId="790" xr:uid="{00000000-0005-0000-0000-000083030000}"/>
    <cellStyle name="Normal 10 6" xfId="791" xr:uid="{00000000-0005-0000-0000-000084030000}"/>
    <cellStyle name="Normal 10 7" xfId="792" xr:uid="{00000000-0005-0000-0000-000085030000}"/>
    <cellStyle name="Normal 10 8" xfId="793" xr:uid="{00000000-0005-0000-0000-000086030000}"/>
    <cellStyle name="Normal 10 9" xfId="794" xr:uid="{00000000-0005-0000-0000-000087030000}"/>
    <cellStyle name="Normal 11" xfId="795" xr:uid="{00000000-0005-0000-0000-000088030000}"/>
    <cellStyle name="Normal 11 10" xfId="796" xr:uid="{00000000-0005-0000-0000-000089030000}"/>
    <cellStyle name="Normal 11 11" xfId="797" xr:uid="{00000000-0005-0000-0000-00008A030000}"/>
    <cellStyle name="Normal 11 12" xfId="798" xr:uid="{00000000-0005-0000-0000-00008B030000}"/>
    <cellStyle name="Normal 11 13" xfId="799" xr:uid="{00000000-0005-0000-0000-00008C030000}"/>
    <cellStyle name="Normal 11 14" xfId="800" xr:uid="{00000000-0005-0000-0000-00008D030000}"/>
    <cellStyle name="Normal 11 15" xfId="801" xr:uid="{00000000-0005-0000-0000-00008E030000}"/>
    <cellStyle name="Normal 11 16" xfId="802" xr:uid="{00000000-0005-0000-0000-00008F030000}"/>
    <cellStyle name="Normal 11 17" xfId="803" xr:uid="{00000000-0005-0000-0000-000090030000}"/>
    <cellStyle name="Normal 11 18" xfId="804" xr:uid="{00000000-0005-0000-0000-000091030000}"/>
    <cellStyle name="Normal 11 19" xfId="805" xr:uid="{00000000-0005-0000-0000-000092030000}"/>
    <cellStyle name="Normal 11 2" xfId="806" xr:uid="{00000000-0005-0000-0000-000093030000}"/>
    <cellStyle name="Normal 11 20" xfId="807" xr:uid="{00000000-0005-0000-0000-000094030000}"/>
    <cellStyle name="Normal 11 21" xfId="808" xr:uid="{00000000-0005-0000-0000-000095030000}"/>
    <cellStyle name="Normal 11 22" xfId="809" xr:uid="{00000000-0005-0000-0000-000096030000}"/>
    <cellStyle name="Normal 11 23" xfId="810" xr:uid="{00000000-0005-0000-0000-000097030000}"/>
    <cellStyle name="Normal 11 24" xfId="811" xr:uid="{00000000-0005-0000-0000-000098030000}"/>
    <cellStyle name="Normal 11 25" xfId="812" xr:uid="{00000000-0005-0000-0000-000099030000}"/>
    <cellStyle name="Normal 11 26" xfId="813" xr:uid="{00000000-0005-0000-0000-00009A030000}"/>
    <cellStyle name="Normal 11 27" xfId="814" xr:uid="{00000000-0005-0000-0000-00009B030000}"/>
    <cellStyle name="Normal 11 28" xfId="815" xr:uid="{00000000-0005-0000-0000-00009C030000}"/>
    <cellStyle name="Normal 11 29" xfId="816" xr:uid="{00000000-0005-0000-0000-00009D030000}"/>
    <cellStyle name="Normal 11 3" xfId="817" xr:uid="{00000000-0005-0000-0000-00009E030000}"/>
    <cellStyle name="Normal 11 30" xfId="818" xr:uid="{00000000-0005-0000-0000-00009F030000}"/>
    <cellStyle name="Normal 11 31" xfId="819" xr:uid="{00000000-0005-0000-0000-0000A0030000}"/>
    <cellStyle name="Normal 11 32" xfId="820" xr:uid="{00000000-0005-0000-0000-0000A1030000}"/>
    <cellStyle name="Normal 11 33" xfId="821" xr:uid="{00000000-0005-0000-0000-0000A2030000}"/>
    <cellStyle name="Normal 11 34" xfId="822" xr:uid="{00000000-0005-0000-0000-0000A3030000}"/>
    <cellStyle name="Normal 11 35" xfId="823" xr:uid="{00000000-0005-0000-0000-0000A4030000}"/>
    <cellStyle name="Normal 11 36" xfId="824" xr:uid="{00000000-0005-0000-0000-0000A5030000}"/>
    <cellStyle name="Normal 11 37" xfId="825" xr:uid="{00000000-0005-0000-0000-0000A6030000}"/>
    <cellStyle name="Normal 11 38" xfId="826" xr:uid="{00000000-0005-0000-0000-0000A7030000}"/>
    <cellStyle name="Normal 11 39" xfId="827" xr:uid="{00000000-0005-0000-0000-0000A8030000}"/>
    <cellStyle name="Normal 11 4" xfId="828" xr:uid="{00000000-0005-0000-0000-0000A9030000}"/>
    <cellStyle name="Normal 11 40" xfId="829" xr:uid="{00000000-0005-0000-0000-0000AA030000}"/>
    <cellStyle name="Normal 11 41" xfId="830" xr:uid="{00000000-0005-0000-0000-0000AB030000}"/>
    <cellStyle name="Normal 11 42" xfId="831" xr:uid="{00000000-0005-0000-0000-0000AC030000}"/>
    <cellStyle name="Normal 11 43" xfId="832" xr:uid="{00000000-0005-0000-0000-0000AD030000}"/>
    <cellStyle name="Normal 11 44" xfId="833" xr:uid="{00000000-0005-0000-0000-0000AE030000}"/>
    <cellStyle name="Normal 11 45" xfId="834" xr:uid="{00000000-0005-0000-0000-0000AF030000}"/>
    <cellStyle name="Normal 11 45 2" xfId="835" xr:uid="{00000000-0005-0000-0000-0000B0030000}"/>
    <cellStyle name="Normal 11 45 3" xfId="836" xr:uid="{00000000-0005-0000-0000-0000B1030000}"/>
    <cellStyle name="Normal 11 45 4" xfId="837" xr:uid="{00000000-0005-0000-0000-0000B2030000}"/>
    <cellStyle name="Normal 11 45 5" xfId="838" xr:uid="{00000000-0005-0000-0000-0000B3030000}"/>
    <cellStyle name="Normal 11 45 6" xfId="839" xr:uid="{00000000-0005-0000-0000-0000B4030000}"/>
    <cellStyle name="Normal 11 45 7" xfId="840" xr:uid="{00000000-0005-0000-0000-0000B5030000}"/>
    <cellStyle name="Normal 11 45 8" xfId="841" xr:uid="{00000000-0005-0000-0000-0000B6030000}"/>
    <cellStyle name="Normal 11 46" xfId="842" xr:uid="{00000000-0005-0000-0000-0000B7030000}"/>
    <cellStyle name="Normal 11 47" xfId="843" xr:uid="{00000000-0005-0000-0000-0000B8030000}"/>
    <cellStyle name="Normal 11 48" xfId="844" xr:uid="{00000000-0005-0000-0000-0000B9030000}"/>
    <cellStyle name="Normal 11 49" xfId="845" xr:uid="{00000000-0005-0000-0000-0000BA030000}"/>
    <cellStyle name="Normal 11 5" xfId="846" xr:uid="{00000000-0005-0000-0000-0000BB030000}"/>
    <cellStyle name="Normal 11 50" xfId="847" xr:uid="{00000000-0005-0000-0000-0000BC030000}"/>
    <cellStyle name="Normal 11 51" xfId="848" xr:uid="{00000000-0005-0000-0000-0000BD030000}"/>
    <cellStyle name="Normal 11 52" xfId="849" xr:uid="{00000000-0005-0000-0000-0000BE030000}"/>
    <cellStyle name="Normal 11 6" xfId="850" xr:uid="{00000000-0005-0000-0000-0000BF030000}"/>
    <cellStyle name="Normal 11 7" xfId="851" xr:uid="{00000000-0005-0000-0000-0000C0030000}"/>
    <cellStyle name="Normal 11 8" xfId="852" xr:uid="{00000000-0005-0000-0000-0000C1030000}"/>
    <cellStyle name="Normal 11 9" xfId="853" xr:uid="{00000000-0005-0000-0000-0000C2030000}"/>
    <cellStyle name="Normal 12" xfId="854" xr:uid="{00000000-0005-0000-0000-0000C3030000}"/>
    <cellStyle name="Normal 12 2" xfId="855" xr:uid="{00000000-0005-0000-0000-0000C4030000}"/>
    <cellStyle name="Normal 12 3" xfId="856" xr:uid="{00000000-0005-0000-0000-0000C5030000}"/>
    <cellStyle name="Normal 12 4" xfId="857" xr:uid="{00000000-0005-0000-0000-0000C6030000}"/>
    <cellStyle name="Normal 13" xfId="858" xr:uid="{00000000-0005-0000-0000-0000C7030000}"/>
    <cellStyle name="Normal 13 10" xfId="859" xr:uid="{00000000-0005-0000-0000-0000C8030000}"/>
    <cellStyle name="Normal 13 11" xfId="860" xr:uid="{00000000-0005-0000-0000-0000C9030000}"/>
    <cellStyle name="Normal 13 12" xfId="861" xr:uid="{00000000-0005-0000-0000-0000CA030000}"/>
    <cellStyle name="Normal 13 13" xfId="862" xr:uid="{00000000-0005-0000-0000-0000CB030000}"/>
    <cellStyle name="Normal 13 14" xfId="863" xr:uid="{00000000-0005-0000-0000-0000CC030000}"/>
    <cellStyle name="Normal 13 15" xfId="864" xr:uid="{00000000-0005-0000-0000-0000CD030000}"/>
    <cellStyle name="Normal 13 16" xfId="865" xr:uid="{00000000-0005-0000-0000-0000CE030000}"/>
    <cellStyle name="Normal 13 17" xfId="866" xr:uid="{00000000-0005-0000-0000-0000CF030000}"/>
    <cellStyle name="Normal 13 18" xfId="867" xr:uid="{00000000-0005-0000-0000-0000D0030000}"/>
    <cellStyle name="Normal 13 19" xfId="868" xr:uid="{00000000-0005-0000-0000-0000D1030000}"/>
    <cellStyle name="Normal 13 2" xfId="869" xr:uid="{00000000-0005-0000-0000-0000D2030000}"/>
    <cellStyle name="Normal 13 20" xfId="870" xr:uid="{00000000-0005-0000-0000-0000D3030000}"/>
    <cellStyle name="Normal 13 21" xfId="871" xr:uid="{00000000-0005-0000-0000-0000D4030000}"/>
    <cellStyle name="Normal 13 22" xfId="872" xr:uid="{00000000-0005-0000-0000-0000D5030000}"/>
    <cellStyle name="Normal 13 23" xfId="873" xr:uid="{00000000-0005-0000-0000-0000D6030000}"/>
    <cellStyle name="Normal 13 24" xfId="874" xr:uid="{00000000-0005-0000-0000-0000D7030000}"/>
    <cellStyle name="Normal 13 25" xfId="875" xr:uid="{00000000-0005-0000-0000-0000D8030000}"/>
    <cellStyle name="Normal 13 26" xfId="876" xr:uid="{00000000-0005-0000-0000-0000D9030000}"/>
    <cellStyle name="Normal 13 27" xfId="877" xr:uid="{00000000-0005-0000-0000-0000DA030000}"/>
    <cellStyle name="Normal 13 28" xfId="878" xr:uid="{00000000-0005-0000-0000-0000DB030000}"/>
    <cellStyle name="Normal 13 29" xfId="879" xr:uid="{00000000-0005-0000-0000-0000DC030000}"/>
    <cellStyle name="Normal 13 3" xfId="880" xr:uid="{00000000-0005-0000-0000-0000DD030000}"/>
    <cellStyle name="Normal 13 30" xfId="881" xr:uid="{00000000-0005-0000-0000-0000DE030000}"/>
    <cellStyle name="Normal 13 31" xfId="882" xr:uid="{00000000-0005-0000-0000-0000DF030000}"/>
    <cellStyle name="Normal 13 32" xfId="883" xr:uid="{00000000-0005-0000-0000-0000E0030000}"/>
    <cellStyle name="Normal 13 33" xfId="884" xr:uid="{00000000-0005-0000-0000-0000E1030000}"/>
    <cellStyle name="Normal 13 34" xfId="885" xr:uid="{00000000-0005-0000-0000-0000E2030000}"/>
    <cellStyle name="Normal 13 35" xfId="886" xr:uid="{00000000-0005-0000-0000-0000E3030000}"/>
    <cellStyle name="Normal 13 36" xfId="887" xr:uid="{00000000-0005-0000-0000-0000E4030000}"/>
    <cellStyle name="Normal 13 37" xfId="888" xr:uid="{00000000-0005-0000-0000-0000E5030000}"/>
    <cellStyle name="Normal 13 38" xfId="889" xr:uid="{00000000-0005-0000-0000-0000E6030000}"/>
    <cellStyle name="Normal 13 39" xfId="890" xr:uid="{00000000-0005-0000-0000-0000E7030000}"/>
    <cellStyle name="Normal 13 4" xfId="891" xr:uid="{00000000-0005-0000-0000-0000E8030000}"/>
    <cellStyle name="Normal 13 40" xfId="892" xr:uid="{00000000-0005-0000-0000-0000E9030000}"/>
    <cellStyle name="Normal 13 41" xfId="893" xr:uid="{00000000-0005-0000-0000-0000EA030000}"/>
    <cellStyle name="Normal 13 42" xfId="894" xr:uid="{00000000-0005-0000-0000-0000EB030000}"/>
    <cellStyle name="Normal 13 43" xfId="895" xr:uid="{00000000-0005-0000-0000-0000EC030000}"/>
    <cellStyle name="Normal 13 44" xfId="896" xr:uid="{00000000-0005-0000-0000-0000ED030000}"/>
    <cellStyle name="Normal 13 5" xfId="897" xr:uid="{00000000-0005-0000-0000-0000EE030000}"/>
    <cellStyle name="Normal 13 6" xfId="898" xr:uid="{00000000-0005-0000-0000-0000EF030000}"/>
    <cellStyle name="Normal 13 7" xfId="899" xr:uid="{00000000-0005-0000-0000-0000F0030000}"/>
    <cellStyle name="Normal 13 8" xfId="900" xr:uid="{00000000-0005-0000-0000-0000F1030000}"/>
    <cellStyle name="Normal 13 9" xfId="901" xr:uid="{00000000-0005-0000-0000-0000F2030000}"/>
    <cellStyle name="Normal 14" xfId="902" xr:uid="{00000000-0005-0000-0000-0000F3030000}"/>
    <cellStyle name="Normal 14 10" xfId="903" xr:uid="{00000000-0005-0000-0000-0000F4030000}"/>
    <cellStyle name="Normal 14 11" xfId="904" xr:uid="{00000000-0005-0000-0000-0000F5030000}"/>
    <cellStyle name="Normal 14 12" xfId="905" xr:uid="{00000000-0005-0000-0000-0000F6030000}"/>
    <cellStyle name="Normal 14 13" xfId="906" xr:uid="{00000000-0005-0000-0000-0000F7030000}"/>
    <cellStyle name="Normal 14 14" xfId="907" xr:uid="{00000000-0005-0000-0000-0000F8030000}"/>
    <cellStyle name="Normal 14 15" xfId="908" xr:uid="{00000000-0005-0000-0000-0000F9030000}"/>
    <cellStyle name="Normal 14 16" xfId="909" xr:uid="{00000000-0005-0000-0000-0000FA030000}"/>
    <cellStyle name="Normal 14 17" xfId="910" xr:uid="{00000000-0005-0000-0000-0000FB030000}"/>
    <cellStyle name="Normal 14 18" xfId="911" xr:uid="{00000000-0005-0000-0000-0000FC030000}"/>
    <cellStyle name="Normal 14 19" xfId="912" xr:uid="{00000000-0005-0000-0000-0000FD030000}"/>
    <cellStyle name="Normal 14 2" xfId="913" xr:uid="{00000000-0005-0000-0000-0000FE030000}"/>
    <cellStyle name="Normal 14 20" xfId="914" xr:uid="{00000000-0005-0000-0000-0000FF030000}"/>
    <cellStyle name="Normal 14 21" xfId="915" xr:uid="{00000000-0005-0000-0000-000000040000}"/>
    <cellStyle name="Normal 14 22" xfId="916" xr:uid="{00000000-0005-0000-0000-000001040000}"/>
    <cellStyle name="Normal 14 23" xfId="917" xr:uid="{00000000-0005-0000-0000-000002040000}"/>
    <cellStyle name="Normal 14 24" xfId="918" xr:uid="{00000000-0005-0000-0000-000003040000}"/>
    <cellStyle name="Normal 14 25" xfId="919" xr:uid="{00000000-0005-0000-0000-000004040000}"/>
    <cellStyle name="Normal 14 26" xfId="920" xr:uid="{00000000-0005-0000-0000-000005040000}"/>
    <cellStyle name="Normal 14 27" xfId="921" xr:uid="{00000000-0005-0000-0000-000006040000}"/>
    <cellStyle name="Normal 14 28" xfId="922" xr:uid="{00000000-0005-0000-0000-000007040000}"/>
    <cellStyle name="Normal 14 29" xfId="923" xr:uid="{00000000-0005-0000-0000-000008040000}"/>
    <cellStyle name="Normal 14 3" xfId="924" xr:uid="{00000000-0005-0000-0000-000009040000}"/>
    <cellStyle name="Normal 14 30" xfId="925" xr:uid="{00000000-0005-0000-0000-00000A040000}"/>
    <cellStyle name="Normal 14 31" xfId="926" xr:uid="{00000000-0005-0000-0000-00000B040000}"/>
    <cellStyle name="Normal 14 32" xfId="927" xr:uid="{00000000-0005-0000-0000-00000C040000}"/>
    <cellStyle name="Normal 14 33" xfId="928" xr:uid="{00000000-0005-0000-0000-00000D040000}"/>
    <cellStyle name="Normal 14 34" xfId="929" xr:uid="{00000000-0005-0000-0000-00000E040000}"/>
    <cellStyle name="Normal 14 35" xfId="930" xr:uid="{00000000-0005-0000-0000-00000F040000}"/>
    <cellStyle name="Normal 14 36" xfId="931" xr:uid="{00000000-0005-0000-0000-000010040000}"/>
    <cellStyle name="Normal 14 37" xfId="932" xr:uid="{00000000-0005-0000-0000-000011040000}"/>
    <cellStyle name="Normal 14 38" xfId="933" xr:uid="{00000000-0005-0000-0000-000012040000}"/>
    <cellStyle name="Normal 14 39" xfId="934" xr:uid="{00000000-0005-0000-0000-000013040000}"/>
    <cellStyle name="Normal 14 4" xfId="935" xr:uid="{00000000-0005-0000-0000-000014040000}"/>
    <cellStyle name="Normal 14 40" xfId="936" xr:uid="{00000000-0005-0000-0000-000015040000}"/>
    <cellStyle name="Normal 14 41" xfId="937" xr:uid="{00000000-0005-0000-0000-000016040000}"/>
    <cellStyle name="Normal 14 42" xfId="938" xr:uid="{00000000-0005-0000-0000-000017040000}"/>
    <cellStyle name="Normal 14 43" xfId="939" xr:uid="{00000000-0005-0000-0000-000018040000}"/>
    <cellStyle name="Normal 14 44" xfId="940" xr:uid="{00000000-0005-0000-0000-000019040000}"/>
    <cellStyle name="Normal 14 5" xfId="941" xr:uid="{00000000-0005-0000-0000-00001A040000}"/>
    <cellStyle name="Normal 14 6" xfId="942" xr:uid="{00000000-0005-0000-0000-00001B040000}"/>
    <cellStyle name="Normal 14 7" xfId="943" xr:uid="{00000000-0005-0000-0000-00001C040000}"/>
    <cellStyle name="Normal 14 8" xfId="944" xr:uid="{00000000-0005-0000-0000-00001D040000}"/>
    <cellStyle name="Normal 14 9" xfId="945" xr:uid="{00000000-0005-0000-0000-00001E040000}"/>
    <cellStyle name="Normal 15" xfId="946" xr:uid="{00000000-0005-0000-0000-00001F040000}"/>
    <cellStyle name="Normal 15 10" xfId="947" xr:uid="{00000000-0005-0000-0000-000020040000}"/>
    <cellStyle name="Normal 15 11" xfId="948" xr:uid="{00000000-0005-0000-0000-000021040000}"/>
    <cellStyle name="Normal 15 12" xfId="949" xr:uid="{00000000-0005-0000-0000-000022040000}"/>
    <cellStyle name="Normal 15 13" xfId="950" xr:uid="{00000000-0005-0000-0000-000023040000}"/>
    <cellStyle name="Normal 15 14" xfId="951" xr:uid="{00000000-0005-0000-0000-000024040000}"/>
    <cellStyle name="Normal 15 15" xfId="952" xr:uid="{00000000-0005-0000-0000-000025040000}"/>
    <cellStyle name="Normal 15 16" xfId="953" xr:uid="{00000000-0005-0000-0000-000026040000}"/>
    <cellStyle name="Normal 15 17" xfId="954" xr:uid="{00000000-0005-0000-0000-000027040000}"/>
    <cellStyle name="Normal 15 18" xfId="955" xr:uid="{00000000-0005-0000-0000-000028040000}"/>
    <cellStyle name="Normal 15 19" xfId="956" xr:uid="{00000000-0005-0000-0000-000029040000}"/>
    <cellStyle name="Normal 15 2" xfId="957" xr:uid="{00000000-0005-0000-0000-00002A040000}"/>
    <cellStyle name="Normal 15 20" xfId="958" xr:uid="{00000000-0005-0000-0000-00002B040000}"/>
    <cellStyle name="Normal 15 21" xfId="959" xr:uid="{00000000-0005-0000-0000-00002C040000}"/>
    <cellStyle name="Normal 15 22" xfId="960" xr:uid="{00000000-0005-0000-0000-00002D040000}"/>
    <cellStyle name="Normal 15 23" xfId="961" xr:uid="{00000000-0005-0000-0000-00002E040000}"/>
    <cellStyle name="Normal 15 24" xfId="962" xr:uid="{00000000-0005-0000-0000-00002F040000}"/>
    <cellStyle name="Normal 15 25" xfId="963" xr:uid="{00000000-0005-0000-0000-000030040000}"/>
    <cellStyle name="Normal 15 26" xfId="964" xr:uid="{00000000-0005-0000-0000-000031040000}"/>
    <cellStyle name="Normal 15 27" xfId="965" xr:uid="{00000000-0005-0000-0000-000032040000}"/>
    <cellStyle name="Normal 15 28" xfId="966" xr:uid="{00000000-0005-0000-0000-000033040000}"/>
    <cellStyle name="Normal 15 29" xfId="967" xr:uid="{00000000-0005-0000-0000-000034040000}"/>
    <cellStyle name="Normal 15 3" xfId="968" xr:uid="{00000000-0005-0000-0000-000035040000}"/>
    <cellStyle name="Normal 15 30" xfId="969" xr:uid="{00000000-0005-0000-0000-000036040000}"/>
    <cellStyle name="Normal 15 31" xfId="970" xr:uid="{00000000-0005-0000-0000-000037040000}"/>
    <cellStyle name="Normal 15 32" xfId="971" xr:uid="{00000000-0005-0000-0000-000038040000}"/>
    <cellStyle name="Normal 15 33" xfId="972" xr:uid="{00000000-0005-0000-0000-000039040000}"/>
    <cellStyle name="Normal 15 34" xfId="973" xr:uid="{00000000-0005-0000-0000-00003A040000}"/>
    <cellStyle name="Normal 15 35" xfId="974" xr:uid="{00000000-0005-0000-0000-00003B040000}"/>
    <cellStyle name="Normal 15 36" xfId="975" xr:uid="{00000000-0005-0000-0000-00003C040000}"/>
    <cellStyle name="Normal 15 37" xfId="976" xr:uid="{00000000-0005-0000-0000-00003D040000}"/>
    <cellStyle name="Normal 15 38" xfId="977" xr:uid="{00000000-0005-0000-0000-00003E040000}"/>
    <cellStyle name="Normal 15 39" xfId="978" xr:uid="{00000000-0005-0000-0000-00003F040000}"/>
    <cellStyle name="Normal 15 4" xfId="979" xr:uid="{00000000-0005-0000-0000-000040040000}"/>
    <cellStyle name="Normal 15 40" xfId="980" xr:uid="{00000000-0005-0000-0000-000041040000}"/>
    <cellStyle name="Normal 15 41" xfId="981" xr:uid="{00000000-0005-0000-0000-000042040000}"/>
    <cellStyle name="Normal 15 42" xfId="982" xr:uid="{00000000-0005-0000-0000-000043040000}"/>
    <cellStyle name="Normal 15 43" xfId="983" xr:uid="{00000000-0005-0000-0000-000044040000}"/>
    <cellStyle name="Normal 15 44" xfId="984" xr:uid="{00000000-0005-0000-0000-000045040000}"/>
    <cellStyle name="Normal 15 5" xfId="985" xr:uid="{00000000-0005-0000-0000-000046040000}"/>
    <cellStyle name="Normal 15 6" xfId="986" xr:uid="{00000000-0005-0000-0000-000047040000}"/>
    <cellStyle name="Normal 15 7" xfId="987" xr:uid="{00000000-0005-0000-0000-000048040000}"/>
    <cellStyle name="Normal 15 8" xfId="988" xr:uid="{00000000-0005-0000-0000-000049040000}"/>
    <cellStyle name="Normal 15 9" xfId="989" xr:uid="{00000000-0005-0000-0000-00004A040000}"/>
    <cellStyle name="Normal 16" xfId="990" xr:uid="{00000000-0005-0000-0000-00004B040000}"/>
    <cellStyle name="Normal 16 10" xfId="991" xr:uid="{00000000-0005-0000-0000-00004C040000}"/>
    <cellStyle name="Normal 16 11" xfId="992" xr:uid="{00000000-0005-0000-0000-00004D040000}"/>
    <cellStyle name="Normal 16 12" xfId="993" xr:uid="{00000000-0005-0000-0000-00004E040000}"/>
    <cellStyle name="Normal 16 13" xfId="994" xr:uid="{00000000-0005-0000-0000-00004F040000}"/>
    <cellStyle name="Normal 16 14" xfId="995" xr:uid="{00000000-0005-0000-0000-000050040000}"/>
    <cellStyle name="Normal 16 15" xfId="996" xr:uid="{00000000-0005-0000-0000-000051040000}"/>
    <cellStyle name="Normal 16 16" xfId="997" xr:uid="{00000000-0005-0000-0000-000052040000}"/>
    <cellStyle name="Normal 16 17" xfId="998" xr:uid="{00000000-0005-0000-0000-000053040000}"/>
    <cellStyle name="Normal 16 18" xfId="999" xr:uid="{00000000-0005-0000-0000-000054040000}"/>
    <cellStyle name="Normal 16 19" xfId="1000" xr:uid="{00000000-0005-0000-0000-000055040000}"/>
    <cellStyle name="Normal 16 2" xfId="1001" xr:uid="{00000000-0005-0000-0000-000056040000}"/>
    <cellStyle name="Normal 16 20" xfId="1002" xr:uid="{00000000-0005-0000-0000-000057040000}"/>
    <cellStyle name="Normal 16 21" xfId="1003" xr:uid="{00000000-0005-0000-0000-000058040000}"/>
    <cellStyle name="Normal 16 22" xfId="1004" xr:uid="{00000000-0005-0000-0000-000059040000}"/>
    <cellStyle name="Normal 16 23" xfId="1005" xr:uid="{00000000-0005-0000-0000-00005A040000}"/>
    <cellStyle name="Normal 16 24" xfId="1006" xr:uid="{00000000-0005-0000-0000-00005B040000}"/>
    <cellStyle name="Normal 16 25" xfId="1007" xr:uid="{00000000-0005-0000-0000-00005C040000}"/>
    <cellStyle name="Normal 16 26" xfId="1008" xr:uid="{00000000-0005-0000-0000-00005D040000}"/>
    <cellStyle name="Normal 16 27" xfId="1009" xr:uid="{00000000-0005-0000-0000-00005E040000}"/>
    <cellStyle name="Normal 16 28" xfId="1010" xr:uid="{00000000-0005-0000-0000-00005F040000}"/>
    <cellStyle name="Normal 16 29" xfId="1011" xr:uid="{00000000-0005-0000-0000-000060040000}"/>
    <cellStyle name="Normal 16 3" xfId="1012" xr:uid="{00000000-0005-0000-0000-000061040000}"/>
    <cellStyle name="Normal 16 30" xfId="1013" xr:uid="{00000000-0005-0000-0000-000062040000}"/>
    <cellStyle name="Normal 16 31" xfId="1014" xr:uid="{00000000-0005-0000-0000-000063040000}"/>
    <cellStyle name="Normal 16 32" xfId="1015" xr:uid="{00000000-0005-0000-0000-000064040000}"/>
    <cellStyle name="Normal 16 33" xfId="1016" xr:uid="{00000000-0005-0000-0000-000065040000}"/>
    <cellStyle name="Normal 16 34" xfId="1017" xr:uid="{00000000-0005-0000-0000-000066040000}"/>
    <cellStyle name="Normal 16 35" xfId="1018" xr:uid="{00000000-0005-0000-0000-000067040000}"/>
    <cellStyle name="Normal 16 36" xfId="1019" xr:uid="{00000000-0005-0000-0000-000068040000}"/>
    <cellStyle name="Normal 16 37" xfId="1020" xr:uid="{00000000-0005-0000-0000-000069040000}"/>
    <cellStyle name="Normal 16 38" xfId="1021" xr:uid="{00000000-0005-0000-0000-00006A040000}"/>
    <cellStyle name="Normal 16 39" xfId="1022" xr:uid="{00000000-0005-0000-0000-00006B040000}"/>
    <cellStyle name="Normal 16 4" xfId="1023" xr:uid="{00000000-0005-0000-0000-00006C040000}"/>
    <cellStyle name="Normal 16 40" xfId="1024" xr:uid="{00000000-0005-0000-0000-00006D040000}"/>
    <cellStyle name="Normal 16 41" xfId="1025" xr:uid="{00000000-0005-0000-0000-00006E040000}"/>
    <cellStyle name="Normal 16 42" xfId="1026" xr:uid="{00000000-0005-0000-0000-00006F040000}"/>
    <cellStyle name="Normal 16 43" xfId="1027" xr:uid="{00000000-0005-0000-0000-000070040000}"/>
    <cellStyle name="Normal 16 44" xfId="1028" xr:uid="{00000000-0005-0000-0000-000071040000}"/>
    <cellStyle name="Normal 16 5" xfId="1029" xr:uid="{00000000-0005-0000-0000-000072040000}"/>
    <cellStyle name="Normal 16 6" xfId="1030" xr:uid="{00000000-0005-0000-0000-000073040000}"/>
    <cellStyle name="Normal 16 7" xfId="1031" xr:uid="{00000000-0005-0000-0000-000074040000}"/>
    <cellStyle name="Normal 16 8" xfId="1032" xr:uid="{00000000-0005-0000-0000-000075040000}"/>
    <cellStyle name="Normal 16 9" xfId="1033" xr:uid="{00000000-0005-0000-0000-000076040000}"/>
    <cellStyle name="Normal 17" xfId="1034" xr:uid="{00000000-0005-0000-0000-000077040000}"/>
    <cellStyle name="Normal 17 10" xfId="1035" xr:uid="{00000000-0005-0000-0000-000078040000}"/>
    <cellStyle name="Normal 17 11" xfId="1036" xr:uid="{00000000-0005-0000-0000-000079040000}"/>
    <cellStyle name="Normal 17 12" xfId="1037" xr:uid="{00000000-0005-0000-0000-00007A040000}"/>
    <cellStyle name="Normal 17 13" xfId="1038" xr:uid="{00000000-0005-0000-0000-00007B040000}"/>
    <cellStyle name="Normal 17 14" xfId="1039" xr:uid="{00000000-0005-0000-0000-00007C040000}"/>
    <cellStyle name="Normal 17 15" xfId="1040" xr:uid="{00000000-0005-0000-0000-00007D040000}"/>
    <cellStyle name="Normal 17 16" xfId="1041" xr:uid="{00000000-0005-0000-0000-00007E040000}"/>
    <cellStyle name="Normal 17 17" xfId="1042" xr:uid="{00000000-0005-0000-0000-00007F040000}"/>
    <cellStyle name="Normal 17 18" xfId="1043" xr:uid="{00000000-0005-0000-0000-000080040000}"/>
    <cellStyle name="Normal 17 19" xfId="1044" xr:uid="{00000000-0005-0000-0000-000081040000}"/>
    <cellStyle name="Normal 17 2" xfId="1045" xr:uid="{00000000-0005-0000-0000-000082040000}"/>
    <cellStyle name="Normal 17 20" xfId="1046" xr:uid="{00000000-0005-0000-0000-000083040000}"/>
    <cellStyle name="Normal 17 21" xfId="1047" xr:uid="{00000000-0005-0000-0000-000084040000}"/>
    <cellStyle name="Normal 17 22" xfId="1048" xr:uid="{00000000-0005-0000-0000-000085040000}"/>
    <cellStyle name="Normal 17 23" xfId="1049" xr:uid="{00000000-0005-0000-0000-000086040000}"/>
    <cellStyle name="Normal 17 24" xfId="1050" xr:uid="{00000000-0005-0000-0000-000087040000}"/>
    <cellStyle name="Normal 17 25" xfId="1051" xr:uid="{00000000-0005-0000-0000-000088040000}"/>
    <cellStyle name="Normal 17 26" xfId="1052" xr:uid="{00000000-0005-0000-0000-000089040000}"/>
    <cellStyle name="Normal 17 27" xfId="1053" xr:uid="{00000000-0005-0000-0000-00008A040000}"/>
    <cellStyle name="Normal 17 28" xfId="1054" xr:uid="{00000000-0005-0000-0000-00008B040000}"/>
    <cellStyle name="Normal 17 29" xfId="1055" xr:uid="{00000000-0005-0000-0000-00008C040000}"/>
    <cellStyle name="Normal 17 3" xfId="1056" xr:uid="{00000000-0005-0000-0000-00008D040000}"/>
    <cellStyle name="Normal 17 30" xfId="1057" xr:uid="{00000000-0005-0000-0000-00008E040000}"/>
    <cellStyle name="Normal 17 31" xfId="1058" xr:uid="{00000000-0005-0000-0000-00008F040000}"/>
    <cellStyle name="Normal 17 32" xfId="1059" xr:uid="{00000000-0005-0000-0000-000090040000}"/>
    <cellStyle name="Normal 17 33" xfId="1060" xr:uid="{00000000-0005-0000-0000-000091040000}"/>
    <cellStyle name="Normal 17 34" xfId="1061" xr:uid="{00000000-0005-0000-0000-000092040000}"/>
    <cellStyle name="Normal 17 35" xfId="1062" xr:uid="{00000000-0005-0000-0000-000093040000}"/>
    <cellStyle name="Normal 17 36" xfId="1063" xr:uid="{00000000-0005-0000-0000-000094040000}"/>
    <cellStyle name="Normal 17 37" xfId="1064" xr:uid="{00000000-0005-0000-0000-000095040000}"/>
    <cellStyle name="Normal 17 38" xfId="1065" xr:uid="{00000000-0005-0000-0000-000096040000}"/>
    <cellStyle name="Normal 17 39" xfId="1066" xr:uid="{00000000-0005-0000-0000-000097040000}"/>
    <cellStyle name="Normal 17 4" xfId="1067" xr:uid="{00000000-0005-0000-0000-000098040000}"/>
    <cellStyle name="Normal 17 40" xfId="1068" xr:uid="{00000000-0005-0000-0000-000099040000}"/>
    <cellStyle name="Normal 17 41" xfId="1069" xr:uid="{00000000-0005-0000-0000-00009A040000}"/>
    <cellStyle name="Normal 17 42" xfId="1070" xr:uid="{00000000-0005-0000-0000-00009B040000}"/>
    <cellStyle name="Normal 17 43" xfId="1071" xr:uid="{00000000-0005-0000-0000-00009C040000}"/>
    <cellStyle name="Normal 17 44" xfId="1072" xr:uid="{00000000-0005-0000-0000-00009D040000}"/>
    <cellStyle name="Normal 17 5" xfId="1073" xr:uid="{00000000-0005-0000-0000-00009E040000}"/>
    <cellStyle name="Normal 17 6" xfId="1074" xr:uid="{00000000-0005-0000-0000-00009F040000}"/>
    <cellStyle name="Normal 17 7" xfId="1075" xr:uid="{00000000-0005-0000-0000-0000A0040000}"/>
    <cellStyle name="Normal 17 8" xfId="1076" xr:uid="{00000000-0005-0000-0000-0000A1040000}"/>
    <cellStyle name="Normal 17 9" xfId="1077" xr:uid="{00000000-0005-0000-0000-0000A2040000}"/>
    <cellStyle name="Normal 18" xfId="1078" xr:uid="{00000000-0005-0000-0000-0000A3040000}"/>
    <cellStyle name="Normal 18 10" xfId="1079" xr:uid="{00000000-0005-0000-0000-0000A4040000}"/>
    <cellStyle name="Normal 18 11" xfId="1080" xr:uid="{00000000-0005-0000-0000-0000A5040000}"/>
    <cellStyle name="Normal 18 12" xfId="1081" xr:uid="{00000000-0005-0000-0000-0000A6040000}"/>
    <cellStyle name="Normal 18 13" xfId="1082" xr:uid="{00000000-0005-0000-0000-0000A7040000}"/>
    <cellStyle name="Normal 18 14" xfId="1083" xr:uid="{00000000-0005-0000-0000-0000A8040000}"/>
    <cellStyle name="Normal 18 15" xfId="1084" xr:uid="{00000000-0005-0000-0000-0000A9040000}"/>
    <cellStyle name="Normal 18 16" xfId="1085" xr:uid="{00000000-0005-0000-0000-0000AA040000}"/>
    <cellStyle name="Normal 18 17" xfId="1086" xr:uid="{00000000-0005-0000-0000-0000AB040000}"/>
    <cellStyle name="Normal 18 18" xfId="1087" xr:uid="{00000000-0005-0000-0000-0000AC040000}"/>
    <cellStyle name="Normal 18 19" xfId="1088" xr:uid="{00000000-0005-0000-0000-0000AD040000}"/>
    <cellStyle name="Normal 18 2" xfId="1089" xr:uid="{00000000-0005-0000-0000-0000AE040000}"/>
    <cellStyle name="Normal 18 20" xfId="1090" xr:uid="{00000000-0005-0000-0000-0000AF040000}"/>
    <cellStyle name="Normal 18 21" xfId="1091" xr:uid="{00000000-0005-0000-0000-0000B0040000}"/>
    <cellStyle name="Normal 18 22" xfId="1092" xr:uid="{00000000-0005-0000-0000-0000B1040000}"/>
    <cellStyle name="Normal 18 23" xfId="1093" xr:uid="{00000000-0005-0000-0000-0000B2040000}"/>
    <cellStyle name="Normal 18 24" xfId="1094" xr:uid="{00000000-0005-0000-0000-0000B3040000}"/>
    <cellStyle name="Normal 18 25" xfId="1095" xr:uid="{00000000-0005-0000-0000-0000B4040000}"/>
    <cellStyle name="Normal 18 26" xfId="1096" xr:uid="{00000000-0005-0000-0000-0000B5040000}"/>
    <cellStyle name="Normal 18 27" xfId="1097" xr:uid="{00000000-0005-0000-0000-0000B6040000}"/>
    <cellStyle name="Normal 18 28" xfId="1098" xr:uid="{00000000-0005-0000-0000-0000B7040000}"/>
    <cellStyle name="Normal 18 29" xfId="1099" xr:uid="{00000000-0005-0000-0000-0000B8040000}"/>
    <cellStyle name="Normal 18 3" xfId="1100" xr:uid="{00000000-0005-0000-0000-0000B9040000}"/>
    <cellStyle name="Normal 18 30" xfId="1101" xr:uid="{00000000-0005-0000-0000-0000BA040000}"/>
    <cellStyle name="Normal 18 31" xfId="1102" xr:uid="{00000000-0005-0000-0000-0000BB040000}"/>
    <cellStyle name="Normal 18 32" xfId="1103" xr:uid="{00000000-0005-0000-0000-0000BC040000}"/>
    <cellStyle name="Normal 18 33" xfId="1104" xr:uid="{00000000-0005-0000-0000-0000BD040000}"/>
    <cellStyle name="Normal 18 34" xfId="1105" xr:uid="{00000000-0005-0000-0000-0000BE040000}"/>
    <cellStyle name="Normal 18 35" xfId="1106" xr:uid="{00000000-0005-0000-0000-0000BF040000}"/>
    <cellStyle name="Normal 18 36" xfId="1107" xr:uid="{00000000-0005-0000-0000-0000C0040000}"/>
    <cellStyle name="Normal 18 37" xfId="1108" xr:uid="{00000000-0005-0000-0000-0000C1040000}"/>
    <cellStyle name="Normal 18 38" xfId="1109" xr:uid="{00000000-0005-0000-0000-0000C2040000}"/>
    <cellStyle name="Normal 18 39" xfId="1110" xr:uid="{00000000-0005-0000-0000-0000C3040000}"/>
    <cellStyle name="Normal 18 4" xfId="1111" xr:uid="{00000000-0005-0000-0000-0000C4040000}"/>
    <cellStyle name="Normal 18 40" xfId="1112" xr:uid="{00000000-0005-0000-0000-0000C5040000}"/>
    <cellStyle name="Normal 18 41" xfId="1113" xr:uid="{00000000-0005-0000-0000-0000C6040000}"/>
    <cellStyle name="Normal 18 42" xfId="1114" xr:uid="{00000000-0005-0000-0000-0000C7040000}"/>
    <cellStyle name="Normal 18 43" xfId="1115" xr:uid="{00000000-0005-0000-0000-0000C8040000}"/>
    <cellStyle name="Normal 18 44" xfId="1116" xr:uid="{00000000-0005-0000-0000-0000C9040000}"/>
    <cellStyle name="Normal 18 5" xfId="1117" xr:uid="{00000000-0005-0000-0000-0000CA040000}"/>
    <cellStyle name="Normal 18 6" xfId="1118" xr:uid="{00000000-0005-0000-0000-0000CB040000}"/>
    <cellStyle name="Normal 18 7" xfId="1119" xr:uid="{00000000-0005-0000-0000-0000CC040000}"/>
    <cellStyle name="Normal 18 8" xfId="1120" xr:uid="{00000000-0005-0000-0000-0000CD040000}"/>
    <cellStyle name="Normal 18 9" xfId="1121" xr:uid="{00000000-0005-0000-0000-0000CE040000}"/>
    <cellStyle name="Normal 19" xfId="1122" xr:uid="{00000000-0005-0000-0000-0000CF040000}"/>
    <cellStyle name="Normal 19 10" xfId="1123" xr:uid="{00000000-0005-0000-0000-0000D0040000}"/>
    <cellStyle name="Normal 19 11" xfId="1124" xr:uid="{00000000-0005-0000-0000-0000D1040000}"/>
    <cellStyle name="Normal 19 12" xfId="1125" xr:uid="{00000000-0005-0000-0000-0000D2040000}"/>
    <cellStyle name="Normal 19 13" xfId="1126" xr:uid="{00000000-0005-0000-0000-0000D3040000}"/>
    <cellStyle name="Normal 19 14" xfId="1127" xr:uid="{00000000-0005-0000-0000-0000D4040000}"/>
    <cellStyle name="Normal 19 15" xfId="1128" xr:uid="{00000000-0005-0000-0000-0000D5040000}"/>
    <cellStyle name="Normal 19 16" xfId="1129" xr:uid="{00000000-0005-0000-0000-0000D6040000}"/>
    <cellStyle name="Normal 19 17" xfId="1130" xr:uid="{00000000-0005-0000-0000-0000D7040000}"/>
    <cellStyle name="Normal 19 18" xfId="1131" xr:uid="{00000000-0005-0000-0000-0000D8040000}"/>
    <cellStyle name="Normal 19 19" xfId="1132" xr:uid="{00000000-0005-0000-0000-0000D9040000}"/>
    <cellStyle name="Normal 19 2" xfId="1133" xr:uid="{00000000-0005-0000-0000-0000DA040000}"/>
    <cellStyle name="Normal 19 20" xfId="1134" xr:uid="{00000000-0005-0000-0000-0000DB040000}"/>
    <cellStyle name="Normal 19 21" xfId="1135" xr:uid="{00000000-0005-0000-0000-0000DC040000}"/>
    <cellStyle name="Normal 19 22" xfId="1136" xr:uid="{00000000-0005-0000-0000-0000DD040000}"/>
    <cellStyle name="Normal 19 23" xfId="1137" xr:uid="{00000000-0005-0000-0000-0000DE040000}"/>
    <cellStyle name="Normal 19 24" xfId="1138" xr:uid="{00000000-0005-0000-0000-0000DF040000}"/>
    <cellStyle name="Normal 19 25" xfId="1139" xr:uid="{00000000-0005-0000-0000-0000E0040000}"/>
    <cellStyle name="Normal 19 26" xfId="1140" xr:uid="{00000000-0005-0000-0000-0000E1040000}"/>
    <cellStyle name="Normal 19 27" xfId="1141" xr:uid="{00000000-0005-0000-0000-0000E2040000}"/>
    <cellStyle name="Normal 19 28" xfId="1142" xr:uid="{00000000-0005-0000-0000-0000E3040000}"/>
    <cellStyle name="Normal 19 29" xfId="1143" xr:uid="{00000000-0005-0000-0000-0000E4040000}"/>
    <cellStyle name="Normal 19 3" xfId="1144" xr:uid="{00000000-0005-0000-0000-0000E5040000}"/>
    <cellStyle name="Normal 19 30" xfId="1145" xr:uid="{00000000-0005-0000-0000-0000E6040000}"/>
    <cellStyle name="Normal 19 31" xfId="1146" xr:uid="{00000000-0005-0000-0000-0000E7040000}"/>
    <cellStyle name="Normal 19 32" xfId="1147" xr:uid="{00000000-0005-0000-0000-0000E8040000}"/>
    <cellStyle name="Normal 19 33" xfId="1148" xr:uid="{00000000-0005-0000-0000-0000E9040000}"/>
    <cellStyle name="Normal 19 34" xfId="1149" xr:uid="{00000000-0005-0000-0000-0000EA040000}"/>
    <cellStyle name="Normal 19 35" xfId="1150" xr:uid="{00000000-0005-0000-0000-0000EB040000}"/>
    <cellStyle name="Normal 19 36" xfId="1151" xr:uid="{00000000-0005-0000-0000-0000EC040000}"/>
    <cellStyle name="Normal 19 37" xfId="1152" xr:uid="{00000000-0005-0000-0000-0000ED040000}"/>
    <cellStyle name="Normal 19 38" xfId="1153" xr:uid="{00000000-0005-0000-0000-0000EE040000}"/>
    <cellStyle name="Normal 19 39" xfId="1154" xr:uid="{00000000-0005-0000-0000-0000EF040000}"/>
    <cellStyle name="Normal 19 4" xfId="1155" xr:uid="{00000000-0005-0000-0000-0000F0040000}"/>
    <cellStyle name="Normal 19 40" xfId="1156" xr:uid="{00000000-0005-0000-0000-0000F1040000}"/>
    <cellStyle name="Normal 19 41" xfId="1157" xr:uid="{00000000-0005-0000-0000-0000F2040000}"/>
    <cellStyle name="Normal 19 42" xfId="1158" xr:uid="{00000000-0005-0000-0000-0000F3040000}"/>
    <cellStyle name="Normal 19 43" xfId="1159" xr:uid="{00000000-0005-0000-0000-0000F4040000}"/>
    <cellStyle name="Normal 19 44" xfId="1160" xr:uid="{00000000-0005-0000-0000-0000F5040000}"/>
    <cellStyle name="Normal 19 5" xfId="1161" xr:uid="{00000000-0005-0000-0000-0000F6040000}"/>
    <cellStyle name="Normal 19 6" xfId="1162" xr:uid="{00000000-0005-0000-0000-0000F7040000}"/>
    <cellStyle name="Normal 19 7" xfId="1163" xr:uid="{00000000-0005-0000-0000-0000F8040000}"/>
    <cellStyle name="Normal 19 8" xfId="1164" xr:uid="{00000000-0005-0000-0000-0000F9040000}"/>
    <cellStyle name="Normal 19 9" xfId="1165" xr:uid="{00000000-0005-0000-0000-0000FA040000}"/>
    <cellStyle name="Normal 2" xfId="4" xr:uid="{00000000-0005-0000-0000-0000FB040000}"/>
    <cellStyle name="Normal 2 10" xfId="1166" xr:uid="{00000000-0005-0000-0000-0000FC040000}"/>
    <cellStyle name="Normal 2 10 2" xfId="1167" xr:uid="{00000000-0005-0000-0000-0000FD040000}"/>
    <cellStyle name="Normal 2 10 3" xfId="1168" xr:uid="{00000000-0005-0000-0000-0000FE040000}"/>
    <cellStyle name="Normal 2 10 4" xfId="1169" xr:uid="{00000000-0005-0000-0000-0000FF040000}"/>
    <cellStyle name="Normal 2 11" xfId="1170" xr:uid="{00000000-0005-0000-0000-000000050000}"/>
    <cellStyle name="Normal 2 11 2" xfId="1171" xr:uid="{00000000-0005-0000-0000-000001050000}"/>
    <cellStyle name="Normal 2 11 3" xfId="1172" xr:uid="{00000000-0005-0000-0000-000002050000}"/>
    <cellStyle name="Normal 2 11 4" xfId="1173" xr:uid="{00000000-0005-0000-0000-000003050000}"/>
    <cellStyle name="Normal 2 12" xfId="1174" xr:uid="{00000000-0005-0000-0000-000004050000}"/>
    <cellStyle name="Normal 2 12 2" xfId="1175" xr:uid="{00000000-0005-0000-0000-000005050000}"/>
    <cellStyle name="Normal 2 12 3" xfId="1176" xr:uid="{00000000-0005-0000-0000-000006050000}"/>
    <cellStyle name="Normal 2 12 4" xfId="1177" xr:uid="{00000000-0005-0000-0000-000007050000}"/>
    <cellStyle name="Normal 2 13" xfId="1178" xr:uid="{00000000-0005-0000-0000-000008050000}"/>
    <cellStyle name="Normal 2 13 2" xfId="1179" xr:uid="{00000000-0005-0000-0000-000009050000}"/>
    <cellStyle name="Normal 2 13 3" xfId="1180" xr:uid="{00000000-0005-0000-0000-00000A050000}"/>
    <cellStyle name="Normal 2 13 4" xfId="1181" xr:uid="{00000000-0005-0000-0000-00000B050000}"/>
    <cellStyle name="Normal 2 14" xfId="1182" xr:uid="{00000000-0005-0000-0000-00000C050000}"/>
    <cellStyle name="Normal 2 14 2" xfId="1183" xr:uid="{00000000-0005-0000-0000-00000D050000}"/>
    <cellStyle name="Normal 2 14 3" xfId="1184" xr:uid="{00000000-0005-0000-0000-00000E050000}"/>
    <cellStyle name="Normal 2 14 4" xfId="1185" xr:uid="{00000000-0005-0000-0000-00000F050000}"/>
    <cellStyle name="Normal 2 15" xfId="1186" xr:uid="{00000000-0005-0000-0000-000010050000}"/>
    <cellStyle name="Normal 2 15 2" xfId="1187" xr:uid="{00000000-0005-0000-0000-000011050000}"/>
    <cellStyle name="Normal 2 15 3" xfId="1188" xr:uid="{00000000-0005-0000-0000-000012050000}"/>
    <cellStyle name="Normal 2 15 4" xfId="1189" xr:uid="{00000000-0005-0000-0000-000013050000}"/>
    <cellStyle name="Normal 2 16" xfId="1190" xr:uid="{00000000-0005-0000-0000-000014050000}"/>
    <cellStyle name="Normal 2 16 2" xfId="1191" xr:uid="{00000000-0005-0000-0000-000015050000}"/>
    <cellStyle name="Normal 2 16 3" xfId="1192" xr:uid="{00000000-0005-0000-0000-000016050000}"/>
    <cellStyle name="Normal 2 16 4" xfId="1193" xr:uid="{00000000-0005-0000-0000-000017050000}"/>
    <cellStyle name="Normal 2 17" xfId="1194" xr:uid="{00000000-0005-0000-0000-000018050000}"/>
    <cellStyle name="Normal 2 17 2" xfId="1195" xr:uid="{00000000-0005-0000-0000-000019050000}"/>
    <cellStyle name="Normal 2 17 3" xfId="1196" xr:uid="{00000000-0005-0000-0000-00001A050000}"/>
    <cellStyle name="Normal 2 17 4" xfId="1197" xr:uid="{00000000-0005-0000-0000-00001B050000}"/>
    <cellStyle name="Normal 2 18" xfId="1198" xr:uid="{00000000-0005-0000-0000-00001C050000}"/>
    <cellStyle name="Normal 2 18 2" xfId="1199" xr:uid="{00000000-0005-0000-0000-00001D050000}"/>
    <cellStyle name="Normal 2 18 3" xfId="1200" xr:uid="{00000000-0005-0000-0000-00001E050000}"/>
    <cellStyle name="Normal 2 18 4" xfId="1201" xr:uid="{00000000-0005-0000-0000-00001F050000}"/>
    <cellStyle name="Normal 2 19" xfId="1202" xr:uid="{00000000-0005-0000-0000-000020050000}"/>
    <cellStyle name="Normal 2 19 2" xfId="1203" xr:uid="{00000000-0005-0000-0000-000021050000}"/>
    <cellStyle name="Normal 2 19 3" xfId="1204" xr:uid="{00000000-0005-0000-0000-000022050000}"/>
    <cellStyle name="Normal 2 19 4" xfId="1205" xr:uid="{00000000-0005-0000-0000-000023050000}"/>
    <cellStyle name="Normal 2 2" xfId="5" xr:uid="{00000000-0005-0000-0000-000024050000}"/>
    <cellStyle name="Normal 2 2 2" xfId="11" xr:uid="{00000000-0005-0000-0000-000025050000}"/>
    <cellStyle name="Normal 2 2 2 2 2" xfId="3745" xr:uid="{00000000-0005-0000-0000-000026050000}"/>
    <cellStyle name="Normal 2 2 3" xfId="1206" xr:uid="{00000000-0005-0000-0000-000027050000}"/>
    <cellStyle name="Normal 2 2 4" xfId="1207" xr:uid="{00000000-0005-0000-0000-000028050000}"/>
    <cellStyle name="Normal 2 20" xfId="1208" xr:uid="{00000000-0005-0000-0000-000029050000}"/>
    <cellStyle name="Normal 2 20 2" xfId="1209" xr:uid="{00000000-0005-0000-0000-00002A050000}"/>
    <cellStyle name="Normal 2 20 3" xfId="1210" xr:uid="{00000000-0005-0000-0000-00002B050000}"/>
    <cellStyle name="Normal 2 20 4" xfId="1211" xr:uid="{00000000-0005-0000-0000-00002C050000}"/>
    <cellStyle name="Normal 2 21" xfId="1212" xr:uid="{00000000-0005-0000-0000-00002D050000}"/>
    <cellStyle name="Normal 2 21 2" xfId="1213" xr:uid="{00000000-0005-0000-0000-00002E050000}"/>
    <cellStyle name="Normal 2 21 3" xfId="1214" xr:uid="{00000000-0005-0000-0000-00002F050000}"/>
    <cellStyle name="Normal 2 21 4" xfId="1215" xr:uid="{00000000-0005-0000-0000-000030050000}"/>
    <cellStyle name="Normal 2 22" xfId="1216" xr:uid="{00000000-0005-0000-0000-000031050000}"/>
    <cellStyle name="Normal 2 22 2" xfId="1217" xr:uid="{00000000-0005-0000-0000-000032050000}"/>
    <cellStyle name="Normal 2 22 3" xfId="1218" xr:uid="{00000000-0005-0000-0000-000033050000}"/>
    <cellStyle name="Normal 2 22 4" xfId="1219" xr:uid="{00000000-0005-0000-0000-000034050000}"/>
    <cellStyle name="Normal 2 23" xfId="1220" xr:uid="{00000000-0005-0000-0000-000035050000}"/>
    <cellStyle name="Normal 2 23 2" xfId="1221" xr:uid="{00000000-0005-0000-0000-000036050000}"/>
    <cellStyle name="Normal 2 23 3" xfId="1222" xr:uid="{00000000-0005-0000-0000-000037050000}"/>
    <cellStyle name="Normal 2 23 4" xfId="1223" xr:uid="{00000000-0005-0000-0000-000038050000}"/>
    <cellStyle name="Normal 2 24" xfId="1224" xr:uid="{00000000-0005-0000-0000-000039050000}"/>
    <cellStyle name="Normal 2 24 2" xfId="1225" xr:uid="{00000000-0005-0000-0000-00003A050000}"/>
    <cellStyle name="Normal 2 24 3" xfId="1226" xr:uid="{00000000-0005-0000-0000-00003B050000}"/>
    <cellStyle name="Normal 2 24 4" xfId="1227" xr:uid="{00000000-0005-0000-0000-00003C050000}"/>
    <cellStyle name="Normal 2 25" xfId="1228" xr:uid="{00000000-0005-0000-0000-00003D050000}"/>
    <cellStyle name="Normal 2 25 2" xfId="1229" xr:uid="{00000000-0005-0000-0000-00003E050000}"/>
    <cellStyle name="Normal 2 25 3" xfId="1230" xr:uid="{00000000-0005-0000-0000-00003F050000}"/>
    <cellStyle name="Normal 2 25 4" xfId="1231" xr:uid="{00000000-0005-0000-0000-000040050000}"/>
    <cellStyle name="Normal 2 26" xfId="1232" xr:uid="{00000000-0005-0000-0000-000041050000}"/>
    <cellStyle name="Normal 2 26 2" xfId="1233" xr:uid="{00000000-0005-0000-0000-000042050000}"/>
    <cellStyle name="Normal 2 26 3" xfId="1234" xr:uid="{00000000-0005-0000-0000-000043050000}"/>
    <cellStyle name="Normal 2 26 4" xfId="1235" xr:uid="{00000000-0005-0000-0000-000044050000}"/>
    <cellStyle name="Normal 2 27" xfId="1236" xr:uid="{00000000-0005-0000-0000-000045050000}"/>
    <cellStyle name="Normal 2 27 2" xfId="1237" xr:uid="{00000000-0005-0000-0000-000046050000}"/>
    <cellStyle name="Normal 2 27 3" xfId="1238" xr:uid="{00000000-0005-0000-0000-000047050000}"/>
    <cellStyle name="Normal 2 27 4" xfId="1239" xr:uid="{00000000-0005-0000-0000-000048050000}"/>
    <cellStyle name="Normal 2 28" xfId="1240" xr:uid="{00000000-0005-0000-0000-000049050000}"/>
    <cellStyle name="Normal 2 28 2" xfId="1241" xr:uid="{00000000-0005-0000-0000-00004A050000}"/>
    <cellStyle name="Normal 2 28 3" xfId="1242" xr:uid="{00000000-0005-0000-0000-00004B050000}"/>
    <cellStyle name="Normal 2 28 4" xfId="1243" xr:uid="{00000000-0005-0000-0000-00004C050000}"/>
    <cellStyle name="Normal 2 29" xfId="1244" xr:uid="{00000000-0005-0000-0000-00004D050000}"/>
    <cellStyle name="Normal 2 29 2" xfId="1245" xr:uid="{00000000-0005-0000-0000-00004E050000}"/>
    <cellStyle name="Normal 2 29 3" xfId="1246" xr:uid="{00000000-0005-0000-0000-00004F050000}"/>
    <cellStyle name="Normal 2 29 4" xfId="1247" xr:uid="{00000000-0005-0000-0000-000050050000}"/>
    <cellStyle name="Normal 2 3" xfId="1248" xr:uid="{00000000-0005-0000-0000-000051050000}"/>
    <cellStyle name="Normal 2 3 2" xfId="1249" xr:uid="{00000000-0005-0000-0000-000052050000}"/>
    <cellStyle name="Normal 2 3 3" xfId="1250" xr:uid="{00000000-0005-0000-0000-000053050000}"/>
    <cellStyle name="Normal 2 3 4" xfId="1251" xr:uid="{00000000-0005-0000-0000-000054050000}"/>
    <cellStyle name="Normal 2 3_CUCARACHO" xfId="1252" xr:uid="{00000000-0005-0000-0000-000055050000}"/>
    <cellStyle name="Normal 2 30" xfId="1253" xr:uid="{00000000-0005-0000-0000-000056050000}"/>
    <cellStyle name="Normal 2 30 2" xfId="1254" xr:uid="{00000000-0005-0000-0000-000057050000}"/>
    <cellStyle name="Normal 2 30 3" xfId="1255" xr:uid="{00000000-0005-0000-0000-000058050000}"/>
    <cellStyle name="Normal 2 30 4" xfId="1256" xr:uid="{00000000-0005-0000-0000-000059050000}"/>
    <cellStyle name="Normal 2 31" xfId="1257" xr:uid="{00000000-0005-0000-0000-00005A050000}"/>
    <cellStyle name="Normal 2 31 2" xfId="1258" xr:uid="{00000000-0005-0000-0000-00005B050000}"/>
    <cellStyle name="Normal 2 31 3" xfId="1259" xr:uid="{00000000-0005-0000-0000-00005C050000}"/>
    <cellStyle name="Normal 2 31 4" xfId="1260" xr:uid="{00000000-0005-0000-0000-00005D050000}"/>
    <cellStyle name="Normal 2 32" xfId="1261" xr:uid="{00000000-0005-0000-0000-00005E050000}"/>
    <cellStyle name="Normal 2 32 2" xfId="1262" xr:uid="{00000000-0005-0000-0000-00005F050000}"/>
    <cellStyle name="Normal 2 32 3" xfId="1263" xr:uid="{00000000-0005-0000-0000-000060050000}"/>
    <cellStyle name="Normal 2 32 4" xfId="1264" xr:uid="{00000000-0005-0000-0000-000061050000}"/>
    <cellStyle name="Normal 2 33" xfId="1265" xr:uid="{00000000-0005-0000-0000-000062050000}"/>
    <cellStyle name="Normal 2 33 2" xfId="1266" xr:uid="{00000000-0005-0000-0000-000063050000}"/>
    <cellStyle name="Normal 2 33 3" xfId="1267" xr:uid="{00000000-0005-0000-0000-000064050000}"/>
    <cellStyle name="Normal 2 33 4" xfId="1268" xr:uid="{00000000-0005-0000-0000-000065050000}"/>
    <cellStyle name="Normal 2 34" xfId="1269" xr:uid="{00000000-0005-0000-0000-000066050000}"/>
    <cellStyle name="Normal 2 34 2" xfId="1270" xr:uid="{00000000-0005-0000-0000-000067050000}"/>
    <cellStyle name="Normal 2 34 3" xfId="1271" xr:uid="{00000000-0005-0000-0000-000068050000}"/>
    <cellStyle name="Normal 2 34 4" xfId="1272" xr:uid="{00000000-0005-0000-0000-000069050000}"/>
    <cellStyle name="Normal 2 35" xfId="1273" xr:uid="{00000000-0005-0000-0000-00006A050000}"/>
    <cellStyle name="Normal 2 35 2" xfId="1274" xr:uid="{00000000-0005-0000-0000-00006B050000}"/>
    <cellStyle name="Normal 2 35 3" xfId="1275" xr:uid="{00000000-0005-0000-0000-00006C050000}"/>
    <cellStyle name="Normal 2 35 4" xfId="1276" xr:uid="{00000000-0005-0000-0000-00006D050000}"/>
    <cellStyle name="Normal 2 36" xfId="1277" xr:uid="{00000000-0005-0000-0000-00006E050000}"/>
    <cellStyle name="Normal 2 36 2" xfId="1278" xr:uid="{00000000-0005-0000-0000-00006F050000}"/>
    <cellStyle name="Normal 2 36 3" xfId="1279" xr:uid="{00000000-0005-0000-0000-000070050000}"/>
    <cellStyle name="Normal 2 36 4" xfId="1280" xr:uid="{00000000-0005-0000-0000-000071050000}"/>
    <cellStyle name="Normal 2 37" xfId="1281" xr:uid="{00000000-0005-0000-0000-000072050000}"/>
    <cellStyle name="Normal 2 37 2" xfId="1282" xr:uid="{00000000-0005-0000-0000-000073050000}"/>
    <cellStyle name="Normal 2 37 3" xfId="1283" xr:uid="{00000000-0005-0000-0000-000074050000}"/>
    <cellStyle name="Normal 2 37 4" xfId="1284" xr:uid="{00000000-0005-0000-0000-000075050000}"/>
    <cellStyle name="Normal 2 38" xfId="1285" xr:uid="{00000000-0005-0000-0000-000076050000}"/>
    <cellStyle name="Normal 2 38 2" xfId="1286" xr:uid="{00000000-0005-0000-0000-000077050000}"/>
    <cellStyle name="Normal 2 38 3" xfId="1287" xr:uid="{00000000-0005-0000-0000-000078050000}"/>
    <cellStyle name="Normal 2 38 4" xfId="1288" xr:uid="{00000000-0005-0000-0000-000079050000}"/>
    <cellStyle name="Normal 2 39" xfId="1289" xr:uid="{00000000-0005-0000-0000-00007A050000}"/>
    <cellStyle name="Normal 2 39 2" xfId="1290" xr:uid="{00000000-0005-0000-0000-00007B050000}"/>
    <cellStyle name="Normal 2 39 3" xfId="1291" xr:uid="{00000000-0005-0000-0000-00007C050000}"/>
    <cellStyle name="Normal 2 39 4" xfId="1292" xr:uid="{00000000-0005-0000-0000-00007D050000}"/>
    <cellStyle name="Normal 2 4" xfId="1293" xr:uid="{00000000-0005-0000-0000-00007E050000}"/>
    <cellStyle name="Normal 2 4 2" xfId="1294" xr:uid="{00000000-0005-0000-0000-00007F050000}"/>
    <cellStyle name="Normal 2 4 3" xfId="1295" xr:uid="{00000000-0005-0000-0000-000080050000}"/>
    <cellStyle name="Normal 2 4 4" xfId="1296" xr:uid="{00000000-0005-0000-0000-000081050000}"/>
    <cellStyle name="Normal 2 4_CUCARACHO" xfId="1297" xr:uid="{00000000-0005-0000-0000-000082050000}"/>
    <cellStyle name="Normal 2 40" xfId="1298" xr:uid="{00000000-0005-0000-0000-000083050000}"/>
    <cellStyle name="Normal 2 40 2" xfId="1299" xr:uid="{00000000-0005-0000-0000-000084050000}"/>
    <cellStyle name="Normal 2 40 3" xfId="1300" xr:uid="{00000000-0005-0000-0000-000085050000}"/>
    <cellStyle name="Normal 2 40 4" xfId="1301" xr:uid="{00000000-0005-0000-0000-000086050000}"/>
    <cellStyle name="Normal 2 41" xfId="1302" xr:uid="{00000000-0005-0000-0000-000087050000}"/>
    <cellStyle name="Normal 2 42" xfId="1303" xr:uid="{00000000-0005-0000-0000-000088050000}"/>
    <cellStyle name="Normal 2 43" xfId="1304" xr:uid="{00000000-0005-0000-0000-000089050000}"/>
    <cellStyle name="Normal 2 44" xfId="1305" xr:uid="{00000000-0005-0000-0000-00008A050000}"/>
    <cellStyle name="Normal 2 45" xfId="1306" xr:uid="{00000000-0005-0000-0000-00008B050000}"/>
    <cellStyle name="Normal 2 46" xfId="1307" xr:uid="{00000000-0005-0000-0000-00008C050000}"/>
    <cellStyle name="Normal 2 47" xfId="1308" xr:uid="{00000000-0005-0000-0000-00008D050000}"/>
    <cellStyle name="Normal 2 48" xfId="1309" xr:uid="{00000000-0005-0000-0000-00008E050000}"/>
    <cellStyle name="Normal 2 49" xfId="1310" xr:uid="{00000000-0005-0000-0000-00008F050000}"/>
    <cellStyle name="Normal 2 5" xfId="1311" xr:uid="{00000000-0005-0000-0000-000090050000}"/>
    <cellStyle name="Normal 2 5 2" xfId="1312" xr:uid="{00000000-0005-0000-0000-000091050000}"/>
    <cellStyle name="Normal 2 5 3" xfId="1313" xr:uid="{00000000-0005-0000-0000-000092050000}"/>
    <cellStyle name="Normal 2 5 4" xfId="1314" xr:uid="{00000000-0005-0000-0000-000093050000}"/>
    <cellStyle name="Normal 2 50" xfId="1315" xr:uid="{00000000-0005-0000-0000-000094050000}"/>
    <cellStyle name="Normal 2 51" xfId="1316" xr:uid="{00000000-0005-0000-0000-000095050000}"/>
    <cellStyle name="Normal 2 52 2 2" xfId="3741" xr:uid="{00000000-0005-0000-0000-000096050000}"/>
    <cellStyle name="Normal 2 6" xfId="1317" xr:uid="{00000000-0005-0000-0000-000097050000}"/>
    <cellStyle name="Normal 2 6 2" xfId="1318" xr:uid="{00000000-0005-0000-0000-000098050000}"/>
    <cellStyle name="Normal 2 6 3" xfId="1319" xr:uid="{00000000-0005-0000-0000-000099050000}"/>
    <cellStyle name="Normal 2 6 4" xfId="1320" xr:uid="{00000000-0005-0000-0000-00009A050000}"/>
    <cellStyle name="Normal 2 7" xfId="1321" xr:uid="{00000000-0005-0000-0000-00009B050000}"/>
    <cellStyle name="Normal 2 7 2" xfId="1322" xr:uid="{00000000-0005-0000-0000-00009C050000}"/>
    <cellStyle name="Normal 2 7 3" xfId="1323" xr:uid="{00000000-0005-0000-0000-00009D050000}"/>
    <cellStyle name="Normal 2 7 4" xfId="1324" xr:uid="{00000000-0005-0000-0000-00009E050000}"/>
    <cellStyle name="Normal 2 8" xfId="1325" xr:uid="{00000000-0005-0000-0000-00009F050000}"/>
    <cellStyle name="Normal 2 8 2" xfId="1326" xr:uid="{00000000-0005-0000-0000-0000A0050000}"/>
    <cellStyle name="Normal 2 8 3" xfId="1327" xr:uid="{00000000-0005-0000-0000-0000A1050000}"/>
    <cellStyle name="Normal 2 8 4" xfId="1328" xr:uid="{00000000-0005-0000-0000-0000A2050000}"/>
    <cellStyle name="Normal 2 9" xfId="1329" xr:uid="{00000000-0005-0000-0000-0000A3050000}"/>
    <cellStyle name="Normal 2 9 2" xfId="1330" xr:uid="{00000000-0005-0000-0000-0000A4050000}"/>
    <cellStyle name="Normal 2 9 3" xfId="1331" xr:uid="{00000000-0005-0000-0000-0000A5050000}"/>
    <cellStyle name="Normal 2 9 4" xfId="1332" xr:uid="{00000000-0005-0000-0000-0000A6050000}"/>
    <cellStyle name="Normal 2_DA_PROCESO_09-1-40369_124002002_987074(1)" xfId="1333" xr:uid="{00000000-0005-0000-0000-0000A7050000}"/>
    <cellStyle name="Normal 2_FORMATOS_PARA_ENTREGAR 2" xfId="3736" xr:uid="{00000000-0005-0000-0000-0000A8050000}"/>
    <cellStyle name="Normal 20" xfId="1334" xr:uid="{00000000-0005-0000-0000-0000A9050000}"/>
    <cellStyle name="Normal 20 2" xfId="1335" xr:uid="{00000000-0005-0000-0000-0000AA050000}"/>
    <cellStyle name="Normal 20 3" xfId="1336" xr:uid="{00000000-0005-0000-0000-0000AB050000}"/>
    <cellStyle name="Normal 20 4" xfId="1337" xr:uid="{00000000-0005-0000-0000-0000AC050000}"/>
    <cellStyle name="Normal 21" xfId="1338" xr:uid="{00000000-0005-0000-0000-0000AD050000}"/>
    <cellStyle name="Normal 21 10" xfId="1339" xr:uid="{00000000-0005-0000-0000-0000AE050000}"/>
    <cellStyle name="Normal 21 11" xfId="1340" xr:uid="{00000000-0005-0000-0000-0000AF050000}"/>
    <cellStyle name="Normal 21 12" xfId="1341" xr:uid="{00000000-0005-0000-0000-0000B0050000}"/>
    <cellStyle name="Normal 21 13" xfId="1342" xr:uid="{00000000-0005-0000-0000-0000B1050000}"/>
    <cellStyle name="Normal 21 14" xfId="1343" xr:uid="{00000000-0005-0000-0000-0000B2050000}"/>
    <cellStyle name="Normal 21 15" xfId="1344" xr:uid="{00000000-0005-0000-0000-0000B3050000}"/>
    <cellStyle name="Normal 21 16" xfId="1345" xr:uid="{00000000-0005-0000-0000-0000B4050000}"/>
    <cellStyle name="Normal 21 17" xfId="1346" xr:uid="{00000000-0005-0000-0000-0000B5050000}"/>
    <cellStyle name="Normal 21 18" xfId="1347" xr:uid="{00000000-0005-0000-0000-0000B6050000}"/>
    <cellStyle name="Normal 21 19" xfId="1348" xr:uid="{00000000-0005-0000-0000-0000B7050000}"/>
    <cellStyle name="Normal 21 2" xfId="1349" xr:uid="{00000000-0005-0000-0000-0000B8050000}"/>
    <cellStyle name="Normal 21 20" xfId="1350" xr:uid="{00000000-0005-0000-0000-0000B9050000}"/>
    <cellStyle name="Normal 21 21" xfId="1351" xr:uid="{00000000-0005-0000-0000-0000BA050000}"/>
    <cellStyle name="Normal 21 22" xfId="1352" xr:uid="{00000000-0005-0000-0000-0000BB050000}"/>
    <cellStyle name="Normal 21 23" xfId="1353" xr:uid="{00000000-0005-0000-0000-0000BC050000}"/>
    <cellStyle name="Normal 21 24" xfId="1354" xr:uid="{00000000-0005-0000-0000-0000BD050000}"/>
    <cellStyle name="Normal 21 25" xfId="1355" xr:uid="{00000000-0005-0000-0000-0000BE050000}"/>
    <cellStyle name="Normal 21 26" xfId="1356" xr:uid="{00000000-0005-0000-0000-0000BF050000}"/>
    <cellStyle name="Normal 21 27" xfId="1357" xr:uid="{00000000-0005-0000-0000-0000C0050000}"/>
    <cellStyle name="Normal 21 28" xfId="1358" xr:uid="{00000000-0005-0000-0000-0000C1050000}"/>
    <cellStyle name="Normal 21 29" xfId="1359" xr:uid="{00000000-0005-0000-0000-0000C2050000}"/>
    <cellStyle name="Normal 21 3" xfId="1360" xr:uid="{00000000-0005-0000-0000-0000C3050000}"/>
    <cellStyle name="Normal 21 30" xfId="1361" xr:uid="{00000000-0005-0000-0000-0000C4050000}"/>
    <cellStyle name="Normal 21 31" xfId="1362" xr:uid="{00000000-0005-0000-0000-0000C5050000}"/>
    <cellStyle name="Normal 21 32" xfId="1363" xr:uid="{00000000-0005-0000-0000-0000C6050000}"/>
    <cellStyle name="Normal 21 33" xfId="1364" xr:uid="{00000000-0005-0000-0000-0000C7050000}"/>
    <cellStyle name="Normal 21 34" xfId="1365" xr:uid="{00000000-0005-0000-0000-0000C8050000}"/>
    <cellStyle name="Normal 21 35" xfId="1366" xr:uid="{00000000-0005-0000-0000-0000C9050000}"/>
    <cellStyle name="Normal 21 36" xfId="1367" xr:uid="{00000000-0005-0000-0000-0000CA050000}"/>
    <cellStyle name="Normal 21 37" xfId="1368" xr:uid="{00000000-0005-0000-0000-0000CB050000}"/>
    <cellStyle name="Normal 21 38" xfId="1369" xr:uid="{00000000-0005-0000-0000-0000CC050000}"/>
    <cellStyle name="Normal 21 39" xfId="1370" xr:uid="{00000000-0005-0000-0000-0000CD050000}"/>
    <cellStyle name="Normal 21 4" xfId="1371" xr:uid="{00000000-0005-0000-0000-0000CE050000}"/>
    <cellStyle name="Normal 21 40" xfId="1372" xr:uid="{00000000-0005-0000-0000-0000CF050000}"/>
    <cellStyle name="Normal 21 41" xfId="1373" xr:uid="{00000000-0005-0000-0000-0000D0050000}"/>
    <cellStyle name="Normal 21 42" xfId="1374" xr:uid="{00000000-0005-0000-0000-0000D1050000}"/>
    <cellStyle name="Normal 21 43" xfId="1375" xr:uid="{00000000-0005-0000-0000-0000D2050000}"/>
    <cellStyle name="Normal 21 44" xfId="1376" xr:uid="{00000000-0005-0000-0000-0000D3050000}"/>
    <cellStyle name="Normal 21 5" xfId="1377" xr:uid="{00000000-0005-0000-0000-0000D4050000}"/>
    <cellStyle name="Normal 21 6" xfId="1378" xr:uid="{00000000-0005-0000-0000-0000D5050000}"/>
    <cellStyle name="Normal 21 7" xfId="1379" xr:uid="{00000000-0005-0000-0000-0000D6050000}"/>
    <cellStyle name="Normal 21 8" xfId="1380" xr:uid="{00000000-0005-0000-0000-0000D7050000}"/>
    <cellStyle name="Normal 21 9" xfId="1381" xr:uid="{00000000-0005-0000-0000-0000D8050000}"/>
    <cellStyle name="Normal 22" xfId="1382" xr:uid="{00000000-0005-0000-0000-0000D9050000}"/>
    <cellStyle name="Normal 22 10" xfId="1383" xr:uid="{00000000-0005-0000-0000-0000DA050000}"/>
    <cellStyle name="Normal 22 11" xfId="1384" xr:uid="{00000000-0005-0000-0000-0000DB050000}"/>
    <cellStyle name="Normal 22 12" xfId="1385" xr:uid="{00000000-0005-0000-0000-0000DC050000}"/>
    <cellStyle name="Normal 22 13" xfId="1386" xr:uid="{00000000-0005-0000-0000-0000DD050000}"/>
    <cellStyle name="Normal 22 14" xfId="1387" xr:uid="{00000000-0005-0000-0000-0000DE050000}"/>
    <cellStyle name="Normal 22 15" xfId="1388" xr:uid="{00000000-0005-0000-0000-0000DF050000}"/>
    <cellStyle name="Normal 22 16" xfId="1389" xr:uid="{00000000-0005-0000-0000-0000E0050000}"/>
    <cellStyle name="Normal 22 17" xfId="1390" xr:uid="{00000000-0005-0000-0000-0000E1050000}"/>
    <cellStyle name="Normal 22 18" xfId="1391" xr:uid="{00000000-0005-0000-0000-0000E2050000}"/>
    <cellStyle name="Normal 22 19" xfId="1392" xr:uid="{00000000-0005-0000-0000-0000E3050000}"/>
    <cellStyle name="Normal 22 2" xfId="1393" xr:uid="{00000000-0005-0000-0000-0000E4050000}"/>
    <cellStyle name="Normal 22 20" xfId="1394" xr:uid="{00000000-0005-0000-0000-0000E5050000}"/>
    <cellStyle name="Normal 22 21" xfId="1395" xr:uid="{00000000-0005-0000-0000-0000E6050000}"/>
    <cellStyle name="Normal 22 22" xfId="1396" xr:uid="{00000000-0005-0000-0000-0000E7050000}"/>
    <cellStyle name="Normal 22 23" xfId="1397" xr:uid="{00000000-0005-0000-0000-0000E8050000}"/>
    <cellStyle name="Normal 22 24" xfId="1398" xr:uid="{00000000-0005-0000-0000-0000E9050000}"/>
    <cellStyle name="Normal 22 25" xfId="1399" xr:uid="{00000000-0005-0000-0000-0000EA050000}"/>
    <cellStyle name="Normal 22 26" xfId="1400" xr:uid="{00000000-0005-0000-0000-0000EB050000}"/>
    <cellStyle name="Normal 22 27" xfId="1401" xr:uid="{00000000-0005-0000-0000-0000EC050000}"/>
    <cellStyle name="Normal 22 28" xfId="1402" xr:uid="{00000000-0005-0000-0000-0000ED050000}"/>
    <cellStyle name="Normal 22 29" xfId="1403" xr:uid="{00000000-0005-0000-0000-0000EE050000}"/>
    <cellStyle name="Normal 22 3" xfId="1404" xr:uid="{00000000-0005-0000-0000-0000EF050000}"/>
    <cellStyle name="Normal 22 30" xfId="1405" xr:uid="{00000000-0005-0000-0000-0000F0050000}"/>
    <cellStyle name="Normal 22 31" xfId="1406" xr:uid="{00000000-0005-0000-0000-0000F1050000}"/>
    <cellStyle name="Normal 22 32" xfId="1407" xr:uid="{00000000-0005-0000-0000-0000F2050000}"/>
    <cellStyle name="Normal 22 33" xfId="1408" xr:uid="{00000000-0005-0000-0000-0000F3050000}"/>
    <cellStyle name="Normal 22 34" xfId="1409" xr:uid="{00000000-0005-0000-0000-0000F4050000}"/>
    <cellStyle name="Normal 22 35" xfId="1410" xr:uid="{00000000-0005-0000-0000-0000F5050000}"/>
    <cellStyle name="Normal 22 36" xfId="1411" xr:uid="{00000000-0005-0000-0000-0000F6050000}"/>
    <cellStyle name="Normal 22 37" xfId="1412" xr:uid="{00000000-0005-0000-0000-0000F7050000}"/>
    <cellStyle name="Normal 22 38" xfId="1413" xr:uid="{00000000-0005-0000-0000-0000F8050000}"/>
    <cellStyle name="Normal 22 39" xfId="1414" xr:uid="{00000000-0005-0000-0000-0000F9050000}"/>
    <cellStyle name="Normal 22 4" xfId="1415" xr:uid="{00000000-0005-0000-0000-0000FA050000}"/>
    <cellStyle name="Normal 22 40" xfId="1416" xr:uid="{00000000-0005-0000-0000-0000FB050000}"/>
    <cellStyle name="Normal 22 41" xfId="1417" xr:uid="{00000000-0005-0000-0000-0000FC050000}"/>
    <cellStyle name="Normal 22 42" xfId="1418" xr:uid="{00000000-0005-0000-0000-0000FD050000}"/>
    <cellStyle name="Normal 22 43" xfId="1419" xr:uid="{00000000-0005-0000-0000-0000FE050000}"/>
    <cellStyle name="Normal 22 44" xfId="1420" xr:uid="{00000000-0005-0000-0000-0000FF050000}"/>
    <cellStyle name="Normal 22 5" xfId="1421" xr:uid="{00000000-0005-0000-0000-000000060000}"/>
    <cellStyle name="Normal 22 6" xfId="1422" xr:uid="{00000000-0005-0000-0000-000001060000}"/>
    <cellStyle name="Normal 22 7" xfId="1423" xr:uid="{00000000-0005-0000-0000-000002060000}"/>
    <cellStyle name="Normal 22 8" xfId="1424" xr:uid="{00000000-0005-0000-0000-000003060000}"/>
    <cellStyle name="Normal 22 9" xfId="1425" xr:uid="{00000000-0005-0000-0000-000004060000}"/>
    <cellStyle name="Normal 23" xfId="1426" xr:uid="{00000000-0005-0000-0000-000005060000}"/>
    <cellStyle name="Normal 23 10" xfId="1427" xr:uid="{00000000-0005-0000-0000-000006060000}"/>
    <cellStyle name="Normal 23 11" xfId="1428" xr:uid="{00000000-0005-0000-0000-000007060000}"/>
    <cellStyle name="Normal 23 12" xfId="1429" xr:uid="{00000000-0005-0000-0000-000008060000}"/>
    <cellStyle name="Normal 23 13" xfId="1430" xr:uid="{00000000-0005-0000-0000-000009060000}"/>
    <cellStyle name="Normal 23 14" xfId="1431" xr:uid="{00000000-0005-0000-0000-00000A060000}"/>
    <cellStyle name="Normal 23 15" xfId="1432" xr:uid="{00000000-0005-0000-0000-00000B060000}"/>
    <cellStyle name="Normal 23 16" xfId="1433" xr:uid="{00000000-0005-0000-0000-00000C060000}"/>
    <cellStyle name="Normal 23 17" xfId="1434" xr:uid="{00000000-0005-0000-0000-00000D060000}"/>
    <cellStyle name="Normal 23 18" xfId="1435" xr:uid="{00000000-0005-0000-0000-00000E060000}"/>
    <cellStyle name="Normal 23 19" xfId="1436" xr:uid="{00000000-0005-0000-0000-00000F060000}"/>
    <cellStyle name="Normal 23 2" xfId="1437" xr:uid="{00000000-0005-0000-0000-000010060000}"/>
    <cellStyle name="Normal 23 20" xfId="1438" xr:uid="{00000000-0005-0000-0000-000011060000}"/>
    <cellStyle name="Normal 23 21" xfId="1439" xr:uid="{00000000-0005-0000-0000-000012060000}"/>
    <cellStyle name="Normal 23 22" xfId="1440" xr:uid="{00000000-0005-0000-0000-000013060000}"/>
    <cellStyle name="Normal 23 23" xfId="1441" xr:uid="{00000000-0005-0000-0000-000014060000}"/>
    <cellStyle name="Normal 23 24" xfId="1442" xr:uid="{00000000-0005-0000-0000-000015060000}"/>
    <cellStyle name="Normal 23 25" xfId="1443" xr:uid="{00000000-0005-0000-0000-000016060000}"/>
    <cellStyle name="Normal 23 26" xfId="1444" xr:uid="{00000000-0005-0000-0000-000017060000}"/>
    <cellStyle name="Normal 23 27" xfId="1445" xr:uid="{00000000-0005-0000-0000-000018060000}"/>
    <cellStyle name="Normal 23 28" xfId="1446" xr:uid="{00000000-0005-0000-0000-000019060000}"/>
    <cellStyle name="Normal 23 29" xfId="1447" xr:uid="{00000000-0005-0000-0000-00001A060000}"/>
    <cellStyle name="Normal 23 3" xfId="1448" xr:uid="{00000000-0005-0000-0000-00001B060000}"/>
    <cellStyle name="Normal 23 30" xfId="1449" xr:uid="{00000000-0005-0000-0000-00001C060000}"/>
    <cellStyle name="Normal 23 31" xfId="1450" xr:uid="{00000000-0005-0000-0000-00001D060000}"/>
    <cellStyle name="Normal 23 32" xfId="1451" xr:uid="{00000000-0005-0000-0000-00001E060000}"/>
    <cellStyle name="Normal 23 33" xfId="1452" xr:uid="{00000000-0005-0000-0000-00001F060000}"/>
    <cellStyle name="Normal 23 34" xfId="1453" xr:uid="{00000000-0005-0000-0000-000020060000}"/>
    <cellStyle name="Normal 23 35" xfId="1454" xr:uid="{00000000-0005-0000-0000-000021060000}"/>
    <cellStyle name="Normal 23 36" xfId="1455" xr:uid="{00000000-0005-0000-0000-000022060000}"/>
    <cellStyle name="Normal 23 37" xfId="1456" xr:uid="{00000000-0005-0000-0000-000023060000}"/>
    <cellStyle name="Normal 23 38" xfId="1457" xr:uid="{00000000-0005-0000-0000-000024060000}"/>
    <cellStyle name="Normal 23 39" xfId="1458" xr:uid="{00000000-0005-0000-0000-000025060000}"/>
    <cellStyle name="Normal 23 4" xfId="1459" xr:uid="{00000000-0005-0000-0000-000026060000}"/>
    <cellStyle name="Normal 23 5" xfId="1460" xr:uid="{00000000-0005-0000-0000-000027060000}"/>
    <cellStyle name="Normal 23 6" xfId="1461" xr:uid="{00000000-0005-0000-0000-000028060000}"/>
    <cellStyle name="Normal 23 7" xfId="1462" xr:uid="{00000000-0005-0000-0000-000029060000}"/>
    <cellStyle name="Normal 23 8" xfId="1463" xr:uid="{00000000-0005-0000-0000-00002A060000}"/>
    <cellStyle name="Normal 23 9" xfId="1464" xr:uid="{00000000-0005-0000-0000-00002B060000}"/>
    <cellStyle name="Normal 24" xfId="1465" xr:uid="{00000000-0005-0000-0000-00002C060000}"/>
    <cellStyle name="Normal 24 2" xfId="1466" xr:uid="{00000000-0005-0000-0000-00002D060000}"/>
    <cellStyle name="Normal 24 3" xfId="1467" xr:uid="{00000000-0005-0000-0000-00002E060000}"/>
    <cellStyle name="Normal 24 4" xfId="1468" xr:uid="{00000000-0005-0000-0000-00002F060000}"/>
    <cellStyle name="Normal 25" xfId="1469" xr:uid="{00000000-0005-0000-0000-000030060000}"/>
    <cellStyle name="Normal 25 10" xfId="1470" xr:uid="{00000000-0005-0000-0000-000031060000}"/>
    <cellStyle name="Normal 25 11" xfId="1471" xr:uid="{00000000-0005-0000-0000-000032060000}"/>
    <cellStyle name="Normal 25 12" xfId="1472" xr:uid="{00000000-0005-0000-0000-000033060000}"/>
    <cellStyle name="Normal 25 13" xfId="1473" xr:uid="{00000000-0005-0000-0000-000034060000}"/>
    <cellStyle name="Normal 25 14" xfId="1474" xr:uid="{00000000-0005-0000-0000-000035060000}"/>
    <cellStyle name="Normal 25 15" xfId="1475" xr:uid="{00000000-0005-0000-0000-000036060000}"/>
    <cellStyle name="Normal 25 16" xfId="1476" xr:uid="{00000000-0005-0000-0000-000037060000}"/>
    <cellStyle name="Normal 25 17" xfId="1477" xr:uid="{00000000-0005-0000-0000-000038060000}"/>
    <cellStyle name="Normal 25 18" xfId="1478" xr:uid="{00000000-0005-0000-0000-000039060000}"/>
    <cellStyle name="Normal 25 19" xfId="1479" xr:uid="{00000000-0005-0000-0000-00003A060000}"/>
    <cellStyle name="Normal 25 2" xfId="1480" xr:uid="{00000000-0005-0000-0000-00003B060000}"/>
    <cellStyle name="Normal 25 20" xfId="1481" xr:uid="{00000000-0005-0000-0000-00003C060000}"/>
    <cellStyle name="Normal 25 21" xfId="1482" xr:uid="{00000000-0005-0000-0000-00003D060000}"/>
    <cellStyle name="Normal 25 22" xfId="1483" xr:uid="{00000000-0005-0000-0000-00003E060000}"/>
    <cellStyle name="Normal 25 23" xfId="1484" xr:uid="{00000000-0005-0000-0000-00003F060000}"/>
    <cellStyle name="Normal 25 24" xfId="1485" xr:uid="{00000000-0005-0000-0000-000040060000}"/>
    <cellStyle name="Normal 25 25" xfId="1486" xr:uid="{00000000-0005-0000-0000-000041060000}"/>
    <cellStyle name="Normal 25 26" xfId="1487" xr:uid="{00000000-0005-0000-0000-000042060000}"/>
    <cellStyle name="Normal 25 27" xfId="1488" xr:uid="{00000000-0005-0000-0000-000043060000}"/>
    <cellStyle name="Normal 25 28" xfId="1489" xr:uid="{00000000-0005-0000-0000-000044060000}"/>
    <cellStyle name="Normal 25 29" xfId="1490" xr:uid="{00000000-0005-0000-0000-000045060000}"/>
    <cellStyle name="Normal 25 3" xfId="1491" xr:uid="{00000000-0005-0000-0000-000046060000}"/>
    <cellStyle name="Normal 25 30" xfId="1492" xr:uid="{00000000-0005-0000-0000-000047060000}"/>
    <cellStyle name="Normal 25 31" xfId="1493" xr:uid="{00000000-0005-0000-0000-000048060000}"/>
    <cellStyle name="Normal 25 32" xfId="1494" xr:uid="{00000000-0005-0000-0000-000049060000}"/>
    <cellStyle name="Normal 25 33" xfId="1495" xr:uid="{00000000-0005-0000-0000-00004A060000}"/>
    <cellStyle name="Normal 25 34" xfId="1496" xr:uid="{00000000-0005-0000-0000-00004B060000}"/>
    <cellStyle name="Normal 25 35" xfId="1497" xr:uid="{00000000-0005-0000-0000-00004C060000}"/>
    <cellStyle name="Normal 25 36" xfId="1498" xr:uid="{00000000-0005-0000-0000-00004D060000}"/>
    <cellStyle name="Normal 25 37" xfId="1499" xr:uid="{00000000-0005-0000-0000-00004E060000}"/>
    <cellStyle name="Normal 25 38" xfId="1500" xr:uid="{00000000-0005-0000-0000-00004F060000}"/>
    <cellStyle name="Normal 25 39" xfId="1501" xr:uid="{00000000-0005-0000-0000-000050060000}"/>
    <cellStyle name="Normal 25 4" xfId="1502" xr:uid="{00000000-0005-0000-0000-000051060000}"/>
    <cellStyle name="Normal 25 5" xfId="1503" xr:uid="{00000000-0005-0000-0000-000052060000}"/>
    <cellStyle name="Normal 25 6" xfId="1504" xr:uid="{00000000-0005-0000-0000-000053060000}"/>
    <cellStyle name="Normal 25 7" xfId="1505" xr:uid="{00000000-0005-0000-0000-000054060000}"/>
    <cellStyle name="Normal 25 8" xfId="1506" xr:uid="{00000000-0005-0000-0000-000055060000}"/>
    <cellStyle name="Normal 25 9" xfId="1507" xr:uid="{00000000-0005-0000-0000-000056060000}"/>
    <cellStyle name="Normal 26" xfId="1508" xr:uid="{00000000-0005-0000-0000-000057060000}"/>
    <cellStyle name="Normal 26 10" xfId="1509" xr:uid="{00000000-0005-0000-0000-000058060000}"/>
    <cellStyle name="Normal 26 11" xfId="1510" xr:uid="{00000000-0005-0000-0000-000059060000}"/>
    <cellStyle name="Normal 26 12" xfId="1511" xr:uid="{00000000-0005-0000-0000-00005A060000}"/>
    <cellStyle name="Normal 26 13" xfId="1512" xr:uid="{00000000-0005-0000-0000-00005B060000}"/>
    <cellStyle name="Normal 26 14" xfId="1513" xr:uid="{00000000-0005-0000-0000-00005C060000}"/>
    <cellStyle name="Normal 26 15" xfId="1514" xr:uid="{00000000-0005-0000-0000-00005D060000}"/>
    <cellStyle name="Normal 26 16" xfId="1515" xr:uid="{00000000-0005-0000-0000-00005E060000}"/>
    <cellStyle name="Normal 26 17" xfId="1516" xr:uid="{00000000-0005-0000-0000-00005F060000}"/>
    <cellStyle name="Normal 26 18" xfId="1517" xr:uid="{00000000-0005-0000-0000-000060060000}"/>
    <cellStyle name="Normal 26 19" xfId="1518" xr:uid="{00000000-0005-0000-0000-000061060000}"/>
    <cellStyle name="Normal 26 2" xfId="1519" xr:uid="{00000000-0005-0000-0000-000062060000}"/>
    <cellStyle name="Normal 26 20" xfId="1520" xr:uid="{00000000-0005-0000-0000-000063060000}"/>
    <cellStyle name="Normal 26 21" xfId="1521" xr:uid="{00000000-0005-0000-0000-000064060000}"/>
    <cellStyle name="Normal 26 22" xfId="1522" xr:uid="{00000000-0005-0000-0000-000065060000}"/>
    <cellStyle name="Normal 26 23" xfId="1523" xr:uid="{00000000-0005-0000-0000-000066060000}"/>
    <cellStyle name="Normal 26 24" xfId="1524" xr:uid="{00000000-0005-0000-0000-000067060000}"/>
    <cellStyle name="Normal 26 25" xfId="1525" xr:uid="{00000000-0005-0000-0000-000068060000}"/>
    <cellStyle name="Normal 26 26" xfId="1526" xr:uid="{00000000-0005-0000-0000-000069060000}"/>
    <cellStyle name="Normal 26 27" xfId="1527" xr:uid="{00000000-0005-0000-0000-00006A060000}"/>
    <cellStyle name="Normal 26 28" xfId="1528" xr:uid="{00000000-0005-0000-0000-00006B060000}"/>
    <cellStyle name="Normal 26 29" xfId="1529" xr:uid="{00000000-0005-0000-0000-00006C060000}"/>
    <cellStyle name="Normal 26 3" xfId="1530" xr:uid="{00000000-0005-0000-0000-00006D060000}"/>
    <cellStyle name="Normal 26 30" xfId="1531" xr:uid="{00000000-0005-0000-0000-00006E060000}"/>
    <cellStyle name="Normal 26 31" xfId="1532" xr:uid="{00000000-0005-0000-0000-00006F060000}"/>
    <cellStyle name="Normal 26 32" xfId="1533" xr:uid="{00000000-0005-0000-0000-000070060000}"/>
    <cellStyle name="Normal 26 33" xfId="1534" xr:uid="{00000000-0005-0000-0000-000071060000}"/>
    <cellStyle name="Normal 26 34" xfId="1535" xr:uid="{00000000-0005-0000-0000-000072060000}"/>
    <cellStyle name="Normal 26 35" xfId="1536" xr:uid="{00000000-0005-0000-0000-000073060000}"/>
    <cellStyle name="Normal 26 36" xfId="1537" xr:uid="{00000000-0005-0000-0000-000074060000}"/>
    <cellStyle name="Normal 26 37" xfId="1538" xr:uid="{00000000-0005-0000-0000-000075060000}"/>
    <cellStyle name="Normal 26 38" xfId="1539" xr:uid="{00000000-0005-0000-0000-000076060000}"/>
    <cellStyle name="Normal 26 39" xfId="1540" xr:uid="{00000000-0005-0000-0000-000077060000}"/>
    <cellStyle name="Normal 26 4" xfId="1541" xr:uid="{00000000-0005-0000-0000-000078060000}"/>
    <cellStyle name="Normal 26 5" xfId="1542" xr:uid="{00000000-0005-0000-0000-000079060000}"/>
    <cellStyle name="Normal 26 6" xfId="1543" xr:uid="{00000000-0005-0000-0000-00007A060000}"/>
    <cellStyle name="Normal 26 7" xfId="1544" xr:uid="{00000000-0005-0000-0000-00007B060000}"/>
    <cellStyle name="Normal 26 8" xfId="1545" xr:uid="{00000000-0005-0000-0000-00007C060000}"/>
    <cellStyle name="Normal 26 9" xfId="1546" xr:uid="{00000000-0005-0000-0000-00007D060000}"/>
    <cellStyle name="Normal 27" xfId="1547" xr:uid="{00000000-0005-0000-0000-00007E060000}"/>
    <cellStyle name="Normal 27 10" xfId="1548" xr:uid="{00000000-0005-0000-0000-00007F060000}"/>
    <cellStyle name="Normal 27 11" xfId="1549" xr:uid="{00000000-0005-0000-0000-000080060000}"/>
    <cellStyle name="Normal 27 12" xfId="1550" xr:uid="{00000000-0005-0000-0000-000081060000}"/>
    <cellStyle name="Normal 27 13" xfId="1551" xr:uid="{00000000-0005-0000-0000-000082060000}"/>
    <cellStyle name="Normal 27 14" xfId="1552" xr:uid="{00000000-0005-0000-0000-000083060000}"/>
    <cellStyle name="Normal 27 15" xfId="1553" xr:uid="{00000000-0005-0000-0000-000084060000}"/>
    <cellStyle name="Normal 27 16" xfId="1554" xr:uid="{00000000-0005-0000-0000-000085060000}"/>
    <cellStyle name="Normal 27 17" xfId="1555" xr:uid="{00000000-0005-0000-0000-000086060000}"/>
    <cellStyle name="Normal 27 18" xfId="1556" xr:uid="{00000000-0005-0000-0000-000087060000}"/>
    <cellStyle name="Normal 27 19" xfId="1557" xr:uid="{00000000-0005-0000-0000-000088060000}"/>
    <cellStyle name="Normal 27 2" xfId="1558" xr:uid="{00000000-0005-0000-0000-000089060000}"/>
    <cellStyle name="Normal 27 20" xfId="1559" xr:uid="{00000000-0005-0000-0000-00008A060000}"/>
    <cellStyle name="Normal 27 21" xfId="1560" xr:uid="{00000000-0005-0000-0000-00008B060000}"/>
    <cellStyle name="Normal 27 22" xfId="1561" xr:uid="{00000000-0005-0000-0000-00008C060000}"/>
    <cellStyle name="Normal 27 23" xfId="1562" xr:uid="{00000000-0005-0000-0000-00008D060000}"/>
    <cellStyle name="Normal 27 24" xfId="1563" xr:uid="{00000000-0005-0000-0000-00008E060000}"/>
    <cellStyle name="Normal 27 25" xfId="1564" xr:uid="{00000000-0005-0000-0000-00008F060000}"/>
    <cellStyle name="Normal 27 26" xfId="1565" xr:uid="{00000000-0005-0000-0000-000090060000}"/>
    <cellStyle name="Normal 27 27" xfId="1566" xr:uid="{00000000-0005-0000-0000-000091060000}"/>
    <cellStyle name="Normal 27 28" xfId="1567" xr:uid="{00000000-0005-0000-0000-000092060000}"/>
    <cellStyle name="Normal 27 29" xfId="1568" xr:uid="{00000000-0005-0000-0000-000093060000}"/>
    <cellStyle name="Normal 27 3" xfId="1569" xr:uid="{00000000-0005-0000-0000-000094060000}"/>
    <cellStyle name="Normal 27 30" xfId="1570" xr:uid="{00000000-0005-0000-0000-000095060000}"/>
    <cellStyle name="Normal 27 31" xfId="1571" xr:uid="{00000000-0005-0000-0000-000096060000}"/>
    <cellStyle name="Normal 27 32" xfId="1572" xr:uid="{00000000-0005-0000-0000-000097060000}"/>
    <cellStyle name="Normal 27 33" xfId="1573" xr:uid="{00000000-0005-0000-0000-000098060000}"/>
    <cellStyle name="Normal 27 34" xfId="1574" xr:uid="{00000000-0005-0000-0000-000099060000}"/>
    <cellStyle name="Normal 27 35" xfId="1575" xr:uid="{00000000-0005-0000-0000-00009A060000}"/>
    <cellStyle name="Normal 27 36" xfId="1576" xr:uid="{00000000-0005-0000-0000-00009B060000}"/>
    <cellStyle name="Normal 27 37" xfId="1577" xr:uid="{00000000-0005-0000-0000-00009C060000}"/>
    <cellStyle name="Normal 27 38" xfId="1578" xr:uid="{00000000-0005-0000-0000-00009D060000}"/>
    <cellStyle name="Normal 27 39" xfId="1579" xr:uid="{00000000-0005-0000-0000-00009E060000}"/>
    <cellStyle name="Normal 27 4" xfId="1580" xr:uid="{00000000-0005-0000-0000-00009F060000}"/>
    <cellStyle name="Normal 27 5" xfId="1581" xr:uid="{00000000-0005-0000-0000-0000A0060000}"/>
    <cellStyle name="Normal 27 6" xfId="1582" xr:uid="{00000000-0005-0000-0000-0000A1060000}"/>
    <cellStyle name="Normal 27 7" xfId="1583" xr:uid="{00000000-0005-0000-0000-0000A2060000}"/>
    <cellStyle name="Normal 27 8" xfId="1584" xr:uid="{00000000-0005-0000-0000-0000A3060000}"/>
    <cellStyle name="Normal 27 9" xfId="1585" xr:uid="{00000000-0005-0000-0000-0000A4060000}"/>
    <cellStyle name="Normal 28" xfId="1586" xr:uid="{00000000-0005-0000-0000-0000A5060000}"/>
    <cellStyle name="Normal 29" xfId="1587" xr:uid="{00000000-0005-0000-0000-0000A6060000}"/>
    <cellStyle name="Normal 3" xfId="6" xr:uid="{00000000-0005-0000-0000-0000A7060000}"/>
    <cellStyle name="Normal 3 10" xfId="1588" xr:uid="{00000000-0005-0000-0000-0000A8060000}"/>
    <cellStyle name="Normal 3 10 10" xfId="1589" xr:uid="{00000000-0005-0000-0000-0000A9060000}"/>
    <cellStyle name="Normal 3 10 11" xfId="1590" xr:uid="{00000000-0005-0000-0000-0000AA060000}"/>
    <cellStyle name="Normal 3 10 12" xfId="1591" xr:uid="{00000000-0005-0000-0000-0000AB060000}"/>
    <cellStyle name="Normal 3 10 13" xfId="1592" xr:uid="{00000000-0005-0000-0000-0000AC060000}"/>
    <cellStyle name="Normal 3 10 2" xfId="1593" xr:uid="{00000000-0005-0000-0000-0000AD060000}"/>
    <cellStyle name="Normal 3 10 2 10" xfId="1594" xr:uid="{00000000-0005-0000-0000-0000AE060000}"/>
    <cellStyle name="Normal 3 10 2 11" xfId="1595" xr:uid="{00000000-0005-0000-0000-0000AF060000}"/>
    <cellStyle name="Normal 3 10 2 12" xfId="1596" xr:uid="{00000000-0005-0000-0000-0000B0060000}"/>
    <cellStyle name="Normal 3 10 2 2" xfId="1597" xr:uid="{00000000-0005-0000-0000-0000B1060000}"/>
    <cellStyle name="Normal 3 10 2 3" xfId="1598" xr:uid="{00000000-0005-0000-0000-0000B2060000}"/>
    <cellStyle name="Normal 3 10 2 4" xfId="1599" xr:uid="{00000000-0005-0000-0000-0000B3060000}"/>
    <cellStyle name="Normal 3 10 2 5" xfId="1600" xr:uid="{00000000-0005-0000-0000-0000B4060000}"/>
    <cellStyle name="Normal 3 10 2 6" xfId="1601" xr:uid="{00000000-0005-0000-0000-0000B5060000}"/>
    <cellStyle name="Normal 3 10 2 7" xfId="1602" xr:uid="{00000000-0005-0000-0000-0000B6060000}"/>
    <cellStyle name="Normal 3 10 2 8" xfId="1603" xr:uid="{00000000-0005-0000-0000-0000B7060000}"/>
    <cellStyle name="Normal 3 10 2 9" xfId="1604" xr:uid="{00000000-0005-0000-0000-0000B8060000}"/>
    <cellStyle name="Normal 3 10 3" xfId="1605" xr:uid="{00000000-0005-0000-0000-0000B9060000}"/>
    <cellStyle name="Normal 3 10 4" xfId="1606" xr:uid="{00000000-0005-0000-0000-0000BA060000}"/>
    <cellStyle name="Normal 3 10 5" xfId="1607" xr:uid="{00000000-0005-0000-0000-0000BB060000}"/>
    <cellStyle name="Normal 3 10 6" xfId="1608" xr:uid="{00000000-0005-0000-0000-0000BC060000}"/>
    <cellStyle name="Normal 3 10 7" xfId="1609" xr:uid="{00000000-0005-0000-0000-0000BD060000}"/>
    <cellStyle name="Normal 3 10 8" xfId="1610" xr:uid="{00000000-0005-0000-0000-0000BE060000}"/>
    <cellStyle name="Normal 3 10 9" xfId="1611" xr:uid="{00000000-0005-0000-0000-0000BF060000}"/>
    <cellStyle name="Normal 3 11" xfId="1612" xr:uid="{00000000-0005-0000-0000-0000C0060000}"/>
    <cellStyle name="Normal 3 11 10" xfId="1613" xr:uid="{00000000-0005-0000-0000-0000C1060000}"/>
    <cellStyle name="Normal 3 11 11" xfId="1614" xr:uid="{00000000-0005-0000-0000-0000C2060000}"/>
    <cellStyle name="Normal 3 11 12" xfId="1615" xr:uid="{00000000-0005-0000-0000-0000C3060000}"/>
    <cellStyle name="Normal 3 11 13" xfId="1616" xr:uid="{00000000-0005-0000-0000-0000C4060000}"/>
    <cellStyle name="Normal 3 11 2" xfId="1617" xr:uid="{00000000-0005-0000-0000-0000C5060000}"/>
    <cellStyle name="Normal 3 11 2 10" xfId="1618" xr:uid="{00000000-0005-0000-0000-0000C6060000}"/>
    <cellStyle name="Normal 3 11 2 11" xfId="1619" xr:uid="{00000000-0005-0000-0000-0000C7060000}"/>
    <cellStyle name="Normal 3 11 2 12" xfId="1620" xr:uid="{00000000-0005-0000-0000-0000C8060000}"/>
    <cellStyle name="Normal 3 11 2 2" xfId="1621" xr:uid="{00000000-0005-0000-0000-0000C9060000}"/>
    <cellStyle name="Normal 3 11 2 3" xfId="1622" xr:uid="{00000000-0005-0000-0000-0000CA060000}"/>
    <cellStyle name="Normal 3 11 2 4" xfId="1623" xr:uid="{00000000-0005-0000-0000-0000CB060000}"/>
    <cellStyle name="Normal 3 11 2 5" xfId="1624" xr:uid="{00000000-0005-0000-0000-0000CC060000}"/>
    <cellStyle name="Normal 3 11 2 6" xfId="1625" xr:uid="{00000000-0005-0000-0000-0000CD060000}"/>
    <cellStyle name="Normal 3 11 2 7" xfId="1626" xr:uid="{00000000-0005-0000-0000-0000CE060000}"/>
    <cellStyle name="Normal 3 11 2 8" xfId="1627" xr:uid="{00000000-0005-0000-0000-0000CF060000}"/>
    <cellStyle name="Normal 3 11 2 9" xfId="1628" xr:uid="{00000000-0005-0000-0000-0000D0060000}"/>
    <cellStyle name="Normal 3 11 3" xfId="1629" xr:uid="{00000000-0005-0000-0000-0000D1060000}"/>
    <cellStyle name="Normal 3 11 4" xfId="1630" xr:uid="{00000000-0005-0000-0000-0000D2060000}"/>
    <cellStyle name="Normal 3 11 5" xfId="1631" xr:uid="{00000000-0005-0000-0000-0000D3060000}"/>
    <cellStyle name="Normal 3 11 6" xfId="1632" xr:uid="{00000000-0005-0000-0000-0000D4060000}"/>
    <cellStyle name="Normal 3 11 7" xfId="1633" xr:uid="{00000000-0005-0000-0000-0000D5060000}"/>
    <cellStyle name="Normal 3 11 8" xfId="1634" xr:uid="{00000000-0005-0000-0000-0000D6060000}"/>
    <cellStyle name="Normal 3 11 9" xfId="1635" xr:uid="{00000000-0005-0000-0000-0000D7060000}"/>
    <cellStyle name="Normal 3 12" xfId="1636" xr:uid="{00000000-0005-0000-0000-0000D8060000}"/>
    <cellStyle name="Normal 3 12 10" xfId="1637" xr:uid="{00000000-0005-0000-0000-0000D9060000}"/>
    <cellStyle name="Normal 3 12 11" xfId="1638" xr:uid="{00000000-0005-0000-0000-0000DA060000}"/>
    <cellStyle name="Normal 3 12 12" xfId="1639" xr:uid="{00000000-0005-0000-0000-0000DB060000}"/>
    <cellStyle name="Normal 3 12 13" xfId="1640" xr:uid="{00000000-0005-0000-0000-0000DC060000}"/>
    <cellStyle name="Normal 3 12 2" xfId="1641" xr:uid="{00000000-0005-0000-0000-0000DD060000}"/>
    <cellStyle name="Normal 3 12 2 10" xfId="1642" xr:uid="{00000000-0005-0000-0000-0000DE060000}"/>
    <cellStyle name="Normal 3 12 2 11" xfId="1643" xr:uid="{00000000-0005-0000-0000-0000DF060000}"/>
    <cellStyle name="Normal 3 12 2 12" xfId="1644" xr:uid="{00000000-0005-0000-0000-0000E0060000}"/>
    <cellStyle name="Normal 3 12 2 2" xfId="1645" xr:uid="{00000000-0005-0000-0000-0000E1060000}"/>
    <cellStyle name="Normal 3 12 2 3" xfId="1646" xr:uid="{00000000-0005-0000-0000-0000E2060000}"/>
    <cellStyle name="Normal 3 12 2 4" xfId="1647" xr:uid="{00000000-0005-0000-0000-0000E3060000}"/>
    <cellStyle name="Normal 3 12 2 5" xfId="1648" xr:uid="{00000000-0005-0000-0000-0000E4060000}"/>
    <cellStyle name="Normal 3 12 2 6" xfId="1649" xr:uid="{00000000-0005-0000-0000-0000E5060000}"/>
    <cellStyle name="Normal 3 12 2 7" xfId="1650" xr:uid="{00000000-0005-0000-0000-0000E6060000}"/>
    <cellStyle name="Normal 3 12 2 8" xfId="1651" xr:uid="{00000000-0005-0000-0000-0000E7060000}"/>
    <cellStyle name="Normal 3 12 2 9" xfId="1652" xr:uid="{00000000-0005-0000-0000-0000E8060000}"/>
    <cellStyle name="Normal 3 12 3" xfId="1653" xr:uid="{00000000-0005-0000-0000-0000E9060000}"/>
    <cellStyle name="Normal 3 12 4" xfId="1654" xr:uid="{00000000-0005-0000-0000-0000EA060000}"/>
    <cellStyle name="Normal 3 12 5" xfId="1655" xr:uid="{00000000-0005-0000-0000-0000EB060000}"/>
    <cellStyle name="Normal 3 12 6" xfId="1656" xr:uid="{00000000-0005-0000-0000-0000EC060000}"/>
    <cellStyle name="Normal 3 12 7" xfId="1657" xr:uid="{00000000-0005-0000-0000-0000ED060000}"/>
    <cellStyle name="Normal 3 12 8" xfId="1658" xr:uid="{00000000-0005-0000-0000-0000EE060000}"/>
    <cellStyle name="Normal 3 12 9" xfId="1659" xr:uid="{00000000-0005-0000-0000-0000EF060000}"/>
    <cellStyle name="Normal 3 13" xfId="1660" xr:uid="{00000000-0005-0000-0000-0000F0060000}"/>
    <cellStyle name="Normal 3 13 10" xfId="1661" xr:uid="{00000000-0005-0000-0000-0000F1060000}"/>
    <cellStyle name="Normal 3 13 11" xfId="1662" xr:uid="{00000000-0005-0000-0000-0000F2060000}"/>
    <cellStyle name="Normal 3 13 12" xfId="1663" xr:uid="{00000000-0005-0000-0000-0000F3060000}"/>
    <cellStyle name="Normal 3 13 13" xfId="1664" xr:uid="{00000000-0005-0000-0000-0000F4060000}"/>
    <cellStyle name="Normal 3 13 2" xfId="1665" xr:uid="{00000000-0005-0000-0000-0000F5060000}"/>
    <cellStyle name="Normal 3 13 2 10" xfId="1666" xr:uid="{00000000-0005-0000-0000-0000F6060000}"/>
    <cellStyle name="Normal 3 13 2 11" xfId="1667" xr:uid="{00000000-0005-0000-0000-0000F7060000}"/>
    <cellStyle name="Normal 3 13 2 12" xfId="1668" xr:uid="{00000000-0005-0000-0000-0000F8060000}"/>
    <cellStyle name="Normal 3 13 2 2" xfId="1669" xr:uid="{00000000-0005-0000-0000-0000F9060000}"/>
    <cellStyle name="Normal 3 13 2 3" xfId="1670" xr:uid="{00000000-0005-0000-0000-0000FA060000}"/>
    <cellStyle name="Normal 3 13 2 4" xfId="1671" xr:uid="{00000000-0005-0000-0000-0000FB060000}"/>
    <cellStyle name="Normal 3 13 2 5" xfId="1672" xr:uid="{00000000-0005-0000-0000-0000FC060000}"/>
    <cellStyle name="Normal 3 13 2 6" xfId="1673" xr:uid="{00000000-0005-0000-0000-0000FD060000}"/>
    <cellStyle name="Normal 3 13 2 7" xfId="1674" xr:uid="{00000000-0005-0000-0000-0000FE060000}"/>
    <cellStyle name="Normal 3 13 2 8" xfId="1675" xr:uid="{00000000-0005-0000-0000-0000FF060000}"/>
    <cellStyle name="Normal 3 13 2 9" xfId="1676" xr:uid="{00000000-0005-0000-0000-000000070000}"/>
    <cellStyle name="Normal 3 13 3" xfId="1677" xr:uid="{00000000-0005-0000-0000-000001070000}"/>
    <cellStyle name="Normal 3 13 4" xfId="1678" xr:uid="{00000000-0005-0000-0000-000002070000}"/>
    <cellStyle name="Normal 3 13 5" xfId="1679" xr:uid="{00000000-0005-0000-0000-000003070000}"/>
    <cellStyle name="Normal 3 13 6" xfId="1680" xr:uid="{00000000-0005-0000-0000-000004070000}"/>
    <cellStyle name="Normal 3 13 7" xfId="1681" xr:uid="{00000000-0005-0000-0000-000005070000}"/>
    <cellStyle name="Normal 3 13 8" xfId="1682" xr:uid="{00000000-0005-0000-0000-000006070000}"/>
    <cellStyle name="Normal 3 13 9" xfId="1683" xr:uid="{00000000-0005-0000-0000-000007070000}"/>
    <cellStyle name="Normal 3 14" xfId="1684" xr:uid="{00000000-0005-0000-0000-000008070000}"/>
    <cellStyle name="Normal 3 14 10" xfId="1685" xr:uid="{00000000-0005-0000-0000-000009070000}"/>
    <cellStyle name="Normal 3 14 11" xfId="1686" xr:uid="{00000000-0005-0000-0000-00000A070000}"/>
    <cellStyle name="Normal 3 14 12" xfId="1687" xr:uid="{00000000-0005-0000-0000-00000B070000}"/>
    <cellStyle name="Normal 3 14 13" xfId="1688" xr:uid="{00000000-0005-0000-0000-00000C070000}"/>
    <cellStyle name="Normal 3 14 2" xfId="1689" xr:uid="{00000000-0005-0000-0000-00000D070000}"/>
    <cellStyle name="Normal 3 14 2 10" xfId="1690" xr:uid="{00000000-0005-0000-0000-00000E070000}"/>
    <cellStyle name="Normal 3 14 2 11" xfId="1691" xr:uid="{00000000-0005-0000-0000-00000F070000}"/>
    <cellStyle name="Normal 3 14 2 12" xfId="1692" xr:uid="{00000000-0005-0000-0000-000010070000}"/>
    <cellStyle name="Normal 3 14 2 2" xfId="1693" xr:uid="{00000000-0005-0000-0000-000011070000}"/>
    <cellStyle name="Normal 3 14 2 3" xfId="1694" xr:uid="{00000000-0005-0000-0000-000012070000}"/>
    <cellStyle name="Normal 3 14 2 4" xfId="1695" xr:uid="{00000000-0005-0000-0000-000013070000}"/>
    <cellStyle name="Normal 3 14 2 5" xfId="1696" xr:uid="{00000000-0005-0000-0000-000014070000}"/>
    <cellStyle name="Normal 3 14 2 6" xfId="1697" xr:uid="{00000000-0005-0000-0000-000015070000}"/>
    <cellStyle name="Normal 3 14 2 7" xfId="1698" xr:uid="{00000000-0005-0000-0000-000016070000}"/>
    <cellStyle name="Normal 3 14 2 8" xfId="1699" xr:uid="{00000000-0005-0000-0000-000017070000}"/>
    <cellStyle name="Normal 3 14 2 9" xfId="1700" xr:uid="{00000000-0005-0000-0000-000018070000}"/>
    <cellStyle name="Normal 3 14 3" xfId="1701" xr:uid="{00000000-0005-0000-0000-000019070000}"/>
    <cellStyle name="Normal 3 14 4" xfId="1702" xr:uid="{00000000-0005-0000-0000-00001A070000}"/>
    <cellStyle name="Normal 3 14 5" xfId="1703" xr:uid="{00000000-0005-0000-0000-00001B070000}"/>
    <cellStyle name="Normal 3 14 6" xfId="1704" xr:uid="{00000000-0005-0000-0000-00001C070000}"/>
    <cellStyle name="Normal 3 14 7" xfId="1705" xr:uid="{00000000-0005-0000-0000-00001D070000}"/>
    <cellStyle name="Normal 3 14 8" xfId="1706" xr:uid="{00000000-0005-0000-0000-00001E070000}"/>
    <cellStyle name="Normal 3 14 9" xfId="1707" xr:uid="{00000000-0005-0000-0000-00001F070000}"/>
    <cellStyle name="Normal 3 15" xfId="1708" xr:uid="{00000000-0005-0000-0000-000020070000}"/>
    <cellStyle name="Normal 3 15 10" xfId="1709" xr:uid="{00000000-0005-0000-0000-000021070000}"/>
    <cellStyle name="Normal 3 15 11" xfId="1710" xr:uid="{00000000-0005-0000-0000-000022070000}"/>
    <cellStyle name="Normal 3 15 12" xfId="1711" xr:uid="{00000000-0005-0000-0000-000023070000}"/>
    <cellStyle name="Normal 3 15 13" xfId="1712" xr:uid="{00000000-0005-0000-0000-000024070000}"/>
    <cellStyle name="Normal 3 15 2" xfId="1713" xr:uid="{00000000-0005-0000-0000-000025070000}"/>
    <cellStyle name="Normal 3 15 2 10" xfId="1714" xr:uid="{00000000-0005-0000-0000-000026070000}"/>
    <cellStyle name="Normal 3 15 2 11" xfId="1715" xr:uid="{00000000-0005-0000-0000-000027070000}"/>
    <cellStyle name="Normal 3 15 2 12" xfId="1716" xr:uid="{00000000-0005-0000-0000-000028070000}"/>
    <cellStyle name="Normal 3 15 2 2" xfId="1717" xr:uid="{00000000-0005-0000-0000-000029070000}"/>
    <cellStyle name="Normal 3 15 2 3" xfId="1718" xr:uid="{00000000-0005-0000-0000-00002A070000}"/>
    <cellStyle name="Normal 3 15 2 4" xfId="1719" xr:uid="{00000000-0005-0000-0000-00002B070000}"/>
    <cellStyle name="Normal 3 15 2 5" xfId="1720" xr:uid="{00000000-0005-0000-0000-00002C070000}"/>
    <cellStyle name="Normal 3 15 2 6" xfId="1721" xr:uid="{00000000-0005-0000-0000-00002D070000}"/>
    <cellStyle name="Normal 3 15 2 7" xfId="1722" xr:uid="{00000000-0005-0000-0000-00002E070000}"/>
    <cellStyle name="Normal 3 15 2 8" xfId="1723" xr:uid="{00000000-0005-0000-0000-00002F070000}"/>
    <cellStyle name="Normal 3 15 2 9" xfId="1724" xr:uid="{00000000-0005-0000-0000-000030070000}"/>
    <cellStyle name="Normal 3 15 3" xfId="1725" xr:uid="{00000000-0005-0000-0000-000031070000}"/>
    <cellStyle name="Normal 3 15 4" xfId="1726" xr:uid="{00000000-0005-0000-0000-000032070000}"/>
    <cellStyle name="Normal 3 15 5" xfId="1727" xr:uid="{00000000-0005-0000-0000-000033070000}"/>
    <cellStyle name="Normal 3 15 6" xfId="1728" xr:uid="{00000000-0005-0000-0000-000034070000}"/>
    <cellStyle name="Normal 3 15 7" xfId="1729" xr:uid="{00000000-0005-0000-0000-000035070000}"/>
    <cellStyle name="Normal 3 15 8" xfId="1730" xr:uid="{00000000-0005-0000-0000-000036070000}"/>
    <cellStyle name="Normal 3 15 9" xfId="1731" xr:uid="{00000000-0005-0000-0000-000037070000}"/>
    <cellStyle name="Normal 3 16" xfId="1732" xr:uid="{00000000-0005-0000-0000-000038070000}"/>
    <cellStyle name="Normal 3 16 10" xfId="1733" xr:uid="{00000000-0005-0000-0000-000039070000}"/>
    <cellStyle name="Normal 3 16 11" xfId="1734" xr:uid="{00000000-0005-0000-0000-00003A070000}"/>
    <cellStyle name="Normal 3 16 12" xfId="1735" xr:uid="{00000000-0005-0000-0000-00003B070000}"/>
    <cellStyle name="Normal 3 16 13" xfId="1736" xr:uid="{00000000-0005-0000-0000-00003C070000}"/>
    <cellStyle name="Normal 3 16 2" xfId="1737" xr:uid="{00000000-0005-0000-0000-00003D070000}"/>
    <cellStyle name="Normal 3 16 2 10" xfId="1738" xr:uid="{00000000-0005-0000-0000-00003E070000}"/>
    <cellStyle name="Normal 3 16 2 11" xfId="1739" xr:uid="{00000000-0005-0000-0000-00003F070000}"/>
    <cellStyle name="Normal 3 16 2 12" xfId="1740" xr:uid="{00000000-0005-0000-0000-000040070000}"/>
    <cellStyle name="Normal 3 16 2 2" xfId="1741" xr:uid="{00000000-0005-0000-0000-000041070000}"/>
    <cellStyle name="Normal 3 16 2 3" xfId="1742" xr:uid="{00000000-0005-0000-0000-000042070000}"/>
    <cellStyle name="Normal 3 16 2 4" xfId="1743" xr:uid="{00000000-0005-0000-0000-000043070000}"/>
    <cellStyle name="Normal 3 16 2 5" xfId="1744" xr:uid="{00000000-0005-0000-0000-000044070000}"/>
    <cellStyle name="Normal 3 16 2 6" xfId="1745" xr:uid="{00000000-0005-0000-0000-000045070000}"/>
    <cellStyle name="Normal 3 16 2 7" xfId="1746" xr:uid="{00000000-0005-0000-0000-000046070000}"/>
    <cellStyle name="Normal 3 16 2 8" xfId="1747" xr:uid="{00000000-0005-0000-0000-000047070000}"/>
    <cellStyle name="Normal 3 16 2 9" xfId="1748" xr:uid="{00000000-0005-0000-0000-000048070000}"/>
    <cellStyle name="Normal 3 16 3" xfId="1749" xr:uid="{00000000-0005-0000-0000-000049070000}"/>
    <cellStyle name="Normal 3 16 4" xfId="1750" xr:uid="{00000000-0005-0000-0000-00004A070000}"/>
    <cellStyle name="Normal 3 16 5" xfId="1751" xr:uid="{00000000-0005-0000-0000-00004B070000}"/>
    <cellStyle name="Normal 3 16 6" xfId="1752" xr:uid="{00000000-0005-0000-0000-00004C070000}"/>
    <cellStyle name="Normal 3 16 7" xfId="1753" xr:uid="{00000000-0005-0000-0000-00004D070000}"/>
    <cellStyle name="Normal 3 16 8" xfId="1754" xr:uid="{00000000-0005-0000-0000-00004E070000}"/>
    <cellStyle name="Normal 3 16 9" xfId="1755" xr:uid="{00000000-0005-0000-0000-00004F070000}"/>
    <cellStyle name="Normal 3 17" xfId="1756" xr:uid="{00000000-0005-0000-0000-000050070000}"/>
    <cellStyle name="Normal 3 17 10" xfId="1757" xr:uid="{00000000-0005-0000-0000-000051070000}"/>
    <cellStyle name="Normal 3 17 11" xfId="1758" xr:uid="{00000000-0005-0000-0000-000052070000}"/>
    <cellStyle name="Normal 3 17 12" xfId="1759" xr:uid="{00000000-0005-0000-0000-000053070000}"/>
    <cellStyle name="Normal 3 17 13" xfId="1760" xr:uid="{00000000-0005-0000-0000-000054070000}"/>
    <cellStyle name="Normal 3 17 2" xfId="1761" xr:uid="{00000000-0005-0000-0000-000055070000}"/>
    <cellStyle name="Normal 3 17 2 10" xfId="1762" xr:uid="{00000000-0005-0000-0000-000056070000}"/>
    <cellStyle name="Normal 3 17 2 11" xfId="1763" xr:uid="{00000000-0005-0000-0000-000057070000}"/>
    <cellStyle name="Normal 3 17 2 12" xfId="1764" xr:uid="{00000000-0005-0000-0000-000058070000}"/>
    <cellStyle name="Normal 3 17 2 2" xfId="1765" xr:uid="{00000000-0005-0000-0000-000059070000}"/>
    <cellStyle name="Normal 3 17 2 3" xfId="1766" xr:uid="{00000000-0005-0000-0000-00005A070000}"/>
    <cellStyle name="Normal 3 17 2 4" xfId="1767" xr:uid="{00000000-0005-0000-0000-00005B070000}"/>
    <cellStyle name="Normal 3 17 2 5" xfId="1768" xr:uid="{00000000-0005-0000-0000-00005C070000}"/>
    <cellStyle name="Normal 3 17 2 6" xfId="1769" xr:uid="{00000000-0005-0000-0000-00005D070000}"/>
    <cellStyle name="Normal 3 17 2 7" xfId="1770" xr:uid="{00000000-0005-0000-0000-00005E070000}"/>
    <cellStyle name="Normal 3 17 2 8" xfId="1771" xr:uid="{00000000-0005-0000-0000-00005F070000}"/>
    <cellStyle name="Normal 3 17 2 9" xfId="1772" xr:uid="{00000000-0005-0000-0000-000060070000}"/>
    <cellStyle name="Normal 3 17 3" xfId="1773" xr:uid="{00000000-0005-0000-0000-000061070000}"/>
    <cellStyle name="Normal 3 17 4" xfId="1774" xr:uid="{00000000-0005-0000-0000-000062070000}"/>
    <cellStyle name="Normal 3 17 5" xfId="1775" xr:uid="{00000000-0005-0000-0000-000063070000}"/>
    <cellStyle name="Normal 3 17 6" xfId="1776" xr:uid="{00000000-0005-0000-0000-000064070000}"/>
    <cellStyle name="Normal 3 17 7" xfId="1777" xr:uid="{00000000-0005-0000-0000-000065070000}"/>
    <cellStyle name="Normal 3 17 8" xfId="1778" xr:uid="{00000000-0005-0000-0000-000066070000}"/>
    <cellStyle name="Normal 3 17 9" xfId="1779" xr:uid="{00000000-0005-0000-0000-000067070000}"/>
    <cellStyle name="Normal 3 18" xfId="1780" xr:uid="{00000000-0005-0000-0000-000068070000}"/>
    <cellStyle name="Normal 3 18 10" xfId="1781" xr:uid="{00000000-0005-0000-0000-000069070000}"/>
    <cellStyle name="Normal 3 18 11" xfId="1782" xr:uid="{00000000-0005-0000-0000-00006A070000}"/>
    <cellStyle name="Normal 3 18 12" xfId="1783" xr:uid="{00000000-0005-0000-0000-00006B070000}"/>
    <cellStyle name="Normal 3 18 13" xfId="1784" xr:uid="{00000000-0005-0000-0000-00006C070000}"/>
    <cellStyle name="Normal 3 18 2" xfId="1785" xr:uid="{00000000-0005-0000-0000-00006D070000}"/>
    <cellStyle name="Normal 3 18 2 10" xfId="1786" xr:uid="{00000000-0005-0000-0000-00006E070000}"/>
    <cellStyle name="Normal 3 18 2 11" xfId="1787" xr:uid="{00000000-0005-0000-0000-00006F070000}"/>
    <cellStyle name="Normal 3 18 2 12" xfId="1788" xr:uid="{00000000-0005-0000-0000-000070070000}"/>
    <cellStyle name="Normal 3 18 2 2" xfId="1789" xr:uid="{00000000-0005-0000-0000-000071070000}"/>
    <cellStyle name="Normal 3 18 2 3" xfId="1790" xr:uid="{00000000-0005-0000-0000-000072070000}"/>
    <cellStyle name="Normal 3 18 2 4" xfId="1791" xr:uid="{00000000-0005-0000-0000-000073070000}"/>
    <cellStyle name="Normal 3 18 2 5" xfId="1792" xr:uid="{00000000-0005-0000-0000-000074070000}"/>
    <cellStyle name="Normal 3 18 2 6" xfId="1793" xr:uid="{00000000-0005-0000-0000-000075070000}"/>
    <cellStyle name="Normal 3 18 2 7" xfId="1794" xr:uid="{00000000-0005-0000-0000-000076070000}"/>
    <cellStyle name="Normal 3 18 2 8" xfId="1795" xr:uid="{00000000-0005-0000-0000-000077070000}"/>
    <cellStyle name="Normal 3 18 2 9" xfId="1796" xr:uid="{00000000-0005-0000-0000-000078070000}"/>
    <cellStyle name="Normal 3 18 3" xfId="1797" xr:uid="{00000000-0005-0000-0000-000079070000}"/>
    <cellStyle name="Normal 3 18 4" xfId="1798" xr:uid="{00000000-0005-0000-0000-00007A070000}"/>
    <cellStyle name="Normal 3 18 5" xfId="1799" xr:uid="{00000000-0005-0000-0000-00007B070000}"/>
    <cellStyle name="Normal 3 18 6" xfId="1800" xr:uid="{00000000-0005-0000-0000-00007C070000}"/>
    <cellStyle name="Normal 3 18 7" xfId="1801" xr:uid="{00000000-0005-0000-0000-00007D070000}"/>
    <cellStyle name="Normal 3 18 8" xfId="1802" xr:uid="{00000000-0005-0000-0000-00007E070000}"/>
    <cellStyle name="Normal 3 18 9" xfId="1803" xr:uid="{00000000-0005-0000-0000-00007F070000}"/>
    <cellStyle name="Normal 3 19" xfId="1804" xr:uid="{00000000-0005-0000-0000-000080070000}"/>
    <cellStyle name="Normal 3 19 10" xfId="1805" xr:uid="{00000000-0005-0000-0000-000081070000}"/>
    <cellStyle name="Normal 3 19 11" xfId="1806" xr:uid="{00000000-0005-0000-0000-000082070000}"/>
    <cellStyle name="Normal 3 19 12" xfId="1807" xr:uid="{00000000-0005-0000-0000-000083070000}"/>
    <cellStyle name="Normal 3 19 13" xfId="1808" xr:uid="{00000000-0005-0000-0000-000084070000}"/>
    <cellStyle name="Normal 3 19 2" xfId="1809" xr:uid="{00000000-0005-0000-0000-000085070000}"/>
    <cellStyle name="Normal 3 19 2 10" xfId="1810" xr:uid="{00000000-0005-0000-0000-000086070000}"/>
    <cellStyle name="Normal 3 19 2 11" xfId="1811" xr:uid="{00000000-0005-0000-0000-000087070000}"/>
    <cellStyle name="Normal 3 19 2 12" xfId="1812" xr:uid="{00000000-0005-0000-0000-000088070000}"/>
    <cellStyle name="Normal 3 19 2 2" xfId="1813" xr:uid="{00000000-0005-0000-0000-000089070000}"/>
    <cellStyle name="Normal 3 19 2 3" xfId="1814" xr:uid="{00000000-0005-0000-0000-00008A070000}"/>
    <cellStyle name="Normal 3 19 2 4" xfId="1815" xr:uid="{00000000-0005-0000-0000-00008B070000}"/>
    <cellStyle name="Normal 3 19 2 5" xfId="1816" xr:uid="{00000000-0005-0000-0000-00008C070000}"/>
    <cellStyle name="Normal 3 19 2 6" xfId="1817" xr:uid="{00000000-0005-0000-0000-00008D070000}"/>
    <cellStyle name="Normal 3 19 2 7" xfId="1818" xr:uid="{00000000-0005-0000-0000-00008E070000}"/>
    <cellStyle name="Normal 3 19 2 8" xfId="1819" xr:uid="{00000000-0005-0000-0000-00008F070000}"/>
    <cellStyle name="Normal 3 19 2 9" xfId="1820" xr:uid="{00000000-0005-0000-0000-000090070000}"/>
    <cellStyle name="Normal 3 19 3" xfId="1821" xr:uid="{00000000-0005-0000-0000-000091070000}"/>
    <cellStyle name="Normal 3 19 4" xfId="1822" xr:uid="{00000000-0005-0000-0000-000092070000}"/>
    <cellStyle name="Normal 3 19 5" xfId="1823" xr:uid="{00000000-0005-0000-0000-000093070000}"/>
    <cellStyle name="Normal 3 19 6" xfId="1824" xr:uid="{00000000-0005-0000-0000-000094070000}"/>
    <cellStyle name="Normal 3 19 7" xfId="1825" xr:uid="{00000000-0005-0000-0000-000095070000}"/>
    <cellStyle name="Normal 3 19 8" xfId="1826" xr:uid="{00000000-0005-0000-0000-000096070000}"/>
    <cellStyle name="Normal 3 19 9" xfId="1827" xr:uid="{00000000-0005-0000-0000-000097070000}"/>
    <cellStyle name="Normal 3 2" xfId="1828" xr:uid="{00000000-0005-0000-0000-000098070000}"/>
    <cellStyle name="Normal 3 2 10" xfId="1829" xr:uid="{00000000-0005-0000-0000-000099070000}"/>
    <cellStyle name="Normal 3 2 10 2" xfId="1830" xr:uid="{00000000-0005-0000-0000-00009A070000}"/>
    <cellStyle name="Normal 3 2 11" xfId="1831" xr:uid="{00000000-0005-0000-0000-00009B070000}"/>
    <cellStyle name="Normal 3 2 12" xfId="1832" xr:uid="{00000000-0005-0000-0000-00009C070000}"/>
    <cellStyle name="Normal 3 2 13" xfId="1833" xr:uid="{00000000-0005-0000-0000-00009D070000}"/>
    <cellStyle name="Normal 3 2 14 2 2" xfId="3746" xr:uid="{00000000-0005-0000-0000-00009E070000}"/>
    <cellStyle name="Normal 3 2 2" xfId="1834" xr:uid="{00000000-0005-0000-0000-00009F070000}"/>
    <cellStyle name="Normal 3 2 2 10" xfId="1835" xr:uid="{00000000-0005-0000-0000-0000A0070000}"/>
    <cellStyle name="Normal 3 2 2 11" xfId="1836" xr:uid="{00000000-0005-0000-0000-0000A1070000}"/>
    <cellStyle name="Normal 3 2 2 12" xfId="1837" xr:uid="{00000000-0005-0000-0000-0000A2070000}"/>
    <cellStyle name="Normal 3 2 2 2" xfId="1838" xr:uid="{00000000-0005-0000-0000-0000A3070000}"/>
    <cellStyle name="Normal 3 2 2 3" xfId="1839" xr:uid="{00000000-0005-0000-0000-0000A4070000}"/>
    <cellStyle name="Normal 3 2 2 4" xfId="1840" xr:uid="{00000000-0005-0000-0000-0000A5070000}"/>
    <cellStyle name="Normal 3 2 2 5" xfId="1841" xr:uid="{00000000-0005-0000-0000-0000A6070000}"/>
    <cellStyle name="Normal 3 2 2 6" xfId="1842" xr:uid="{00000000-0005-0000-0000-0000A7070000}"/>
    <cellStyle name="Normal 3 2 2 7" xfId="1843" xr:uid="{00000000-0005-0000-0000-0000A8070000}"/>
    <cellStyle name="Normal 3 2 2 8" xfId="1844" xr:uid="{00000000-0005-0000-0000-0000A9070000}"/>
    <cellStyle name="Normal 3 2 2 9" xfId="1845" xr:uid="{00000000-0005-0000-0000-0000AA070000}"/>
    <cellStyle name="Normal 3 2 3" xfId="1846" xr:uid="{00000000-0005-0000-0000-0000AB070000}"/>
    <cellStyle name="Normal 3 2 3 2" xfId="1847" xr:uid="{00000000-0005-0000-0000-0000AC070000}"/>
    <cellStyle name="Normal 3 2 3 3" xfId="1848" xr:uid="{00000000-0005-0000-0000-0000AD070000}"/>
    <cellStyle name="Normal 3 2 3 4" xfId="1849" xr:uid="{00000000-0005-0000-0000-0000AE070000}"/>
    <cellStyle name="Normal 3 2 3 5" xfId="1850" xr:uid="{00000000-0005-0000-0000-0000AF070000}"/>
    <cellStyle name="Normal 3 2 3 6" xfId="1851" xr:uid="{00000000-0005-0000-0000-0000B0070000}"/>
    <cellStyle name="Normal 3 2 3 7" xfId="1852" xr:uid="{00000000-0005-0000-0000-0000B1070000}"/>
    <cellStyle name="Normal 3 2 3 8" xfId="1853" xr:uid="{00000000-0005-0000-0000-0000B2070000}"/>
    <cellStyle name="Normal 3 2 3 9" xfId="1854" xr:uid="{00000000-0005-0000-0000-0000B3070000}"/>
    <cellStyle name="Normal 3 2 4" xfId="1855" xr:uid="{00000000-0005-0000-0000-0000B4070000}"/>
    <cellStyle name="Normal 3 2 5" xfId="1856" xr:uid="{00000000-0005-0000-0000-0000B5070000}"/>
    <cellStyle name="Normal 3 2 5 2" xfId="1857" xr:uid="{00000000-0005-0000-0000-0000B6070000}"/>
    <cellStyle name="Normal 3 2 6" xfId="1858" xr:uid="{00000000-0005-0000-0000-0000B7070000}"/>
    <cellStyle name="Normal 3 2 6 2" xfId="1859" xr:uid="{00000000-0005-0000-0000-0000B8070000}"/>
    <cellStyle name="Normal 3 2 7" xfId="1860" xr:uid="{00000000-0005-0000-0000-0000B9070000}"/>
    <cellStyle name="Normal 3 2 7 2" xfId="1861" xr:uid="{00000000-0005-0000-0000-0000BA070000}"/>
    <cellStyle name="Normal 3 2 8" xfId="1862" xr:uid="{00000000-0005-0000-0000-0000BB070000}"/>
    <cellStyle name="Normal 3 2 8 2" xfId="1863" xr:uid="{00000000-0005-0000-0000-0000BC070000}"/>
    <cellStyle name="Normal 3 2 9" xfId="1864" xr:uid="{00000000-0005-0000-0000-0000BD070000}"/>
    <cellStyle name="Normal 3 2 9 2" xfId="1865" xr:uid="{00000000-0005-0000-0000-0000BE070000}"/>
    <cellStyle name="Normal 3 20" xfId="1866" xr:uid="{00000000-0005-0000-0000-0000BF070000}"/>
    <cellStyle name="Normal 3 20 10" xfId="1867" xr:uid="{00000000-0005-0000-0000-0000C0070000}"/>
    <cellStyle name="Normal 3 20 11" xfId="1868" xr:uid="{00000000-0005-0000-0000-0000C1070000}"/>
    <cellStyle name="Normal 3 20 12" xfId="1869" xr:uid="{00000000-0005-0000-0000-0000C2070000}"/>
    <cellStyle name="Normal 3 20 13" xfId="1870" xr:uid="{00000000-0005-0000-0000-0000C3070000}"/>
    <cellStyle name="Normal 3 20 2" xfId="1871" xr:uid="{00000000-0005-0000-0000-0000C4070000}"/>
    <cellStyle name="Normal 3 20 2 10" xfId="1872" xr:uid="{00000000-0005-0000-0000-0000C5070000}"/>
    <cellStyle name="Normal 3 20 2 11" xfId="1873" xr:uid="{00000000-0005-0000-0000-0000C6070000}"/>
    <cellStyle name="Normal 3 20 2 12" xfId="1874" xr:uid="{00000000-0005-0000-0000-0000C7070000}"/>
    <cellStyle name="Normal 3 20 2 2" xfId="1875" xr:uid="{00000000-0005-0000-0000-0000C8070000}"/>
    <cellStyle name="Normal 3 20 2 3" xfId="1876" xr:uid="{00000000-0005-0000-0000-0000C9070000}"/>
    <cellStyle name="Normal 3 20 2 4" xfId="1877" xr:uid="{00000000-0005-0000-0000-0000CA070000}"/>
    <cellStyle name="Normal 3 20 2 5" xfId="1878" xr:uid="{00000000-0005-0000-0000-0000CB070000}"/>
    <cellStyle name="Normal 3 20 2 6" xfId="1879" xr:uid="{00000000-0005-0000-0000-0000CC070000}"/>
    <cellStyle name="Normal 3 20 2 7" xfId="1880" xr:uid="{00000000-0005-0000-0000-0000CD070000}"/>
    <cellStyle name="Normal 3 20 2 8" xfId="1881" xr:uid="{00000000-0005-0000-0000-0000CE070000}"/>
    <cellStyle name="Normal 3 20 2 9" xfId="1882" xr:uid="{00000000-0005-0000-0000-0000CF070000}"/>
    <cellStyle name="Normal 3 20 3" xfId="1883" xr:uid="{00000000-0005-0000-0000-0000D0070000}"/>
    <cellStyle name="Normal 3 20 4" xfId="1884" xr:uid="{00000000-0005-0000-0000-0000D1070000}"/>
    <cellStyle name="Normal 3 20 5" xfId="1885" xr:uid="{00000000-0005-0000-0000-0000D2070000}"/>
    <cellStyle name="Normal 3 20 6" xfId="1886" xr:uid="{00000000-0005-0000-0000-0000D3070000}"/>
    <cellStyle name="Normal 3 20 7" xfId="1887" xr:uid="{00000000-0005-0000-0000-0000D4070000}"/>
    <cellStyle name="Normal 3 20 8" xfId="1888" xr:uid="{00000000-0005-0000-0000-0000D5070000}"/>
    <cellStyle name="Normal 3 20 9" xfId="1889" xr:uid="{00000000-0005-0000-0000-0000D6070000}"/>
    <cellStyle name="Normal 3 21" xfId="1890" xr:uid="{00000000-0005-0000-0000-0000D7070000}"/>
    <cellStyle name="Normal 3 21 10" xfId="1891" xr:uid="{00000000-0005-0000-0000-0000D8070000}"/>
    <cellStyle name="Normal 3 21 11" xfId="1892" xr:uid="{00000000-0005-0000-0000-0000D9070000}"/>
    <cellStyle name="Normal 3 21 12" xfId="1893" xr:uid="{00000000-0005-0000-0000-0000DA070000}"/>
    <cellStyle name="Normal 3 21 13" xfId="1894" xr:uid="{00000000-0005-0000-0000-0000DB070000}"/>
    <cellStyle name="Normal 3 21 2" xfId="1895" xr:uid="{00000000-0005-0000-0000-0000DC070000}"/>
    <cellStyle name="Normal 3 21 2 10" xfId="1896" xr:uid="{00000000-0005-0000-0000-0000DD070000}"/>
    <cellStyle name="Normal 3 21 2 11" xfId="1897" xr:uid="{00000000-0005-0000-0000-0000DE070000}"/>
    <cellStyle name="Normal 3 21 2 12" xfId="1898" xr:uid="{00000000-0005-0000-0000-0000DF070000}"/>
    <cellStyle name="Normal 3 21 2 2" xfId="1899" xr:uid="{00000000-0005-0000-0000-0000E0070000}"/>
    <cellStyle name="Normal 3 21 2 3" xfId="1900" xr:uid="{00000000-0005-0000-0000-0000E1070000}"/>
    <cellStyle name="Normal 3 21 2 4" xfId="1901" xr:uid="{00000000-0005-0000-0000-0000E2070000}"/>
    <cellStyle name="Normal 3 21 2 5" xfId="1902" xr:uid="{00000000-0005-0000-0000-0000E3070000}"/>
    <cellStyle name="Normal 3 21 2 6" xfId="1903" xr:uid="{00000000-0005-0000-0000-0000E4070000}"/>
    <cellStyle name="Normal 3 21 2 7" xfId="1904" xr:uid="{00000000-0005-0000-0000-0000E5070000}"/>
    <cellStyle name="Normal 3 21 2 8" xfId="1905" xr:uid="{00000000-0005-0000-0000-0000E6070000}"/>
    <cellStyle name="Normal 3 21 2 9" xfId="1906" xr:uid="{00000000-0005-0000-0000-0000E7070000}"/>
    <cellStyle name="Normal 3 21 3" xfId="1907" xr:uid="{00000000-0005-0000-0000-0000E8070000}"/>
    <cellStyle name="Normal 3 21 4" xfId="1908" xr:uid="{00000000-0005-0000-0000-0000E9070000}"/>
    <cellStyle name="Normal 3 21 5" xfId="1909" xr:uid="{00000000-0005-0000-0000-0000EA070000}"/>
    <cellStyle name="Normal 3 21 6" xfId="1910" xr:uid="{00000000-0005-0000-0000-0000EB070000}"/>
    <cellStyle name="Normal 3 21 7" xfId="1911" xr:uid="{00000000-0005-0000-0000-0000EC070000}"/>
    <cellStyle name="Normal 3 21 8" xfId="1912" xr:uid="{00000000-0005-0000-0000-0000ED070000}"/>
    <cellStyle name="Normal 3 21 9" xfId="1913" xr:uid="{00000000-0005-0000-0000-0000EE070000}"/>
    <cellStyle name="Normal 3 22" xfId="1914" xr:uid="{00000000-0005-0000-0000-0000EF070000}"/>
    <cellStyle name="Normal 3 22 10" xfId="1915" xr:uid="{00000000-0005-0000-0000-0000F0070000}"/>
    <cellStyle name="Normal 3 22 11" xfId="1916" xr:uid="{00000000-0005-0000-0000-0000F1070000}"/>
    <cellStyle name="Normal 3 22 12" xfId="1917" xr:uid="{00000000-0005-0000-0000-0000F2070000}"/>
    <cellStyle name="Normal 3 22 13" xfId="1918" xr:uid="{00000000-0005-0000-0000-0000F3070000}"/>
    <cellStyle name="Normal 3 22 2" xfId="1919" xr:uid="{00000000-0005-0000-0000-0000F4070000}"/>
    <cellStyle name="Normal 3 22 2 10" xfId="1920" xr:uid="{00000000-0005-0000-0000-0000F5070000}"/>
    <cellStyle name="Normal 3 22 2 11" xfId="1921" xr:uid="{00000000-0005-0000-0000-0000F6070000}"/>
    <cellStyle name="Normal 3 22 2 12" xfId="1922" xr:uid="{00000000-0005-0000-0000-0000F7070000}"/>
    <cellStyle name="Normal 3 22 2 2" xfId="1923" xr:uid="{00000000-0005-0000-0000-0000F8070000}"/>
    <cellStyle name="Normal 3 22 2 3" xfId="1924" xr:uid="{00000000-0005-0000-0000-0000F9070000}"/>
    <cellStyle name="Normal 3 22 2 4" xfId="1925" xr:uid="{00000000-0005-0000-0000-0000FA070000}"/>
    <cellStyle name="Normal 3 22 2 5" xfId="1926" xr:uid="{00000000-0005-0000-0000-0000FB070000}"/>
    <cellStyle name="Normal 3 22 2 6" xfId="1927" xr:uid="{00000000-0005-0000-0000-0000FC070000}"/>
    <cellStyle name="Normal 3 22 2 7" xfId="1928" xr:uid="{00000000-0005-0000-0000-0000FD070000}"/>
    <cellStyle name="Normal 3 22 2 8" xfId="1929" xr:uid="{00000000-0005-0000-0000-0000FE070000}"/>
    <cellStyle name="Normal 3 22 2 9" xfId="1930" xr:uid="{00000000-0005-0000-0000-0000FF070000}"/>
    <cellStyle name="Normal 3 22 3" xfId="1931" xr:uid="{00000000-0005-0000-0000-000000080000}"/>
    <cellStyle name="Normal 3 22 4" xfId="1932" xr:uid="{00000000-0005-0000-0000-000001080000}"/>
    <cellStyle name="Normal 3 22 5" xfId="1933" xr:uid="{00000000-0005-0000-0000-000002080000}"/>
    <cellStyle name="Normal 3 22 6" xfId="1934" xr:uid="{00000000-0005-0000-0000-000003080000}"/>
    <cellStyle name="Normal 3 22 7" xfId="1935" xr:uid="{00000000-0005-0000-0000-000004080000}"/>
    <cellStyle name="Normal 3 22 8" xfId="1936" xr:uid="{00000000-0005-0000-0000-000005080000}"/>
    <cellStyle name="Normal 3 22 9" xfId="1937" xr:uid="{00000000-0005-0000-0000-000006080000}"/>
    <cellStyle name="Normal 3 23" xfId="1938" xr:uid="{00000000-0005-0000-0000-000007080000}"/>
    <cellStyle name="Normal 3 23 10" xfId="1939" xr:uid="{00000000-0005-0000-0000-000008080000}"/>
    <cellStyle name="Normal 3 23 11" xfId="1940" xr:uid="{00000000-0005-0000-0000-000009080000}"/>
    <cellStyle name="Normal 3 23 12" xfId="1941" xr:uid="{00000000-0005-0000-0000-00000A080000}"/>
    <cellStyle name="Normal 3 23 13" xfId="1942" xr:uid="{00000000-0005-0000-0000-00000B080000}"/>
    <cellStyle name="Normal 3 23 2" xfId="1943" xr:uid="{00000000-0005-0000-0000-00000C080000}"/>
    <cellStyle name="Normal 3 23 2 10" xfId="1944" xr:uid="{00000000-0005-0000-0000-00000D080000}"/>
    <cellStyle name="Normal 3 23 2 11" xfId="1945" xr:uid="{00000000-0005-0000-0000-00000E080000}"/>
    <cellStyle name="Normal 3 23 2 12" xfId="1946" xr:uid="{00000000-0005-0000-0000-00000F080000}"/>
    <cellStyle name="Normal 3 23 2 2" xfId="1947" xr:uid="{00000000-0005-0000-0000-000010080000}"/>
    <cellStyle name="Normal 3 23 2 3" xfId="1948" xr:uid="{00000000-0005-0000-0000-000011080000}"/>
    <cellStyle name="Normal 3 23 2 4" xfId="1949" xr:uid="{00000000-0005-0000-0000-000012080000}"/>
    <cellStyle name="Normal 3 23 2 5" xfId="1950" xr:uid="{00000000-0005-0000-0000-000013080000}"/>
    <cellStyle name="Normal 3 23 2 6" xfId="1951" xr:uid="{00000000-0005-0000-0000-000014080000}"/>
    <cellStyle name="Normal 3 23 2 7" xfId="1952" xr:uid="{00000000-0005-0000-0000-000015080000}"/>
    <cellStyle name="Normal 3 23 2 8" xfId="1953" xr:uid="{00000000-0005-0000-0000-000016080000}"/>
    <cellStyle name="Normal 3 23 2 9" xfId="1954" xr:uid="{00000000-0005-0000-0000-000017080000}"/>
    <cellStyle name="Normal 3 23 3" xfId="1955" xr:uid="{00000000-0005-0000-0000-000018080000}"/>
    <cellStyle name="Normal 3 23 4" xfId="1956" xr:uid="{00000000-0005-0000-0000-000019080000}"/>
    <cellStyle name="Normal 3 23 5" xfId="1957" xr:uid="{00000000-0005-0000-0000-00001A080000}"/>
    <cellStyle name="Normal 3 23 6" xfId="1958" xr:uid="{00000000-0005-0000-0000-00001B080000}"/>
    <cellStyle name="Normal 3 23 7" xfId="1959" xr:uid="{00000000-0005-0000-0000-00001C080000}"/>
    <cellStyle name="Normal 3 23 8" xfId="1960" xr:uid="{00000000-0005-0000-0000-00001D080000}"/>
    <cellStyle name="Normal 3 23 9" xfId="1961" xr:uid="{00000000-0005-0000-0000-00001E080000}"/>
    <cellStyle name="Normal 3 24" xfId="1962" xr:uid="{00000000-0005-0000-0000-00001F080000}"/>
    <cellStyle name="Normal 3 24 10" xfId="1963" xr:uid="{00000000-0005-0000-0000-000020080000}"/>
    <cellStyle name="Normal 3 24 11" xfId="1964" xr:uid="{00000000-0005-0000-0000-000021080000}"/>
    <cellStyle name="Normal 3 24 12" xfId="1965" xr:uid="{00000000-0005-0000-0000-000022080000}"/>
    <cellStyle name="Normal 3 24 13" xfId="1966" xr:uid="{00000000-0005-0000-0000-000023080000}"/>
    <cellStyle name="Normal 3 24 2" xfId="1967" xr:uid="{00000000-0005-0000-0000-000024080000}"/>
    <cellStyle name="Normal 3 24 2 10" xfId="1968" xr:uid="{00000000-0005-0000-0000-000025080000}"/>
    <cellStyle name="Normal 3 24 2 11" xfId="1969" xr:uid="{00000000-0005-0000-0000-000026080000}"/>
    <cellStyle name="Normal 3 24 2 12" xfId="1970" xr:uid="{00000000-0005-0000-0000-000027080000}"/>
    <cellStyle name="Normal 3 24 2 2" xfId="1971" xr:uid="{00000000-0005-0000-0000-000028080000}"/>
    <cellStyle name="Normal 3 24 2 3" xfId="1972" xr:uid="{00000000-0005-0000-0000-000029080000}"/>
    <cellStyle name="Normal 3 24 2 4" xfId="1973" xr:uid="{00000000-0005-0000-0000-00002A080000}"/>
    <cellStyle name="Normal 3 24 2 5" xfId="1974" xr:uid="{00000000-0005-0000-0000-00002B080000}"/>
    <cellStyle name="Normal 3 24 2 6" xfId="1975" xr:uid="{00000000-0005-0000-0000-00002C080000}"/>
    <cellStyle name="Normal 3 24 2 7" xfId="1976" xr:uid="{00000000-0005-0000-0000-00002D080000}"/>
    <cellStyle name="Normal 3 24 2 8" xfId="1977" xr:uid="{00000000-0005-0000-0000-00002E080000}"/>
    <cellStyle name="Normal 3 24 2 9" xfId="1978" xr:uid="{00000000-0005-0000-0000-00002F080000}"/>
    <cellStyle name="Normal 3 24 3" xfId="1979" xr:uid="{00000000-0005-0000-0000-000030080000}"/>
    <cellStyle name="Normal 3 24 4" xfId="1980" xr:uid="{00000000-0005-0000-0000-000031080000}"/>
    <cellStyle name="Normal 3 24 5" xfId="1981" xr:uid="{00000000-0005-0000-0000-000032080000}"/>
    <cellStyle name="Normal 3 24 6" xfId="1982" xr:uid="{00000000-0005-0000-0000-000033080000}"/>
    <cellStyle name="Normal 3 24 7" xfId="1983" xr:uid="{00000000-0005-0000-0000-000034080000}"/>
    <cellStyle name="Normal 3 24 8" xfId="1984" xr:uid="{00000000-0005-0000-0000-000035080000}"/>
    <cellStyle name="Normal 3 24 9" xfId="1985" xr:uid="{00000000-0005-0000-0000-000036080000}"/>
    <cellStyle name="Normal 3 25" xfId="1986" xr:uid="{00000000-0005-0000-0000-000037080000}"/>
    <cellStyle name="Normal 3 25 10" xfId="1987" xr:uid="{00000000-0005-0000-0000-000038080000}"/>
    <cellStyle name="Normal 3 25 11" xfId="1988" xr:uid="{00000000-0005-0000-0000-000039080000}"/>
    <cellStyle name="Normal 3 25 12" xfId="1989" xr:uid="{00000000-0005-0000-0000-00003A080000}"/>
    <cellStyle name="Normal 3 25 13" xfId="1990" xr:uid="{00000000-0005-0000-0000-00003B080000}"/>
    <cellStyle name="Normal 3 25 2" xfId="1991" xr:uid="{00000000-0005-0000-0000-00003C080000}"/>
    <cellStyle name="Normal 3 25 2 10" xfId="1992" xr:uid="{00000000-0005-0000-0000-00003D080000}"/>
    <cellStyle name="Normal 3 25 2 11" xfId="1993" xr:uid="{00000000-0005-0000-0000-00003E080000}"/>
    <cellStyle name="Normal 3 25 2 12" xfId="1994" xr:uid="{00000000-0005-0000-0000-00003F080000}"/>
    <cellStyle name="Normal 3 25 2 2" xfId="1995" xr:uid="{00000000-0005-0000-0000-000040080000}"/>
    <cellStyle name="Normal 3 25 2 3" xfId="1996" xr:uid="{00000000-0005-0000-0000-000041080000}"/>
    <cellStyle name="Normal 3 25 2 4" xfId="1997" xr:uid="{00000000-0005-0000-0000-000042080000}"/>
    <cellStyle name="Normal 3 25 2 5" xfId="1998" xr:uid="{00000000-0005-0000-0000-000043080000}"/>
    <cellStyle name="Normal 3 25 2 6" xfId="1999" xr:uid="{00000000-0005-0000-0000-000044080000}"/>
    <cellStyle name="Normal 3 25 2 7" xfId="2000" xr:uid="{00000000-0005-0000-0000-000045080000}"/>
    <cellStyle name="Normal 3 25 2 8" xfId="2001" xr:uid="{00000000-0005-0000-0000-000046080000}"/>
    <cellStyle name="Normal 3 25 2 9" xfId="2002" xr:uid="{00000000-0005-0000-0000-000047080000}"/>
    <cellStyle name="Normal 3 25 3" xfId="2003" xr:uid="{00000000-0005-0000-0000-000048080000}"/>
    <cellStyle name="Normal 3 25 4" xfId="2004" xr:uid="{00000000-0005-0000-0000-000049080000}"/>
    <cellStyle name="Normal 3 25 5" xfId="2005" xr:uid="{00000000-0005-0000-0000-00004A080000}"/>
    <cellStyle name="Normal 3 25 6" xfId="2006" xr:uid="{00000000-0005-0000-0000-00004B080000}"/>
    <cellStyle name="Normal 3 25 7" xfId="2007" xr:uid="{00000000-0005-0000-0000-00004C080000}"/>
    <cellStyle name="Normal 3 25 8" xfId="2008" xr:uid="{00000000-0005-0000-0000-00004D080000}"/>
    <cellStyle name="Normal 3 25 9" xfId="2009" xr:uid="{00000000-0005-0000-0000-00004E080000}"/>
    <cellStyle name="Normal 3 26" xfId="2010" xr:uid="{00000000-0005-0000-0000-00004F080000}"/>
    <cellStyle name="Normal 3 26 10" xfId="2011" xr:uid="{00000000-0005-0000-0000-000050080000}"/>
    <cellStyle name="Normal 3 26 11" xfId="2012" xr:uid="{00000000-0005-0000-0000-000051080000}"/>
    <cellStyle name="Normal 3 26 12" xfId="2013" xr:uid="{00000000-0005-0000-0000-000052080000}"/>
    <cellStyle name="Normal 3 26 13" xfId="2014" xr:uid="{00000000-0005-0000-0000-000053080000}"/>
    <cellStyle name="Normal 3 26 2" xfId="2015" xr:uid="{00000000-0005-0000-0000-000054080000}"/>
    <cellStyle name="Normal 3 26 2 10" xfId="2016" xr:uid="{00000000-0005-0000-0000-000055080000}"/>
    <cellStyle name="Normal 3 26 2 11" xfId="2017" xr:uid="{00000000-0005-0000-0000-000056080000}"/>
    <cellStyle name="Normal 3 26 2 12" xfId="2018" xr:uid="{00000000-0005-0000-0000-000057080000}"/>
    <cellStyle name="Normal 3 26 2 2" xfId="2019" xr:uid="{00000000-0005-0000-0000-000058080000}"/>
    <cellStyle name="Normal 3 26 2 3" xfId="2020" xr:uid="{00000000-0005-0000-0000-000059080000}"/>
    <cellStyle name="Normal 3 26 2 4" xfId="2021" xr:uid="{00000000-0005-0000-0000-00005A080000}"/>
    <cellStyle name="Normal 3 26 2 5" xfId="2022" xr:uid="{00000000-0005-0000-0000-00005B080000}"/>
    <cellStyle name="Normal 3 26 2 6" xfId="2023" xr:uid="{00000000-0005-0000-0000-00005C080000}"/>
    <cellStyle name="Normal 3 26 2 7" xfId="2024" xr:uid="{00000000-0005-0000-0000-00005D080000}"/>
    <cellStyle name="Normal 3 26 2 8" xfId="2025" xr:uid="{00000000-0005-0000-0000-00005E080000}"/>
    <cellStyle name="Normal 3 26 2 9" xfId="2026" xr:uid="{00000000-0005-0000-0000-00005F080000}"/>
    <cellStyle name="Normal 3 26 3" xfId="2027" xr:uid="{00000000-0005-0000-0000-000060080000}"/>
    <cellStyle name="Normal 3 26 4" xfId="2028" xr:uid="{00000000-0005-0000-0000-000061080000}"/>
    <cellStyle name="Normal 3 26 5" xfId="2029" xr:uid="{00000000-0005-0000-0000-000062080000}"/>
    <cellStyle name="Normal 3 26 6" xfId="2030" xr:uid="{00000000-0005-0000-0000-000063080000}"/>
    <cellStyle name="Normal 3 26 7" xfId="2031" xr:uid="{00000000-0005-0000-0000-000064080000}"/>
    <cellStyle name="Normal 3 26 8" xfId="2032" xr:uid="{00000000-0005-0000-0000-000065080000}"/>
    <cellStyle name="Normal 3 26 9" xfId="2033" xr:uid="{00000000-0005-0000-0000-000066080000}"/>
    <cellStyle name="Normal 3 27" xfId="2034" xr:uid="{00000000-0005-0000-0000-000067080000}"/>
    <cellStyle name="Normal 3 27 10" xfId="2035" xr:uid="{00000000-0005-0000-0000-000068080000}"/>
    <cellStyle name="Normal 3 27 11" xfId="2036" xr:uid="{00000000-0005-0000-0000-000069080000}"/>
    <cellStyle name="Normal 3 27 12" xfId="2037" xr:uid="{00000000-0005-0000-0000-00006A080000}"/>
    <cellStyle name="Normal 3 27 13" xfId="2038" xr:uid="{00000000-0005-0000-0000-00006B080000}"/>
    <cellStyle name="Normal 3 27 2" xfId="2039" xr:uid="{00000000-0005-0000-0000-00006C080000}"/>
    <cellStyle name="Normal 3 27 2 10" xfId="2040" xr:uid="{00000000-0005-0000-0000-00006D080000}"/>
    <cellStyle name="Normal 3 27 2 11" xfId="2041" xr:uid="{00000000-0005-0000-0000-00006E080000}"/>
    <cellStyle name="Normal 3 27 2 12" xfId="2042" xr:uid="{00000000-0005-0000-0000-00006F080000}"/>
    <cellStyle name="Normal 3 27 2 2" xfId="2043" xr:uid="{00000000-0005-0000-0000-000070080000}"/>
    <cellStyle name="Normal 3 27 2 3" xfId="2044" xr:uid="{00000000-0005-0000-0000-000071080000}"/>
    <cellStyle name="Normal 3 27 2 4" xfId="2045" xr:uid="{00000000-0005-0000-0000-000072080000}"/>
    <cellStyle name="Normal 3 27 2 5" xfId="2046" xr:uid="{00000000-0005-0000-0000-000073080000}"/>
    <cellStyle name="Normal 3 27 2 6" xfId="2047" xr:uid="{00000000-0005-0000-0000-000074080000}"/>
    <cellStyle name="Normal 3 27 2 7" xfId="2048" xr:uid="{00000000-0005-0000-0000-000075080000}"/>
    <cellStyle name="Normal 3 27 2 8" xfId="2049" xr:uid="{00000000-0005-0000-0000-000076080000}"/>
    <cellStyle name="Normal 3 27 2 9" xfId="2050" xr:uid="{00000000-0005-0000-0000-000077080000}"/>
    <cellStyle name="Normal 3 27 3" xfId="2051" xr:uid="{00000000-0005-0000-0000-000078080000}"/>
    <cellStyle name="Normal 3 27 4" xfId="2052" xr:uid="{00000000-0005-0000-0000-000079080000}"/>
    <cellStyle name="Normal 3 27 5" xfId="2053" xr:uid="{00000000-0005-0000-0000-00007A080000}"/>
    <cellStyle name="Normal 3 27 6" xfId="2054" xr:uid="{00000000-0005-0000-0000-00007B080000}"/>
    <cellStyle name="Normal 3 27 7" xfId="2055" xr:uid="{00000000-0005-0000-0000-00007C080000}"/>
    <cellStyle name="Normal 3 27 8" xfId="2056" xr:uid="{00000000-0005-0000-0000-00007D080000}"/>
    <cellStyle name="Normal 3 27 9" xfId="2057" xr:uid="{00000000-0005-0000-0000-00007E080000}"/>
    <cellStyle name="Normal 3 28" xfId="2058" xr:uid="{00000000-0005-0000-0000-00007F080000}"/>
    <cellStyle name="Normal 3 28 10" xfId="2059" xr:uid="{00000000-0005-0000-0000-000080080000}"/>
    <cellStyle name="Normal 3 28 11" xfId="2060" xr:uid="{00000000-0005-0000-0000-000081080000}"/>
    <cellStyle name="Normal 3 28 12" xfId="2061" xr:uid="{00000000-0005-0000-0000-000082080000}"/>
    <cellStyle name="Normal 3 28 13" xfId="2062" xr:uid="{00000000-0005-0000-0000-000083080000}"/>
    <cellStyle name="Normal 3 28 2" xfId="2063" xr:uid="{00000000-0005-0000-0000-000084080000}"/>
    <cellStyle name="Normal 3 28 2 10" xfId="2064" xr:uid="{00000000-0005-0000-0000-000085080000}"/>
    <cellStyle name="Normal 3 28 2 11" xfId="2065" xr:uid="{00000000-0005-0000-0000-000086080000}"/>
    <cellStyle name="Normal 3 28 2 12" xfId="2066" xr:uid="{00000000-0005-0000-0000-000087080000}"/>
    <cellStyle name="Normal 3 28 2 2" xfId="2067" xr:uid="{00000000-0005-0000-0000-000088080000}"/>
    <cellStyle name="Normal 3 28 2 3" xfId="2068" xr:uid="{00000000-0005-0000-0000-000089080000}"/>
    <cellStyle name="Normal 3 28 2 4" xfId="2069" xr:uid="{00000000-0005-0000-0000-00008A080000}"/>
    <cellStyle name="Normal 3 28 2 5" xfId="2070" xr:uid="{00000000-0005-0000-0000-00008B080000}"/>
    <cellStyle name="Normal 3 28 2 6" xfId="2071" xr:uid="{00000000-0005-0000-0000-00008C080000}"/>
    <cellStyle name="Normal 3 28 2 7" xfId="2072" xr:uid="{00000000-0005-0000-0000-00008D080000}"/>
    <cellStyle name="Normal 3 28 2 8" xfId="2073" xr:uid="{00000000-0005-0000-0000-00008E080000}"/>
    <cellStyle name="Normal 3 28 2 9" xfId="2074" xr:uid="{00000000-0005-0000-0000-00008F080000}"/>
    <cellStyle name="Normal 3 28 3" xfId="2075" xr:uid="{00000000-0005-0000-0000-000090080000}"/>
    <cellStyle name="Normal 3 28 4" xfId="2076" xr:uid="{00000000-0005-0000-0000-000091080000}"/>
    <cellStyle name="Normal 3 28 5" xfId="2077" xr:uid="{00000000-0005-0000-0000-000092080000}"/>
    <cellStyle name="Normal 3 28 6" xfId="2078" xr:uid="{00000000-0005-0000-0000-000093080000}"/>
    <cellStyle name="Normal 3 28 7" xfId="2079" xr:uid="{00000000-0005-0000-0000-000094080000}"/>
    <cellStyle name="Normal 3 28 8" xfId="2080" xr:uid="{00000000-0005-0000-0000-000095080000}"/>
    <cellStyle name="Normal 3 28 9" xfId="2081" xr:uid="{00000000-0005-0000-0000-000096080000}"/>
    <cellStyle name="Normal 3 29" xfId="2082" xr:uid="{00000000-0005-0000-0000-000097080000}"/>
    <cellStyle name="Normal 3 29 10" xfId="2083" xr:uid="{00000000-0005-0000-0000-000098080000}"/>
    <cellStyle name="Normal 3 29 11" xfId="2084" xr:uid="{00000000-0005-0000-0000-000099080000}"/>
    <cellStyle name="Normal 3 29 12" xfId="2085" xr:uid="{00000000-0005-0000-0000-00009A080000}"/>
    <cellStyle name="Normal 3 29 13" xfId="2086" xr:uid="{00000000-0005-0000-0000-00009B080000}"/>
    <cellStyle name="Normal 3 29 2" xfId="2087" xr:uid="{00000000-0005-0000-0000-00009C080000}"/>
    <cellStyle name="Normal 3 29 2 10" xfId="2088" xr:uid="{00000000-0005-0000-0000-00009D080000}"/>
    <cellStyle name="Normal 3 29 2 11" xfId="2089" xr:uid="{00000000-0005-0000-0000-00009E080000}"/>
    <cellStyle name="Normal 3 29 2 12" xfId="2090" xr:uid="{00000000-0005-0000-0000-00009F080000}"/>
    <cellStyle name="Normal 3 29 2 2" xfId="2091" xr:uid="{00000000-0005-0000-0000-0000A0080000}"/>
    <cellStyle name="Normal 3 29 2 3" xfId="2092" xr:uid="{00000000-0005-0000-0000-0000A1080000}"/>
    <cellStyle name="Normal 3 29 2 4" xfId="2093" xr:uid="{00000000-0005-0000-0000-0000A2080000}"/>
    <cellStyle name="Normal 3 29 2 5" xfId="2094" xr:uid="{00000000-0005-0000-0000-0000A3080000}"/>
    <cellStyle name="Normal 3 29 2 6" xfId="2095" xr:uid="{00000000-0005-0000-0000-0000A4080000}"/>
    <cellStyle name="Normal 3 29 2 7" xfId="2096" xr:uid="{00000000-0005-0000-0000-0000A5080000}"/>
    <cellStyle name="Normal 3 29 2 8" xfId="2097" xr:uid="{00000000-0005-0000-0000-0000A6080000}"/>
    <cellStyle name="Normal 3 29 2 9" xfId="2098" xr:uid="{00000000-0005-0000-0000-0000A7080000}"/>
    <cellStyle name="Normal 3 29 3" xfId="2099" xr:uid="{00000000-0005-0000-0000-0000A8080000}"/>
    <cellStyle name="Normal 3 29 4" xfId="2100" xr:uid="{00000000-0005-0000-0000-0000A9080000}"/>
    <cellStyle name="Normal 3 29 5" xfId="2101" xr:uid="{00000000-0005-0000-0000-0000AA080000}"/>
    <cellStyle name="Normal 3 29 6" xfId="2102" xr:uid="{00000000-0005-0000-0000-0000AB080000}"/>
    <cellStyle name="Normal 3 29 7" xfId="2103" xr:uid="{00000000-0005-0000-0000-0000AC080000}"/>
    <cellStyle name="Normal 3 29 8" xfId="2104" xr:uid="{00000000-0005-0000-0000-0000AD080000}"/>
    <cellStyle name="Normal 3 29 9" xfId="2105" xr:uid="{00000000-0005-0000-0000-0000AE080000}"/>
    <cellStyle name="Normal 3 3" xfId="2106" xr:uid="{00000000-0005-0000-0000-0000AF080000}"/>
    <cellStyle name="Normal 3 3 10" xfId="2107" xr:uid="{00000000-0005-0000-0000-0000B0080000}"/>
    <cellStyle name="Normal 3 3 11" xfId="2108" xr:uid="{00000000-0005-0000-0000-0000B1080000}"/>
    <cellStyle name="Normal 3 3 12" xfId="2109" xr:uid="{00000000-0005-0000-0000-0000B2080000}"/>
    <cellStyle name="Normal 3 3 13" xfId="2110" xr:uid="{00000000-0005-0000-0000-0000B3080000}"/>
    <cellStyle name="Normal 3 3 2" xfId="2111" xr:uid="{00000000-0005-0000-0000-0000B4080000}"/>
    <cellStyle name="Normal 3 3 2 10" xfId="2112" xr:uid="{00000000-0005-0000-0000-0000B5080000}"/>
    <cellStyle name="Normal 3 3 2 11" xfId="2113" xr:uid="{00000000-0005-0000-0000-0000B6080000}"/>
    <cellStyle name="Normal 3 3 2 12" xfId="2114" xr:uid="{00000000-0005-0000-0000-0000B7080000}"/>
    <cellStyle name="Normal 3 3 2 2" xfId="2115" xr:uid="{00000000-0005-0000-0000-0000B8080000}"/>
    <cellStyle name="Normal 3 3 2 3" xfId="2116" xr:uid="{00000000-0005-0000-0000-0000B9080000}"/>
    <cellStyle name="Normal 3 3 2 4" xfId="2117" xr:uid="{00000000-0005-0000-0000-0000BA080000}"/>
    <cellStyle name="Normal 3 3 2 5" xfId="2118" xr:uid="{00000000-0005-0000-0000-0000BB080000}"/>
    <cellStyle name="Normal 3 3 2 6" xfId="2119" xr:uid="{00000000-0005-0000-0000-0000BC080000}"/>
    <cellStyle name="Normal 3 3 2 7" xfId="2120" xr:uid="{00000000-0005-0000-0000-0000BD080000}"/>
    <cellStyle name="Normal 3 3 2 8" xfId="2121" xr:uid="{00000000-0005-0000-0000-0000BE080000}"/>
    <cellStyle name="Normal 3 3 2 9" xfId="2122" xr:uid="{00000000-0005-0000-0000-0000BF080000}"/>
    <cellStyle name="Normal 3 3 3" xfId="2123" xr:uid="{00000000-0005-0000-0000-0000C0080000}"/>
    <cellStyle name="Normal 3 3 4" xfId="2124" xr:uid="{00000000-0005-0000-0000-0000C1080000}"/>
    <cellStyle name="Normal 3 3 5" xfId="2125" xr:uid="{00000000-0005-0000-0000-0000C2080000}"/>
    <cellStyle name="Normal 3 3 6" xfId="2126" xr:uid="{00000000-0005-0000-0000-0000C3080000}"/>
    <cellStyle name="Normal 3 3 7" xfId="2127" xr:uid="{00000000-0005-0000-0000-0000C4080000}"/>
    <cellStyle name="Normal 3 3 8" xfId="2128" xr:uid="{00000000-0005-0000-0000-0000C5080000}"/>
    <cellStyle name="Normal 3 3 9" xfId="2129" xr:uid="{00000000-0005-0000-0000-0000C6080000}"/>
    <cellStyle name="Normal 3 30" xfId="2130" xr:uid="{00000000-0005-0000-0000-0000C7080000}"/>
    <cellStyle name="Normal 3 30 10" xfId="2131" xr:uid="{00000000-0005-0000-0000-0000C8080000}"/>
    <cellStyle name="Normal 3 30 11" xfId="2132" xr:uid="{00000000-0005-0000-0000-0000C9080000}"/>
    <cellStyle name="Normal 3 30 12" xfId="2133" xr:uid="{00000000-0005-0000-0000-0000CA080000}"/>
    <cellStyle name="Normal 3 30 13" xfId="2134" xr:uid="{00000000-0005-0000-0000-0000CB080000}"/>
    <cellStyle name="Normal 3 30 2" xfId="2135" xr:uid="{00000000-0005-0000-0000-0000CC080000}"/>
    <cellStyle name="Normal 3 30 2 10" xfId="2136" xr:uid="{00000000-0005-0000-0000-0000CD080000}"/>
    <cellStyle name="Normal 3 30 2 11" xfId="2137" xr:uid="{00000000-0005-0000-0000-0000CE080000}"/>
    <cellStyle name="Normal 3 30 2 12" xfId="2138" xr:uid="{00000000-0005-0000-0000-0000CF080000}"/>
    <cellStyle name="Normal 3 30 2 2" xfId="2139" xr:uid="{00000000-0005-0000-0000-0000D0080000}"/>
    <cellStyle name="Normal 3 30 2 3" xfId="2140" xr:uid="{00000000-0005-0000-0000-0000D1080000}"/>
    <cellStyle name="Normal 3 30 2 4" xfId="2141" xr:uid="{00000000-0005-0000-0000-0000D2080000}"/>
    <cellStyle name="Normal 3 30 2 5" xfId="2142" xr:uid="{00000000-0005-0000-0000-0000D3080000}"/>
    <cellStyle name="Normal 3 30 2 6" xfId="2143" xr:uid="{00000000-0005-0000-0000-0000D4080000}"/>
    <cellStyle name="Normal 3 30 2 7" xfId="2144" xr:uid="{00000000-0005-0000-0000-0000D5080000}"/>
    <cellStyle name="Normal 3 30 2 8" xfId="2145" xr:uid="{00000000-0005-0000-0000-0000D6080000}"/>
    <cellStyle name="Normal 3 30 2 9" xfId="2146" xr:uid="{00000000-0005-0000-0000-0000D7080000}"/>
    <cellStyle name="Normal 3 30 3" xfId="2147" xr:uid="{00000000-0005-0000-0000-0000D8080000}"/>
    <cellStyle name="Normal 3 30 4" xfId="2148" xr:uid="{00000000-0005-0000-0000-0000D9080000}"/>
    <cellStyle name="Normal 3 30 5" xfId="2149" xr:uid="{00000000-0005-0000-0000-0000DA080000}"/>
    <cellStyle name="Normal 3 30 6" xfId="2150" xr:uid="{00000000-0005-0000-0000-0000DB080000}"/>
    <cellStyle name="Normal 3 30 7" xfId="2151" xr:uid="{00000000-0005-0000-0000-0000DC080000}"/>
    <cellStyle name="Normal 3 30 8" xfId="2152" xr:uid="{00000000-0005-0000-0000-0000DD080000}"/>
    <cellStyle name="Normal 3 30 9" xfId="2153" xr:uid="{00000000-0005-0000-0000-0000DE080000}"/>
    <cellStyle name="Normal 3 31" xfId="2154" xr:uid="{00000000-0005-0000-0000-0000DF080000}"/>
    <cellStyle name="Normal 3 31 10" xfId="2155" xr:uid="{00000000-0005-0000-0000-0000E0080000}"/>
    <cellStyle name="Normal 3 31 11" xfId="2156" xr:uid="{00000000-0005-0000-0000-0000E1080000}"/>
    <cellStyle name="Normal 3 31 12" xfId="2157" xr:uid="{00000000-0005-0000-0000-0000E2080000}"/>
    <cellStyle name="Normal 3 31 13" xfId="2158" xr:uid="{00000000-0005-0000-0000-0000E3080000}"/>
    <cellStyle name="Normal 3 31 2" xfId="2159" xr:uid="{00000000-0005-0000-0000-0000E4080000}"/>
    <cellStyle name="Normal 3 31 2 10" xfId="2160" xr:uid="{00000000-0005-0000-0000-0000E5080000}"/>
    <cellStyle name="Normal 3 31 2 11" xfId="2161" xr:uid="{00000000-0005-0000-0000-0000E6080000}"/>
    <cellStyle name="Normal 3 31 2 12" xfId="2162" xr:uid="{00000000-0005-0000-0000-0000E7080000}"/>
    <cellStyle name="Normal 3 31 2 2" xfId="2163" xr:uid="{00000000-0005-0000-0000-0000E8080000}"/>
    <cellStyle name="Normal 3 31 2 3" xfId="2164" xr:uid="{00000000-0005-0000-0000-0000E9080000}"/>
    <cellStyle name="Normal 3 31 2 4" xfId="2165" xr:uid="{00000000-0005-0000-0000-0000EA080000}"/>
    <cellStyle name="Normal 3 31 2 5" xfId="2166" xr:uid="{00000000-0005-0000-0000-0000EB080000}"/>
    <cellStyle name="Normal 3 31 2 6" xfId="2167" xr:uid="{00000000-0005-0000-0000-0000EC080000}"/>
    <cellStyle name="Normal 3 31 2 7" xfId="2168" xr:uid="{00000000-0005-0000-0000-0000ED080000}"/>
    <cellStyle name="Normal 3 31 2 8" xfId="2169" xr:uid="{00000000-0005-0000-0000-0000EE080000}"/>
    <cellStyle name="Normal 3 31 2 9" xfId="2170" xr:uid="{00000000-0005-0000-0000-0000EF080000}"/>
    <cellStyle name="Normal 3 31 3" xfId="2171" xr:uid="{00000000-0005-0000-0000-0000F0080000}"/>
    <cellStyle name="Normal 3 31 4" xfId="2172" xr:uid="{00000000-0005-0000-0000-0000F1080000}"/>
    <cellStyle name="Normal 3 31 5" xfId="2173" xr:uid="{00000000-0005-0000-0000-0000F2080000}"/>
    <cellStyle name="Normal 3 31 6" xfId="2174" xr:uid="{00000000-0005-0000-0000-0000F3080000}"/>
    <cellStyle name="Normal 3 31 7" xfId="2175" xr:uid="{00000000-0005-0000-0000-0000F4080000}"/>
    <cellStyle name="Normal 3 31 8" xfId="2176" xr:uid="{00000000-0005-0000-0000-0000F5080000}"/>
    <cellStyle name="Normal 3 31 9" xfId="2177" xr:uid="{00000000-0005-0000-0000-0000F6080000}"/>
    <cellStyle name="Normal 3 32" xfId="2178" xr:uid="{00000000-0005-0000-0000-0000F7080000}"/>
    <cellStyle name="Normal 3 32 10" xfId="2179" xr:uid="{00000000-0005-0000-0000-0000F8080000}"/>
    <cellStyle name="Normal 3 32 11" xfId="2180" xr:uid="{00000000-0005-0000-0000-0000F9080000}"/>
    <cellStyle name="Normal 3 32 12" xfId="2181" xr:uid="{00000000-0005-0000-0000-0000FA080000}"/>
    <cellStyle name="Normal 3 32 13" xfId="2182" xr:uid="{00000000-0005-0000-0000-0000FB080000}"/>
    <cellStyle name="Normal 3 32 2" xfId="2183" xr:uid="{00000000-0005-0000-0000-0000FC080000}"/>
    <cellStyle name="Normal 3 32 2 10" xfId="2184" xr:uid="{00000000-0005-0000-0000-0000FD080000}"/>
    <cellStyle name="Normal 3 32 2 11" xfId="2185" xr:uid="{00000000-0005-0000-0000-0000FE080000}"/>
    <cellStyle name="Normal 3 32 2 12" xfId="2186" xr:uid="{00000000-0005-0000-0000-0000FF080000}"/>
    <cellStyle name="Normal 3 32 2 2" xfId="2187" xr:uid="{00000000-0005-0000-0000-000000090000}"/>
    <cellStyle name="Normal 3 32 2 3" xfId="2188" xr:uid="{00000000-0005-0000-0000-000001090000}"/>
    <cellStyle name="Normal 3 32 2 4" xfId="2189" xr:uid="{00000000-0005-0000-0000-000002090000}"/>
    <cellStyle name="Normal 3 32 2 5" xfId="2190" xr:uid="{00000000-0005-0000-0000-000003090000}"/>
    <cellStyle name="Normal 3 32 2 6" xfId="2191" xr:uid="{00000000-0005-0000-0000-000004090000}"/>
    <cellStyle name="Normal 3 32 2 7" xfId="2192" xr:uid="{00000000-0005-0000-0000-000005090000}"/>
    <cellStyle name="Normal 3 32 2 8" xfId="2193" xr:uid="{00000000-0005-0000-0000-000006090000}"/>
    <cellStyle name="Normal 3 32 2 9" xfId="2194" xr:uid="{00000000-0005-0000-0000-000007090000}"/>
    <cellStyle name="Normal 3 32 3" xfId="2195" xr:uid="{00000000-0005-0000-0000-000008090000}"/>
    <cellStyle name="Normal 3 32 4" xfId="2196" xr:uid="{00000000-0005-0000-0000-000009090000}"/>
    <cellStyle name="Normal 3 32 5" xfId="2197" xr:uid="{00000000-0005-0000-0000-00000A090000}"/>
    <cellStyle name="Normal 3 32 6" xfId="2198" xr:uid="{00000000-0005-0000-0000-00000B090000}"/>
    <cellStyle name="Normal 3 32 7" xfId="2199" xr:uid="{00000000-0005-0000-0000-00000C090000}"/>
    <cellStyle name="Normal 3 32 8" xfId="2200" xr:uid="{00000000-0005-0000-0000-00000D090000}"/>
    <cellStyle name="Normal 3 32 9" xfId="2201" xr:uid="{00000000-0005-0000-0000-00000E090000}"/>
    <cellStyle name="Normal 3 33" xfId="2202" xr:uid="{00000000-0005-0000-0000-00000F090000}"/>
    <cellStyle name="Normal 3 33 10" xfId="2203" xr:uid="{00000000-0005-0000-0000-000010090000}"/>
    <cellStyle name="Normal 3 33 11" xfId="2204" xr:uid="{00000000-0005-0000-0000-000011090000}"/>
    <cellStyle name="Normal 3 33 12" xfId="2205" xr:uid="{00000000-0005-0000-0000-000012090000}"/>
    <cellStyle name="Normal 3 33 13" xfId="2206" xr:uid="{00000000-0005-0000-0000-000013090000}"/>
    <cellStyle name="Normal 3 33 2" xfId="2207" xr:uid="{00000000-0005-0000-0000-000014090000}"/>
    <cellStyle name="Normal 3 33 2 10" xfId="2208" xr:uid="{00000000-0005-0000-0000-000015090000}"/>
    <cellStyle name="Normal 3 33 2 11" xfId="2209" xr:uid="{00000000-0005-0000-0000-000016090000}"/>
    <cellStyle name="Normal 3 33 2 12" xfId="2210" xr:uid="{00000000-0005-0000-0000-000017090000}"/>
    <cellStyle name="Normal 3 33 2 2" xfId="2211" xr:uid="{00000000-0005-0000-0000-000018090000}"/>
    <cellStyle name="Normal 3 33 2 3" xfId="2212" xr:uid="{00000000-0005-0000-0000-000019090000}"/>
    <cellStyle name="Normal 3 33 2 4" xfId="2213" xr:uid="{00000000-0005-0000-0000-00001A090000}"/>
    <cellStyle name="Normal 3 33 2 5" xfId="2214" xr:uid="{00000000-0005-0000-0000-00001B090000}"/>
    <cellStyle name="Normal 3 33 2 6" xfId="2215" xr:uid="{00000000-0005-0000-0000-00001C090000}"/>
    <cellStyle name="Normal 3 33 2 7" xfId="2216" xr:uid="{00000000-0005-0000-0000-00001D090000}"/>
    <cellStyle name="Normal 3 33 2 8" xfId="2217" xr:uid="{00000000-0005-0000-0000-00001E090000}"/>
    <cellStyle name="Normal 3 33 2 9" xfId="2218" xr:uid="{00000000-0005-0000-0000-00001F090000}"/>
    <cellStyle name="Normal 3 33 3" xfId="2219" xr:uid="{00000000-0005-0000-0000-000020090000}"/>
    <cellStyle name="Normal 3 33 4" xfId="2220" xr:uid="{00000000-0005-0000-0000-000021090000}"/>
    <cellStyle name="Normal 3 33 5" xfId="2221" xr:uid="{00000000-0005-0000-0000-000022090000}"/>
    <cellStyle name="Normal 3 33 6" xfId="2222" xr:uid="{00000000-0005-0000-0000-000023090000}"/>
    <cellStyle name="Normal 3 33 7" xfId="2223" xr:uid="{00000000-0005-0000-0000-000024090000}"/>
    <cellStyle name="Normal 3 33 8" xfId="2224" xr:uid="{00000000-0005-0000-0000-000025090000}"/>
    <cellStyle name="Normal 3 33 9" xfId="2225" xr:uid="{00000000-0005-0000-0000-000026090000}"/>
    <cellStyle name="Normal 3 34" xfId="2226" xr:uid="{00000000-0005-0000-0000-000027090000}"/>
    <cellStyle name="Normal 3 34 10" xfId="2227" xr:uid="{00000000-0005-0000-0000-000028090000}"/>
    <cellStyle name="Normal 3 34 11" xfId="2228" xr:uid="{00000000-0005-0000-0000-000029090000}"/>
    <cellStyle name="Normal 3 34 12" xfId="2229" xr:uid="{00000000-0005-0000-0000-00002A090000}"/>
    <cellStyle name="Normal 3 34 13" xfId="2230" xr:uid="{00000000-0005-0000-0000-00002B090000}"/>
    <cellStyle name="Normal 3 34 2" xfId="2231" xr:uid="{00000000-0005-0000-0000-00002C090000}"/>
    <cellStyle name="Normal 3 34 2 10" xfId="2232" xr:uid="{00000000-0005-0000-0000-00002D090000}"/>
    <cellStyle name="Normal 3 34 2 11" xfId="2233" xr:uid="{00000000-0005-0000-0000-00002E090000}"/>
    <cellStyle name="Normal 3 34 2 12" xfId="2234" xr:uid="{00000000-0005-0000-0000-00002F090000}"/>
    <cellStyle name="Normal 3 34 2 2" xfId="2235" xr:uid="{00000000-0005-0000-0000-000030090000}"/>
    <cellStyle name="Normal 3 34 2 3" xfId="2236" xr:uid="{00000000-0005-0000-0000-000031090000}"/>
    <cellStyle name="Normal 3 34 2 4" xfId="2237" xr:uid="{00000000-0005-0000-0000-000032090000}"/>
    <cellStyle name="Normal 3 34 2 5" xfId="2238" xr:uid="{00000000-0005-0000-0000-000033090000}"/>
    <cellStyle name="Normal 3 34 2 6" xfId="2239" xr:uid="{00000000-0005-0000-0000-000034090000}"/>
    <cellStyle name="Normal 3 34 2 7" xfId="2240" xr:uid="{00000000-0005-0000-0000-000035090000}"/>
    <cellStyle name="Normal 3 34 2 8" xfId="2241" xr:uid="{00000000-0005-0000-0000-000036090000}"/>
    <cellStyle name="Normal 3 34 2 9" xfId="2242" xr:uid="{00000000-0005-0000-0000-000037090000}"/>
    <cellStyle name="Normal 3 34 3" xfId="2243" xr:uid="{00000000-0005-0000-0000-000038090000}"/>
    <cellStyle name="Normal 3 34 4" xfId="2244" xr:uid="{00000000-0005-0000-0000-000039090000}"/>
    <cellStyle name="Normal 3 34 5" xfId="2245" xr:uid="{00000000-0005-0000-0000-00003A090000}"/>
    <cellStyle name="Normal 3 34 6" xfId="2246" xr:uid="{00000000-0005-0000-0000-00003B090000}"/>
    <cellStyle name="Normal 3 34 7" xfId="2247" xr:uid="{00000000-0005-0000-0000-00003C090000}"/>
    <cellStyle name="Normal 3 34 8" xfId="2248" xr:uid="{00000000-0005-0000-0000-00003D090000}"/>
    <cellStyle name="Normal 3 34 9" xfId="2249" xr:uid="{00000000-0005-0000-0000-00003E090000}"/>
    <cellStyle name="Normal 3 35" xfId="2250" xr:uid="{00000000-0005-0000-0000-00003F090000}"/>
    <cellStyle name="Normal 3 35 10" xfId="2251" xr:uid="{00000000-0005-0000-0000-000040090000}"/>
    <cellStyle name="Normal 3 35 11" xfId="2252" xr:uid="{00000000-0005-0000-0000-000041090000}"/>
    <cellStyle name="Normal 3 35 12" xfId="2253" xr:uid="{00000000-0005-0000-0000-000042090000}"/>
    <cellStyle name="Normal 3 35 13" xfId="2254" xr:uid="{00000000-0005-0000-0000-000043090000}"/>
    <cellStyle name="Normal 3 35 2" xfId="2255" xr:uid="{00000000-0005-0000-0000-000044090000}"/>
    <cellStyle name="Normal 3 35 2 10" xfId="2256" xr:uid="{00000000-0005-0000-0000-000045090000}"/>
    <cellStyle name="Normal 3 35 2 11" xfId="2257" xr:uid="{00000000-0005-0000-0000-000046090000}"/>
    <cellStyle name="Normal 3 35 2 12" xfId="2258" xr:uid="{00000000-0005-0000-0000-000047090000}"/>
    <cellStyle name="Normal 3 35 2 2" xfId="2259" xr:uid="{00000000-0005-0000-0000-000048090000}"/>
    <cellStyle name="Normal 3 35 2 3" xfId="2260" xr:uid="{00000000-0005-0000-0000-000049090000}"/>
    <cellStyle name="Normal 3 35 2 4" xfId="2261" xr:uid="{00000000-0005-0000-0000-00004A090000}"/>
    <cellStyle name="Normal 3 35 2 5" xfId="2262" xr:uid="{00000000-0005-0000-0000-00004B090000}"/>
    <cellStyle name="Normal 3 35 2 6" xfId="2263" xr:uid="{00000000-0005-0000-0000-00004C090000}"/>
    <cellStyle name="Normal 3 35 2 7" xfId="2264" xr:uid="{00000000-0005-0000-0000-00004D090000}"/>
    <cellStyle name="Normal 3 35 2 8" xfId="2265" xr:uid="{00000000-0005-0000-0000-00004E090000}"/>
    <cellStyle name="Normal 3 35 2 9" xfId="2266" xr:uid="{00000000-0005-0000-0000-00004F090000}"/>
    <cellStyle name="Normal 3 35 3" xfId="2267" xr:uid="{00000000-0005-0000-0000-000050090000}"/>
    <cellStyle name="Normal 3 35 4" xfId="2268" xr:uid="{00000000-0005-0000-0000-000051090000}"/>
    <cellStyle name="Normal 3 35 5" xfId="2269" xr:uid="{00000000-0005-0000-0000-000052090000}"/>
    <cellStyle name="Normal 3 35 6" xfId="2270" xr:uid="{00000000-0005-0000-0000-000053090000}"/>
    <cellStyle name="Normal 3 35 7" xfId="2271" xr:uid="{00000000-0005-0000-0000-000054090000}"/>
    <cellStyle name="Normal 3 35 8" xfId="2272" xr:uid="{00000000-0005-0000-0000-000055090000}"/>
    <cellStyle name="Normal 3 35 9" xfId="2273" xr:uid="{00000000-0005-0000-0000-000056090000}"/>
    <cellStyle name="Normal 3 36" xfId="2274" xr:uid="{00000000-0005-0000-0000-000057090000}"/>
    <cellStyle name="Normal 3 36 10" xfId="2275" xr:uid="{00000000-0005-0000-0000-000058090000}"/>
    <cellStyle name="Normal 3 36 11" xfId="2276" xr:uid="{00000000-0005-0000-0000-000059090000}"/>
    <cellStyle name="Normal 3 36 12" xfId="2277" xr:uid="{00000000-0005-0000-0000-00005A090000}"/>
    <cellStyle name="Normal 3 36 13" xfId="2278" xr:uid="{00000000-0005-0000-0000-00005B090000}"/>
    <cellStyle name="Normal 3 36 2" xfId="2279" xr:uid="{00000000-0005-0000-0000-00005C090000}"/>
    <cellStyle name="Normal 3 36 2 10" xfId="2280" xr:uid="{00000000-0005-0000-0000-00005D090000}"/>
    <cellStyle name="Normal 3 36 2 11" xfId="2281" xr:uid="{00000000-0005-0000-0000-00005E090000}"/>
    <cellStyle name="Normal 3 36 2 12" xfId="2282" xr:uid="{00000000-0005-0000-0000-00005F090000}"/>
    <cellStyle name="Normal 3 36 2 2" xfId="2283" xr:uid="{00000000-0005-0000-0000-000060090000}"/>
    <cellStyle name="Normal 3 36 2 3" xfId="2284" xr:uid="{00000000-0005-0000-0000-000061090000}"/>
    <cellStyle name="Normal 3 36 2 4" xfId="2285" xr:uid="{00000000-0005-0000-0000-000062090000}"/>
    <cellStyle name="Normal 3 36 2 5" xfId="2286" xr:uid="{00000000-0005-0000-0000-000063090000}"/>
    <cellStyle name="Normal 3 36 2 6" xfId="2287" xr:uid="{00000000-0005-0000-0000-000064090000}"/>
    <cellStyle name="Normal 3 36 2 7" xfId="2288" xr:uid="{00000000-0005-0000-0000-000065090000}"/>
    <cellStyle name="Normal 3 36 2 8" xfId="2289" xr:uid="{00000000-0005-0000-0000-000066090000}"/>
    <cellStyle name="Normal 3 36 2 9" xfId="2290" xr:uid="{00000000-0005-0000-0000-000067090000}"/>
    <cellStyle name="Normal 3 36 3" xfId="2291" xr:uid="{00000000-0005-0000-0000-000068090000}"/>
    <cellStyle name="Normal 3 36 4" xfId="2292" xr:uid="{00000000-0005-0000-0000-000069090000}"/>
    <cellStyle name="Normal 3 36 5" xfId="2293" xr:uid="{00000000-0005-0000-0000-00006A090000}"/>
    <cellStyle name="Normal 3 36 6" xfId="2294" xr:uid="{00000000-0005-0000-0000-00006B090000}"/>
    <cellStyle name="Normal 3 36 7" xfId="2295" xr:uid="{00000000-0005-0000-0000-00006C090000}"/>
    <cellStyle name="Normal 3 36 8" xfId="2296" xr:uid="{00000000-0005-0000-0000-00006D090000}"/>
    <cellStyle name="Normal 3 36 9" xfId="2297" xr:uid="{00000000-0005-0000-0000-00006E090000}"/>
    <cellStyle name="Normal 3 37" xfId="2298" xr:uid="{00000000-0005-0000-0000-00006F090000}"/>
    <cellStyle name="Normal 3 37 10" xfId="2299" xr:uid="{00000000-0005-0000-0000-000070090000}"/>
    <cellStyle name="Normal 3 37 11" xfId="2300" xr:uid="{00000000-0005-0000-0000-000071090000}"/>
    <cellStyle name="Normal 3 37 12" xfId="2301" xr:uid="{00000000-0005-0000-0000-000072090000}"/>
    <cellStyle name="Normal 3 37 13" xfId="2302" xr:uid="{00000000-0005-0000-0000-000073090000}"/>
    <cellStyle name="Normal 3 37 2" xfId="2303" xr:uid="{00000000-0005-0000-0000-000074090000}"/>
    <cellStyle name="Normal 3 37 2 10" xfId="2304" xr:uid="{00000000-0005-0000-0000-000075090000}"/>
    <cellStyle name="Normal 3 37 2 11" xfId="2305" xr:uid="{00000000-0005-0000-0000-000076090000}"/>
    <cellStyle name="Normal 3 37 2 12" xfId="2306" xr:uid="{00000000-0005-0000-0000-000077090000}"/>
    <cellStyle name="Normal 3 37 2 2" xfId="2307" xr:uid="{00000000-0005-0000-0000-000078090000}"/>
    <cellStyle name="Normal 3 37 2 3" xfId="2308" xr:uid="{00000000-0005-0000-0000-000079090000}"/>
    <cellStyle name="Normal 3 37 2 4" xfId="2309" xr:uid="{00000000-0005-0000-0000-00007A090000}"/>
    <cellStyle name="Normal 3 37 2 5" xfId="2310" xr:uid="{00000000-0005-0000-0000-00007B090000}"/>
    <cellStyle name="Normal 3 37 2 6" xfId="2311" xr:uid="{00000000-0005-0000-0000-00007C090000}"/>
    <cellStyle name="Normal 3 37 2 7" xfId="2312" xr:uid="{00000000-0005-0000-0000-00007D090000}"/>
    <cellStyle name="Normal 3 37 2 8" xfId="2313" xr:uid="{00000000-0005-0000-0000-00007E090000}"/>
    <cellStyle name="Normal 3 37 2 9" xfId="2314" xr:uid="{00000000-0005-0000-0000-00007F090000}"/>
    <cellStyle name="Normal 3 37 3" xfId="2315" xr:uid="{00000000-0005-0000-0000-000080090000}"/>
    <cellStyle name="Normal 3 37 4" xfId="2316" xr:uid="{00000000-0005-0000-0000-000081090000}"/>
    <cellStyle name="Normal 3 37 5" xfId="2317" xr:uid="{00000000-0005-0000-0000-000082090000}"/>
    <cellStyle name="Normal 3 37 6" xfId="2318" xr:uid="{00000000-0005-0000-0000-000083090000}"/>
    <cellStyle name="Normal 3 37 7" xfId="2319" xr:uid="{00000000-0005-0000-0000-000084090000}"/>
    <cellStyle name="Normal 3 37 8" xfId="2320" xr:uid="{00000000-0005-0000-0000-000085090000}"/>
    <cellStyle name="Normal 3 37 9" xfId="2321" xr:uid="{00000000-0005-0000-0000-000086090000}"/>
    <cellStyle name="Normal 3 38" xfId="2322" xr:uid="{00000000-0005-0000-0000-000087090000}"/>
    <cellStyle name="Normal 3 38 10" xfId="2323" xr:uid="{00000000-0005-0000-0000-000088090000}"/>
    <cellStyle name="Normal 3 38 11" xfId="2324" xr:uid="{00000000-0005-0000-0000-000089090000}"/>
    <cellStyle name="Normal 3 38 12" xfId="2325" xr:uid="{00000000-0005-0000-0000-00008A090000}"/>
    <cellStyle name="Normal 3 38 13" xfId="2326" xr:uid="{00000000-0005-0000-0000-00008B090000}"/>
    <cellStyle name="Normal 3 38 2" xfId="2327" xr:uid="{00000000-0005-0000-0000-00008C090000}"/>
    <cellStyle name="Normal 3 38 2 10" xfId="2328" xr:uid="{00000000-0005-0000-0000-00008D090000}"/>
    <cellStyle name="Normal 3 38 2 11" xfId="2329" xr:uid="{00000000-0005-0000-0000-00008E090000}"/>
    <cellStyle name="Normal 3 38 2 12" xfId="2330" xr:uid="{00000000-0005-0000-0000-00008F090000}"/>
    <cellStyle name="Normal 3 38 2 2" xfId="2331" xr:uid="{00000000-0005-0000-0000-000090090000}"/>
    <cellStyle name="Normal 3 38 2 3" xfId="2332" xr:uid="{00000000-0005-0000-0000-000091090000}"/>
    <cellStyle name="Normal 3 38 2 4" xfId="2333" xr:uid="{00000000-0005-0000-0000-000092090000}"/>
    <cellStyle name="Normal 3 38 2 5" xfId="2334" xr:uid="{00000000-0005-0000-0000-000093090000}"/>
    <cellStyle name="Normal 3 38 2 6" xfId="2335" xr:uid="{00000000-0005-0000-0000-000094090000}"/>
    <cellStyle name="Normal 3 38 2 7" xfId="2336" xr:uid="{00000000-0005-0000-0000-000095090000}"/>
    <cellStyle name="Normal 3 38 2 8" xfId="2337" xr:uid="{00000000-0005-0000-0000-000096090000}"/>
    <cellStyle name="Normal 3 38 2 9" xfId="2338" xr:uid="{00000000-0005-0000-0000-000097090000}"/>
    <cellStyle name="Normal 3 38 3" xfId="2339" xr:uid="{00000000-0005-0000-0000-000098090000}"/>
    <cellStyle name="Normal 3 38 4" xfId="2340" xr:uid="{00000000-0005-0000-0000-000099090000}"/>
    <cellStyle name="Normal 3 38 5" xfId="2341" xr:uid="{00000000-0005-0000-0000-00009A090000}"/>
    <cellStyle name="Normal 3 38 6" xfId="2342" xr:uid="{00000000-0005-0000-0000-00009B090000}"/>
    <cellStyle name="Normal 3 38 7" xfId="2343" xr:uid="{00000000-0005-0000-0000-00009C090000}"/>
    <cellStyle name="Normal 3 38 8" xfId="2344" xr:uid="{00000000-0005-0000-0000-00009D090000}"/>
    <cellStyle name="Normal 3 38 9" xfId="2345" xr:uid="{00000000-0005-0000-0000-00009E090000}"/>
    <cellStyle name="Normal 3 39" xfId="2346" xr:uid="{00000000-0005-0000-0000-00009F090000}"/>
    <cellStyle name="Normal 3 39 10" xfId="2347" xr:uid="{00000000-0005-0000-0000-0000A0090000}"/>
    <cellStyle name="Normal 3 39 11" xfId="2348" xr:uid="{00000000-0005-0000-0000-0000A1090000}"/>
    <cellStyle name="Normal 3 39 12" xfId="2349" xr:uid="{00000000-0005-0000-0000-0000A2090000}"/>
    <cellStyle name="Normal 3 39 13" xfId="2350" xr:uid="{00000000-0005-0000-0000-0000A3090000}"/>
    <cellStyle name="Normal 3 39 2" xfId="2351" xr:uid="{00000000-0005-0000-0000-0000A4090000}"/>
    <cellStyle name="Normal 3 39 2 10" xfId="2352" xr:uid="{00000000-0005-0000-0000-0000A5090000}"/>
    <cellStyle name="Normal 3 39 2 11" xfId="2353" xr:uid="{00000000-0005-0000-0000-0000A6090000}"/>
    <cellStyle name="Normal 3 39 2 12" xfId="2354" xr:uid="{00000000-0005-0000-0000-0000A7090000}"/>
    <cellStyle name="Normal 3 39 2 2" xfId="2355" xr:uid="{00000000-0005-0000-0000-0000A8090000}"/>
    <cellStyle name="Normal 3 39 2 3" xfId="2356" xr:uid="{00000000-0005-0000-0000-0000A9090000}"/>
    <cellStyle name="Normal 3 39 2 4" xfId="2357" xr:uid="{00000000-0005-0000-0000-0000AA090000}"/>
    <cellStyle name="Normal 3 39 2 5" xfId="2358" xr:uid="{00000000-0005-0000-0000-0000AB090000}"/>
    <cellStyle name="Normal 3 39 2 6" xfId="2359" xr:uid="{00000000-0005-0000-0000-0000AC090000}"/>
    <cellStyle name="Normal 3 39 2 7" xfId="2360" xr:uid="{00000000-0005-0000-0000-0000AD090000}"/>
    <cellStyle name="Normal 3 39 2 8" xfId="2361" xr:uid="{00000000-0005-0000-0000-0000AE090000}"/>
    <cellStyle name="Normal 3 39 2 9" xfId="2362" xr:uid="{00000000-0005-0000-0000-0000AF090000}"/>
    <cellStyle name="Normal 3 39 3" xfId="2363" xr:uid="{00000000-0005-0000-0000-0000B0090000}"/>
    <cellStyle name="Normal 3 39 4" xfId="2364" xr:uid="{00000000-0005-0000-0000-0000B1090000}"/>
    <cellStyle name="Normal 3 39 5" xfId="2365" xr:uid="{00000000-0005-0000-0000-0000B2090000}"/>
    <cellStyle name="Normal 3 39 6" xfId="2366" xr:uid="{00000000-0005-0000-0000-0000B3090000}"/>
    <cellStyle name="Normal 3 39 7" xfId="2367" xr:uid="{00000000-0005-0000-0000-0000B4090000}"/>
    <cellStyle name="Normal 3 39 8" xfId="2368" xr:uid="{00000000-0005-0000-0000-0000B5090000}"/>
    <cellStyle name="Normal 3 39 9" xfId="2369" xr:uid="{00000000-0005-0000-0000-0000B6090000}"/>
    <cellStyle name="Normal 3 4" xfId="2370" xr:uid="{00000000-0005-0000-0000-0000B7090000}"/>
    <cellStyle name="Normal 3 4 10" xfId="2371" xr:uid="{00000000-0005-0000-0000-0000B8090000}"/>
    <cellStyle name="Normal 3 4 11" xfId="2372" xr:uid="{00000000-0005-0000-0000-0000B9090000}"/>
    <cellStyle name="Normal 3 4 12" xfId="2373" xr:uid="{00000000-0005-0000-0000-0000BA090000}"/>
    <cellStyle name="Normal 3 4 13" xfId="2374" xr:uid="{00000000-0005-0000-0000-0000BB090000}"/>
    <cellStyle name="Normal 3 4 2" xfId="2375" xr:uid="{00000000-0005-0000-0000-0000BC090000}"/>
    <cellStyle name="Normal 3 4 2 10" xfId="2376" xr:uid="{00000000-0005-0000-0000-0000BD090000}"/>
    <cellStyle name="Normal 3 4 2 11" xfId="2377" xr:uid="{00000000-0005-0000-0000-0000BE090000}"/>
    <cellStyle name="Normal 3 4 2 12" xfId="2378" xr:uid="{00000000-0005-0000-0000-0000BF090000}"/>
    <cellStyle name="Normal 3 4 2 2" xfId="2379" xr:uid="{00000000-0005-0000-0000-0000C0090000}"/>
    <cellStyle name="Normal 3 4 2 3" xfId="2380" xr:uid="{00000000-0005-0000-0000-0000C1090000}"/>
    <cellStyle name="Normal 3 4 2 4" xfId="2381" xr:uid="{00000000-0005-0000-0000-0000C2090000}"/>
    <cellStyle name="Normal 3 4 2 5" xfId="2382" xr:uid="{00000000-0005-0000-0000-0000C3090000}"/>
    <cellStyle name="Normal 3 4 2 6" xfId="2383" xr:uid="{00000000-0005-0000-0000-0000C4090000}"/>
    <cellStyle name="Normal 3 4 2 7" xfId="2384" xr:uid="{00000000-0005-0000-0000-0000C5090000}"/>
    <cellStyle name="Normal 3 4 2 8" xfId="2385" xr:uid="{00000000-0005-0000-0000-0000C6090000}"/>
    <cellStyle name="Normal 3 4 2 9" xfId="2386" xr:uid="{00000000-0005-0000-0000-0000C7090000}"/>
    <cellStyle name="Normal 3 4 3" xfId="2387" xr:uid="{00000000-0005-0000-0000-0000C8090000}"/>
    <cellStyle name="Normal 3 4 4" xfId="2388" xr:uid="{00000000-0005-0000-0000-0000C9090000}"/>
    <cellStyle name="Normal 3 4 5" xfId="2389" xr:uid="{00000000-0005-0000-0000-0000CA090000}"/>
    <cellStyle name="Normal 3 4 6" xfId="2390" xr:uid="{00000000-0005-0000-0000-0000CB090000}"/>
    <cellStyle name="Normal 3 4 7" xfId="2391" xr:uid="{00000000-0005-0000-0000-0000CC090000}"/>
    <cellStyle name="Normal 3 4 8" xfId="2392" xr:uid="{00000000-0005-0000-0000-0000CD090000}"/>
    <cellStyle name="Normal 3 4 9" xfId="2393" xr:uid="{00000000-0005-0000-0000-0000CE090000}"/>
    <cellStyle name="Normal 3 4_CUCARACHO" xfId="2394" xr:uid="{00000000-0005-0000-0000-0000CF090000}"/>
    <cellStyle name="Normal 3 40" xfId="2395" xr:uid="{00000000-0005-0000-0000-0000D0090000}"/>
    <cellStyle name="Normal 3 40 10" xfId="2396" xr:uid="{00000000-0005-0000-0000-0000D1090000}"/>
    <cellStyle name="Normal 3 40 11" xfId="2397" xr:uid="{00000000-0005-0000-0000-0000D2090000}"/>
    <cellStyle name="Normal 3 40 12" xfId="2398" xr:uid="{00000000-0005-0000-0000-0000D3090000}"/>
    <cellStyle name="Normal 3 40 13" xfId="2399" xr:uid="{00000000-0005-0000-0000-0000D4090000}"/>
    <cellStyle name="Normal 3 40 2" xfId="2400" xr:uid="{00000000-0005-0000-0000-0000D5090000}"/>
    <cellStyle name="Normal 3 40 2 10" xfId="2401" xr:uid="{00000000-0005-0000-0000-0000D6090000}"/>
    <cellStyle name="Normal 3 40 2 11" xfId="2402" xr:uid="{00000000-0005-0000-0000-0000D7090000}"/>
    <cellStyle name="Normal 3 40 2 12" xfId="2403" xr:uid="{00000000-0005-0000-0000-0000D8090000}"/>
    <cellStyle name="Normal 3 40 2 2" xfId="2404" xr:uid="{00000000-0005-0000-0000-0000D9090000}"/>
    <cellStyle name="Normal 3 40 2 3" xfId="2405" xr:uid="{00000000-0005-0000-0000-0000DA090000}"/>
    <cellStyle name="Normal 3 40 2 4" xfId="2406" xr:uid="{00000000-0005-0000-0000-0000DB090000}"/>
    <cellStyle name="Normal 3 40 2 5" xfId="2407" xr:uid="{00000000-0005-0000-0000-0000DC090000}"/>
    <cellStyle name="Normal 3 40 2 6" xfId="2408" xr:uid="{00000000-0005-0000-0000-0000DD090000}"/>
    <cellStyle name="Normal 3 40 2 7" xfId="2409" xr:uid="{00000000-0005-0000-0000-0000DE090000}"/>
    <cellStyle name="Normal 3 40 2 8" xfId="2410" xr:uid="{00000000-0005-0000-0000-0000DF090000}"/>
    <cellStyle name="Normal 3 40 2 9" xfId="2411" xr:uid="{00000000-0005-0000-0000-0000E0090000}"/>
    <cellStyle name="Normal 3 40 3" xfId="2412" xr:uid="{00000000-0005-0000-0000-0000E1090000}"/>
    <cellStyle name="Normal 3 40 4" xfId="2413" xr:uid="{00000000-0005-0000-0000-0000E2090000}"/>
    <cellStyle name="Normal 3 40 5" xfId="2414" xr:uid="{00000000-0005-0000-0000-0000E3090000}"/>
    <cellStyle name="Normal 3 40 6" xfId="2415" xr:uid="{00000000-0005-0000-0000-0000E4090000}"/>
    <cellStyle name="Normal 3 40 7" xfId="2416" xr:uid="{00000000-0005-0000-0000-0000E5090000}"/>
    <cellStyle name="Normal 3 40 8" xfId="2417" xr:uid="{00000000-0005-0000-0000-0000E6090000}"/>
    <cellStyle name="Normal 3 40 9" xfId="2418" xr:uid="{00000000-0005-0000-0000-0000E7090000}"/>
    <cellStyle name="Normal 3 41" xfId="2419" xr:uid="{00000000-0005-0000-0000-0000E8090000}"/>
    <cellStyle name="Normal 3 41 10" xfId="2420" xr:uid="{00000000-0005-0000-0000-0000E9090000}"/>
    <cellStyle name="Normal 3 41 11" xfId="2421" xr:uid="{00000000-0005-0000-0000-0000EA090000}"/>
    <cellStyle name="Normal 3 41 12" xfId="2422" xr:uid="{00000000-0005-0000-0000-0000EB090000}"/>
    <cellStyle name="Normal 3 41 13" xfId="2423" xr:uid="{00000000-0005-0000-0000-0000EC090000}"/>
    <cellStyle name="Normal 3 41 2" xfId="2424" xr:uid="{00000000-0005-0000-0000-0000ED090000}"/>
    <cellStyle name="Normal 3 41 2 10" xfId="2425" xr:uid="{00000000-0005-0000-0000-0000EE090000}"/>
    <cellStyle name="Normal 3 41 2 11" xfId="2426" xr:uid="{00000000-0005-0000-0000-0000EF090000}"/>
    <cellStyle name="Normal 3 41 2 12" xfId="2427" xr:uid="{00000000-0005-0000-0000-0000F0090000}"/>
    <cellStyle name="Normal 3 41 2 2" xfId="2428" xr:uid="{00000000-0005-0000-0000-0000F1090000}"/>
    <cellStyle name="Normal 3 41 2 3" xfId="2429" xr:uid="{00000000-0005-0000-0000-0000F2090000}"/>
    <cellStyle name="Normal 3 41 2 4" xfId="2430" xr:uid="{00000000-0005-0000-0000-0000F3090000}"/>
    <cellStyle name="Normal 3 41 2 5" xfId="2431" xr:uid="{00000000-0005-0000-0000-0000F4090000}"/>
    <cellStyle name="Normal 3 41 2 6" xfId="2432" xr:uid="{00000000-0005-0000-0000-0000F5090000}"/>
    <cellStyle name="Normal 3 41 2 7" xfId="2433" xr:uid="{00000000-0005-0000-0000-0000F6090000}"/>
    <cellStyle name="Normal 3 41 2 8" xfId="2434" xr:uid="{00000000-0005-0000-0000-0000F7090000}"/>
    <cellStyle name="Normal 3 41 2 9" xfId="2435" xr:uid="{00000000-0005-0000-0000-0000F8090000}"/>
    <cellStyle name="Normal 3 41 3" xfId="2436" xr:uid="{00000000-0005-0000-0000-0000F9090000}"/>
    <cellStyle name="Normal 3 41 4" xfId="2437" xr:uid="{00000000-0005-0000-0000-0000FA090000}"/>
    <cellStyle name="Normal 3 41 5" xfId="2438" xr:uid="{00000000-0005-0000-0000-0000FB090000}"/>
    <cellStyle name="Normal 3 41 6" xfId="2439" xr:uid="{00000000-0005-0000-0000-0000FC090000}"/>
    <cellStyle name="Normal 3 41 7" xfId="2440" xr:uid="{00000000-0005-0000-0000-0000FD090000}"/>
    <cellStyle name="Normal 3 41 8" xfId="2441" xr:uid="{00000000-0005-0000-0000-0000FE090000}"/>
    <cellStyle name="Normal 3 41 9" xfId="2442" xr:uid="{00000000-0005-0000-0000-0000FF090000}"/>
    <cellStyle name="Normal 3 42" xfId="2443" xr:uid="{00000000-0005-0000-0000-0000000A0000}"/>
    <cellStyle name="Normal 3 42 10" xfId="2444" xr:uid="{00000000-0005-0000-0000-0000010A0000}"/>
    <cellStyle name="Normal 3 42 11" xfId="2445" xr:uid="{00000000-0005-0000-0000-0000020A0000}"/>
    <cellStyle name="Normal 3 42 12" xfId="2446" xr:uid="{00000000-0005-0000-0000-0000030A0000}"/>
    <cellStyle name="Normal 3 42 13" xfId="2447" xr:uid="{00000000-0005-0000-0000-0000040A0000}"/>
    <cellStyle name="Normal 3 42 2" xfId="2448" xr:uid="{00000000-0005-0000-0000-0000050A0000}"/>
    <cellStyle name="Normal 3 42 2 10" xfId="2449" xr:uid="{00000000-0005-0000-0000-0000060A0000}"/>
    <cellStyle name="Normal 3 42 2 11" xfId="2450" xr:uid="{00000000-0005-0000-0000-0000070A0000}"/>
    <cellStyle name="Normal 3 42 2 12" xfId="2451" xr:uid="{00000000-0005-0000-0000-0000080A0000}"/>
    <cellStyle name="Normal 3 42 2 2" xfId="2452" xr:uid="{00000000-0005-0000-0000-0000090A0000}"/>
    <cellStyle name="Normal 3 42 2 3" xfId="2453" xr:uid="{00000000-0005-0000-0000-00000A0A0000}"/>
    <cellStyle name="Normal 3 42 2 4" xfId="2454" xr:uid="{00000000-0005-0000-0000-00000B0A0000}"/>
    <cellStyle name="Normal 3 42 2 5" xfId="2455" xr:uid="{00000000-0005-0000-0000-00000C0A0000}"/>
    <cellStyle name="Normal 3 42 2 6" xfId="2456" xr:uid="{00000000-0005-0000-0000-00000D0A0000}"/>
    <cellStyle name="Normal 3 42 2 7" xfId="2457" xr:uid="{00000000-0005-0000-0000-00000E0A0000}"/>
    <cellStyle name="Normal 3 42 2 8" xfId="2458" xr:uid="{00000000-0005-0000-0000-00000F0A0000}"/>
    <cellStyle name="Normal 3 42 2 9" xfId="2459" xr:uid="{00000000-0005-0000-0000-0000100A0000}"/>
    <cellStyle name="Normal 3 42 3" xfId="2460" xr:uid="{00000000-0005-0000-0000-0000110A0000}"/>
    <cellStyle name="Normal 3 42 4" xfId="2461" xr:uid="{00000000-0005-0000-0000-0000120A0000}"/>
    <cellStyle name="Normal 3 42 5" xfId="2462" xr:uid="{00000000-0005-0000-0000-0000130A0000}"/>
    <cellStyle name="Normal 3 42 6" xfId="2463" xr:uid="{00000000-0005-0000-0000-0000140A0000}"/>
    <cellStyle name="Normal 3 42 7" xfId="2464" xr:uid="{00000000-0005-0000-0000-0000150A0000}"/>
    <cellStyle name="Normal 3 42 8" xfId="2465" xr:uid="{00000000-0005-0000-0000-0000160A0000}"/>
    <cellStyle name="Normal 3 42 9" xfId="2466" xr:uid="{00000000-0005-0000-0000-0000170A0000}"/>
    <cellStyle name="Normal 3 43" xfId="2467" xr:uid="{00000000-0005-0000-0000-0000180A0000}"/>
    <cellStyle name="Normal 3 43 10" xfId="2468" xr:uid="{00000000-0005-0000-0000-0000190A0000}"/>
    <cellStyle name="Normal 3 43 11" xfId="2469" xr:uid="{00000000-0005-0000-0000-00001A0A0000}"/>
    <cellStyle name="Normal 3 43 12" xfId="2470" xr:uid="{00000000-0005-0000-0000-00001B0A0000}"/>
    <cellStyle name="Normal 3 43 13" xfId="2471" xr:uid="{00000000-0005-0000-0000-00001C0A0000}"/>
    <cellStyle name="Normal 3 43 2" xfId="2472" xr:uid="{00000000-0005-0000-0000-00001D0A0000}"/>
    <cellStyle name="Normal 3 43 2 10" xfId="2473" xr:uid="{00000000-0005-0000-0000-00001E0A0000}"/>
    <cellStyle name="Normal 3 43 2 11" xfId="2474" xr:uid="{00000000-0005-0000-0000-00001F0A0000}"/>
    <cellStyle name="Normal 3 43 2 12" xfId="2475" xr:uid="{00000000-0005-0000-0000-0000200A0000}"/>
    <cellStyle name="Normal 3 43 2 2" xfId="2476" xr:uid="{00000000-0005-0000-0000-0000210A0000}"/>
    <cellStyle name="Normal 3 43 2 3" xfId="2477" xr:uid="{00000000-0005-0000-0000-0000220A0000}"/>
    <cellStyle name="Normal 3 43 2 4" xfId="2478" xr:uid="{00000000-0005-0000-0000-0000230A0000}"/>
    <cellStyle name="Normal 3 43 2 5" xfId="2479" xr:uid="{00000000-0005-0000-0000-0000240A0000}"/>
    <cellStyle name="Normal 3 43 2 6" xfId="2480" xr:uid="{00000000-0005-0000-0000-0000250A0000}"/>
    <cellStyle name="Normal 3 43 2 7" xfId="2481" xr:uid="{00000000-0005-0000-0000-0000260A0000}"/>
    <cellStyle name="Normal 3 43 2 8" xfId="2482" xr:uid="{00000000-0005-0000-0000-0000270A0000}"/>
    <cellStyle name="Normal 3 43 2 9" xfId="2483" xr:uid="{00000000-0005-0000-0000-0000280A0000}"/>
    <cellStyle name="Normal 3 43 3" xfId="2484" xr:uid="{00000000-0005-0000-0000-0000290A0000}"/>
    <cellStyle name="Normal 3 43 4" xfId="2485" xr:uid="{00000000-0005-0000-0000-00002A0A0000}"/>
    <cellStyle name="Normal 3 43 5" xfId="2486" xr:uid="{00000000-0005-0000-0000-00002B0A0000}"/>
    <cellStyle name="Normal 3 43 6" xfId="2487" xr:uid="{00000000-0005-0000-0000-00002C0A0000}"/>
    <cellStyle name="Normal 3 43 7" xfId="2488" xr:uid="{00000000-0005-0000-0000-00002D0A0000}"/>
    <cellStyle name="Normal 3 43 8" xfId="2489" xr:uid="{00000000-0005-0000-0000-00002E0A0000}"/>
    <cellStyle name="Normal 3 43 9" xfId="2490" xr:uid="{00000000-0005-0000-0000-00002F0A0000}"/>
    <cellStyle name="Normal 3 44" xfId="2491" xr:uid="{00000000-0005-0000-0000-0000300A0000}"/>
    <cellStyle name="Normal 3 44 10" xfId="2492" xr:uid="{00000000-0005-0000-0000-0000310A0000}"/>
    <cellStyle name="Normal 3 44 11" xfId="2493" xr:uid="{00000000-0005-0000-0000-0000320A0000}"/>
    <cellStyle name="Normal 3 44 12" xfId="2494" xr:uid="{00000000-0005-0000-0000-0000330A0000}"/>
    <cellStyle name="Normal 3 44 13" xfId="2495" xr:uid="{00000000-0005-0000-0000-0000340A0000}"/>
    <cellStyle name="Normal 3 44 2" xfId="2496" xr:uid="{00000000-0005-0000-0000-0000350A0000}"/>
    <cellStyle name="Normal 3 44 2 10" xfId="2497" xr:uid="{00000000-0005-0000-0000-0000360A0000}"/>
    <cellStyle name="Normal 3 44 2 11" xfId="2498" xr:uid="{00000000-0005-0000-0000-0000370A0000}"/>
    <cellStyle name="Normal 3 44 2 12" xfId="2499" xr:uid="{00000000-0005-0000-0000-0000380A0000}"/>
    <cellStyle name="Normal 3 44 2 2" xfId="2500" xr:uid="{00000000-0005-0000-0000-0000390A0000}"/>
    <cellStyle name="Normal 3 44 2 3" xfId="2501" xr:uid="{00000000-0005-0000-0000-00003A0A0000}"/>
    <cellStyle name="Normal 3 44 2 4" xfId="2502" xr:uid="{00000000-0005-0000-0000-00003B0A0000}"/>
    <cellStyle name="Normal 3 44 2 5" xfId="2503" xr:uid="{00000000-0005-0000-0000-00003C0A0000}"/>
    <cellStyle name="Normal 3 44 2 6" xfId="2504" xr:uid="{00000000-0005-0000-0000-00003D0A0000}"/>
    <cellStyle name="Normal 3 44 2 7" xfId="2505" xr:uid="{00000000-0005-0000-0000-00003E0A0000}"/>
    <cellStyle name="Normal 3 44 2 8" xfId="2506" xr:uid="{00000000-0005-0000-0000-00003F0A0000}"/>
    <cellStyle name="Normal 3 44 2 9" xfId="2507" xr:uid="{00000000-0005-0000-0000-0000400A0000}"/>
    <cellStyle name="Normal 3 44 3" xfId="2508" xr:uid="{00000000-0005-0000-0000-0000410A0000}"/>
    <cellStyle name="Normal 3 44 4" xfId="2509" xr:uid="{00000000-0005-0000-0000-0000420A0000}"/>
    <cellStyle name="Normal 3 44 5" xfId="2510" xr:uid="{00000000-0005-0000-0000-0000430A0000}"/>
    <cellStyle name="Normal 3 44 6" xfId="2511" xr:uid="{00000000-0005-0000-0000-0000440A0000}"/>
    <cellStyle name="Normal 3 44 7" xfId="2512" xr:uid="{00000000-0005-0000-0000-0000450A0000}"/>
    <cellStyle name="Normal 3 44 8" xfId="2513" xr:uid="{00000000-0005-0000-0000-0000460A0000}"/>
    <cellStyle name="Normal 3 44 9" xfId="2514" xr:uid="{00000000-0005-0000-0000-0000470A0000}"/>
    <cellStyle name="Normal 3 45" xfId="2515" xr:uid="{00000000-0005-0000-0000-0000480A0000}"/>
    <cellStyle name="Normal 3 45 10" xfId="2516" xr:uid="{00000000-0005-0000-0000-0000490A0000}"/>
    <cellStyle name="Normal 3 45 11" xfId="2517" xr:uid="{00000000-0005-0000-0000-00004A0A0000}"/>
    <cellStyle name="Normal 3 45 12" xfId="2518" xr:uid="{00000000-0005-0000-0000-00004B0A0000}"/>
    <cellStyle name="Normal 3 45 13" xfId="2519" xr:uid="{00000000-0005-0000-0000-00004C0A0000}"/>
    <cellStyle name="Normal 3 45 2" xfId="2520" xr:uid="{00000000-0005-0000-0000-00004D0A0000}"/>
    <cellStyle name="Normal 3 45 2 10" xfId="2521" xr:uid="{00000000-0005-0000-0000-00004E0A0000}"/>
    <cellStyle name="Normal 3 45 2 11" xfId="2522" xr:uid="{00000000-0005-0000-0000-00004F0A0000}"/>
    <cellStyle name="Normal 3 45 2 12" xfId="2523" xr:uid="{00000000-0005-0000-0000-0000500A0000}"/>
    <cellStyle name="Normal 3 45 2 2" xfId="2524" xr:uid="{00000000-0005-0000-0000-0000510A0000}"/>
    <cellStyle name="Normal 3 45 2 3" xfId="2525" xr:uid="{00000000-0005-0000-0000-0000520A0000}"/>
    <cellStyle name="Normal 3 45 2 4" xfId="2526" xr:uid="{00000000-0005-0000-0000-0000530A0000}"/>
    <cellStyle name="Normal 3 45 2 5" xfId="2527" xr:uid="{00000000-0005-0000-0000-0000540A0000}"/>
    <cellStyle name="Normal 3 45 2 6" xfId="2528" xr:uid="{00000000-0005-0000-0000-0000550A0000}"/>
    <cellStyle name="Normal 3 45 2 7" xfId="2529" xr:uid="{00000000-0005-0000-0000-0000560A0000}"/>
    <cellStyle name="Normal 3 45 2 8" xfId="2530" xr:uid="{00000000-0005-0000-0000-0000570A0000}"/>
    <cellStyle name="Normal 3 45 2 9" xfId="2531" xr:uid="{00000000-0005-0000-0000-0000580A0000}"/>
    <cellStyle name="Normal 3 45 3" xfId="2532" xr:uid="{00000000-0005-0000-0000-0000590A0000}"/>
    <cellStyle name="Normal 3 45 4" xfId="2533" xr:uid="{00000000-0005-0000-0000-00005A0A0000}"/>
    <cellStyle name="Normal 3 45 5" xfId="2534" xr:uid="{00000000-0005-0000-0000-00005B0A0000}"/>
    <cellStyle name="Normal 3 45 6" xfId="2535" xr:uid="{00000000-0005-0000-0000-00005C0A0000}"/>
    <cellStyle name="Normal 3 45 7" xfId="2536" xr:uid="{00000000-0005-0000-0000-00005D0A0000}"/>
    <cellStyle name="Normal 3 45 8" xfId="2537" xr:uid="{00000000-0005-0000-0000-00005E0A0000}"/>
    <cellStyle name="Normal 3 45 9" xfId="2538" xr:uid="{00000000-0005-0000-0000-00005F0A0000}"/>
    <cellStyle name="Normal 3 46" xfId="2539" xr:uid="{00000000-0005-0000-0000-0000600A0000}"/>
    <cellStyle name="Normal 3 46 10" xfId="2540" xr:uid="{00000000-0005-0000-0000-0000610A0000}"/>
    <cellStyle name="Normal 3 46 11" xfId="2541" xr:uid="{00000000-0005-0000-0000-0000620A0000}"/>
    <cellStyle name="Normal 3 46 12" xfId="2542" xr:uid="{00000000-0005-0000-0000-0000630A0000}"/>
    <cellStyle name="Normal 3 46 13" xfId="2543" xr:uid="{00000000-0005-0000-0000-0000640A0000}"/>
    <cellStyle name="Normal 3 46 2" xfId="2544" xr:uid="{00000000-0005-0000-0000-0000650A0000}"/>
    <cellStyle name="Normal 3 46 2 10" xfId="2545" xr:uid="{00000000-0005-0000-0000-0000660A0000}"/>
    <cellStyle name="Normal 3 46 2 11" xfId="2546" xr:uid="{00000000-0005-0000-0000-0000670A0000}"/>
    <cellStyle name="Normal 3 46 2 12" xfId="2547" xr:uid="{00000000-0005-0000-0000-0000680A0000}"/>
    <cellStyle name="Normal 3 46 2 2" xfId="2548" xr:uid="{00000000-0005-0000-0000-0000690A0000}"/>
    <cellStyle name="Normal 3 46 2 3" xfId="2549" xr:uid="{00000000-0005-0000-0000-00006A0A0000}"/>
    <cellStyle name="Normal 3 46 2 4" xfId="2550" xr:uid="{00000000-0005-0000-0000-00006B0A0000}"/>
    <cellStyle name="Normal 3 46 2 5" xfId="2551" xr:uid="{00000000-0005-0000-0000-00006C0A0000}"/>
    <cellStyle name="Normal 3 46 2 6" xfId="2552" xr:uid="{00000000-0005-0000-0000-00006D0A0000}"/>
    <cellStyle name="Normal 3 46 2 7" xfId="2553" xr:uid="{00000000-0005-0000-0000-00006E0A0000}"/>
    <cellStyle name="Normal 3 46 2 8" xfId="2554" xr:uid="{00000000-0005-0000-0000-00006F0A0000}"/>
    <cellStyle name="Normal 3 46 2 9" xfId="2555" xr:uid="{00000000-0005-0000-0000-0000700A0000}"/>
    <cellStyle name="Normal 3 46 3" xfId="2556" xr:uid="{00000000-0005-0000-0000-0000710A0000}"/>
    <cellStyle name="Normal 3 46 4" xfId="2557" xr:uid="{00000000-0005-0000-0000-0000720A0000}"/>
    <cellStyle name="Normal 3 46 5" xfId="2558" xr:uid="{00000000-0005-0000-0000-0000730A0000}"/>
    <cellStyle name="Normal 3 46 6" xfId="2559" xr:uid="{00000000-0005-0000-0000-0000740A0000}"/>
    <cellStyle name="Normal 3 46 7" xfId="2560" xr:uid="{00000000-0005-0000-0000-0000750A0000}"/>
    <cellStyle name="Normal 3 46 8" xfId="2561" xr:uid="{00000000-0005-0000-0000-0000760A0000}"/>
    <cellStyle name="Normal 3 46 9" xfId="2562" xr:uid="{00000000-0005-0000-0000-0000770A0000}"/>
    <cellStyle name="Normal 3 47" xfId="2563" xr:uid="{00000000-0005-0000-0000-0000780A0000}"/>
    <cellStyle name="Normal 3 47 10" xfId="2564" xr:uid="{00000000-0005-0000-0000-0000790A0000}"/>
    <cellStyle name="Normal 3 47 11" xfId="2565" xr:uid="{00000000-0005-0000-0000-00007A0A0000}"/>
    <cellStyle name="Normal 3 47 12" xfId="2566" xr:uid="{00000000-0005-0000-0000-00007B0A0000}"/>
    <cellStyle name="Normal 3 47 13" xfId="2567" xr:uid="{00000000-0005-0000-0000-00007C0A0000}"/>
    <cellStyle name="Normal 3 47 2" xfId="2568" xr:uid="{00000000-0005-0000-0000-00007D0A0000}"/>
    <cellStyle name="Normal 3 47 2 10" xfId="2569" xr:uid="{00000000-0005-0000-0000-00007E0A0000}"/>
    <cellStyle name="Normal 3 47 2 11" xfId="2570" xr:uid="{00000000-0005-0000-0000-00007F0A0000}"/>
    <cellStyle name="Normal 3 47 2 12" xfId="2571" xr:uid="{00000000-0005-0000-0000-0000800A0000}"/>
    <cellStyle name="Normal 3 47 2 2" xfId="2572" xr:uid="{00000000-0005-0000-0000-0000810A0000}"/>
    <cellStyle name="Normal 3 47 2 3" xfId="2573" xr:uid="{00000000-0005-0000-0000-0000820A0000}"/>
    <cellStyle name="Normal 3 47 2 4" xfId="2574" xr:uid="{00000000-0005-0000-0000-0000830A0000}"/>
    <cellStyle name="Normal 3 47 2 5" xfId="2575" xr:uid="{00000000-0005-0000-0000-0000840A0000}"/>
    <cellStyle name="Normal 3 47 2 6" xfId="2576" xr:uid="{00000000-0005-0000-0000-0000850A0000}"/>
    <cellStyle name="Normal 3 47 2 7" xfId="2577" xr:uid="{00000000-0005-0000-0000-0000860A0000}"/>
    <cellStyle name="Normal 3 47 2 8" xfId="2578" xr:uid="{00000000-0005-0000-0000-0000870A0000}"/>
    <cellStyle name="Normal 3 47 2 9" xfId="2579" xr:uid="{00000000-0005-0000-0000-0000880A0000}"/>
    <cellStyle name="Normal 3 47 3" xfId="2580" xr:uid="{00000000-0005-0000-0000-0000890A0000}"/>
    <cellStyle name="Normal 3 47 4" xfId="2581" xr:uid="{00000000-0005-0000-0000-00008A0A0000}"/>
    <cellStyle name="Normal 3 47 5" xfId="2582" xr:uid="{00000000-0005-0000-0000-00008B0A0000}"/>
    <cellStyle name="Normal 3 47 6" xfId="2583" xr:uid="{00000000-0005-0000-0000-00008C0A0000}"/>
    <cellStyle name="Normal 3 47 7" xfId="2584" xr:uid="{00000000-0005-0000-0000-00008D0A0000}"/>
    <cellStyle name="Normal 3 47 8" xfId="2585" xr:uid="{00000000-0005-0000-0000-00008E0A0000}"/>
    <cellStyle name="Normal 3 47 9" xfId="2586" xr:uid="{00000000-0005-0000-0000-00008F0A0000}"/>
    <cellStyle name="Normal 3 48" xfId="2587" xr:uid="{00000000-0005-0000-0000-0000900A0000}"/>
    <cellStyle name="Normal 3 48 10" xfId="2588" xr:uid="{00000000-0005-0000-0000-0000910A0000}"/>
    <cellStyle name="Normal 3 48 11" xfId="2589" xr:uid="{00000000-0005-0000-0000-0000920A0000}"/>
    <cellStyle name="Normal 3 48 12" xfId="2590" xr:uid="{00000000-0005-0000-0000-0000930A0000}"/>
    <cellStyle name="Normal 3 48 13" xfId="2591" xr:uid="{00000000-0005-0000-0000-0000940A0000}"/>
    <cellStyle name="Normal 3 48 2" xfId="2592" xr:uid="{00000000-0005-0000-0000-0000950A0000}"/>
    <cellStyle name="Normal 3 48 2 10" xfId="2593" xr:uid="{00000000-0005-0000-0000-0000960A0000}"/>
    <cellStyle name="Normal 3 48 2 11" xfId="2594" xr:uid="{00000000-0005-0000-0000-0000970A0000}"/>
    <cellStyle name="Normal 3 48 2 12" xfId="2595" xr:uid="{00000000-0005-0000-0000-0000980A0000}"/>
    <cellStyle name="Normal 3 48 2 2" xfId="2596" xr:uid="{00000000-0005-0000-0000-0000990A0000}"/>
    <cellStyle name="Normal 3 48 2 3" xfId="2597" xr:uid="{00000000-0005-0000-0000-00009A0A0000}"/>
    <cellStyle name="Normal 3 48 2 4" xfId="2598" xr:uid="{00000000-0005-0000-0000-00009B0A0000}"/>
    <cellStyle name="Normal 3 48 2 5" xfId="2599" xr:uid="{00000000-0005-0000-0000-00009C0A0000}"/>
    <cellStyle name="Normal 3 48 2 6" xfId="2600" xr:uid="{00000000-0005-0000-0000-00009D0A0000}"/>
    <cellStyle name="Normal 3 48 2 7" xfId="2601" xr:uid="{00000000-0005-0000-0000-00009E0A0000}"/>
    <cellStyle name="Normal 3 48 2 8" xfId="2602" xr:uid="{00000000-0005-0000-0000-00009F0A0000}"/>
    <cellStyle name="Normal 3 48 2 9" xfId="2603" xr:uid="{00000000-0005-0000-0000-0000A00A0000}"/>
    <cellStyle name="Normal 3 48 3" xfId="2604" xr:uid="{00000000-0005-0000-0000-0000A10A0000}"/>
    <cellStyle name="Normal 3 48 4" xfId="2605" xr:uid="{00000000-0005-0000-0000-0000A20A0000}"/>
    <cellStyle name="Normal 3 48 5" xfId="2606" xr:uid="{00000000-0005-0000-0000-0000A30A0000}"/>
    <cellStyle name="Normal 3 48 6" xfId="2607" xr:uid="{00000000-0005-0000-0000-0000A40A0000}"/>
    <cellStyle name="Normal 3 48 7" xfId="2608" xr:uid="{00000000-0005-0000-0000-0000A50A0000}"/>
    <cellStyle name="Normal 3 48 8" xfId="2609" xr:uid="{00000000-0005-0000-0000-0000A60A0000}"/>
    <cellStyle name="Normal 3 48 9" xfId="2610" xr:uid="{00000000-0005-0000-0000-0000A70A0000}"/>
    <cellStyle name="Normal 3 49" xfId="2611" xr:uid="{00000000-0005-0000-0000-0000A80A0000}"/>
    <cellStyle name="Normal 3 49 10" xfId="2612" xr:uid="{00000000-0005-0000-0000-0000A90A0000}"/>
    <cellStyle name="Normal 3 49 11" xfId="2613" xr:uid="{00000000-0005-0000-0000-0000AA0A0000}"/>
    <cellStyle name="Normal 3 49 12" xfId="2614" xr:uid="{00000000-0005-0000-0000-0000AB0A0000}"/>
    <cellStyle name="Normal 3 49 13" xfId="2615" xr:uid="{00000000-0005-0000-0000-0000AC0A0000}"/>
    <cellStyle name="Normal 3 49 2" xfId="2616" xr:uid="{00000000-0005-0000-0000-0000AD0A0000}"/>
    <cellStyle name="Normal 3 49 2 10" xfId="2617" xr:uid="{00000000-0005-0000-0000-0000AE0A0000}"/>
    <cellStyle name="Normal 3 49 2 11" xfId="2618" xr:uid="{00000000-0005-0000-0000-0000AF0A0000}"/>
    <cellStyle name="Normal 3 49 2 12" xfId="2619" xr:uid="{00000000-0005-0000-0000-0000B00A0000}"/>
    <cellStyle name="Normal 3 49 2 2" xfId="2620" xr:uid="{00000000-0005-0000-0000-0000B10A0000}"/>
    <cellStyle name="Normal 3 49 2 3" xfId="2621" xr:uid="{00000000-0005-0000-0000-0000B20A0000}"/>
    <cellStyle name="Normal 3 49 2 4" xfId="2622" xr:uid="{00000000-0005-0000-0000-0000B30A0000}"/>
    <cellStyle name="Normal 3 49 2 5" xfId="2623" xr:uid="{00000000-0005-0000-0000-0000B40A0000}"/>
    <cellStyle name="Normal 3 49 2 6" xfId="2624" xr:uid="{00000000-0005-0000-0000-0000B50A0000}"/>
    <cellStyle name="Normal 3 49 2 7" xfId="2625" xr:uid="{00000000-0005-0000-0000-0000B60A0000}"/>
    <cellStyle name="Normal 3 49 2 8" xfId="2626" xr:uid="{00000000-0005-0000-0000-0000B70A0000}"/>
    <cellStyle name="Normal 3 49 2 9" xfId="2627" xr:uid="{00000000-0005-0000-0000-0000B80A0000}"/>
    <cellStyle name="Normal 3 49 3" xfId="2628" xr:uid="{00000000-0005-0000-0000-0000B90A0000}"/>
    <cellStyle name="Normal 3 49 4" xfId="2629" xr:uid="{00000000-0005-0000-0000-0000BA0A0000}"/>
    <cellStyle name="Normal 3 49 5" xfId="2630" xr:uid="{00000000-0005-0000-0000-0000BB0A0000}"/>
    <cellStyle name="Normal 3 49 6" xfId="2631" xr:uid="{00000000-0005-0000-0000-0000BC0A0000}"/>
    <cellStyle name="Normal 3 49 7" xfId="2632" xr:uid="{00000000-0005-0000-0000-0000BD0A0000}"/>
    <cellStyle name="Normal 3 49 8" xfId="2633" xr:uid="{00000000-0005-0000-0000-0000BE0A0000}"/>
    <cellStyle name="Normal 3 49 9" xfId="2634" xr:uid="{00000000-0005-0000-0000-0000BF0A0000}"/>
    <cellStyle name="Normal 3 5" xfId="2635" xr:uid="{00000000-0005-0000-0000-0000C00A0000}"/>
    <cellStyle name="Normal 3 5 10" xfId="2636" xr:uid="{00000000-0005-0000-0000-0000C10A0000}"/>
    <cellStyle name="Normal 3 5 11" xfId="2637" xr:uid="{00000000-0005-0000-0000-0000C20A0000}"/>
    <cellStyle name="Normal 3 5 12" xfId="2638" xr:uid="{00000000-0005-0000-0000-0000C30A0000}"/>
    <cellStyle name="Normal 3 5 13" xfId="2639" xr:uid="{00000000-0005-0000-0000-0000C40A0000}"/>
    <cellStyle name="Normal 3 5 2" xfId="2640" xr:uid="{00000000-0005-0000-0000-0000C50A0000}"/>
    <cellStyle name="Normal 3 5 2 10" xfId="2641" xr:uid="{00000000-0005-0000-0000-0000C60A0000}"/>
    <cellStyle name="Normal 3 5 2 11" xfId="2642" xr:uid="{00000000-0005-0000-0000-0000C70A0000}"/>
    <cellStyle name="Normal 3 5 2 12" xfId="2643" xr:uid="{00000000-0005-0000-0000-0000C80A0000}"/>
    <cellStyle name="Normal 3 5 2 2" xfId="2644" xr:uid="{00000000-0005-0000-0000-0000C90A0000}"/>
    <cellStyle name="Normal 3 5 2 3" xfId="2645" xr:uid="{00000000-0005-0000-0000-0000CA0A0000}"/>
    <cellStyle name="Normal 3 5 2 4" xfId="2646" xr:uid="{00000000-0005-0000-0000-0000CB0A0000}"/>
    <cellStyle name="Normal 3 5 2 5" xfId="2647" xr:uid="{00000000-0005-0000-0000-0000CC0A0000}"/>
    <cellStyle name="Normal 3 5 2 6" xfId="2648" xr:uid="{00000000-0005-0000-0000-0000CD0A0000}"/>
    <cellStyle name="Normal 3 5 2 7" xfId="2649" xr:uid="{00000000-0005-0000-0000-0000CE0A0000}"/>
    <cellStyle name="Normal 3 5 2 8" xfId="2650" xr:uid="{00000000-0005-0000-0000-0000CF0A0000}"/>
    <cellStyle name="Normal 3 5 2 9" xfId="2651" xr:uid="{00000000-0005-0000-0000-0000D00A0000}"/>
    <cellStyle name="Normal 3 5 3" xfId="2652" xr:uid="{00000000-0005-0000-0000-0000D10A0000}"/>
    <cellStyle name="Normal 3 5 4" xfId="2653" xr:uid="{00000000-0005-0000-0000-0000D20A0000}"/>
    <cellStyle name="Normal 3 5 5" xfId="2654" xr:uid="{00000000-0005-0000-0000-0000D30A0000}"/>
    <cellStyle name="Normal 3 5 6" xfId="2655" xr:uid="{00000000-0005-0000-0000-0000D40A0000}"/>
    <cellStyle name="Normal 3 5 7" xfId="2656" xr:uid="{00000000-0005-0000-0000-0000D50A0000}"/>
    <cellStyle name="Normal 3 5 8" xfId="2657" xr:uid="{00000000-0005-0000-0000-0000D60A0000}"/>
    <cellStyle name="Normal 3 5 9" xfId="2658" xr:uid="{00000000-0005-0000-0000-0000D70A0000}"/>
    <cellStyle name="Normal 3 50" xfId="2659" xr:uid="{00000000-0005-0000-0000-0000D80A0000}"/>
    <cellStyle name="Normal 3 50 10" xfId="2660" xr:uid="{00000000-0005-0000-0000-0000D90A0000}"/>
    <cellStyle name="Normal 3 50 11" xfId="2661" xr:uid="{00000000-0005-0000-0000-0000DA0A0000}"/>
    <cellStyle name="Normal 3 50 12" xfId="2662" xr:uid="{00000000-0005-0000-0000-0000DB0A0000}"/>
    <cellStyle name="Normal 3 50 13" xfId="2663" xr:uid="{00000000-0005-0000-0000-0000DC0A0000}"/>
    <cellStyle name="Normal 3 50 2" xfId="2664" xr:uid="{00000000-0005-0000-0000-0000DD0A0000}"/>
    <cellStyle name="Normal 3 50 2 10" xfId="2665" xr:uid="{00000000-0005-0000-0000-0000DE0A0000}"/>
    <cellStyle name="Normal 3 50 2 11" xfId="2666" xr:uid="{00000000-0005-0000-0000-0000DF0A0000}"/>
    <cellStyle name="Normal 3 50 2 12" xfId="2667" xr:uid="{00000000-0005-0000-0000-0000E00A0000}"/>
    <cellStyle name="Normal 3 50 2 2" xfId="2668" xr:uid="{00000000-0005-0000-0000-0000E10A0000}"/>
    <cellStyle name="Normal 3 50 2 3" xfId="2669" xr:uid="{00000000-0005-0000-0000-0000E20A0000}"/>
    <cellStyle name="Normal 3 50 2 4" xfId="2670" xr:uid="{00000000-0005-0000-0000-0000E30A0000}"/>
    <cellStyle name="Normal 3 50 2 5" xfId="2671" xr:uid="{00000000-0005-0000-0000-0000E40A0000}"/>
    <cellStyle name="Normal 3 50 2 6" xfId="2672" xr:uid="{00000000-0005-0000-0000-0000E50A0000}"/>
    <cellStyle name="Normal 3 50 2 7" xfId="2673" xr:uid="{00000000-0005-0000-0000-0000E60A0000}"/>
    <cellStyle name="Normal 3 50 2 8" xfId="2674" xr:uid="{00000000-0005-0000-0000-0000E70A0000}"/>
    <cellStyle name="Normal 3 50 2 9" xfId="2675" xr:uid="{00000000-0005-0000-0000-0000E80A0000}"/>
    <cellStyle name="Normal 3 50 3" xfId="2676" xr:uid="{00000000-0005-0000-0000-0000E90A0000}"/>
    <cellStyle name="Normal 3 50 4" xfId="2677" xr:uid="{00000000-0005-0000-0000-0000EA0A0000}"/>
    <cellStyle name="Normal 3 50 5" xfId="2678" xr:uid="{00000000-0005-0000-0000-0000EB0A0000}"/>
    <cellStyle name="Normal 3 50 6" xfId="2679" xr:uid="{00000000-0005-0000-0000-0000EC0A0000}"/>
    <cellStyle name="Normal 3 50 7" xfId="2680" xr:uid="{00000000-0005-0000-0000-0000ED0A0000}"/>
    <cellStyle name="Normal 3 50 8" xfId="2681" xr:uid="{00000000-0005-0000-0000-0000EE0A0000}"/>
    <cellStyle name="Normal 3 50 9" xfId="2682" xr:uid="{00000000-0005-0000-0000-0000EF0A0000}"/>
    <cellStyle name="Normal 3 51" xfId="2683" xr:uid="{00000000-0005-0000-0000-0000F00A0000}"/>
    <cellStyle name="Normal 3 51 10" xfId="2684" xr:uid="{00000000-0005-0000-0000-0000F10A0000}"/>
    <cellStyle name="Normal 3 51 11" xfId="2685" xr:uid="{00000000-0005-0000-0000-0000F20A0000}"/>
    <cellStyle name="Normal 3 51 12" xfId="2686" xr:uid="{00000000-0005-0000-0000-0000F30A0000}"/>
    <cellStyle name="Normal 3 51 13" xfId="2687" xr:uid="{00000000-0005-0000-0000-0000F40A0000}"/>
    <cellStyle name="Normal 3 51 2" xfId="2688" xr:uid="{00000000-0005-0000-0000-0000F50A0000}"/>
    <cellStyle name="Normal 3 51 2 10" xfId="2689" xr:uid="{00000000-0005-0000-0000-0000F60A0000}"/>
    <cellStyle name="Normal 3 51 2 11" xfId="2690" xr:uid="{00000000-0005-0000-0000-0000F70A0000}"/>
    <cellStyle name="Normal 3 51 2 12" xfId="2691" xr:uid="{00000000-0005-0000-0000-0000F80A0000}"/>
    <cellStyle name="Normal 3 51 2 2" xfId="2692" xr:uid="{00000000-0005-0000-0000-0000F90A0000}"/>
    <cellStyle name="Normal 3 51 2 3" xfId="2693" xr:uid="{00000000-0005-0000-0000-0000FA0A0000}"/>
    <cellStyle name="Normal 3 51 2 4" xfId="2694" xr:uid="{00000000-0005-0000-0000-0000FB0A0000}"/>
    <cellStyle name="Normal 3 51 2 5" xfId="2695" xr:uid="{00000000-0005-0000-0000-0000FC0A0000}"/>
    <cellStyle name="Normal 3 51 2 6" xfId="2696" xr:uid="{00000000-0005-0000-0000-0000FD0A0000}"/>
    <cellStyle name="Normal 3 51 2 7" xfId="2697" xr:uid="{00000000-0005-0000-0000-0000FE0A0000}"/>
    <cellStyle name="Normal 3 51 2 8" xfId="2698" xr:uid="{00000000-0005-0000-0000-0000FF0A0000}"/>
    <cellStyle name="Normal 3 51 2 9" xfId="2699" xr:uid="{00000000-0005-0000-0000-0000000B0000}"/>
    <cellStyle name="Normal 3 51 3" xfId="2700" xr:uid="{00000000-0005-0000-0000-0000010B0000}"/>
    <cellStyle name="Normal 3 51 4" xfId="2701" xr:uid="{00000000-0005-0000-0000-0000020B0000}"/>
    <cellStyle name="Normal 3 51 5" xfId="2702" xr:uid="{00000000-0005-0000-0000-0000030B0000}"/>
    <cellStyle name="Normal 3 51 6" xfId="2703" xr:uid="{00000000-0005-0000-0000-0000040B0000}"/>
    <cellStyle name="Normal 3 51 7" xfId="2704" xr:uid="{00000000-0005-0000-0000-0000050B0000}"/>
    <cellStyle name="Normal 3 51 8" xfId="2705" xr:uid="{00000000-0005-0000-0000-0000060B0000}"/>
    <cellStyle name="Normal 3 51 9" xfId="2706" xr:uid="{00000000-0005-0000-0000-0000070B0000}"/>
    <cellStyle name="Normal 3 52" xfId="2707" xr:uid="{00000000-0005-0000-0000-0000080B0000}"/>
    <cellStyle name="Normal 3 52 10" xfId="2708" xr:uid="{00000000-0005-0000-0000-0000090B0000}"/>
    <cellStyle name="Normal 3 52 11" xfId="2709" xr:uid="{00000000-0005-0000-0000-00000A0B0000}"/>
    <cellStyle name="Normal 3 52 12" xfId="2710" xr:uid="{00000000-0005-0000-0000-00000B0B0000}"/>
    <cellStyle name="Normal 3 52 13" xfId="2711" xr:uid="{00000000-0005-0000-0000-00000C0B0000}"/>
    <cellStyle name="Normal 3 52 2" xfId="2712" xr:uid="{00000000-0005-0000-0000-00000D0B0000}"/>
    <cellStyle name="Normal 3 52 2 10" xfId="2713" xr:uid="{00000000-0005-0000-0000-00000E0B0000}"/>
    <cellStyle name="Normal 3 52 2 11" xfId="2714" xr:uid="{00000000-0005-0000-0000-00000F0B0000}"/>
    <cellStyle name="Normal 3 52 2 12" xfId="2715" xr:uid="{00000000-0005-0000-0000-0000100B0000}"/>
    <cellStyle name="Normal 3 52 2 2" xfId="2716" xr:uid="{00000000-0005-0000-0000-0000110B0000}"/>
    <cellStyle name="Normal 3 52 2 3" xfId="2717" xr:uid="{00000000-0005-0000-0000-0000120B0000}"/>
    <cellStyle name="Normal 3 52 2 4" xfId="2718" xr:uid="{00000000-0005-0000-0000-0000130B0000}"/>
    <cellStyle name="Normal 3 52 2 5" xfId="2719" xr:uid="{00000000-0005-0000-0000-0000140B0000}"/>
    <cellStyle name="Normal 3 52 2 6" xfId="2720" xr:uid="{00000000-0005-0000-0000-0000150B0000}"/>
    <cellStyle name="Normal 3 52 2 7" xfId="2721" xr:uid="{00000000-0005-0000-0000-0000160B0000}"/>
    <cellStyle name="Normal 3 52 2 8" xfId="2722" xr:uid="{00000000-0005-0000-0000-0000170B0000}"/>
    <cellStyle name="Normal 3 52 2 9" xfId="2723" xr:uid="{00000000-0005-0000-0000-0000180B0000}"/>
    <cellStyle name="Normal 3 52 3" xfId="2724" xr:uid="{00000000-0005-0000-0000-0000190B0000}"/>
    <cellStyle name="Normal 3 52 4" xfId="2725" xr:uid="{00000000-0005-0000-0000-00001A0B0000}"/>
    <cellStyle name="Normal 3 52 5" xfId="2726" xr:uid="{00000000-0005-0000-0000-00001B0B0000}"/>
    <cellStyle name="Normal 3 52 6" xfId="2727" xr:uid="{00000000-0005-0000-0000-00001C0B0000}"/>
    <cellStyle name="Normal 3 52 7" xfId="2728" xr:uid="{00000000-0005-0000-0000-00001D0B0000}"/>
    <cellStyle name="Normal 3 52 8" xfId="2729" xr:uid="{00000000-0005-0000-0000-00001E0B0000}"/>
    <cellStyle name="Normal 3 52 9" xfId="2730" xr:uid="{00000000-0005-0000-0000-00001F0B0000}"/>
    <cellStyle name="Normal 3 53" xfId="2731" xr:uid="{00000000-0005-0000-0000-0000200B0000}"/>
    <cellStyle name="Normal 3 53 10" xfId="2732" xr:uid="{00000000-0005-0000-0000-0000210B0000}"/>
    <cellStyle name="Normal 3 53 11" xfId="2733" xr:uid="{00000000-0005-0000-0000-0000220B0000}"/>
    <cellStyle name="Normal 3 53 12" xfId="2734" xr:uid="{00000000-0005-0000-0000-0000230B0000}"/>
    <cellStyle name="Normal 3 53 13" xfId="2735" xr:uid="{00000000-0005-0000-0000-0000240B0000}"/>
    <cellStyle name="Normal 3 53 2" xfId="2736" xr:uid="{00000000-0005-0000-0000-0000250B0000}"/>
    <cellStyle name="Normal 3 53 2 10" xfId="2737" xr:uid="{00000000-0005-0000-0000-0000260B0000}"/>
    <cellStyle name="Normal 3 53 2 11" xfId="2738" xr:uid="{00000000-0005-0000-0000-0000270B0000}"/>
    <cellStyle name="Normal 3 53 2 12" xfId="2739" xr:uid="{00000000-0005-0000-0000-0000280B0000}"/>
    <cellStyle name="Normal 3 53 2 2" xfId="2740" xr:uid="{00000000-0005-0000-0000-0000290B0000}"/>
    <cellStyle name="Normal 3 53 2 3" xfId="2741" xr:uid="{00000000-0005-0000-0000-00002A0B0000}"/>
    <cellStyle name="Normal 3 53 2 4" xfId="2742" xr:uid="{00000000-0005-0000-0000-00002B0B0000}"/>
    <cellStyle name="Normal 3 53 2 5" xfId="2743" xr:uid="{00000000-0005-0000-0000-00002C0B0000}"/>
    <cellStyle name="Normal 3 53 2 6" xfId="2744" xr:uid="{00000000-0005-0000-0000-00002D0B0000}"/>
    <cellStyle name="Normal 3 53 2 7" xfId="2745" xr:uid="{00000000-0005-0000-0000-00002E0B0000}"/>
    <cellStyle name="Normal 3 53 2 8" xfId="2746" xr:uid="{00000000-0005-0000-0000-00002F0B0000}"/>
    <cellStyle name="Normal 3 53 2 9" xfId="2747" xr:uid="{00000000-0005-0000-0000-0000300B0000}"/>
    <cellStyle name="Normal 3 53 3" xfId="2748" xr:uid="{00000000-0005-0000-0000-0000310B0000}"/>
    <cellStyle name="Normal 3 53 4" xfId="2749" xr:uid="{00000000-0005-0000-0000-0000320B0000}"/>
    <cellStyle name="Normal 3 53 5" xfId="2750" xr:uid="{00000000-0005-0000-0000-0000330B0000}"/>
    <cellStyle name="Normal 3 53 6" xfId="2751" xr:uid="{00000000-0005-0000-0000-0000340B0000}"/>
    <cellStyle name="Normal 3 53 7" xfId="2752" xr:uid="{00000000-0005-0000-0000-0000350B0000}"/>
    <cellStyle name="Normal 3 53 8" xfId="2753" xr:uid="{00000000-0005-0000-0000-0000360B0000}"/>
    <cellStyle name="Normal 3 53 9" xfId="2754" xr:uid="{00000000-0005-0000-0000-0000370B0000}"/>
    <cellStyle name="Normal 3 54" xfId="2755" xr:uid="{00000000-0005-0000-0000-0000380B0000}"/>
    <cellStyle name="Normal 3 54 10" xfId="2756" xr:uid="{00000000-0005-0000-0000-0000390B0000}"/>
    <cellStyle name="Normal 3 54 11" xfId="2757" xr:uid="{00000000-0005-0000-0000-00003A0B0000}"/>
    <cellStyle name="Normal 3 54 12" xfId="2758" xr:uid="{00000000-0005-0000-0000-00003B0B0000}"/>
    <cellStyle name="Normal 3 54 13" xfId="2759" xr:uid="{00000000-0005-0000-0000-00003C0B0000}"/>
    <cellStyle name="Normal 3 54 2" xfId="2760" xr:uid="{00000000-0005-0000-0000-00003D0B0000}"/>
    <cellStyle name="Normal 3 54 2 10" xfId="2761" xr:uid="{00000000-0005-0000-0000-00003E0B0000}"/>
    <cellStyle name="Normal 3 54 2 11" xfId="2762" xr:uid="{00000000-0005-0000-0000-00003F0B0000}"/>
    <cellStyle name="Normal 3 54 2 12" xfId="2763" xr:uid="{00000000-0005-0000-0000-0000400B0000}"/>
    <cellStyle name="Normal 3 54 2 2" xfId="2764" xr:uid="{00000000-0005-0000-0000-0000410B0000}"/>
    <cellStyle name="Normal 3 54 2 3" xfId="2765" xr:uid="{00000000-0005-0000-0000-0000420B0000}"/>
    <cellStyle name="Normal 3 54 2 4" xfId="2766" xr:uid="{00000000-0005-0000-0000-0000430B0000}"/>
    <cellStyle name="Normal 3 54 2 5" xfId="2767" xr:uid="{00000000-0005-0000-0000-0000440B0000}"/>
    <cellStyle name="Normal 3 54 2 6" xfId="2768" xr:uid="{00000000-0005-0000-0000-0000450B0000}"/>
    <cellStyle name="Normal 3 54 2 7" xfId="2769" xr:uid="{00000000-0005-0000-0000-0000460B0000}"/>
    <cellStyle name="Normal 3 54 2 8" xfId="2770" xr:uid="{00000000-0005-0000-0000-0000470B0000}"/>
    <cellStyle name="Normal 3 54 2 9" xfId="2771" xr:uid="{00000000-0005-0000-0000-0000480B0000}"/>
    <cellStyle name="Normal 3 54 3" xfId="2772" xr:uid="{00000000-0005-0000-0000-0000490B0000}"/>
    <cellStyle name="Normal 3 54 4" xfId="2773" xr:uid="{00000000-0005-0000-0000-00004A0B0000}"/>
    <cellStyle name="Normal 3 54 5" xfId="2774" xr:uid="{00000000-0005-0000-0000-00004B0B0000}"/>
    <cellStyle name="Normal 3 54 6" xfId="2775" xr:uid="{00000000-0005-0000-0000-00004C0B0000}"/>
    <cellStyle name="Normal 3 54 7" xfId="2776" xr:uid="{00000000-0005-0000-0000-00004D0B0000}"/>
    <cellStyle name="Normal 3 54 8" xfId="2777" xr:uid="{00000000-0005-0000-0000-00004E0B0000}"/>
    <cellStyle name="Normal 3 54 9" xfId="2778" xr:uid="{00000000-0005-0000-0000-00004F0B0000}"/>
    <cellStyle name="Normal 3 55" xfId="2779" xr:uid="{00000000-0005-0000-0000-0000500B0000}"/>
    <cellStyle name="Normal 3 55 10" xfId="2780" xr:uid="{00000000-0005-0000-0000-0000510B0000}"/>
    <cellStyle name="Normal 3 55 11" xfId="2781" xr:uid="{00000000-0005-0000-0000-0000520B0000}"/>
    <cellStyle name="Normal 3 55 12" xfId="2782" xr:uid="{00000000-0005-0000-0000-0000530B0000}"/>
    <cellStyle name="Normal 3 55 13" xfId="2783" xr:uid="{00000000-0005-0000-0000-0000540B0000}"/>
    <cellStyle name="Normal 3 55 2" xfId="2784" xr:uid="{00000000-0005-0000-0000-0000550B0000}"/>
    <cellStyle name="Normal 3 55 2 10" xfId="2785" xr:uid="{00000000-0005-0000-0000-0000560B0000}"/>
    <cellStyle name="Normal 3 55 2 11" xfId="2786" xr:uid="{00000000-0005-0000-0000-0000570B0000}"/>
    <cellStyle name="Normal 3 55 2 12" xfId="2787" xr:uid="{00000000-0005-0000-0000-0000580B0000}"/>
    <cellStyle name="Normal 3 55 2 2" xfId="2788" xr:uid="{00000000-0005-0000-0000-0000590B0000}"/>
    <cellStyle name="Normal 3 55 2 3" xfId="2789" xr:uid="{00000000-0005-0000-0000-00005A0B0000}"/>
    <cellStyle name="Normal 3 55 2 4" xfId="2790" xr:uid="{00000000-0005-0000-0000-00005B0B0000}"/>
    <cellStyle name="Normal 3 55 2 5" xfId="2791" xr:uid="{00000000-0005-0000-0000-00005C0B0000}"/>
    <cellStyle name="Normal 3 55 2 6" xfId="2792" xr:uid="{00000000-0005-0000-0000-00005D0B0000}"/>
    <cellStyle name="Normal 3 55 2 7" xfId="2793" xr:uid="{00000000-0005-0000-0000-00005E0B0000}"/>
    <cellStyle name="Normal 3 55 2 8" xfId="2794" xr:uid="{00000000-0005-0000-0000-00005F0B0000}"/>
    <cellStyle name="Normal 3 55 2 9" xfId="2795" xr:uid="{00000000-0005-0000-0000-0000600B0000}"/>
    <cellStyle name="Normal 3 55 3" xfId="2796" xr:uid="{00000000-0005-0000-0000-0000610B0000}"/>
    <cellStyle name="Normal 3 55 4" xfId="2797" xr:uid="{00000000-0005-0000-0000-0000620B0000}"/>
    <cellStyle name="Normal 3 55 5" xfId="2798" xr:uid="{00000000-0005-0000-0000-0000630B0000}"/>
    <cellStyle name="Normal 3 55 6" xfId="2799" xr:uid="{00000000-0005-0000-0000-0000640B0000}"/>
    <cellStyle name="Normal 3 55 7" xfId="2800" xr:uid="{00000000-0005-0000-0000-0000650B0000}"/>
    <cellStyle name="Normal 3 55 8" xfId="2801" xr:uid="{00000000-0005-0000-0000-0000660B0000}"/>
    <cellStyle name="Normal 3 55 9" xfId="2802" xr:uid="{00000000-0005-0000-0000-0000670B0000}"/>
    <cellStyle name="Normal 3 56" xfId="2803" xr:uid="{00000000-0005-0000-0000-0000680B0000}"/>
    <cellStyle name="Normal 3 56 10" xfId="2804" xr:uid="{00000000-0005-0000-0000-0000690B0000}"/>
    <cellStyle name="Normal 3 56 11" xfId="2805" xr:uid="{00000000-0005-0000-0000-00006A0B0000}"/>
    <cellStyle name="Normal 3 56 12" xfId="2806" xr:uid="{00000000-0005-0000-0000-00006B0B0000}"/>
    <cellStyle name="Normal 3 56 13" xfId="2807" xr:uid="{00000000-0005-0000-0000-00006C0B0000}"/>
    <cellStyle name="Normal 3 56 2" xfId="2808" xr:uid="{00000000-0005-0000-0000-00006D0B0000}"/>
    <cellStyle name="Normal 3 56 2 10" xfId="2809" xr:uid="{00000000-0005-0000-0000-00006E0B0000}"/>
    <cellStyle name="Normal 3 56 2 11" xfId="2810" xr:uid="{00000000-0005-0000-0000-00006F0B0000}"/>
    <cellStyle name="Normal 3 56 2 12" xfId="2811" xr:uid="{00000000-0005-0000-0000-0000700B0000}"/>
    <cellStyle name="Normal 3 56 2 2" xfId="2812" xr:uid="{00000000-0005-0000-0000-0000710B0000}"/>
    <cellStyle name="Normal 3 56 2 3" xfId="2813" xr:uid="{00000000-0005-0000-0000-0000720B0000}"/>
    <cellStyle name="Normal 3 56 2 4" xfId="2814" xr:uid="{00000000-0005-0000-0000-0000730B0000}"/>
    <cellStyle name="Normal 3 56 2 5" xfId="2815" xr:uid="{00000000-0005-0000-0000-0000740B0000}"/>
    <cellStyle name="Normal 3 56 2 6" xfId="2816" xr:uid="{00000000-0005-0000-0000-0000750B0000}"/>
    <cellStyle name="Normal 3 56 2 7" xfId="2817" xr:uid="{00000000-0005-0000-0000-0000760B0000}"/>
    <cellStyle name="Normal 3 56 2 8" xfId="2818" xr:uid="{00000000-0005-0000-0000-0000770B0000}"/>
    <cellStyle name="Normal 3 56 2 9" xfId="2819" xr:uid="{00000000-0005-0000-0000-0000780B0000}"/>
    <cellStyle name="Normal 3 56 3" xfId="2820" xr:uid="{00000000-0005-0000-0000-0000790B0000}"/>
    <cellStyle name="Normal 3 56 4" xfId="2821" xr:uid="{00000000-0005-0000-0000-00007A0B0000}"/>
    <cellStyle name="Normal 3 56 5" xfId="2822" xr:uid="{00000000-0005-0000-0000-00007B0B0000}"/>
    <cellStyle name="Normal 3 56 6" xfId="2823" xr:uid="{00000000-0005-0000-0000-00007C0B0000}"/>
    <cellStyle name="Normal 3 56 7" xfId="2824" xr:uid="{00000000-0005-0000-0000-00007D0B0000}"/>
    <cellStyle name="Normal 3 56 8" xfId="2825" xr:uid="{00000000-0005-0000-0000-00007E0B0000}"/>
    <cellStyle name="Normal 3 56 9" xfId="2826" xr:uid="{00000000-0005-0000-0000-00007F0B0000}"/>
    <cellStyle name="Normal 3 57" xfId="2827" xr:uid="{00000000-0005-0000-0000-0000800B0000}"/>
    <cellStyle name="Normal 3 57 10" xfId="2828" xr:uid="{00000000-0005-0000-0000-0000810B0000}"/>
    <cellStyle name="Normal 3 57 11" xfId="2829" xr:uid="{00000000-0005-0000-0000-0000820B0000}"/>
    <cellStyle name="Normal 3 57 12" xfId="2830" xr:uid="{00000000-0005-0000-0000-0000830B0000}"/>
    <cellStyle name="Normal 3 57 13" xfId="2831" xr:uid="{00000000-0005-0000-0000-0000840B0000}"/>
    <cellStyle name="Normal 3 57 2" xfId="2832" xr:uid="{00000000-0005-0000-0000-0000850B0000}"/>
    <cellStyle name="Normal 3 57 2 10" xfId="2833" xr:uid="{00000000-0005-0000-0000-0000860B0000}"/>
    <cellStyle name="Normal 3 57 2 11" xfId="2834" xr:uid="{00000000-0005-0000-0000-0000870B0000}"/>
    <cellStyle name="Normal 3 57 2 12" xfId="2835" xr:uid="{00000000-0005-0000-0000-0000880B0000}"/>
    <cellStyle name="Normal 3 57 2 2" xfId="2836" xr:uid="{00000000-0005-0000-0000-0000890B0000}"/>
    <cellStyle name="Normal 3 57 2 3" xfId="2837" xr:uid="{00000000-0005-0000-0000-00008A0B0000}"/>
    <cellStyle name="Normal 3 57 2 4" xfId="2838" xr:uid="{00000000-0005-0000-0000-00008B0B0000}"/>
    <cellStyle name="Normal 3 57 2 5" xfId="2839" xr:uid="{00000000-0005-0000-0000-00008C0B0000}"/>
    <cellStyle name="Normal 3 57 2 6" xfId="2840" xr:uid="{00000000-0005-0000-0000-00008D0B0000}"/>
    <cellStyle name="Normal 3 57 2 7" xfId="2841" xr:uid="{00000000-0005-0000-0000-00008E0B0000}"/>
    <cellStyle name="Normal 3 57 2 8" xfId="2842" xr:uid="{00000000-0005-0000-0000-00008F0B0000}"/>
    <cellStyle name="Normal 3 57 2 9" xfId="2843" xr:uid="{00000000-0005-0000-0000-0000900B0000}"/>
    <cellStyle name="Normal 3 57 3" xfId="2844" xr:uid="{00000000-0005-0000-0000-0000910B0000}"/>
    <cellStyle name="Normal 3 57 4" xfId="2845" xr:uid="{00000000-0005-0000-0000-0000920B0000}"/>
    <cellStyle name="Normal 3 57 5" xfId="2846" xr:uid="{00000000-0005-0000-0000-0000930B0000}"/>
    <cellStyle name="Normal 3 57 6" xfId="2847" xr:uid="{00000000-0005-0000-0000-0000940B0000}"/>
    <cellStyle name="Normal 3 57 7" xfId="2848" xr:uid="{00000000-0005-0000-0000-0000950B0000}"/>
    <cellStyle name="Normal 3 57 8" xfId="2849" xr:uid="{00000000-0005-0000-0000-0000960B0000}"/>
    <cellStyle name="Normal 3 57 9" xfId="2850" xr:uid="{00000000-0005-0000-0000-0000970B0000}"/>
    <cellStyle name="Normal 3 58" xfId="2851" xr:uid="{00000000-0005-0000-0000-0000980B0000}"/>
    <cellStyle name="Normal 3 58 10" xfId="2852" xr:uid="{00000000-0005-0000-0000-0000990B0000}"/>
    <cellStyle name="Normal 3 58 11" xfId="2853" xr:uid="{00000000-0005-0000-0000-00009A0B0000}"/>
    <cellStyle name="Normal 3 58 12" xfId="2854" xr:uid="{00000000-0005-0000-0000-00009B0B0000}"/>
    <cellStyle name="Normal 3 58 13" xfId="2855" xr:uid="{00000000-0005-0000-0000-00009C0B0000}"/>
    <cellStyle name="Normal 3 58 2" xfId="2856" xr:uid="{00000000-0005-0000-0000-00009D0B0000}"/>
    <cellStyle name="Normal 3 58 2 10" xfId="2857" xr:uid="{00000000-0005-0000-0000-00009E0B0000}"/>
    <cellStyle name="Normal 3 58 2 11" xfId="2858" xr:uid="{00000000-0005-0000-0000-00009F0B0000}"/>
    <cellStyle name="Normal 3 58 2 12" xfId="2859" xr:uid="{00000000-0005-0000-0000-0000A00B0000}"/>
    <cellStyle name="Normal 3 58 2 2" xfId="2860" xr:uid="{00000000-0005-0000-0000-0000A10B0000}"/>
    <cellStyle name="Normal 3 58 2 3" xfId="2861" xr:uid="{00000000-0005-0000-0000-0000A20B0000}"/>
    <cellStyle name="Normal 3 58 2 4" xfId="2862" xr:uid="{00000000-0005-0000-0000-0000A30B0000}"/>
    <cellStyle name="Normal 3 58 2 5" xfId="2863" xr:uid="{00000000-0005-0000-0000-0000A40B0000}"/>
    <cellStyle name="Normal 3 58 2 6" xfId="2864" xr:uid="{00000000-0005-0000-0000-0000A50B0000}"/>
    <cellStyle name="Normal 3 58 2 7" xfId="2865" xr:uid="{00000000-0005-0000-0000-0000A60B0000}"/>
    <cellStyle name="Normal 3 58 2 8" xfId="2866" xr:uid="{00000000-0005-0000-0000-0000A70B0000}"/>
    <cellStyle name="Normal 3 58 2 9" xfId="2867" xr:uid="{00000000-0005-0000-0000-0000A80B0000}"/>
    <cellStyle name="Normal 3 58 3" xfId="2868" xr:uid="{00000000-0005-0000-0000-0000A90B0000}"/>
    <cellStyle name="Normal 3 58 4" xfId="2869" xr:uid="{00000000-0005-0000-0000-0000AA0B0000}"/>
    <cellStyle name="Normal 3 58 5" xfId="2870" xr:uid="{00000000-0005-0000-0000-0000AB0B0000}"/>
    <cellStyle name="Normal 3 58 6" xfId="2871" xr:uid="{00000000-0005-0000-0000-0000AC0B0000}"/>
    <cellStyle name="Normal 3 58 7" xfId="2872" xr:uid="{00000000-0005-0000-0000-0000AD0B0000}"/>
    <cellStyle name="Normal 3 58 8" xfId="2873" xr:uid="{00000000-0005-0000-0000-0000AE0B0000}"/>
    <cellStyle name="Normal 3 58 9" xfId="2874" xr:uid="{00000000-0005-0000-0000-0000AF0B0000}"/>
    <cellStyle name="Normal 3 59" xfId="2875" xr:uid="{00000000-0005-0000-0000-0000B00B0000}"/>
    <cellStyle name="Normal 3 59 10" xfId="2876" xr:uid="{00000000-0005-0000-0000-0000B10B0000}"/>
    <cellStyle name="Normal 3 59 11" xfId="2877" xr:uid="{00000000-0005-0000-0000-0000B20B0000}"/>
    <cellStyle name="Normal 3 59 12" xfId="2878" xr:uid="{00000000-0005-0000-0000-0000B30B0000}"/>
    <cellStyle name="Normal 3 59 13" xfId="2879" xr:uid="{00000000-0005-0000-0000-0000B40B0000}"/>
    <cellStyle name="Normal 3 59 2" xfId="2880" xr:uid="{00000000-0005-0000-0000-0000B50B0000}"/>
    <cellStyle name="Normal 3 59 2 10" xfId="2881" xr:uid="{00000000-0005-0000-0000-0000B60B0000}"/>
    <cellStyle name="Normal 3 59 2 11" xfId="2882" xr:uid="{00000000-0005-0000-0000-0000B70B0000}"/>
    <cellStyle name="Normal 3 59 2 12" xfId="2883" xr:uid="{00000000-0005-0000-0000-0000B80B0000}"/>
    <cellStyle name="Normal 3 59 2 2" xfId="2884" xr:uid="{00000000-0005-0000-0000-0000B90B0000}"/>
    <cellStyle name="Normal 3 59 2 3" xfId="2885" xr:uid="{00000000-0005-0000-0000-0000BA0B0000}"/>
    <cellStyle name="Normal 3 59 2 4" xfId="2886" xr:uid="{00000000-0005-0000-0000-0000BB0B0000}"/>
    <cellStyle name="Normal 3 59 2 5" xfId="2887" xr:uid="{00000000-0005-0000-0000-0000BC0B0000}"/>
    <cellStyle name="Normal 3 59 2 6" xfId="2888" xr:uid="{00000000-0005-0000-0000-0000BD0B0000}"/>
    <cellStyle name="Normal 3 59 2 7" xfId="2889" xr:uid="{00000000-0005-0000-0000-0000BE0B0000}"/>
    <cellStyle name="Normal 3 59 2 8" xfId="2890" xr:uid="{00000000-0005-0000-0000-0000BF0B0000}"/>
    <cellStyle name="Normal 3 59 2 9" xfId="2891" xr:uid="{00000000-0005-0000-0000-0000C00B0000}"/>
    <cellStyle name="Normal 3 59 3" xfId="2892" xr:uid="{00000000-0005-0000-0000-0000C10B0000}"/>
    <cellStyle name="Normal 3 59 4" xfId="2893" xr:uid="{00000000-0005-0000-0000-0000C20B0000}"/>
    <cellStyle name="Normal 3 59 5" xfId="2894" xr:uid="{00000000-0005-0000-0000-0000C30B0000}"/>
    <cellStyle name="Normal 3 59 6" xfId="2895" xr:uid="{00000000-0005-0000-0000-0000C40B0000}"/>
    <cellStyle name="Normal 3 59 7" xfId="2896" xr:uid="{00000000-0005-0000-0000-0000C50B0000}"/>
    <cellStyle name="Normal 3 59 8" xfId="2897" xr:uid="{00000000-0005-0000-0000-0000C60B0000}"/>
    <cellStyle name="Normal 3 59 9" xfId="2898" xr:uid="{00000000-0005-0000-0000-0000C70B0000}"/>
    <cellStyle name="Normal 3 6" xfId="2899" xr:uid="{00000000-0005-0000-0000-0000C80B0000}"/>
    <cellStyle name="Normal 3 6 10" xfId="2900" xr:uid="{00000000-0005-0000-0000-0000C90B0000}"/>
    <cellStyle name="Normal 3 6 11" xfId="2901" xr:uid="{00000000-0005-0000-0000-0000CA0B0000}"/>
    <cellStyle name="Normal 3 6 12" xfId="2902" xr:uid="{00000000-0005-0000-0000-0000CB0B0000}"/>
    <cellStyle name="Normal 3 6 13" xfId="2903" xr:uid="{00000000-0005-0000-0000-0000CC0B0000}"/>
    <cellStyle name="Normal 3 6 2" xfId="2904" xr:uid="{00000000-0005-0000-0000-0000CD0B0000}"/>
    <cellStyle name="Normal 3 6 2 10" xfId="2905" xr:uid="{00000000-0005-0000-0000-0000CE0B0000}"/>
    <cellStyle name="Normal 3 6 2 11" xfId="2906" xr:uid="{00000000-0005-0000-0000-0000CF0B0000}"/>
    <cellStyle name="Normal 3 6 2 12" xfId="2907" xr:uid="{00000000-0005-0000-0000-0000D00B0000}"/>
    <cellStyle name="Normal 3 6 2 2" xfId="2908" xr:uid="{00000000-0005-0000-0000-0000D10B0000}"/>
    <cellStyle name="Normal 3 6 2 3" xfId="2909" xr:uid="{00000000-0005-0000-0000-0000D20B0000}"/>
    <cellStyle name="Normal 3 6 2 4" xfId="2910" xr:uid="{00000000-0005-0000-0000-0000D30B0000}"/>
    <cellStyle name="Normal 3 6 2 5" xfId="2911" xr:uid="{00000000-0005-0000-0000-0000D40B0000}"/>
    <cellStyle name="Normal 3 6 2 6" xfId="2912" xr:uid="{00000000-0005-0000-0000-0000D50B0000}"/>
    <cellStyle name="Normal 3 6 2 7" xfId="2913" xr:uid="{00000000-0005-0000-0000-0000D60B0000}"/>
    <cellStyle name="Normal 3 6 2 8" xfId="2914" xr:uid="{00000000-0005-0000-0000-0000D70B0000}"/>
    <cellStyle name="Normal 3 6 2 9" xfId="2915" xr:uid="{00000000-0005-0000-0000-0000D80B0000}"/>
    <cellStyle name="Normal 3 6 3" xfId="2916" xr:uid="{00000000-0005-0000-0000-0000D90B0000}"/>
    <cellStyle name="Normal 3 6 4" xfId="2917" xr:uid="{00000000-0005-0000-0000-0000DA0B0000}"/>
    <cellStyle name="Normal 3 6 5" xfId="2918" xr:uid="{00000000-0005-0000-0000-0000DB0B0000}"/>
    <cellStyle name="Normal 3 6 6" xfId="2919" xr:uid="{00000000-0005-0000-0000-0000DC0B0000}"/>
    <cellStyle name="Normal 3 6 7" xfId="2920" xr:uid="{00000000-0005-0000-0000-0000DD0B0000}"/>
    <cellStyle name="Normal 3 6 8" xfId="2921" xr:uid="{00000000-0005-0000-0000-0000DE0B0000}"/>
    <cellStyle name="Normal 3 6 9" xfId="2922" xr:uid="{00000000-0005-0000-0000-0000DF0B0000}"/>
    <cellStyle name="Normal 3 60" xfId="2923" xr:uid="{00000000-0005-0000-0000-0000E00B0000}"/>
    <cellStyle name="Normal 3 60 10" xfId="2924" xr:uid="{00000000-0005-0000-0000-0000E10B0000}"/>
    <cellStyle name="Normal 3 60 11" xfId="2925" xr:uid="{00000000-0005-0000-0000-0000E20B0000}"/>
    <cellStyle name="Normal 3 60 12" xfId="2926" xr:uid="{00000000-0005-0000-0000-0000E30B0000}"/>
    <cellStyle name="Normal 3 60 13" xfId="2927" xr:uid="{00000000-0005-0000-0000-0000E40B0000}"/>
    <cellStyle name="Normal 3 60 2" xfId="2928" xr:uid="{00000000-0005-0000-0000-0000E50B0000}"/>
    <cellStyle name="Normal 3 60 2 10" xfId="2929" xr:uid="{00000000-0005-0000-0000-0000E60B0000}"/>
    <cellStyle name="Normal 3 60 2 11" xfId="2930" xr:uid="{00000000-0005-0000-0000-0000E70B0000}"/>
    <cellStyle name="Normal 3 60 2 12" xfId="2931" xr:uid="{00000000-0005-0000-0000-0000E80B0000}"/>
    <cellStyle name="Normal 3 60 2 2" xfId="2932" xr:uid="{00000000-0005-0000-0000-0000E90B0000}"/>
    <cellStyle name="Normal 3 60 2 3" xfId="2933" xr:uid="{00000000-0005-0000-0000-0000EA0B0000}"/>
    <cellStyle name="Normal 3 60 2 4" xfId="2934" xr:uid="{00000000-0005-0000-0000-0000EB0B0000}"/>
    <cellStyle name="Normal 3 60 2 5" xfId="2935" xr:uid="{00000000-0005-0000-0000-0000EC0B0000}"/>
    <cellStyle name="Normal 3 60 2 6" xfId="2936" xr:uid="{00000000-0005-0000-0000-0000ED0B0000}"/>
    <cellStyle name="Normal 3 60 2 7" xfId="2937" xr:uid="{00000000-0005-0000-0000-0000EE0B0000}"/>
    <cellStyle name="Normal 3 60 2 8" xfId="2938" xr:uid="{00000000-0005-0000-0000-0000EF0B0000}"/>
    <cellStyle name="Normal 3 60 2 9" xfId="2939" xr:uid="{00000000-0005-0000-0000-0000F00B0000}"/>
    <cellStyle name="Normal 3 60 3" xfId="2940" xr:uid="{00000000-0005-0000-0000-0000F10B0000}"/>
    <cellStyle name="Normal 3 60 4" xfId="2941" xr:uid="{00000000-0005-0000-0000-0000F20B0000}"/>
    <cellStyle name="Normal 3 60 5" xfId="2942" xr:uid="{00000000-0005-0000-0000-0000F30B0000}"/>
    <cellStyle name="Normal 3 60 6" xfId="2943" xr:uid="{00000000-0005-0000-0000-0000F40B0000}"/>
    <cellStyle name="Normal 3 60 7" xfId="2944" xr:uid="{00000000-0005-0000-0000-0000F50B0000}"/>
    <cellStyle name="Normal 3 60 8" xfId="2945" xr:uid="{00000000-0005-0000-0000-0000F60B0000}"/>
    <cellStyle name="Normal 3 60 9" xfId="2946" xr:uid="{00000000-0005-0000-0000-0000F70B0000}"/>
    <cellStyle name="Normal 3 61" xfId="2947" xr:uid="{00000000-0005-0000-0000-0000F80B0000}"/>
    <cellStyle name="Normal 3 61 10" xfId="2948" xr:uid="{00000000-0005-0000-0000-0000F90B0000}"/>
    <cellStyle name="Normal 3 61 11" xfId="2949" xr:uid="{00000000-0005-0000-0000-0000FA0B0000}"/>
    <cellStyle name="Normal 3 61 12" xfId="2950" xr:uid="{00000000-0005-0000-0000-0000FB0B0000}"/>
    <cellStyle name="Normal 3 61 13" xfId="2951" xr:uid="{00000000-0005-0000-0000-0000FC0B0000}"/>
    <cellStyle name="Normal 3 61 2" xfId="2952" xr:uid="{00000000-0005-0000-0000-0000FD0B0000}"/>
    <cellStyle name="Normal 3 61 2 10" xfId="2953" xr:uid="{00000000-0005-0000-0000-0000FE0B0000}"/>
    <cellStyle name="Normal 3 61 2 11" xfId="2954" xr:uid="{00000000-0005-0000-0000-0000FF0B0000}"/>
    <cellStyle name="Normal 3 61 2 12" xfId="2955" xr:uid="{00000000-0005-0000-0000-0000000C0000}"/>
    <cellStyle name="Normal 3 61 2 2" xfId="2956" xr:uid="{00000000-0005-0000-0000-0000010C0000}"/>
    <cellStyle name="Normal 3 61 2 3" xfId="2957" xr:uid="{00000000-0005-0000-0000-0000020C0000}"/>
    <cellStyle name="Normal 3 61 2 4" xfId="2958" xr:uid="{00000000-0005-0000-0000-0000030C0000}"/>
    <cellStyle name="Normal 3 61 2 5" xfId="2959" xr:uid="{00000000-0005-0000-0000-0000040C0000}"/>
    <cellStyle name="Normal 3 61 2 6" xfId="2960" xr:uid="{00000000-0005-0000-0000-0000050C0000}"/>
    <cellStyle name="Normal 3 61 2 7" xfId="2961" xr:uid="{00000000-0005-0000-0000-0000060C0000}"/>
    <cellStyle name="Normal 3 61 2 8" xfId="2962" xr:uid="{00000000-0005-0000-0000-0000070C0000}"/>
    <cellStyle name="Normal 3 61 2 9" xfId="2963" xr:uid="{00000000-0005-0000-0000-0000080C0000}"/>
    <cellStyle name="Normal 3 61 3" xfId="2964" xr:uid="{00000000-0005-0000-0000-0000090C0000}"/>
    <cellStyle name="Normal 3 61 4" xfId="2965" xr:uid="{00000000-0005-0000-0000-00000A0C0000}"/>
    <cellStyle name="Normal 3 61 5" xfId="2966" xr:uid="{00000000-0005-0000-0000-00000B0C0000}"/>
    <cellStyle name="Normal 3 61 6" xfId="2967" xr:uid="{00000000-0005-0000-0000-00000C0C0000}"/>
    <cellStyle name="Normal 3 61 7" xfId="2968" xr:uid="{00000000-0005-0000-0000-00000D0C0000}"/>
    <cellStyle name="Normal 3 61 8" xfId="2969" xr:uid="{00000000-0005-0000-0000-00000E0C0000}"/>
    <cellStyle name="Normal 3 61 9" xfId="2970" xr:uid="{00000000-0005-0000-0000-00000F0C0000}"/>
    <cellStyle name="Normal 3 62" xfId="2971" xr:uid="{00000000-0005-0000-0000-0000100C0000}"/>
    <cellStyle name="Normal 3 62 10" xfId="2972" xr:uid="{00000000-0005-0000-0000-0000110C0000}"/>
    <cellStyle name="Normal 3 62 11" xfId="2973" xr:uid="{00000000-0005-0000-0000-0000120C0000}"/>
    <cellStyle name="Normal 3 62 12" xfId="2974" xr:uid="{00000000-0005-0000-0000-0000130C0000}"/>
    <cellStyle name="Normal 3 62 13" xfId="2975" xr:uid="{00000000-0005-0000-0000-0000140C0000}"/>
    <cellStyle name="Normal 3 62 2" xfId="2976" xr:uid="{00000000-0005-0000-0000-0000150C0000}"/>
    <cellStyle name="Normal 3 62 2 10" xfId="2977" xr:uid="{00000000-0005-0000-0000-0000160C0000}"/>
    <cellStyle name="Normal 3 62 2 11" xfId="2978" xr:uid="{00000000-0005-0000-0000-0000170C0000}"/>
    <cellStyle name="Normal 3 62 2 12" xfId="2979" xr:uid="{00000000-0005-0000-0000-0000180C0000}"/>
    <cellStyle name="Normal 3 62 2 2" xfId="2980" xr:uid="{00000000-0005-0000-0000-0000190C0000}"/>
    <cellStyle name="Normal 3 62 2 3" xfId="2981" xr:uid="{00000000-0005-0000-0000-00001A0C0000}"/>
    <cellStyle name="Normal 3 62 2 4" xfId="2982" xr:uid="{00000000-0005-0000-0000-00001B0C0000}"/>
    <cellStyle name="Normal 3 62 2 5" xfId="2983" xr:uid="{00000000-0005-0000-0000-00001C0C0000}"/>
    <cellStyle name="Normal 3 62 2 6" xfId="2984" xr:uid="{00000000-0005-0000-0000-00001D0C0000}"/>
    <cellStyle name="Normal 3 62 2 7" xfId="2985" xr:uid="{00000000-0005-0000-0000-00001E0C0000}"/>
    <cellStyle name="Normal 3 62 2 8" xfId="2986" xr:uid="{00000000-0005-0000-0000-00001F0C0000}"/>
    <cellStyle name="Normal 3 62 2 9" xfId="2987" xr:uid="{00000000-0005-0000-0000-0000200C0000}"/>
    <cellStyle name="Normal 3 62 3" xfId="2988" xr:uid="{00000000-0005-0000-0000-0000210C0000}"/>
    <cellStyle name="Normal 3 62 4" xfId="2989" xr:uid="{00000000-0005-0000-0000-0000220C0000}"/>
    <cellStyle name="Normal 3 62 5" xfId="2990" xr:uid="{00000000-0005-0000-0000-0000230C0000}"/>
    <cellStyle name="Normal 3 62 6" xfId="2991" xr:uid="{00000000-0005-0000-0000-0000240C0000}"/>
    <cellStyle name="Normal 3 62 7" xfId="2992" xr:uid="{00000000-0005-0000-0000-0000250C0000}"/>
    <cellStyle name="Normal 3 62 8" xfId="2993" xr:uid="{00000000-0005-0000-0000-0000260C0000}"/>
    <cellStyle name="Normal 3 62 9" xfId="2994" xr:uid="{00000000-0005-0000-0000-0000270C0000}"/>
    <cellStyle name="Normal 3 63" xfId="2995" xr:uid="{00000000-0005-0000-0000-0000280C0000}"/>
    <cellStyle name="Normal 3 63 10" xfId="2996" xr:uid="{00000000-0005-0000-0000-0000290C0000}"/>
    <cellStyle name="Normal 3 63 11" xfId="2997" xr:uid="{00000000-0005-0000-0000-00002A0C0000}"/>
    <cellStyle name="Normal 3 63 12" xfId="2998" xr:uid="{00000000-0005-0000-0000-00002B0C0000}"/>
    <cellStyle name="Normal 3 63 13" xfId="2999" xr:uid="{00000000-0005-0000-0000-00002C0C0000}"/>
    <cellStyle name="Normal 3 63 2" xfId="3000" xr:uid="{00000000-0005-0000-0000-00002D0C0000}"/>
    <cellStyle name="Normal 3 63 2 10" xfId="3001" xr:uid="{00000000-0005-0000-0000-00002E0C0000}"/>
    <cellStyle name="Normal 3 63 2 11" xfId="3002" xr:uid="{00000000-0005-0000-0000-00002F0C0000}"/>
    <cellStyle name="Normal 3 63 2 12" xfId="3003" xr:uid="{00000000-0005-0000-0000-0000300C0000}"/>
    <cellStyle name="Normal 3 63 2 2" xfId="3004" xr:uid="{00000000-0005-0000-0000-0000310C0000}"/>
    <cellStyle name="Normal 3 63 2 3" xfId="3005" xr:uid="{00000000-0005-0000-0000-0000320C0000}"/>
    <cellStyle name="Normal 3 63 2 4" xfId="3006" xr:uid="{00000000-0005-0000-0000-0000330C0000}"/>
    <cellStyle name="Normal 3 63 2 5" xfId="3007" xr:uid="{00000000-0005-0000-0000-0000340C0000}"/>
    <cellStyle name="Normal 3 63 2 6" xfId="3008" xr:uid="{00000000-0005-0000-0000-0000350C0000}"/>
    <cellStyle name="Normal 3 63 2 7" xfId="3009" xr:uid="{00000000-0005-0000-0000-0000360C0000}"/>
    <cellStyle name="Normal 3 63 2 8" xfId="3010" xr:uid="{00000000-0005-0000-0000-0000370C0000}"/>
    <cellStyle name="Normal 3 63 2 9" xfId="3011" xr:uid="{00000000-0005-0000-0000-0000380C0000}"/>
    <cellStyle name="Normal 3 63 3" xfId="3012" xr:uid="{00000000-0005-0000-0000-0000390C0000}"/>
    <cellStyle name="Normal 3 63 4" xfId="3013" xr:uid="{00000000-0005-0000-0000-00003A0C0000}"/>
    <cellStyle name="Normal 3 63 5" xfId="3014" xr:uid="{00000000-0005-0000-0000-00003B0C0000}"/>
    <cellStyle name="Normal 3 63 6" xfId="3015" xr:uid="{00000000-0005-0000-0000-00003C0C0000}"/>
    <cellStyle name="Normal 3 63 7" xfId="3016" xr:uid="{00000000-0005-0000-0000-00003D0C0000}"/>
    <cellStyle name="Normal 3 63 8" xfId="3017" xr:uid="{00000000-0005-0000-0000-00003E0C0000}"/>
    <cellStyle name="Normal 3 63 9" xfId="3018" xr:uid="{00000000-0005-0000-0000-00003F0C0000}"/>
    <cellStyle name="Normal 3 64" xfId="3019" xr:uid="{00000000-0005-0000-0000-0000400C0000}"/>
    <cellStyle name="Normal 3 64 10" xfId="3020" xr:uid="{00000000-0005-0000-0000-0000410C0000}"/>
    <cellStyle name="Normal 3 64 11" xfId="3021" xr:uid="{00000000-0005-0000-0000-0000420C0000}"/>
    <cellStyle name="Normal 3 64 12" xfId="3022" xr:uid="{00000000-0005-0000-0000-0000430C0000}"/>
    <cellStyle name="Normal 3 64 2" xfId="3023" xr:uid="{00000000-0005-0000-0000-0000440C0000}"/>
    <cellStyle name="Normal 3 64 3" xfId="3024" xr:uid="{00000000-0005-0000-0000-0000450C0000}"/>
    <cellStyle name="Normal 3 64 4" xfId="3025" xr:uid="{00000000-0005-0000-0000-0000460C0000}"/>
    <cellStyle name="Normal 3 64 5" xfId="3026" xr:uid="{00000000-0005-0000-0000-0000470C0000}"/>
    <cellStyle name="Normal 3 64 6" xfId="3027" xr:uid="{00000000-0005-0000-0000-0000480C0000}"/>
    <cellStyle name="Normal 3 64 7" xfId="3028" xr:uid="{00000000-0005-0000-0000-0000490C0000}"/>
    <cellStyle name="Normal 3 64 8" xfId="3029" xr:uid="{00000000-0005-0000-0000-00004A0C0000}"/>
    <cellStyle name="Normal 3 64 9" xfId="3030" xr:uid="{00000000-0005-0000-0000-00004B0C0000}"/>
    <cellStyle name="Normal 3 65" xfId="3031" xr:uid="{00000000-0005-0000-0000-00004C0C0000}"/>
    <cellStyle name="Normal 3 65 10" xfId="3032" xr:uid="{00000000-0005-0000-0000-00004D0C0000}"/>
    <cellStyle name="Normal 3 65 11" xfId="3033" xr:uid="{00000000-0005-0000-0000-00004E0C0000}"/>
    <cellStyle name="Normal 3 65 12" xfId="3034" xr:uid="{00000000-0005-0000-0000-00004F0C0000}"/>
    <cellStyle name="Normal 3 65 2" xfId="3035" xr:uid="{00000000-0005-0000-0000-0000500C0000}"/>
    <cellStyle name="Normal 3 65 3" xfId="3036" xr:uid="{00000000-0005-0000-0000-0000510C0000}"/>
    <cellStyle name="Normal 3 65 4" xfId="3037" xr:uid="{00000000-0005-0000-0000-0000520C0000}"/>
    <cellStyle name="Normal 3 65 5" xfId="3038" xr:uid="{00000000-0005-0000-0000-0000530C0000}"/>
    <cellStyle name="Normal 3 65 6" xfId="3039" xr:uid="{00000000-0005-0000-0000-0000540C0000}"/>
    <cellStyle name="Normal 3 65 7" xfId="3040" xr:uid="{00000000-0005-0000-0000-0000550C0000}"/>
    <cellStyle name="Normal 3 65 8" xfId="3041" xr:uid="{00000000-0005-0000-0000-0000560C0000}"/>
    <cellStyle name="Normal 3 65 9" xfId="3042" xr:uid="{00000000-0005-0000-0000-0000570C0000}"/>
    <cellStyle name="Normal 3 66" xfId="3043" xr:uid="{00000000-0005-0000-0000-0000580C0000}"/>
    <cellStyle name="Normal 3 66 2" xfId="3044" xr:uid="{00000000-0005-0000-0000-0000590C0000}"/>
    <cellStyle name="Normal 3 66 3" xfId="3045" xr:uid="{00000000-0005-0000-0000-00005A0C0000}"/>
    <cellStyle name="Normal 3 66 4" xfId="3046" xr:uid="{00000000-0005-0000-0000-00005B0C0000}"/>
    <cellStyle name="Normal 3 66 5" xfId="3047" xr:uid="{00000000-0005-0000-0000-00005C0C0000}"/>
    <cellStyle name="Normal 3 66 6" xfId="3048" xr:uid="{00000000-0005-0000-0000-00005D0C0000}"/>
    <cellStyle name="Normal 3 66 7" xfId="3049" xr:uid="{00000000-0005-0000-0000-00005E0C0000}"/>
    <cellStyle name="Normal 3 66 8" xfId="3050" xr:uid="{00000000-0005-0000-0000-00005F0C0000}"/>
    <cellStyle name="Normal 3 66 9" xfId="3051" xr:uid="{00000000-0005-0000-0000-0000600C0000}"/>
    <cellStyle name="Normal 3 67" xfId="3052" xr:uid="{00000000-0005-0000-0000-0000610C0000}"/>
    <cellStyle name="Normal 3 68" xfId="3053" xr:uid="{00000000-0005-0000-0000-0000620C0000}"/>
    <cellStyle name="Normal 3 68 2" xfId="3054" xr:uid="{00000000-0005-0000-0000-0000630C0000}"/>
    <cellStyle name="Normal 3 69" xfId="3055" xr:uid="{00000000-0005-0000-0000-0000640C0000}"/>
    <cellStyle name="Normal 3 69 2" xfId="3056" xr:uid="{00000000-0005-0000-0000-0000650C0000}"/>
    <cellStyle name="Normal 3 7" xfId="3057" xr:uid="{00000000-0005-0000-0000-0000660C0000}"/>
    <cellStyle name="Normal 3 7 10" xfId="3058" xr:uid="{00000000-0005-0000-0000-0000670C0000}"/>
    <cellStyle name="Normal 3 7 11" xfId="3059" xr:uid="{00000000-0005-0000-0000-0000680C0000}"/>
    <cellStyle name="Normal 3 7 12" xfId="3060" xr:uid="{00000000-0005-0000-0000-0000690C0000}"/>
    <cellStyle name="Normal 3 7 13" xfId="3061" xr:uid="{00000000-0005-0000-0000-00006A0C0000}"/>
    <cellStyle name="Normal 3 7 2" xfId="3062" xr:uid="{00000000-0005-0000-0000-00006B0C0000}"/>
    <cellStyle name="Normal 3 7 2 10" xfId="3063" xr:uid="{00000000-0005-0000-0000-00006C0C0000}"/>
    <cellStyle name="Normal 3 7 2 11" xfId="3064" xr:uid="{00000000-0005-0000-0000-00006D0C0000}"/>
    <cellStyle name="Normal 3 7 2 12" xfId="3065" xr:uid="{00000000-0005-0000-0000-00006E0C0000}"/>
    <cellStyle name="Normal 3 7 2 2" xfId="3066" xr:uid="{00000000-0005-0000-0000-00006F0C0000}"/>
    <cellStyle name="Normal 3 7 2 3" xfId="3067" xr:uid="{00000000-0005-0000-0000-0000700C0000}"/>
    <cellStyle name="Normal 3 7 2 4" xfId="3068" xr:uid="{00000000-0005-0000-0000-0000710C0000}"/>
    <cellStyle name="Normal 3 7 2 5" xfId="3069" xr:uid="{00000000-0005-0000-0000-0000720C0000}"/>
    <cellStyle name="Normal 3 7 2 6" xfId="3070" xr:uid="{00000000-0005-0000-0000-0000730C0000}"/>
    <cellStyle name="Normal 3 7 2 7" xfId="3071" xr:uid="{00000000-0005-0000-0000-0000740C0000}"/>
    <cellStyle name="Normal 3 7 2 8" xfId="3072" xr:uid="{00000000-0005-0000-0000-0000750C0000}"/>
    <cellStyle name="Normal 3 7 2 9" xfId="3073" xr:uid="{00000000-0005-0000-0000-0000760C0000}"/>
    <cellStyle name="Normal 3 7 3" xfId="3074" xr:uid="{00000000-0005-0000-0000-0000770C0000}"/>
    <cellStyle name="Normal 3 7 4" xfId="3075" xr:uid="{00000000-0005-0000-0000-0000780C0000}"/>
    <cellStyle name="Normal 3 7 5" xfId="3076" xr:uid="{00000000-0005-0000-0000-0000790C0000}"/>
    <cellStyle name="Normal 3 7 6" xfId="3077" xr:uid="{00000000-0005-0000-0000-00007A0C0000}"/>
    <cellStyle name="Normal 3 7 7" xfId="3078" xr:uid="{00000000-0005-0000-0000-00007B0C0000}"/>
    <cellStyle name="Normal 3 7 8" xfId="3079" xr:uid="{00000000-0005-0000-0000-00007C0C0000}"/>
    <cellStyle name="Normal 3 7 9" xfId="3080" xr:uid="{00000000-0005-0000-0000-00007D0C0000}"/>
    <cellStyle name="Normal 3 70" xfId="3081" xr:uid="{00000000-0005-0000-0000-00007E0C0000}"/>
    <cellStyle name="Normal 3 70 2" xfId="3082" xr:uid="{00000000-0005-0000-0000-00007F0C0000}"/>
    <cellStyle name="Normal 3 71" xfId="3083" xr:uid="{00000000-0005-0000-0000-0000800C0000}"/>
    <cellStyle name="Normal 3 71 2" xfId="3084" xr:uid="{00000000-0005-0000-0000-0000810C0000}"/>
    <cellStyle name="Normal 3 72" xfId="3085" xr:uid="{00000000-0005-0000-0000-0000820C0000}"/>
    <cellStyle name="Normal 3 72 2" xfId="3086" xr:uid="{00000000-0005-0000-0000-0000830C0000}"/>
    <cellStyle name="Normal 3 73" xfId="3087" xr:uid="{00000000-0005-0000-0000-0000840C0000}"/>
    <cellStyle name="Normal 3 73 2" xfId="3088" xr:uid="{00000000-0005-0000-0000-0000850C0000}"/>
    <cellStyle name="Normal 3 74" xfId="3089" xr:uid="{00000000-0005-0000-0000-0000860C0000}"/>
    <cellStyle name="Normal 3 75" xfId="3090" xr:uid="{00000000-0005-0000-0000-0000870C0000}"/>
    <cellStyle name="Normal 3 8" xfId="3091" xr:uid="{00000000-0005-0000-0000-0000880C0000}"/>
    <cellStyle name="Normal 3 8 10" xfId="3092" xr:uid="{00000000-0005-0000-0000-0000890C0000}"/>
    <cellStyle name="Normal 3 8 11" xfId="3093" xr:uid="{00000000-0005-0000-0000-00008A0C0000}"/>
    <cellStyle name="Normal 3 8 12" xfId="3094" xr:uid="{00000000-0005-0000-0000-00008B0C0000}"/>
    <cellStyle name="Normal 3 8 13" xfId="3095" xr:uid="{00000000-0005-0000-0000-00008C0C0000}"/>
    <cellStyle name="Normal 3 8 2" xfId="3096" xr:uid="{00000000-0005-0000-0000-00008D0C0000}"/>
    <cellStyle name="Normal 3 8 2 10" xfId="3097" xr:uid="{00000000-0005-0000-0000-00008E0C0000}"/>
    <cellStyle name="Normal 3 8 2 11" xfId="3098" xr:uid="{00000000-0005-0000-0000-00008F0C0000}"/>
    <cellStyle name="Normal 3 8 2 12" xfId="3099" xr:uid="{00000000-0005-0000-0000-0000900C0000}"/>
    <cellStyle name="Normal 3 8 2 2" xfId="3100" xr:uid="{00000000-0005-0000-0000-0000910C0000}"/>
    <cellStyle name="Normal 3 8 2 3" xfId="3101" xr:uid="{00000000-0005-0000-0000-0000920C0000}"/>
    <cellStyle name="Normal 3 8 2 4" xfId="3102" xr:uid="{00000000-0005-0000-0000-0000930C0000}"/>
    <cellStyle name="Normal 3 8 2 5" xfId="3103" xr:uid="{00000000-0005-0000-0000-0000940C0000}"/>
    <cellStyle name="Normal 3 8 2 6" xfId="3104" xr:uid="{00000000-0005-0000-0000-0000950C0000}"/>
    <cellStyle name="Normal 3 8 2 7" xfId="3105" xr:uid="{00000000-0005-0000-0000-0000960C0000}"/>
    <cellStyle name="Normal 3 8 2 8" xfId="3106" xr:uid="{00000000-0005-0000-0000-0000970C0000}"/>
    <cellStyle name="Normal 3 8 2 9" xfId="3107" xr:uid="{00000000-0005-0000-0000-0000980C0000}"/>
    <cellStyle name="Normal 3 8 3" xfId="3108" xr:uid="{00000000-0005-0000-0000-0000990C0000}"/>
    <cellStyle name="Normal 3 8 4" xfId="3109" xr:uid="{00000000-0005-0000-0000-00009A0C0000}"/>
    <cellStyle name="Normal 3 8 5" xfId="3110" xr:uid="{00000000-0005-0000-0000-00009B0C0000}"/>
    <cellStyle name="Normal 3 8 6" xfId="3111" xr:uid="{00000000-0005-0000-0000-00009C0C0000}"/>
    <cellStyle name="Normal 3 8 7" xfId="3112" xr:uid="{00000000-0005-0000-0000-00009D0C0000}"/>
    <cellStyle name="Normal 3 8 8" xfId="3113" xr:uid="{00000000-0005-0000-0000-00009E0C0000}"/>
    <cellStyle name="Normal 3 8 9" xfId="3114" xr:uid="{00000000-0005-0000-0000-00009F0C0000}"/>
    <cellStyle name="Normal 3 9" xfId="3115" xr:uid="{00000000-0005-0000-0000-0000A00C0000}"/>
    <cellStyle name="Normal 3 9 10" xfId="3116" xr:uid="{00000000-0005-0000-0000-0000A10C0000}"/>
    <cellStyle name="Normal 3 9 11" xfId="3117" xr:uid="{00000000-0005-0000-0000-0000A20C0000}"/>
    <cellStyle name="Normal 3 9 12" xfId="3118" xr:uid="{00000000-0005-0000-0000-0000A30C0000}"/>
    <cellStyle name="Normal 3 9 13" xfId="3119" xr:uid="{00000000-0005-0000-0000-0000A40C0000}"/>
    <cellStyle name="Normal 3 9 2" xfId="3120" xr:uid="{00000000-0005-0000-0000-0000A50C0000}"/>
    <cellStyle name="Normal 3 9 2 10" xfId="3121" xr:uid="{00000000-0005-0000-0000-0000A60C0000}"/>
    <cellStyle name="Normal 3 9 2 11" xfId="3122" xr:uid="{00000000-0005-0000-0000-0000A70C0000}"/>
    <cellStyle name="Normal 3 9 2 12" xfId="3123" xr:uid="{00000000-0005-0000-0000-0000A80C0000}"/>
    <cellStyle name="Normal 3 9 2 2" xfId="3124" xr:uid="{00000000-0005-0000-0000-0000A90C0000}"/>
    <cellStyle name="Normal 3 9 2 3" xfId="3125" xr:uid="{00000000-0005-0000-0000-0000AA0C0000}"/>
    <cellStyle name="Normal 3 9 2 4" xfId="3126" xr:uid="{00000000-0005-0000-0000-0000AB0C0000}"/>
    <cellStyle name="Normal 3 9 2 5" xfId="3127" xr:uid="{00000000-0005-0000-0000-0000AC0C0000}"/>
    <cellStyle name="Normal 3 9 2 6" xfId="3128" xr:uid="{00000000-0005-0000-0000-0000AD0C0000}"/>
    <cellStyle name="Normal 3 9 2 7" xfId="3129" xr:uid="{00000000-0005-0000-0000-0000AE0C0000}"/>
    <cellStyle name="Normal 3 9 2 8" xfId="3130" xr:uid="{00000000-0005-0000-0000-0000AF0C0000}"/>
    <cellStyle name="Normal 3 9 2 9" xfId="3131" xr:uid="{00000000-0005-0000-0000-0000B00C0000}"/>
    <cellStyle name="Normal 3 9 3" xfId="3132" xr:uid="{00000000-0005-0000-0000-0000B10C0000}"/>
    <cellStyle name="Normal 3 9 4" xfId="3133" xr:uid="{00000000-0005-0000-0000-0000B20C0000}"/>
    <cellStyle name="Normal 3 9 5" xfId="3134" xr:uid="{00000000-0005-0000-0000-0000B30C0000}"/>
    <cellStyle name="Normal 3 9 6" xfId="3135" xr:uid="{00000000-0005-0000-0000-0000B40C0000}"/>
    <cellStyle name="Normal 3 9 7" xfId="3136" xr:uid="{00000000-0005-0000-0000-0000B50C0000}"/>
    <cellStyle name="Normal 3 9 8" xfId="3137" xr:uid="{00000000-0005-0000-0000-0000B60C0000}"/>
    <cellStyle name="Normal 3 9 9" xfId="3138" xr:uid="{00000000-0005-0000-0000-0000B70C0000}"/>
    <cellStyle name="Normal 3_ADM-INGENIEROS 2" xfId="3734" xr:uid="{00000000-0005-0000-0000-0000B80C0000}"/>
    <cellStyle name="Normal 30" xfId="3139" xr:uid="{00000000-0005-0000-0000-0000B90C0000}"/>
    <cellStyle name="Normal 31" xfId="3140" xr:uid="{00000000-0005-0000-0000-0000BA0C0000}"/>
    <cellStyle name="Normal 31 2" xfId="3141" xr:uid="{00000000-0005-0000-0000-0000BB0C0000}"/>
    <cellStyle name="Normal 31 3" xfId="3142" xr:uid="{00000000-0005-0000-0000-0000BC0C0000}"/>
    <cellStyle name="Normal 31 4" xfId="3143" xr:uid="{00000000-0005-0000-0000-0000BD0C0000}"/>
    <cellStyle name="Normal 32" xfId="3144" xr:uid="{00000000-0005-0000-0000-0000BE0C0000}"/>
    <cellStyle name="Normal 33" xfId="3145" xr:uid="{00000000-0005-0000-0000-0000BF0C0000}"/>
    <cellStyle name="Normal 34" xfId="3146" xr:uid="{00000000-0005-0000-0000-0000C00C0000}"/>
    <cellStyle name="Normal 35" xfId="3147" xr:uid="{00000000-0005-0000-0000-0000C10C0000}"/>
    <cellStyle name="Normal 36" xfId="3148" xr:uid="{00000000-0005-0000-0000-0000C20C0000}"/>
    <cellStyle name="Normal 37" xfId="3149" xr:uid="{00000000-0005-0000-0000-0000C30C0000}"/>
    <cellStyle name="Normal 38" xfId="3150" xr:uid="{00000000-0005-0000-0000-0000C40C0000}"/>
    <cellStyle name="Normal 39" xfId="3151" xr:uid="{00000000-0005-0000-0000-0000C50C0000}"/>
    <cellStyle name="Normal 4" xfId="3152" xr:uid="{00000000-0005-0000-0000-0000C60C0000}"/>
    <cellStyle name="Normal 4 10" xfId="3153" xr:uid="{00000000-0005-0000-0000-0000C70C0000}"/>
    <cellStyle name="Normal 4 10 2" xfId="3154" xr:uid="{00000000-0005-0000-0000-0000C80C0000}"/>
    <cellStyle name="Normal 4 10 3" xfId="3155" xr:uid="{00000000-0005-0000-0000-0000C90C0000}"/>
    <cellStyle name="Normal 4 10 4" xfId="3156" xr:uid="{00000000-0005-0000-0000-0000CA0C0000}"/>
    <cellStyle name="Normal 4 11" xfId="3157" xr:uid="{00000000-0005-0000-0000-0000CB0C0000}"/>
    <cellStyle name="Normal 4 11 2" xfId="3158" xr:uid="{00000000-0005-0000-0000-0000CC0C0000}"/>
    <cellStyle name="Normal 4 11 3" xfId="3159" xr:uid="{00000000-0005-0000-0000-0000CD0C0000}"/>
    <cellStyle name="Normal 4 11 4" xfId="3160" xr:uid="{00000000-0005-0000-0000-0000CE0C0000}"/>
    <cellStyle name="Normal 4 12" xfId="3161" xr:uid="{00000000-0005-0000-0000-0000CF0C0000}"/>
    <cellStyle name="Normal 4 12 2" xfId="3162" xr:uid="{00000000-0005-0000-0000-0000D00C0000}"/>
    <cellStyle name="Normal 4 12 3" xfId="3163" xr:uid="{00000000-0005-0000-0000-0000D10C0000}"/>
    <cellStyle name="Normal 4 12 4" xfId="3164" xr:uid="{00000000-0005-0000-0000-0000D20C0000}"/>
    <cellStyle name="Normal 4 13" xfId="3165" xr:uid="{00000000-0005-0000-0000-0000D30C0000}"/>
    <cellStyle name="Normal 4 14" xfId="3166" xr:uid="{00000000-0005-0000-0000-0000D40C0000}"/>
    <cellStyle name="Normal 4 15" xfId="3167" xr:uid="{00000000-0005-0000-0000-0000D50C0000}"/>
    <cellStyle name="Normal 4 16" xfId="3168" xr:uid="{00000000-0005-0000-0000-0000D60C0000}"/>
    <cellStyle name="Normal 4 16 2" xfId="3169" xr:uid="{00000000-0005-0000-0000-0000D70C0000}"/>
    <cellStyle name="Normal 4 16 3" xfId="3170" xr:uid="{00000000-0005-0000-0000-0000D80C0000}"/>
    <cellStyle name="Normal 4 16 4" xfId="3171" xr:uid="{00000000-0005-0000-0000-0000D90C0000}"/>
    <cellStyle name="Normal 4 16 5" xfId="3172" xr:uid="{00000000-0005-0000-0000-0000DA0C0000}"/>
    <cellStyle name="Normal 4 16 6" xfId="3173" xr:uid="{00000000-0005-0000-0000-0000DB0C0000}"/>
    <cellStyle name="Normal 4 16 7" xfId="3174" xr:uid="{00000000-0005-0000-0000-0000DC0C0000}"/>
    <cellStyle name="Normal 4 16 8" xfId="3175" xr:uid="{00000000-0005-0000-0000-0000DD0C0000}"/>
    <cellStyle name="Normal 4 17" xfId="3176" xr:uid="{00000000-0005-0000-0000-0000DE0C0000}"/>
    <cellStyle name="Normal 4 18" xfId="3177" xr:uid="{00000000-0005-0000-0000-0000DF0C0000}"/>
    <cellStyle name="Normal 4 19" xfId="3178" xr:uid="{00000000-0005-0000-0000-0000E00C0000}"/>
    <cellStyle name="Normal 4 2" xfId="3179" xr:uid="{00000000-0005-0000-0000-0000E10C0000}"/>
    <cellStyle name="Normal 4 2 2" xfId="3180" xr:uid="{00000000-0005-0000-0000-0000E20C0000}"/>
    <cellStyle name="Normal 4 2 3" xfId="3181" xr:uid="{00000000-0005-0000-0000-0000E30C0000}"/>
    <cellStyle name="Normal 4 2 4" xfId="3182" xr:uid="{00000000-0005-0000-0000-0000E40C0000}"/>
    <cellStyle name="Normal 4 2 5" xfId="3183" xr:uid="{00000000-0005-0000-0000-0000E50C0000}"/>
    <cellStyle name="Normal 4 2 6" xfId="3184" xr:uid="{00000000-0005-0000-0000-0000E60C0000}"/>
    <cellStyle name="Normal 4 2 7" xfId="3185" xr:uid="{00000000-0005-0000-0000-0000E70C0000}"/>
    <cellStyle name="Normal 4 2 7 2" xfId="3743" xr:uid="{00000000-0005-0000-0000-0000E80C0000}"/>
    <cellStyle name="Normal 4 2 7 2 3 2 2" xfId="3739" xr:uid="{00000000-0005-0000-0000-0000E90C0000}"/>
    <cellStyle name="Normal 4 2 8" xfId="3186" xr:uid="{00000000-0005-0000-0000-0000EA0C0000}"/>
    <cellStyle name="Normal 4 2 9" xfId="3187" xr:uid="{00000000-0005-0000-0000-0000EB0C0000}"/>
    <cellStyle name="Normal 4 20" xfId="3188" xr:uid="{00000000-0005-0000-0000-0000EC0C0000}"/>
    <cellStyle name="Normal 4 21" xfId="3189" xr:uid="{00000000-0005-0000-0000-0000ED0C0000}"/>
    <cellStyle name="Normal 4 22" xfId="3190" xr:uid="{00000000-0005-0000-0000-0000EE0C0000}"/>
    <cellStyle name="Normal 4 23" xfId="3191" xr:uid="{00000000-0005-0000-0000-0000EF0C0000}"/>
    <cellStyle name="Normal 4 24" xfId="3192" xr:uid="{00000000-0005-0000-0000-0000F00C0000}"/>
    <cellStyle name="Normal 4 3" xfId="3193" xr:uid="{00000000-0005-0000-0000-0000F10C0000}"/>
    <cellStyle name="Normal 4 4" xfId="3194" xr:uid="{00000000-0005-0000-0000-0000F20C0000}"/>
    <cellStyle name="Normal 4 5" xfId="3195" xr:uid="{00000000-0005-0000-0000-0000F30C0000}"/>
    <cellStyle name="Normal 4 6" xfId="3196" xr:uid="{00000000-0005-0000-0000-0000F40C0000}"/>
    <cellStyle name="Normal 4 7" xfId="3197" xr:uid="{00000000-0005-0000-0000-0000F50C0000}"/>
    <cellStyle name="Normal 4 8" xfId="3198" xr:uid="{00000000-0005-0000-0000-0000F60C0000}"/>
    <cellStyle name="Normal 4 9" xfId="3199" xr:uid="{00000000-0005-0000-0000-0000F70C0000}"/>
    <cellStyle name="Normal 4 9 2" xfId="3200" xr:uid="{00000000-0005-0000-0000-0000F80C0000}"/>
    <cellStyle name="Normal 4 9 3" xfId="3201" xr:uid="{00000000-0005-0000-0000-0000F90C0000}"/>
    <cellStyle name="Normal 4 9 4" xfId="3202" xr:uid="{00000000-0005-0000-0000-0000FA0C0000}"/>
    <cellStyle name="Normal 40" xfId="3203" xr:uid="{00000000-0005-0000-0000-0000FB0C0000}"/>
    <cellStyle name="Normal 41" xfId="3204" xr:uid="{00000000-0005-0000-0000-0000FC0C0000}"/>
    <cellStyle name="Normal 42" xfId="3205" xr:uid="{00000000-0005-0000-0000-0000FD0C0000}"/>
    <cellStyle name="Normal 43" xfId="3206" xr:uid="{00000000-0005-0000-0000-0000FE0C0000}"/>
    <cellStyle name="Normal 44" xfId="3207" xr:uid="{00000000-0005-0000-0000-0000FF0C0000}"/>
    <cellStyle name="Normal 45" xfId="3208" xr:uid="{00000000-0005-0000-0000-0000000D0000}"/>
    <cellStyle name="Normal 46" xfId="3209" xr:uid="{00000000-0005-0000-0000-0000010D0000}"/>
    <cellStyle name="Normal 47" xfId="3210" xr:uid="{00000000-0005-0000-0000-0000020D0000}"/>
    <cellStyle name="Normal 48" xfId="3211" xr:uid="{00000000-0005-0000-0000-0000030D0000}"/>
    <cellStyle name="Normal 49" xfId="3212" xr:uid="{00000000-0005-0000-0000-0000040D0000}"/>
    <cellStyle name="Normal 5" xfId="3213" xr:uid="{00000000-0005-0000-0000-0000050D0000}"/>
    <cellStyle name="Normal 5 10" xfId="3214" xr:uid="{00000000-0005-0000-0000-0000060D0000}"/>
    <cellStyle name="Normal 5 2" xfId="3215" xr:uid="{00000000-0005-0000-0000-0000070D0000}"/>
    <cellStyle name="Normal 5 2 2" xfId="3216" xr:uid="{00000000-0005-0000-0000-0000080D0000}"/>
    <cellStyle name="Normal 5 3" xfId="3217" xr:uid="{00000000-0005-0000-0000-0000090D0000}"/>
    <cellStyle name="Normal 5 4" xfId="3218" xr:uid="{00000000-0005-0000-0000-00000A0D0000}"/>
    <cellStyle name="Normal 5 5" xfId="3219" xr:uid="{00000000-0005-0000-0000-00000B0D0000}"/>
    <cellStyle name="Normal 5 6" xfId="3220" xr:uid="{00000000-0005-0000-0000-00000C0D0000}"/>
    <cellStyle name="Normal 5 7" xfId="3221" xr:uid="{00000000-0005-0000-0000-00000D0D0000}"/>
    <cellStyle name="Normal 5 8" xfId="3222" xr:uid="{00000000-0005-0000-0000-00000E0D0000}"/>
    <cellStyle name="Normal 5 9" xfId="3223" xr:uid="{00000000-0005-0000-0000-00000F0D0000}"/>
    <cellStyle name="Normal 50" xfId="3224" xr:uid="{00000000-0005-0000-0000-0000100D0000}"/>
    <cellStyle name="Normal 51" xfId="3225" xr:uid="{00000000-0005-0000-0000-0000110D0000}"/>
    <cellStyle name="Normal 52" xfId="3226" xr:uid="{00000000-0005-0000-0000-0000120D0000}"/>
    <cellStyle name="Normal 53" xfId="3227" xr:uid="{00000000-0005-0000-0000-0000130D0000}"/>
    <cellStyle name="Normal 54" xfId="3228" xr:uid="{00000000-0005-0000-0000-0000140D0000}"/>
    <cellStyle name="Normal 55" xfId="3229" xr:uid="{00000000-0005-0000-0000-0000150D0000}"/>
    <cellStyle name="Normal 56" xfId="3230" xr:uid="{00000000-0005-0000-0000-0000160D0000}"/>
    <cellStyle name="Normal 57" xfId="3231" xr:uid="{00000000-0005-0000-0000-0000170D0000}"/>
    <cellStyle name="Normal 58" xfId="3232" xr:uid="{00000000-0005-0000-0000-0000180D0000}"/>
    <cellStyle name="Normal 59" xfId="3233" xr:uid="{00000000-0005-0000-0000-0000190D0000}"/>
    <cellStyle name="Normal 6" xfId="3234" xr:uid="{00000000-0005-0000-0000-00001A0D0000}"/>
    <cellStyle name="Normal 6 2" xfId="3235" xr:uid="{00000000-0005-0000-0000-00001B0D0000}"/>
    <cellStyle name="Normal 6 2 2" xfId="3750" xr:uid="{00000000-0005-0000-0000-00001C0D0000}"/>
    <cellStyle name="Normal 6 3" xfId="3236" xr:uid="{00000000-0005-0000-0000-00001D0D0000}"/>
    <cellStyle name="Normal 6 4" xfId="3237" xr:uid="{00000000-0005-0000-0000-00001E0D0000}"/>
    <cellStyle name="Normal 6 5" xfId="3238" xr:uid="{00000000-0005-0000-0000-00001F0D0000}"/>
    <cellStyle name="Normal 6 6" xfId="3239" xr:uid="{00000000-0005-0000-0000-0000200D0000}"/>
    <cellStyle name="Normal 6 7" xfId="3240" xr:uid="{00000000-0005-0000-0000-0000210D0000}"/>
    <cellStyle name="Normal 6 8" xfId="3241" xr:uid="{00000000-0005-0000-0000-0000220D0000}"/>
    <cellStyle name="Normal 6 9" xfId="3242" xr:uid="{00000000-0005-0000-0000-0000230D0000}"/>
    <cellStyle name="Normal 60" xfId="3243" xr:uid="{00000000-0005-0000-0000-0000240D0000}"/>
    <cellStyle name="Normal 61" xfId="3244" xr:uid="{00000000-0005-0000-0000-0000250D0000}"/>
    <cellStyle name="Normal 62" xfId="3245" xr:uid="{00000000-0005-0000-0000-0000260D0000}"/>
    <cellStyle name="Normal 63" xfId="3246" xr:uid="{00000000-0005-0000-0000-0000270D0000}"/>
    <cellStyle name="Normal 64" xfId="3247" xr:uid="{00000000-0005-0000-0000-0000280D0000}"/>
    <cellStyle name="Normal 65" xfId="3248" xr:uid="{00000000-0005-0000-0000-0000290D0000}"/>
    <cellStyle name="Normal 66" xfId="3249" xr:uid="{00000000-0005-0000-0000-00002A0D0000}"/>
    <cellStyle name="Normal 67" xfId="3250" xr:uid="{00000000-0005-0000-0000-00002B0D0000}"/>
    <cellStyle name="Normal 7" xfId="3251" xr:uid="{00000000-0005-0000-0000-00002C0D0000}"/>
    <cellStyle name="Normal 7 2" xfId="3252" xr:uid="{00000000-0005-0000-0000-00002D0D0000}"/>
    <cellStyle name="Normal 7 3" xfId="3253" xr:uid="{00000000-0005-0000-0000-00002E0D0000}"/>
    <cellStyle name="Normal 7 4" xfId="3254" xr:uid="{00000000-0005-0000-0000-00002F0D0000}"/>
    <cellStyle name="Normal 7 5" xfId="3255" xr:uid="{00000000-0005-0000-0000-0000300D0000}"/>
    <cellStyle name="Normal 7 6" xfId="3256" xr:uid="{00000000-0005-0000-0000-0000310D0000}"/>
    <cellStyle name="Normal 7 7" xfId="3257" xr:uid="{00000000-0005-0000-0000-0000320D0000}"/>
    <cellStyle name="Normal 7 8" xfId="3258" xr:uid="{00000000-0005-0000-0000-0000330D0000}"/>
    <cellStyle name="Normal 8" xfId="3259" xr:uid="{00000000-0005-0000-0000-0000340D0000}"/>
    <cellStyle name="Normal 8 10" xfId="3260" xr:uid="{00000000-0005-0000-0000-0000350D0000}"/>
    <cellStyle name="Normal 8 11" xfId="3261" xr:uid="{00000000-0005-0000-0000-0000360D0000}"/>
    <cellStyle name="Normal 8 12" xfId="3262" xr:uid="{00000000-0005-0000-0000-0000370D0000}"/>
    <cellStyle name="Normal 8 13" xfId="3263" xr:uid="{00000000-0005-0000-0000-0000380D0000}"/>
    <cellStyle name="Normal 8 14" xfId="3264" xr:uid="{00000000-0005-0000-0000-0000390D0000}"/>
    <cellStyle name="Normal 8 15" xfId="3265" xr:uid="{00000000-0005-0000-0000-00003A0D0000}"/>
    <cellStyle name="Normal 8 16" xfId="3266" xr:uid="{00000000-0005-0000-0000-00003B0D0000}"/>
    <cellStyle name="Normal 8 17" xfId="3267" xr:uid="{00000000-0005-0000-0000-00003C0D0000}"/>
    <cellStyle name="Normal 8 18" xfId="3268" xr:uid="{00000000-0005-0000-0000-00003D0D0000}"/>
    <cellStyle name="Normal 8 19" xfId="3269" xr:uid="{00000000-0005-0000-0000-00003E0D0000}"/>
    <cellStyle name="Normal 8 2" xfId="3270" xr:uid="{00000000-0005-0000-0000-00003F0D0000}"/>
    <cellStyle name="Normal 8 20" xfId="3271" xr:uid="{00000000-0005-0000-0000-0000400D0000}"/>
    <cellStyle name="Normal 8 21" xfId="3272" xr:uid="{00000000-0005-0000-0000-0000410D0000}"/>
    <cellStyle name="Normal 8 22" xfId="3273" xr:uid="{00000000-0005-0000-0000-0000420D0000}"/>
    <cellStyle name="Normal 8 23" xfId="3274" xr:uid="{00000000-0005-0000-0000-0000430D0000}"/>
    <cellStyle name="Normal 8 24" xfId="3275" xr:uid="{00000000-0005-0000-0000-0000440D0000}"/>
    <cellStyle name="Normal 8 25" xfId="3276" xr:uid="{00000000-0005-0000-0000-0000450D0000}"/>
    <cellStyle name="Normal 8 26" xfId="3277" xr:uid="{00000000-0005-0000-0000-0000460D0000}"/>
    <cellStyle name="Normal 8 27" xfId="3278" xr:uid="{00000000-0005-0000-0000-0000470D0000}"/>
    <cellStyle name="Normal 8 28" xfId="3279" xr:uid="{00000000-0005-0000-0000-0000480D0000}"/>
    <cellStyle name="Normal 8 29" xfId="3280" xr:uid="{00000000-0005-0000-0000-0000490D0000}"/>
    <cellStyle name="Normal 8 3" xfId="3281" xr:uid="{00000000-0005-0000-0000-00004A0D0000}"/>
    <cellStyle name="Normal 8 30" xfId="3282" xr:uid="{00000000-0005-0000-0000-00004B0D0000}"/>
    <cellStyle name="Normal 8 31" xfId="3283" xr:uid="{00000000-0005-0000-0000-00004C0D0000}"/>
    <cellStyle name="Normal 8 32" xfId="3284" xr:uid="{00000000-0005-0000-0000-00004D0D0000}"/>
    <cellStyle name="Normal 8 33" xfId="3285" xr:uid="{00000000-0005-0000-0000-00004E0D0000}"/>
    <cellStyle name="Normal 8 34" xfId="3286" xr:uid="{00000000-0005-0000-0000-00004F0D0000}"/>
    <cellStyle name="Normal 8 35" xfId="3287" xr:uid="{00000000-0005-0000-0000-0000500D0000}"/>
    <cellStyle name="Normal 8 36" xfId="3288" xr:uid="{00000000-0005-0000-0000-0000510D0000}"/>
    <cellStyle name="Normal 8 37" xfId="3289" xr:uid="{00000000-0005-0000-0000-0000520D0000}"/>
    <cellStyle name="Normal 8 38" xfId="3290" xr:uid="{00000000-0005-0000-0000-0000530D0000}"/>
    <cellStyle name="Normal 8 39" xfId="3291" xr:uid="{00000000-0005-0000-0000-0000540D0000}"/>
    <cellStyle name="Normal 8 4" xfId="3292" xr:uid="{00000000-0005-0000-0000-0000550D0000}"/>
    <cellStyle name="Normal 8 40" xfId="3293" xr:uid="{00000000-0005-0000-0000-0000560D0000}"/>
    <cellStyle name="Normal 8 41" xfId="3294" xr:uid="{00000000-0005-0000-0000-0000570D0000}"/>
    <cellStyle name="Normal 8 42" xfId="3295" xr:uid="{00000000-0005-0000-0000-0000580D0000}"/>
    <cellStyle name="Normal 8 43" xfId="3296" xr:uid="{00000000-0005-0000-0000-0000590D0000}"/>
    <cellStyle name="Normal 8 44" xfId="3297" xr:uid="{00000000-0005-0000-0000-00005A0D0000}"/>
    <cellStyle name="Normal 8 45" xfId="3298" xr:uid="{00000000-0005-0000-0000-00005B0D0000}"/>
    <cellStyle name="Normal 8 46" xfId="3299" xr:uid="{00000000-0005-0000-0000-00005C0D0000}"/>
    <cellStyle name="Normal 8 47" xfId="3300" xr:uid="{00000000-0005-0000-0000-00005D0D0000}"/>
    <cellStyle name="Normal 8 48" xfId="3301" xr:uid="{00000000-0005-0000-0000-00005E0D0000}"/>
    <cellStyle name="Normal 8 49" xfId="3302" xr:uid="{00000000-0005-0000-0000-00005F0D0000}"/>
    <cellStyle name="Normal 8 5" xfId="3303" xr:uid="{00000000-0005-0000-0000-0000600D0000}"/>
    <cellStyle name="Normal 8 50" xfId="3304" xr:uid="{00000000-0005-0000-0000-0000610D0000}"/>
    <cellStyle name="Normal 8 51" xfId="3305" xr:uid="{00000000-0005-0000-0000-0000620D0000}"/>
    <cellStyle name="Normal 8 52" xfId="3306" xr:uid="{00000000-0005-0000-0000-0000630D0000}"/>
    <cellStyle name="Normal 8 53" xfId="3307" xr:uid="{00000000-0005-0000-0000-0000640D0000}"/>
    <cellStyle name="Normal 8 54" xfId="3308" xr:uid="{00000000-0005-0000-0000-0000650D0000}"/>
    <cellStyle name="Normal 8 55" xfId="3309" xr:uid="{00000000-0005-0000-0000-0000660D0000}"/>
    <cellStyle name="Normal 8 56" xfId="3310" xr:uid="{00000000-0005-0000-0000-0000670D0000}"/>
    <cellStyle name="Normal 8 57" xfId="3311" xr:uid="{00000000-0005-0000-0000-0000680D0000}"/>
    <cellStyle name="Normal 8 58" xfId="3312" xr:uid="{00000000-0005-0000-0000-0000690D0000}"/>
    <cellStyle name="Normal 8 6" xfId="3313" xr:uid="{00000000-0005-0000-0000-00006A0D0000}"/>
    <cellStyle name="Normal 8 7" xfId="3314" xr:uid="{00000000-0005-0000-0000-00006B0D0000}"/>
    <cellStyle name="Normal 8 8" xfId="3315" xr:uid="{00000000-0005-0000-0000-00006C0D0000}"/>
    <cellStyle name="Normal 8 9" xfId="3316" xr:uid="{00000000-0005-0000-0000-00006D0D0000}"/>
    <cellStyle name="Normal 9" xfId="3317" xr:uid="{00000000-0005-0000-0000-00006E0D0000}"/>
    <cellStyle name="Normal 9 10" xfId="3318" xr:uid="{00000000-0005-0000-0000-00006F0D0000}"/>
    <cellStyle name="Normal 9 11" xfId="3319" xr:uid="{00000000-0005-0000-0000-0000700D0000}"/>
    <cellStyle name="Normal 9 12" xfId="3320" xr:uid="{00000000-0005-0000-0000-0000710D0000}"/>
    <cellStyle name="Normal 9 13" xfId="3321" xr:uid="{00000000-0005-0000-0000-0000720D0000}"/>
    <cellStyle name="Normal 9 14" xfId="3322" xr:uid="{00000000-0005-0000-0000-0000730D0000}"/>
    <cellStyle name="Normal 9 15" xfId="3323" xr:uid="{00000000-0005-0000-0000-0000740D0000}"/>
    <cellStyle name="Normal 9 16" xfId="3324" xr:uid="{00000000-0005-0000-0000-0000750D0000}"/>
    <cellStyle name="Normal 9 17" xfId="3325" xr:uid="{00000000-0005-0000-0000-0000760D0000}"/>
    <cellStyle name="Normal 9 18" xfId="3326" xr:uid="{00000000-0005-0000-0000-0000770D0000}"/>
    <cellStyle name="Normal 9 19" xfId="3327" xr:uid="{00000000-0005-0000-0000-0000780D0000}"/>
    <cellStyle name="Normal 9 2" xfId="3328" xr:uid="{00000000-0005-0000-0000-0000790D0000}"/>
    <cellStyle name="Normal 9 2 10" xfId="3329" xr:uid="{00000000-0005-0000-0000-00007A0D0000}"/>
    <cellStyle name="Normal 9 2 2" xfId="3330" xr:uid="{00000000-0005-0000-0000-00007B0D0000}"/>
    <cellStyle name="Normal 9 2 2 2" xfId="3331" xr:uid="{00000000-0005-0000-0000-00007C0D0000}"/>
    <cellStyle name="Normal 9 2 2 3" xfId="3332" xr:uid="{00000000-0005-0000-0000-00007D0D0000}"/>
    <cellStyle name="Normal 9 2 2 4" xfId="3333" xr:uid="{00000000-0005-0000-0000-00007E0D0000}"/>
    <cellStyle name="Normal 9 2 2 5" xfId="3334" xr:uid="{00000000-0005-0000-0000-00007F0D0000}"/>
    <cellStyle name="Normal 9 2 2 6" xfId="3335" xr:uid="{00000000-0005-0000-0000-0000800D0000}"/>
    <cellStyle name="Normal 9 2 2 7" xfId="3336" xr:uid="{00000000-0005-0000-0000-0000810D0000}"/>
    <cellStyle name="Normal 9 2 2 8" xfId="3337" xr:uid="{00000000-0005-0000-0000-0000820D0000}"/>
    <cellStyle name="Normal 9 2 3" xfId="3338" xr:uid="{00000000-0005-0000-0000-0000830D0000}"/>
    <cellStyle name="Normal 9 2 4" xfId="3339" xr:uid="{00000000-0005-0000-0000-0000840D0000}"/>
    <cellStyle name="Normal 9 2 5" xfId="3340" xr:uid="{00000000-0005-0000-0000-0000850D0000}"/>
    <cellStyle name="Normal 9 2 6" xfId="3341" xr:uid="{00000000-0005-0000-0000-0000860D0000}"/>
    <cellStyle name="Normal 9 2 7" xfId="3342" xr:uid="{00000000-0005-0000-0000-0000870D0000}"/>
    <cellStyle name="Normal 9 2 8" xfId="3343" xr:uid="{00000000-0005-0000-0000-0000880D0000}"/>
    <cellStyle name="Normal 9 2 9" xfId="3344" xr:uid="{00000000-0005-0000-0000-0000890D0000}"/>
    <cellStyle name="Normal 9 20" xfId="3345" xr:uid="{00000000-0005-0000-0000-00008A0D0000}"/>
    <cellStyle name="Normal 9 21" xfId="3346" xr:uid="{00000000-0005-0000-0000-00008B0D0000}"/>
    <cellStyle name="Normal 9 22" xfId="3347" xr:uid="{00000000-0005-0000-0000-00008C0D0000}"/>
    <cellStyle name="Normal 9 23" xfId="3348" xr:uid="{00000000-0005-0000-0000-00008D0D0000}"/>
    <cellStyle name="Normal 9 24" xfId="3349" xr:uid="{00000000-0005-0000-0000-00008E0D0000}"/>
    <cellStyle name="Normal 9 25" xfId="3350" xr:uid="{00000000-0005-0000-0000-00008F0D0000}"/>
    <cellStyle name="Normal 9 26" xfId="3351" xr:uid="{00000000-0005-0000-0000-0000900D0000}"/>
    <cellStyle name="Normal 9 27" xfId="3352" xr:uid="{00000000-0005-0000-0000-0000910D0000}"/>
    <cellStyle name="Normal 9 28" xfId="3353" xr:uid="{00000000-0005-0000-0000-0000920D0000}"/>
    <cellStyle name="Normal 9 29" xfId="3354" xr:uid="{00000000-0005-0000-0000-0000930D0000}"/>
    <cellStyle name="Normal 9 3" xfId="3355" xr:uid="{00000000-0005-0000-0000-0000940D0000}"/>
    <cellStyle name="Normal 9 3 10" xfId="3356" xr:uid="{00000000-0005-0000-0000-0000950D0000}"/>
    <cellStyle name="Normal 9 3 2" xfId="3357" xr:uid="{00000000-0005-0000-0000-0000960D0000}"/>
    <cellStyle name="Normal 9 3 2 2" xfId="3358" xr:uid="{00000000-0005-0000-0000-0000970D0000}"/>
    <cellStyle name="Normal 9 3 2 3" xfId="3359" xr:uid="{00000000-0005-0000-0000-0000980D0000}"/>
    <cellStyle name="Normal 9 3 2 4" xfId="3360" xr:uid="{00000000-0005-0000-0000-0000990D0000}"/>
    <cellStyle name="Normal 9 3 2 5" xfId="3361" xr:uid="{00000000-0005-0000-0000-00009A0D0000}"/>
    <cellStyle name="Normal 9 3 2 6" xfId="3362" xr:uid="{00000000-0005-0000-0000-00009B0D0000}"/>
    <cellStyle name="Normal 9 3 2 7" xfId="3363" xr:uid="{00000000-0005-0000-0000-00009C0D0000}"/>
    <cellStyle name="Normal 9 3 2 8" xfId="3364" xr:uid="{00000000-0005-0000-0000-00009D0D0000}"/>
    <cellStyle name="Normal 9 3 3" xfId="3365" xr:uid="{00000000-0005-0000-0000-00009E0D0000}"/>
    <cellStyle name="Normal 9 3 4" xfId="3366" xr:uid="{00000000-0005-0000-0000-00009F0D0000}"/>
    <cellStyle name="Normal 9 3 5" xfId="3367" xr:uid="{00000000-0005-0000-0000-0000A00D0000}"/>
    <cellStyle name="Normal 9 3 6" xfId="3368" xr:uid="{00000000-0005-0000-0000-0000A10D0000}"/>
    <cellStyle name="Normal 9 3 7" xfId="3369" xr:uid="{00000000-0005-0000-0000-0000A20D0000}"/>
    <cellStyle name="Normal 9 3 8" xfId="3370" xr:uid="{00000000-0005-0000-0000-0000A30D0000}"/>
    <cellStyle name="Normal 9 3 9" xfId="3371" xr:uid="{00000000-0005-0000-0000-0000A40D0000}"/>
    <cellStyle name="Normal 9 30" xfId="3372" xr:uid="{00000000-0005-0000-0000-0000A50D0000}"/>
    <cellStyle name="Normal 9 31" xfId="3373" xr:uid="{00000000-0005-0000-0000-0000A60D0000}"/>
    <cellStyle name="Normal 9 32" xfId="3374" xr:uid="{00000000-0005-0000-0000-0000A70D0000}"/>
    <cellStyle name="Normal 9 33" xfId="3375" xr:uid="{00000000-0005-0000-0000-0000A80D0000}"/>
    <cellStyle name="Normal 9 34" xfId="3376" xr:uid="{00000000-0005-0000-0000-0000A90D0000}"/>
    <cellStyle name="Normal 9 35" xfId="3377" xr:uid="{00000000-0005-0000-0000-0000AA0D0000}"/>
    <cellStyle name="Normal 9 36" xfId="3378" xr:uid="{00000000-0005-0000-0000-0000AB0D0000}"/>
    <cellStyle name="Normal 9 37" xfId="3379" xr:uid="{00000000-0005-0000-0000-0000AC0D0000}"/>
    <cellStyle name="Normal 9 38" xfId="3380" xr:uid="{00000000-0005-0000-0000-0000AD0D0000}"/>
    <cellStyle name="Normal 9 39" xfId="3381" xr:uid="{00000000-0005-0000-0000-0000AE0D0000}"/>
    <cellStyle name="Normal 9 4" xfId="3382" xr:uid="{00000000-0005-0000-0000-0000AF0D0000}"/>
    <cellStyle name="Normal 9 4 10" xfId="3383" xr:uid="{00000000-0005-0000-0000-0000B00D0000}"/>
    <cellStyle name="Normal 9 4 2" xfId="3384" xr:uid="{00000000-0005-0000-0000-0000B10D0000}"/>
    <cellStyle name="Normal 9 4 2 2" xfId="3385" xr:uid="{00000000-0005-0000-0000-0000B20D0000}"/>
    <cellStyle name="Normal 9 4 2 3" xfId="3386" xr:uid="{00000000-0005-0000-0000-0000B30D0000}"/>
    <cellStyle name="Normal 9 4 2 4" xfId="3387" xr:uid="{00000000-0005-0000-0000-0000B40D0000}"/>
    <cellStyle name="Normal 9 4 2 5" xfId="3388" xr:uid="{00000000-0005-0000-0000-0000B50D0000}"/>
    <cellStyle name="Normal 9 4 2 6" xfId="3389" xr:uid="{00000000-0005-0000-0000-0000B60D0000}"/>
    <cellStyle name="Normal 9 4 2 7" xfId="3390" xr:uid="{00000000-0005-0000-0000-0000B70D0000}"/>
    <cellStyle name="Normal 9 4 2 8" xfId="3391" xr:uid="{00000000-0005-0000-0000-0000B80D0000}"/>
    <cellStyle name="Normal 9 4 3" xfId="3392" xr:uid="{00000000-0005-0000-0000-0000B90D0000}"/>
    <cellStyle name="Normal 9 4 4" xfId="3393" xr:uid="{00000000-0005-0000-0000-0000BA0D0000}"/>
    <cellStyle name="Normal 9 4 5" xfId="3394" xr:uid="{00000000-0005-0000-0000-0000BB0D0000}"/>
    <cellStyle name="Normal 9 4 6" xfId="3395" xr:uid="{00000000-0005-0000-0000-0000BC0D0000}"/>
    <cellStyle name="Normal 9 4 7" xfId="3396" xr:uid="{00000000-0005-0000-0000-0000BD0D0000}"/>
    <cellStyle name="Normal 9 4 8" xfId="3397" xr:uid="{00000000-0005-0000-0000-0000BE0D0000}"/>
    <cellStyle name="Normal 9 4 9" xfId="3398" xr:uid="{00000000-0005-0000-0000-0000BF0D0000}"/>
    <cellStyle name="Normal 9 40" xfId="3399" xr:uid="{00000000-0005-0000-0000-0000C00D0000}"/>
    <cellStyle name="Normal 9 41" xfId="3400" xr:uid="{00000000-0005-0000-0000-0000C10D0000}"/>
    <cellStyle name="Normal 9 42" xfId="3401" xr:uid="{00000000-0005-0000-0000-0000C20D0000}"/>
    <cellStyle name="Normal 9 43" xfId="3402" xr:uid="{00000000-0005-0000-0000-0000C30D0000}"/>
    <cellStyle name="Normal 9 44" xfId="3403" xr:uid="{00000000-0005-0000-0000-0000C40D0000}"/>
    <cellStyle name="Normal 9 45" xfId="3404" xr:uid="{00000000-0005-0000-0000-0000C50D0000}"/>
    <cellStyle name="Normal 9 45 2" xfId="3405" xr:uid="{00000000-0005-0000-0000-0000C60D0000}"/>
    <cellStyle name="Normal 9 45 3" xfId="3406" xr:uid="{00000000-0005-0000-0000-0000C70D0000}"/>
    <cellStyle name="Normal 9 45 4" xfId="3407" xr:uid="{00000000-0005-0000-0000-0000C80D0000}"/>
    <cellStyle name="Normal 9 45 5" xfId="3408" xr:uid="{00000000-0005-0000-0000-0000C90D0000}"/>
    <cellStyle name="Normal 9 45 6" xfId="3409" xr:uid="{00000000-0005-0000-0000-0000CA0D0000}"/>
    <cellStyle name="Normal 9 45 7" xfId="3410" xr:uid="{00000000-0005-0000-0000-0000CB0D0000}"/>
    <cellStyle name="Normal 9 45 8" xfId="3411" xr:uid="{00000000-0005-0000-0000-0000CC0D0000}"/>
    <cellStyle name="Normal 9 46" xfId="3412" xr:uid="{00000000-0005-0000-0000-0000CD0D0000}"/>
    <cellStyle name="Normal 9 47" xfId="3413" xr:uid="{00000000-0005-0000-0000-0000CE0D0000}"/>
    <cellStyle name="Normal 9 48" xfId="3414" xr:uid="{00000000-0005-0000-0000-0000CF0D0000}"/>
    <cellStyle name="Normal 9 49" xfId="3415" xr:uid="{00000000-0005-0000-0000-0000D00D0000}"/>
    <cellStyle name="Normal 9 5" xfId="3416" xr:uid="{00000000-0005-0000-0000-0000D10D0000}"/>
    <cellStyle name="Normal 9 5 10" xfId="3417" xr:uid="{00000000-0005-0000-0000-0000D20D0000}"/>
    <cellStyle name="Normal 9 5 2" xfId="3418" xr:uid="{00000000-0005-0000-0000-0000D30D0000}"/>
    <cellStyle name="Normal 9 5 2 2" xfId="3419" xr:uid="{00000000-0005-0000-0000-0000D40D0000}"/>
    <cellStyle name="Normal 9 5 2 3" xfId="3420" xr:uid="{00000000-0005-0000-0000-0000D50D0000}"/>
    <cellStyle name="Normal 9 5 2 4" xfId="3421" xr:uid="{00000000-0005-0000-0000-0000D60D0000}"/>
    <cellStyle name="Normal 9 5 2 5" xfId="3422" xr:uid="{00000000-0005-0000-0000-0000D70D0000}"/>
    <cellStyle name="Normal 9 5 2 6" xfId="3423" xr:uid="{00000000-0005-0000-0000-0000D80D0000}"/>
    <cellStyle name="Normal 9 5 2 7" xfId="3424" xr:uid="{00000000-0005-0000-0000-0000D90D0000}"/>
    <cellStyle name="Normal 9 5 2 8" xfId="3425" xr:uid="{00000000-0005-0000-0000-0000DA0D0000}"/>
    <cellStyle name="Normal 9 5 3" xfId="3426" xr:uid="{00000000-0005-0000-0000-0000DB0D0000}"/>
    <cellStyle name="Normal 9 5 4" xfId="3427" xr:uid="{00000000-0005-0000-0000-0000DC0D0000}"/>
    <cellStyle name="Normal 9 5 5" xfId="3428" xr:uid="{00000000-0005-0000-0000-0000DD0D0000}"/>
    <cellStyle name="Normal 9 5 6" xfId="3429" xr:uid="{00000000-0005-0000-0000-0000DE0D0000}"/>
    <cellStyle name="Normal 9 5 7" xfId="3430" xr:uid="{00000000-0005-0000-0000-0000DF0D0000}"/>
    <cellStyle name="Normal 9 5 8" xfId="3431" xr:uid="{00000000-0005-0000-0000-0000E00D0000}"/>
    <cellStyle name="Normal 9 5 9" xfId="3432" xr:uid="{00000000-0005-0000-0000-0000E10D0000}"/>
    <cellStyle name="Normal 9 50" xfId="3433" xr:uid="{00000000-0005-0000-0000-0000E20D0000}"/>
    <cellStyle name="Normal 9 51" xfId="3434" xr:uid="{00000000-0005-0000-0000-0000E30D0000}"/>
    <cellStyle name="Normal 9 52" xfId="3435" xr:uid="{00000000-0005-0000-0000-0000E40D0000}"/>
    <cellStyle name="Normal 9 6" xfId="3436" xr:uid="{00000000-0005-0000-0000-0000E50D0000}"/>
    <cellStyle name="Normal 9 6 10" xfId="3437" xr:uid="{00000000-0005-0000-0000-0000E60D0000}"/>
    <cellStyle name="Normal 9 6 2" xfId="3438" xr:uid="{00000000-0005-0000-0000-0000E70D0000}"/>
    <cellStyle name="Normal 9 6 2 2" xfId="3439" xr:uid="{00000000-0005-0000-0000-0000E80D0000}"/>
    <cellStyle name="Normal 9 6 2 3" xfId="3440" xr:uid="{00000000-0005-0000-0000-0000E90D0000}"/>
    <cellStyle name="Normal 9 6 2 4" xfId="3441" xr:uid="{00000000-0005-0000-0000-0000EA0D0000}"/>
    <cellStyle name="Normal 9 6 2 5" xfId="3442" xr:uid="{00000000-0005-0000-0000-0000EB0D0000}"/>
    <cellStyle name="Normal 9 6 2 6" xfId="3443" xr:uid="{00000000-0005-0000-0000-0000EC0D0000}"/>
    <cellStyle name="Normal 9 6 2 7" xfId="3444" xr:uid="{00000000-0005-0000-0000-0000ED0D0000}"/>
    <cellStyle name="Normal 9 6 2 8" xfId="3445" xr:uid="{00000000-0005-0000-0000-0000EE0D0000}"/>
    <cellStyle name="Normal 9 6 3" xfId="3446" xr:uid="{00000000-0005-0000-0000-0000EF0D0000}"/>
    <cellStyle name="Normal 9 6 4" xfId="3447" xr:uid="{00000000-0005-0000-0000-0000F00D0000}"/>
    <cellStyle name="Normal 9 6 5" xfId="3448" xr:uid="{00000000-0005-0000-0000-0000F10D0000}"/>
    <cellStyle name="Normal 9 6 6" xfId="3449" xr:uid="{00000000-0005-0000-0000-0000F20D0000}"/>
    <cellStyle name="Normal 9 6 7" xfId="3450" xr:uid="{00000000-0005-0000-0000-0000F30D0000}"/>
    <cellStyle name="Normal 9 6 8" xfId="3451" xr:uid="{00000000-0005-0000-0000-0000F40D0000}"/>
    <cellStyle name="Normal 9 6 9" xfId="3452" xr:uid="{00000000-0005-0000-0000-0000F50D0000}"/>
    <cellStyle name="Normal 9 7" xfId="3453" xr:uid="{00000000-0005-0000-0000-0000F60D0000}"/>
    <cellStyle name="Normal 9 7 10" xfId="3454" xr:uid="{00000000-0005-0000-0000-0000F70D0000}"/>
    <cellStyle name="Normal 9 7 2" xfId="3455" xr:uid="{00000000-0005-0000-0000-0000F80D0000}"/>
    <cellStyle name="Normal 9 7 2 2" xfId="3456" xr:uid="{00000000-0005-0000-0000-0000F90D0000}"/>
    <cellStyle name="Normal 9 7 2 3" xfId="3457" xr:uid="{00000000-0005-0000-0000-0000FA0D0000}"/>
    <cellStyle name="Normal 9 7 2 4" xfId="3458" xr:uid="{00000000-0005-0000-0000-0000FB0D0000}"/>
    <cellStyle name="Normal 9 7 2 5" xfId="3459" xr:uid="{00000000-0005-0000-0000-0000FC0D0000}"/>
    <cellStyle name="Normal 9 7 2 6" xfId="3460" xr:uid="{00000000-0005-0000-0000-0000FD0D0000}"/>
    <cellStyle name="Normal 9 7 2 7" xfId="3461" xr:uid="{00000000-0005-0000-0000-0000FE0D0000}"/>
    <cellStyle name="Normal 9 7 2 8" xfId="3462" xr:uid="{00000000-0005-0000-0000-0000FF0D0000}"/>
    <cellStyle name="Normal 9 7 3" xfId="3463" xr:uid="{00000000-0005-0000-0000-0000000E0000}"/>
    <cellStyle name="Normal 9 7 4" xfId="3464" xr:uid="{00000000-0005-0000-0000-0000010E0000}"/>
    <cellStyle name="Normal 9 7 5" xfId="3465" xr:uid="{00000000-0005-0000-0000-0000020E0000}"/>
    <cellStyle name="Normal 9 7 6" xfId="3466" xr:uid="{00000000-0005-0000-0000-0000030E0000}"/>
    <cellStyle name="Normal 9 7 7" xfId="3467" xr:uid="{00000000-0005-0000-0000-0000040E0000}"/>
    <cellStyle name="Normal 9 7 8" xfId="3468" xr:uid="{00000000-0005-0000-0000-0000050E0000}"/>
    <cellStyle name="Normal 9 7 9" xfId="3469" xr:uid="{00000000-0005-0000-0000-0000060E0000}"/>
    <cellStyle name="Normal 9 8" xfId="3470" xr:uid="{00000000-0005-0000-0000-0000070E0000}"/>
    <cellStyle name="Normal 9 9" xfId="3471" xr:uid="{00000000-0005-0000-0000-0000080E0000}"/>
    <cellStyle name="Normal 92" xfId="3738" xr:uid="{00000000-0005-0000-0000-0000090E0000}"/>
    <cellStyle name="Normal_CONSOLIDADO PRESUPUESTOS OCC Y URA" xfId="3733" xr:uid="{00000000-0005-0000-0000-00000A0E0000}"/>
    <cellStyle name="Normal_CONSOLIDADO PRESUPUESTOS OCC Y URA 2" xfId="3747" xr:uid="{00000000-0005-0000-0000-00000B0E0000}"/>
    <cellStyle name="Normal_CONSOLIDADO PRESUPUESTOS OCC Y URA 2 2" xfId="3748" xr:uid="{00000000-0005-0000-0000-00000C0E0000}"/>
    <cellStyle name="Notas 2" xfId="3472" xr:uid="{00000000-0005-0000-0000-00000D0E0000}"/>
    <cellStyle name="Notas 2 2" xfId="3473" xr:uid="{00000000-0005-0000-0000-00000E0E0000}"/>
    <cellStyle name="Notas 2 3" xfId="3474" xr:uid="{00000000-0005-0000-0000-00000F0E0000}"/>
    <cellStyle name="Notas 2 4" xfId="3475" xr:uid="{00000000-0005-0000-0000-0000100E0000}"/>
    <cellStyle name="Notas 3" xfId="3476" xr:uid="{00000000-0005-0000-0000-0000110E0000}"/>
    <cellStyle name="Notas 3 2" xfId="3477" xr:uid="{00000000-0005-0000-0000-0000120E0000}"/>
    <cellStyle name="Notas 3 3" xfId="3478" xr:uid="{00000000-0005-0000-0000-0000130E0000}"/>
    <cellStyle name="Notas 3 4" xfId="3479" xr:uid="{00000000-0005-0000-0000-0000140E0000}"/>
    <cellStyle name="Notas 4" xfId="3480" xr:uid="{00000000-0005-0000-0000-0000150E0000}"/>
    <cellStyle name="Notas 4 2" xfId="3481" xr:uid="{00000000-0005-0000-0000-0000160E0000}"/>
    <cellStyle name="Notas 4 3" xfId="3482" xr:uid="{00000000-0005-0000-0000-0000170E0000}"/>
    <cellStyle name="Notas 4 4" xfId="3483" xr:uid="{00000000-0005-0000-0000-0000180E0000}"/>
    <cellStyle name="Notas 5" xfId="3484" xr:uid="{00000000-0005-0000-0000-0000190E0000}"/>
    <cellStyle name="Notas 5 2" xfId="3485" xr:uid="{00000000-0005-0000-0000-00001A0E0000}"/>
    <cellStyle name="Notas 5 3" xfId="3486" xr:uid="{00000000-0005-0000-0000-00001B0E0000}"/>
    <cellStyle name="Notas 5 4" xfId="3487" xr:uid="{00000000-0005-0000-0000-00001C0E0000}"/>
    <cellStyle name="Notas 6" xfId="3488" xr:uid="{00000000-0005-0000-0000-00001D0E0000}"/>
    <cellStyle name="Notas 6 2" xfId="3489" xr:uid="{00000000-0005-0000-0000-00001E0E0000}"/>
    <cellStyle name="Notas 6 3" xfId="3490" xr:uid="{00000000-0005-0000-0000-00001F0E0000}"/>
    <cellStyle name="Notas 6 4" xfId="3491" xr:uid="{00000000-0005-0000-0000-0000200E0000}"/>
    <cellStyle name="Note" xfId="3492" xr:uid="{00000000-0005-0000-0000-0000210E0000}"/>
    <cellStyle name="Note 2" xfId="3493" xr:uid="{00000000-0005-0000-0000-0000220E0000}"/>
    <cellStyle name="Note 2 2" xfId="3494" xr:uid="{00000000-0005-0000-0000-0000230E0000}"/>
    <cellStyle name="Note 2 3" xfId="3495" xr:uid="{00000000-0005-0000-0000-0000240E0000}"/>
    <cellStyle name="Note 2 4" xfId="3496" xr:uid="{00000000-0005-0000-0000-0000250E0000}"/>
    <cellStyle name="Note 2 5" xfId="3497" xr:uid="{00000000-0005-0000-0000-0000260E0000}"/>
    <cellStyle name="Note 2 6" xfId="3498" xr:uid="{00000000-0005-0000-0000-0000270E0000}"/>
    <cellStyle name="Note 2 7" xfId="3499" xr:uid="{00000000-0005-0000-0000-0000280E0000}"/>
    <cellStyle name="Note 3" xfId="3500" xr:uid="{00000000-0005-0000-0000-0000290E0000}"/>
    <cellStyle name="Note 4" xfId="3501" xr:uid="{00000000-0005-0000-0000-00002A0E0000}"/>
    <cellStyle name="Note 5" xfId="3502" xr:uid="{00000000-0005-0000-0000-00002B0E0000}"/>
    <cellStyle name="Output" xfId="3503" xr:uid="{00000000-0005-0000-0000-00002C0E0000}"/>
    <cellStyle name="Percent" xfId="3504" xr:uid="{00000000-0005-0000-0000-00002D0E0000}"/>
    <cellStyle name="Porcentaje" xfId="7" builtinId="5"/>
    <cellStyle name="Porcentaje 2" xfId="8" xr:uid="{00000000-0005-0000-0000-00002F0E0000}"/>
    <cellStyle name="Porcentaje 2 2" xfId="12" xr:uid="{00000000-0005-0000-0000-0000300E0000}"/>
    <cellStyle name="Porcentaje 2 3" xfId="3737" xr:uid="{00000000-0005-0000-0000-0000310E0000}"/>
    <cellStyle name="Porcentaje 3 2" xfId="3735" xr:uid="{00000000-0005-0000-0000-0000320E0000}"/>
    <cellStyle name="Porcentaje 4" xfId="3751" xr:uid="{00000000-0005-0000-0000-0000330E0000}"/>
    <cellStyle name="Porcentual 2" xfId="3505" xr:uid="{00000000-0005-0000-0000-0000340E0000}"/>
    <cellStyle name="Porcentual 2 10" xfId="3506" xr:uid="{00000000-0005-0000-0000-0000350E0000}"/>
    <cellStyle name="Porcentual 2 10 2" xfId="3507" xr:uid="{00000000-0005-0000-0000-0000360E0000}"/>
    <cellStyle name="Porcentual 2 10 3" xfId="3508" xr:uid="{00000000-0005-0000-0000-0000370E0000}"/>
    <cellStyle name="Porcentual 2 10 4" xfId="3509" xr:uid="{00000000-0005-0000-0000-0000380E0000}"/>
    <cellStyle name="Porcentual 2 11" xfId="3510" xr:uid="{00000000-0005-0000-0000-0000390E0000}"/>
    <cellStyle name="Porcentual 2 11 2" xfId="3511" xr:uid="{00000000-0005-0000-0000-00003A0E0000}"/>
    <cellStyle name="Porcentual 2 11 3" xfId="3512" xr:uid="{00000000-0005-0000-0000-00003B0E0000}"/>
    <cellStyle name="Porcentual 2 11 4" xfId="3513" xr:uid="{00000000-0005-0000-0000-00003C0E0000}"/>
    <cellStyle name="Porcentual 2 12" xfId="3514" xr:uid="{00000000-0005-0000-0000-00003D0E0000}"/>
    <cellStyle name="Porcentual 2 12 2" xfId="3515" xr:uid="{00000000-0005-0000-0000-00003E0E0000}"/>
    <cellStyle name="Porcentual 2 12 3" xfId="3516" xr:uid="{00000000-0005-0000-0000-00003F0E0000}"/>
    <cellStyle name="Porcentual 2 12 4" xfId="3517" xr:uid="{00000000-0005-0000-0000-0000400E0000}"/>
    <cellStyle name="Porcentual 2 13" xfId="3518" xr:uid="{00000000-0005-0000-0000-0000410E0000}"/>
    <cellStyle name="Porcentual 2 13 2" xfId="3519" xr:uid="{00000000-0005-0000-0000-0000420E0000}"/>
    <cellStyle name="Porcentual 2 13 3" xfId="3520" xr:uid="{00000000-0005-0000-0000-0000430E0000}"/>
    <cellStyle name="Porcentual 2 13 4" xfId="3521" xr:uid="{00000000-0005-0000-0000-0000440E0000}"/>
    <cellStyle name="Porcentual 2 14" xfId="3522" xr:uid="{00000000-0005-0000-0000-0000450E0000}"/>
    <cellStyle name="Porcentual 2 14 2" xfId="3523" xr:uid="{00000000-0005-0000-0000-0000460E0000}"/>
    <cellStyle name="Porcentual 2 14 3" xfId="3524" xr:uid="{00000000-0005-0000-0000-0000470E0000}"/>
    <cellStyle name="Porcentual 2 14 4" xfId="3525" xr:uid="{00000000-0005-0000-0000-0000480E0000}"/>
    <cellStyle name="Porcentual 2 15" xfId="3526" xr:uid="{00000000-0005-0000-0000-0000490E0000}"/>
    <cellStyle name="Porcentual 2 15 2" xfId="3527" xr:uid="{00000000-0005-0000-0000-00004A0E0000}"/>
    <cellStyle name="Porcentual 2 15 3" xfId="3528" xr:uid="{00000000-0005-0000-0000-00004B0E0000}"/>
    <cellStyle name="Porcentual 2 15 4" xfId="3529" xr:uid="{00000000-0005-0000-0000-00004C0E0000}"/>
    <cellStyle name="Porcentual 2 16" xfId="3530" xr:uid="{00000000-0005-0000-0000-00004D0E0000}"/>
    <cellStyle name="Porcentual 2 16 2" xfId="3531" xr:uid="{00000000-0005-0000-0000-00004E0E0000}"/>
    <cellStyle name="Porcentual 2 16 3" xfId="3532" xr:uid="{00000000-0005-0000-0000-00004F0E0000}"/>
    <cellStyle name="Porcentual 2 16 4" xfId="3533" xr:uid="{00000000-0005-0000-0000-0000500E0000}"/>
    <cellStyle name="Porcentual 2 17" xfId="3534" xr:uid="{00000000-0005-0000-0000-0000510E0000}"/>
    <cellStyle name="Porcentual 2 17 2" xfId="3535" xr:uid="{00000000-0005-0000-0000-0000520E0000}"/>
    <cellStyle name="Porcentual 2 17 3" xfId="3536" xr:uid="{00000000-0005-0000-0000-0000530E0000}"/>
    <cellStyle name="Porcentual 2 17 4" xfId="3537" xr:uid="{00000000-0005-0000-0000-0000540E0000}"/>
    <cellStyle name="Porcentual 2 18" xfId="3538" xr:uid="{00000000-0005-0000-0000-0000550E0000}"/>
    <cellStyle name="Porcentual 2 18 2" xfId="3539" xr:uid="{00000000-0005-0000-0000-0000560E0000}"/>
    <cellStyle name="Porcentual 2 18 3" xfId="3540" xr:uid="{00000000-0005-0000-0000-0000570E0000}"/>
    <cellStyle name="Porcentual 2 18 4" xfId="3541" xr:uid="{00000000-0005-0000-0000-0000580E0000}"/>
    <cellStyle name="Porcentual 2 19" xfId="3542" xr:uid="{00000000-0005-0000-0000-0000590E0000}"/>
    <cellStyle name="Porcentual 2 19 2" xfId="3543" xr:uid="{00000000-0005-0000-0000-00005A0E0000}"/>
    <cellStyle name="Porcentual 2 19 3" xfId="3544" xr:uid="{00000000-0005-0000-0000-00005B0E0000}"/>
    <cellStyle name="Porcentual 2 19 4" xfId="3545" xr:uid="{00000000-0005-0000-0000-00005C0E0000}"/>
    <cellStyle name="Porcentual 2 2" xfId="3546" xr:uid="{00000000-0005-0000-0000-00005D0E0000}"/>
    <cellStyle name="Porcentual 2 2 2" xfId="3547" xr:uid="{00000000-0005-0000-0000-00005E0E0000}"/>
    <cellStyle name="Porcentual 2 2 3" xfId="3548" xr:uid="{00000000-0005-0000-0000-00005F0E0000}"/>
    <cellStyle name="Porcentual 2 2 4" xfId="3549" xr:uid="{00000000-0005-0000-0000-0000600E0000}"/>
    <cellStyle name="Porcentual 2 2 5" xfId="3550" xr:uid="{00000000-0005-0000-0000-0000610E0000}"/>
    <cellStyle name="Porcentual 2 2 5 2 2" xfId="3742" xr:uid="{00000000-0005-0000-0000-0000620E0000}"/>
    <cellStyle name="Porcentual 2 20" xfId="3551" xr:uid="{00000000-0005-0000-0000-0000630E0000}"/>
    <cellStyle name="Porcentual 2 20 2" xfId="3552" xr:uid="{00000000-0005-0000-0000-0000640E0000}"/>
    <cellStyle name="Porcentual 2 20 3" xfId="3553" xr:uid="{00000000-0005-0000-0000-0000650E0000}"/>
    <cellStyle name="Porcentual 2 20 4" xfId="3554" xr:uid="{00000000-0005-0000-0000-0000660E0000}"/>
    <cellStyle name="Porcentual 2 21" xfId="3555" xr:uid="{00000000-0005-0000-0000-0000670E0000}"/>
    <cellStyle name="Porcentual 2 21 2" xfId="3556" xr:uid="{00000000-0005-0000-0000-0000680E0000}"/>
    <cellStyle name="Porcentual 2 21 3" xfId="3557" xr:uid="{00000000-0005-0000-0000-0000690E0000}"/>
    <cellStyle name="Porcentual 2 21 4" xfId="3558" xr:uid="{00000000-0005-0000-0000-00006A0E0000}"/>
    <cellStyle name="Porcentual 2 22" xfId="3559" xr:uid="{00000000-0005-0000-0000-00006B0E0000}"/>
    <cellStyle name="Porcentual 2 22 2" xfId="3560" xr:uid="{00000000-0005-0000-0000-00006C0E0000}"/>
    <cellStyle name="Porcentual 2 22 3" xfId="3561" xr:uid="{00000000-0005-0000-0000-00006D0E0000}"/>
    <cellStyle name="Porcentual 2 22 4" xfId="3562" xr:uid="{00000000-0005-0000-0000-00006E0E0000}"/>
    <cellStyle name="Porcentual 2 23" xfId="3563" xr:uid="{00000000-0005-0000-0000-00006F0E0000}"/>
    <cellStyle name="Porcentual 2 23 2" xfId="3564" xr:uid="{00000000-0005-0000-0000-0000700E0000}"/>
    <cellStyle name="Porcentual 2 23 3" xfId="3565" xr:uid="{00000000-0005-0000-0000-0000710E0000}"/>
    <cellStyle name="Porcentual 2 23 4" xfId="3566" xr:uid="{00000000-0005-0000-0000-0000720E0000}"/>
    <cellStyle name="Porcentual 2 24" xfId="3567" xr:uid="{00000000-0005-0000-0000-0000730E0000}"/>
    <cellStyle name="Porcentual 2 24 2" xfId="3568" xr:uid="{00000000-0005-0000-0000-0000740E0000}"/>
    <cellStyle name="Porcentual 2 24 3" xfId="3569" xr:uid="{00000000-0005-0000-0000-0000750E0000}"/>
    <cellStyle name="Porcentual 2 24 4" xfId="3570" xr:uid="{00000000-0005-0000-0000-0000760E0000}"/>
    <cellStyle name="Porcentual 2 25" xfId="3571" xr:uid="{00000000-0005-0000-0000-0000770E0000}"/>
    <cellStyle name="Porcentual 2 25 2" xfId="3572" xr:uid="{00000000-0005-0000-0000-0000780E0000}"/>
    <cellStyle name="Porcentual 2 25 3" xfId="3573" xr:uid="{00000000-0005-0000-0000-0000790E0000}"/>
    <cellStyle name="Porcentual 2 25 4" xfId="3574" xr:uid="{00000000-0005-0000-0000-00007A0E0000}"/>
    <cellStyle name="Porcentual 2 26" xfId="3575" xr:uid="{00000000-0005-0000-0000-00007B0E0000}"/>
    <cellStyle name="Porcentual 2 26 2" xfId="3576" xr:uid="{00000000-0005-0000-0000-00007C0E0000}"/>
    <cellStyle name="Porcentual 2 26 3" xfId="3577" xr:uid="{00000000-0005-0000-0000-00007D0E0000}"/>
    <cellStyle name="Porcentual 2 26 4" xfId="3578" xr:uid="{00000000-0005-0000-0000-00007E0E0000}"/>
    <cellStyle name="Porcentual 2 27" xfId="3579" xr:uid="{00000000-0005-0000-0000-00007F0E0000}"/>
    <cellStyle name="Porcentual 2 27 2" xfId="3580" xr:uid="{00000000-0005-0000-0000-0000800E0000}"/>
    <cellStyle name="Porcentual 2 27 3" xfId="3581" xr:uid="{00000000-0005-0000-0000-0000810E0000}"/>
    <cellStyle name="Porcentual 2 27 4" xfId="3582" xr:uid="{00000000-0005-0000-0000-0000820E0000}"/>
    <cellStyle name="Porcentual 2 28" xfId="3583" xr:uid="{00000000-0005-0000-0000-0000830E0000}"/>
    <cellStyle name="Porcentual 2 28 2" xfId="3584" xr:uid="{00000000-0005-0000-0000-0000840E0000}"/>
    <cellStyle name="Porcentual 2 28 3" xfId="3585" xr:uid="{00000000-0005-0000-0000-0000850E0000}"/>
    <cellStyle name="Porcentual 2 28 4" xfId="3586" xr:uid="{00000000-0005-0000-0000-0000860E0000}"/>
    <cellStyle name="Porcentual 2 29" xfId="3587" xr:uid="{00000000-0005-0000-0000-0000870E0000}"/>
    <cellStyle name="Porcentual 2 29 2" xfId="3588" xr:uid="{00000000-0005-0000-0000-0000880E0000}"/>
    <cellStyle name="Porcentual 2 29 3" xfId="3589" xr:uid="{00000000-0005-0000-0000-0000890E0000}"/>
    <cellStyle name="Porcentual 2 29 4" xfId="3590" xr:uid="{00000000-0005-0000-0000-00008A0E0000}"/>
    <cellStyle name="Porcentual 2 3" xfId="3591" xr:uid="{00000000-0005-0000-0000-00008B0E0000}"/>
    <cellStyle name="Porcentual 2 3 2" xfId="3592" xr:uid="{00000000-0005-0000-0000-00008C0E0000}"/>
    <cellStyle name="Porcentual 2 3 3" xfId="3593" xr:uid="{00000000-0005-0000-0000-00008D0E0000}"/>
    <cellStyle name="Porcentual 2 3 4" xfId="3594" xr:uid="{00000000-0005-0000-0000-00008E0E0000}"/>
    <cellStyle name="Porcentual 2 30" xfId="3595" xr:uid="{00000000-0005-0000-0000-00008F0E0000}"/>
    <cellStyle name="Porcentual 2 30 2" xfId="3596" xr:uid="{00000000-0005-0000-0000-0000900E0000}"/>
    <cellStyle name="Porcentual 2 30 3" xfId="3597" xr:uid="{00000000-0005-0000-0000-0000910E0000}"/>
    <cellStyle name="Porcentual 2 30 4" xfId="3598" xr:uid="{00000000-0005-0000-0000-0000920E0000}"/>
    <cellStyle name="Porcentual 2 31" xfId="3599" xr:uid="{00000000-0005-0000-0000-0000930E0000}"/>
    <cellStyle name="Porcentual 2 31 2" xfId="3600" xr:uid="{00000000-0005-0000-0000-0000940E0000}"/>
    <cellStyle name="Porcentual 2 31 3" xfId="3601" xr:uid="{00000000-0005-0000-0000-0000950E0000}"/>
    <cellStyle name="Porcentual 2 31 4" xfId="3602" xr:uid="{00000000-0005-0000-0000-0000960E0000}"/>
    <cellStyle name="Porcentual 2 32" xfId="3603" xr:uid="{00000000-0005-0000-0000-0000970E0000}"/>
    <cellStyle name="Porcentual 2 32 2" xfId="3604" xr:uid="{00000000-0005-0000-0000-0000980E0000}"/>
    <cellStyle name="Porcentual 2 32 3" xfId="3605" xr:uid="{00000000-0005-0000-0000-0000990E0000}"/>
    <cellStyle name="Porcentual 2 32 4" xfId="3606" xr:uid="{00000000-0005-0000-0000-00009A0E0000}"/>
    <cellStyle name="Porcentual 2 33" xfId="3607" xr:uid="{00000000-0005-0000-0000-00009B0E0000}"/>
    <cellStyle name="Porcentual 2 33 2" xfId="3608" xr:uid="{00000000-0005-0000-0000-00009C0E0000}"/>
    <cellStyle name="Porcentual 2 33 3" xfId="3609" xr:uid="{00000000-0005-0000-0000-00009D0E0000}"/>
    <cellStyle name="Porcentual 2 33 4" xfId="3610" xr:uid="{00000000-0005-0000-0000-00009E0E0000}"/>
    <cellStyle name="Porcentual 2 34" xfId="3611" xr:uid="{00000000-0005-0000-0000-00009F0E0000}"/>
    <cellStyle name="Porcentual 2 34 2" xfId="3612" xr:uid="{00000000-0005-0000-0000-0000A00E0000}"/>
    <cellStyle name="Porcentual 2 34 3" xfId="3613" xr:uid="{00000000-0005-0000-0000-0000A10E0000}"/>
    <cellStyle name="Porcentual 2 34 4" xfId="3614" xr:uid="{00000000-0005-0000-0000-0000A20E0000}"/>
    <cellStyle name="Porcentual 2 35" xfId="3615" xr:uid="{00000000-0005-0000-0000-0000A30E0000}"/>
    <cellStyle name="Porcentual 2 35 2" xfId="3616" xr:uid="{00000000-0005-0000-0000-0000A40E0000}"/>
    <cellStyle name="Porcentual 2 35 3" xfId="3617" xr:uid="{00000000-0005-0000-0000-0000A50E0000}"/>
    <cellStyle name="Porcentual 2 35 4" xfId="3618" xr:uid="{00000000-0005-0000-0000-0000A60E0000}"/>
    <cellStyle name="Porcentual 2 36" xfId="3619" xr:uid="{00000000-0005-0000-0000-0000A70E0000}"/>
    <cellStyle name="Porcentual 2 36 2" xfId="3620" xr:uid="{00000000-0005-0000-0000-0000A80E0000}"/>
    <cellStyle name="Porcentual 2 36 3" xfId="3621" xr:uid="{00000000-0005-0000-0000-0000A90E0000}"/>
    <cellStyle name="Porcentual 2 36 4" xfId="3622" xr:uid="{00000000-0005-0000-0000-0000AA0E0000}"/>
    <cellStyle name="Porcentual 2 37" xfId="3623" xr:uid="{00000000-0005-0000-0000-0000AB0E0000}"/>
    <cellStyle name="Porcentual 2 37 2" xfId="3624" xr:uid="{00000000-0005-0000-0000-0000AC0E0000}"/>
    <cellStyle name="Porcentual 2 37 3" xfId="3625" xr:uid="{00000000-0005-0000-0000-0000AD0E0000}"/>
    <cellStyle name="Porcentual 2 37 4" xfId="3626" xr:uid="{00000000-0005-0000-0000-0000AE0E0000}"/>
    <cellStyle name="Porcentual 2 38" xfId="3627" xr:uid="{00000000-0005-0000-0000-0000AF0E0000}"/>
    <cellStyle name="Porcentual 2 38 2" xfId="3628" xr:uid="{00000000-0005-0000-0000-0000B00E0000}"/>
    <cellStyle name="Porcentual 2 38 3" xfId="3629" xr:uid="{00000000-0005-0000-0000-0000B10E0000}"/>
    <cellStyle name="Porcentual 2 38 4" xfId="3630" xr:uid="{00000000-0005-0000-0000-0000B20E0000}"/>
    <cellStyle name="Porcentual 2 39" xfId="3631" xr:uid="{00000000-0005-0000-0000-0000B30E0000}"/>
    <cellStyle name="Porcentual 2 39 2" xfId="3632" xr:uid="{00000000-0005-0000-0000-0000B40E0000}"/>
    <cellStyle name="Porcentual 2 39 3" xfId="3633" xr:uid="{00000000-0005-0000-0000-0000B50E0000}"/>
    <cellStyle name="Porcentual 2 39 4" xfId="3634" xr:uid="{00000000-0005-0000-0000-0000B60E0000}"/>
    <cellStyle name="Porcentual 2 4" xfId="3635" xr:uid="{00000000-0005-0000-0000-0000B70E0000}"/>
    <cellStyle name="Porcentual 2 4 2" xfId="3636" xr:uid="{00000000-0005-0000-0000-0000B80E0000}"/>
    <cellStyle name="Porcentual 2 4 3" xfId="3637" xr:uid="{00000000-0005-0000-0000-0000B90E0000}"/>
    <cellStyle name="Porcentual 2 4 4" xfId="3638" xr:uid="{00000000-0005-0000-0000-0000BA0E0000}"/>
    <cellStyle name="Porcentual 2 40" xfId="3639" xr:uid="{00000000-0005-0000-0000-0000BB0E0000}"/>
    <cellStyle name="Porcentual 2 40 2" xfId="3640" xr:uid="{00000000-0005-0000-0000-0000BC0E0000}"/>
    <cellStyle name="Porcentual 2 40 3" xfId="3641" xr:uid="{00000000-0005-0000-0000-0000BD0E0000}"/>
    <cellStyle name="Porcentual 2 40 4" xfId="3642" xr:uid="{00000000-0005-0000-0000-0000BE0E0000}"/>
    <cellStyle name="Porcentual 2 5" xfId="3643" xr:uid="{00000000-0005-0000-0000-0000BF0E0000}"/>
    <cellStyle name="Porcentual 2 5 2" xfId="3644" xr:uid="{00000000-0005-0000-0000-0000C00E0000}"/>
    <cellStyle name="Porcentual 2 5 3" xfId="3645" xr:uid="{00000000-0005-0000-0000-0000C10E0000}"/>
    <cellStyle name="Porcentual 2 5 4" xfId="3646" xr:uid="{00000000-0005-0000-0000-0000C20E0000}"/>
    <cellStyle name="Porcentual 2 6" xfId="3647" xr:uid="{00000000-0005-0000-0000-0000C30E0000}"/>
    <cellStyle name="Porcentual 2 6 2" xfId="3648" xr:uid="{00000000-0005-0000-0000-0000C40E0000}"/>
    <cellStyle name="Porcentual 2 6 3" xfId="3649" xr:uid="{00000000-0005-0000-0000-0000C50E0000}"/>
    <cellStyle name="Porcentual 2 6 4" xfId="3650" xr:uid="{00000000-0005-0000-0000-0000C60E0000}"/>
    <cellStyle name="Porcentual 2 7" xfId="3651" xr:uid="{00000000-0005-0000-0000-0000C70E0000}"/>
    <cellStyle name="Porcentual 2 7 2" xfId="3652" xr:uid="{00000000-0005-0000-0000-0000C80E0000}"/>
    <cellStyle name="Porcentual 2 7 3" xfId="3653" xr:uid="{00000000-0005-0000-0000-0000C90E0000}"/>
    <cellStyle name="Porcentual 2 7 4" xfId="3654" xr:uid="{00000000-0005-0000-0000-0000CA0E0000}"/>
    <cellStyle name="Porcentual 2 8" xfId="3655" xr:uid="{00000000-0005-0000-0000-0000CB0E0000}"/>
    <cellStyle name="Porcentual 2 8 2" xfId="3656" xr:uid="{00000000-0005-0000-0000-0000CC0E0000}"/>
    <cellStyle name="Porcentual 2 8 3" xfId="3657" xr:uid="{00000000-0005-0000-0000-0000CD0E0000}"/>
    <cellStyle name="Porcentual 2 8 4" xfId="3658" xr:uid="{00000000-0005-0000-0000-0000CE0E0000}"/>
    <cellStyle name="Porcentual 2 9" xfId="3659" xr:uid="{00000000-0005-0000-0000-0000CF0E0000}"/>
    <cellStyle name="Porcentual 2 9 2" xfId="3660" xr:uid="{00000000-0005-0000-0000-0000D00E0000}"/>
    <cellStyle name="Porcentual 2 9 3" xfId="3661" xr:uid="{00000000-0005-0000-0000-0000D10E0000}"/>
    <cellStyle name="Porcentual 2 9 4" xfId="3662" xr:uid="{00000000-0005-0000-0000-0000D20E0000}"/>
    <cellStyle name="Porcentual 3" xfId="3663" xr:uid="{00000000-0005-0000-0000-0000D30E0000}"/>
    <cellStyle name="Porcentual 3 2" xfId="3664" xr:uid="{00000000-0005-0000-0000-0000D40E0000}"/>
    <cellStyle name="Porcentual 3 3" xfId="3665" xr:uid="{00000000-0005-0000-0000-0000D50E0000}"/>
    <cellStyle name="Porcentual 3 4" xfId="3666" xr:uid="{00000000-0005-0000-0000-0000D60E0000}"/>
    <cellStyle name="Porcentual 4" xfId="3667" xr:uid="{00000000-0005-0000-0000-0000D70E0000}"/>
    <cellStyle name="Porcentual 4 2" xfId="3668" xr:uid="{00000000-0005-0000-0000-0000D80E0000}"/>
    <cellStyle name="Porcentual 4 2 2" xfId="3669" xr:uid="{00000000-0005-0000-0000-0000D90E0000}"/>
    <cellStyle name="Porcentual 4 2 3" xfId="3670" xr:uid="{00000000-0005-0000-0000-0000DA0E0000}"/>
    <cellStyle name="Porcentual 4 2 4" xfId="3671" xr:uid="{00000000-0005-0000-0000-0000DB0E0000}"/>
    <cellStyle name="Porcentual 4 3" xfId="3672" xr:uid="{00000000-0005-0000-0000-0000DC0E0000}"/>
    <cellStyle name="Porcentual 4 4" xfId="3673" xr:uid="{00000000-0005-0000-0000-0000DD0E0000}"/>
    <cellStyle name="Porcentual 4 5" xfId="3674" xr:uid="{00000000-0005-0000-0000-0000DE0E0000}"/>
    <cellStyle name="Porcentual 5" xfId="3675" xr:uid="{00000000-0005-0000-0000-0000DF0E0000}"/>
    <cellStyle name="Porcentual 5 2" xfId="3676" xr:uid="{00000000-0005-0000-0000-0000E00E0000}"/>
    <cellStyle name="Porcentual 5 3" xfId="3677" xr:uid="{00000000-0005-0000-0000-0000E10E0000}"/>
    <cellStyle name="Porcentual 5 4" xfId="3678" xr:uid="{00000000-0005-0000-0000-0000E20E0000}"/>
    <cellStyle name="Porcentual 6" xfId="3679" xr:uid="{00000000-0005-0000-0000-0000E30E0000}"/>
    <cellStyle name="Porcentual 6 10" xfId="3680" xr:uid="{00000000-0005-0000-0000-0000E40E0000}"/>
    <cellStyle name="Porcentual 6 2" xfId="3681" xr:uid="{00000000-0005-0000-0000-0000E50E0000}"/>
    <cellStyle name="Porcentual 6 3" xfId="3682" xr:uid="{00000000-0005-0000-0000-0000E60E0000}"/>
    <cellStyle name="Porcentual 6 4" xfId="3683" xr:uid="{00000000-0005-0000-0000-0000E70E0000}"/>
    <cellStyle name="Porcentual 6 5" xfId="3684" xr:uid="{00000000-0005-0000-0000-0000E80E0000}"/>
    <cellStyle name="Porcentual 6 6" xfId="3685" xr:uid="{00000000-0005-0000-0000-0000E90E0000}"/>
    <cellStyle name="Porcentual 6 7" xfId="3686" xr:uid="{00000000-0005-0000-0000-0000EA0E0000}"/>
    <cellStyle name="Porcentual 6 8" xfId="3687" xr:uid="{00000000-0005-0000-0000-0000EB0E0000}"/>
    <cellStyle name="Porcentual 6 9" xfId="3688" xr:uid="{00000000-0005-0000-0000-0000EC0E0000}"/>
    <cellStyle name="Porcentual 7" xfId="3689" xr:uid="{00000000-0005-0000-0000-0000ED0E0000}"/>
    <cellStyle name="resaltado" xfId="3690" xr:uid="{00000000-0005-0000-0000-0000EE0E0000}"/>
    <cellStyle name="Salida 2" xfId="3691" xr:uid="{00000000-0005-0000-0000-0000EF0E0000}"/>
    <cellStyle name="Salida 3" xfId="3692" xr:uid="{00000000-0005-0000-0000-0000F00E0000}"/>
    <cellStyle name="Salida 4" xfId="3693" xr:uid="{00000000-0005-0000-0000-0000F10E0000}"/>
    <cellStyle name="Salida 5" xfId="3694" xr:uid="{00000000-0005-0000-0000-0000F20E0000}"/>
    <cellStyle name="Salida 6" xfId="3695" xr:uid="{00000000-0005-0000-0000-0000F30E0000}"/>
    <cellStyle name="Texto de advertencia 2" xfId="3696" xr:uid="{00000000-0005-0000-0000-0000F40E0000}"/>
    <cellStyle name="Texto de advertencia 3" xfId="3697" xr:uid="{00000000-0005-0000-0000-0000F50E0000}"/>
    <cellStyle name="Texto de advertencia 4" xfId="3698" xr:uid="{00000000-0005-0000-0000-0000F60E0000}"/>
    <cellStyle name="Texto de advertencia 5" xfId="3699" xr:uid="{00000000-0005-0000-0000-0000F70E0000}"/>
    <cellStyle name="Texto de advertencia 6" xfId="3700" xr:uid="{00000000-0005-0000-0000-0000F80E0000}"/>
    <cellStyle name="Texto explicativo 2" xfId="3701" xr:uid="{00000000-0005-0000-0000-0000F90E0000}"/>
    <cellStyle name="Texto explicativo 3" xfId="3702" xr:uid="{00000000-0005-0000-0000-0000FA0E0000}"/>
    <cellStyle name="Texto explicativo 4" xfId="3703" xr:uid="{00000000-0005-0000-0000-0000FB0E0000}"/>
    <cellStyle name="Texto explicativo 5" xfId="3704" xr:uid="{00000000-0005-0000-0000-0000FC0E0000}"/>
    <cellStyle name="Texto explicativo 6" xfId="3705" xr:uid="{00000000-0005-0000-0000-0000FD0E0000}"/>
    <cellStyle name="Title" xfId="3706" xr:uid="{00000000-0005-0000-0000-0000FE0E0000}"/>
    <cellStyle name="Título 1 2" xfId="3707" xr:uid="{00000000-0005-0000-0000-0000FF0E0000}"/>
    <cellStyle name="Título 1 3" xfId="3708" xr:uid="{00000000-0005-0000-0000-0000000F0000}"/>
    <cellStyle name="Título 1 4" xfId="3709" xr:uid="{00000000-0005-0000-0000-0000010F0000}"/>
    <cellStyle name="Título 1 5" xfId="3710" xr:uid="{00000000-0005-0000-0000-0000020F0000}"/>
    <cellStyle name="Título 1 6" xfId="3711" xr:uid="{00000000-0005-0000-0000-0000030F0000}"/>
    <cellStyle name="Título 2 2" xfId="3712" xr:uid="{00000000-0005-0000-0000-0000040F0000}"/>
    <cellStyle name="Título 2 3" xfId="3713" xr:uid="{00000000-0005-0000-0000-0000050F0000}"/>
    <cellStyle name="Título 2 4" xfId="3714" xr:uid="{00000000-0005-0000-0000-0000060F0000}"/>
    <cellStyle name="Título 2 5" xfId="3715" xr:uid="{00000000-0005-0000-0000-0000070F0000}"/>
    <cellStyle name="Título 2 6" xfId="3716" xr:uid="{00000000-0005-0000-0000-0000080F0000}"/>
    <cellStyle name="Título 3 2" xfId="3717" xr:uid="{00000000-0005-0000-0000-0000090F0000}"/>
    <cellStyle name="Título 3 3" xfId="3718" xr:uid="{00000000-0005-0000-0000-00000A0F0000}"/>
    <cellStyle name="Título 3 4" xfId="3719" xr:uid="{00000000-0005-0000-0000-00000B0F0000}"/>
    <cellStyle name="Título 3 5" xfId="3720" xr:uid="{00000000-0005-0000-0000-00000C0F0000}"/>
    <cellStyle name="Título 3 6" xfId="3721" xr:uid="{00000000-0005-0000-0000-00000D0F0000}"/>
    <cellStyle name="Título 4" xfId="3722" xr:uid="{00000000-0005-0000-0000-00000E0F0000}"/>
    <cellStyle name="Título 5" xfId="3723" xr:uid="{00000000-0005-0000-0000-00000F0F0000}"/>
    <cellStyle name="Título 6" xfId="3724" xr:uid="{00000000-0005-0000-0000-0000100F0000}"/>
    <cellStyle name="Título 7" xfId="3725" xr:uid="{00000000-0005-0000-0000-0000110F0000}"/>
    <cellStyle name="Título 8" xfId="3726" xr:uid="{00000000-0005-0000-0000-0000120F0000}"/>
    <cellStyle name="Total 2" xfId="3727" xr:uid="{00000000-0005-0000-0000-0000130F0000}"/>
    <cellStyle name="Total 3" xfId="3728" xr:uid="{00000000-0005-0000-0000-0000140F0000}"/>
    <cellStyle name="Total 4" xfId="3729" xr:uid="{00000000-0005-0000-0000-0000150F0000}"/>
    <cellStyle name="Total 5" xfId="3730" xr:uid="{00000000-0005-0000-0000-0000160F0000}"/>
    <cellStyle name="Total 6" xfId="3731" xr:uid="{00000000-0005-0000-0000-0000170F0000}"/>
    <cellStyle name="Warning Text" xfId="3732" xr:uid="{00000000-0005-0000-0000-0000180F0000}"/>
  </cellStyles>
  <dxfs count="4">
    <dxf>
      <font>
        <color rgb="FFFF0000"/>
      </font>
    </dxf>
    <dxf>
      <font>
        <color rgb="FFFF0000"/>
      </font>
    </dxf>
    <dxf>
      <font>
        <color rgb="FFFF0000"/>
      </font>
    </dxf>
    <dxf>
      <fill>
        <patternFill>
          <bgColor rgb="FF00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63499</xdr:colOff>
      <xdr:row>0</xdr:row>
      <xdr:rowOff>172358</xdr:rowOff>
    </xdr:from>
    <xdr:to>
      <xdr:col>1</xdr:col>
      <xdr:colOff>2300132</xdr:colOff>
      <xdr:row>2</xdr:row>
      <xdr:rowOff>281215</xdr:rowOff>
    </xdr:to>
    <xdr:pic>
      <xdr:nvPicPr>
        <xdr:cNvPr id="3" name="Imagen 1">
          <a:extLst>
            <a:ext uri="{FF2B5EF4-FFF2-40B4-BE49-F238E27FC236}">
              <a16:creationId xmlns:a16="http://schemas.microsoft.com/office/drawing/2014/main" id="{6BE8C851-ED59-452E-A6CB-F9E56D5BC139}"/>
            </a:ext>
            <a:ext uri="{147F2762-F138-4A5C-976F-8EAC2B608ADB}">
              <a16:predDERef xmlns:a16="http://schemas.microsoft.com/office/drawing/2014/main" pred="{00000000-0008-0000-0500-000004000000}"/>
            </a:ext>
          </a:extLst>
        </xdr:cNvPr>
        <xdr:cNvPicPr>
          <a:picLocks noChangeAspect="1"/>
        </xdr:cNvPicPr>
      </xdr:nvPicPr>
      <xdr:blipFill>
        <a:blip xmlns:r="http://schemas.openxmlformats.org/officeDocument/2006/relationships" r:embed="rId1"/>
        <a:stretch>
          <a:fillRect/>
        </a:stretch>
      </xdr:blipFill>
      <xdr:spPr>
        <a:xfrm>
          <a:off x="453570" y="172358"/>
          <a:ext cx="2236633" cy="653143"/>
        </a:xfrm>
        <a:prstGeom prst="rect">
          <a:avLst/>
        </a:prstGeom>
      </xdr:spPr>
    </xdr:pic>
    <xdr:clientData/>
  </xdr:twoCellAnchor>
  <xdr:twoCellAnchor editAs="oneCell">
    <xdr:from>
      <xdr:col>5</xdr:col>
      <xdr:colOff>136070</xdr:colOff>
      <xdr:row>0</xdr:row>
      <xdr:rowOff>102055</xdr:rowOff>
    </xdr:from>
    <xdr:to>
      <xdr:col>7</xdr:col>
      <xdr:colOff>707570</xdr:colOff>
      <xdr:row>3</xdr:row>
      <xdr:rowOff>218356</xdr:rowOff>
    </xdr:to>
    <xdr:pic>
      <xdr:nvPicPr>
        <xdr:cNvPr id="4" name="Imagen 3" descr="Datos de Antioquia">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42677" y="102055"/>
          <a:ext cx="2147661" cy="10574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1"/>
  <sheetViews>
    <sheetView view="pageBreakPreview" zoomScale="85" zoomScaleNormal="85" zoomScaleSheetLayoutView="85" workbookViewId="0">
      <selection activeCell="C8" sqref="C8"/>
    </sheetView>
  </sheetViews>
  <sheetFormatPr baseColWidth="10" defaultRowHeight="13.2"/>
  <cols>
    <col min="1" max="1" width="34.33203125" style="462" customWidth="1"/>
    <col min="2" max="2" width="18.44140625" style="462" bestFit="1" customWidth="1"/>
    <col min="3" max="3" width="18.44140625" style="462" customWidth="1"/>
    <col min="4" max="4" width="18" style="462" customWidth="1"/>
    <col min="5" max="5" width="15.5546875" style="462" customWidth="1"/>
    <col min="6" max="6" width="18.44140625" style="462" bestFit="1" customWidth="1"/>
    <col min="7" max="7" width="18.33203125" style="462" customWidth="1"/>
    <col min="8" max="8" width="11.5546875" style="462"/>
    <col min="9" max="9" width="14" style="462" bestFit="1" customWidth="1"/>
    <col min="10" max="254" width="11.5546875" style="462"/>
    <col min="255" max="255" width="22.33203125" style="462" customWidth="1"/>
    <col min="256" max="256" width="16.88671875" style="462" customWidth="1"/>
    <col min="257" max="257" width="14.5546875" style="462" customWidth="1"/>
    <col min="258" max="258" width="14.88671875" style="462" customWidth="1"/>
    <col min="259" max="259" width="14.5546875" style="462" customWidth="1"/>
    <col min="260" max="260" width="16.33203125" style="462" customWidth="1"/>
    <col min="261" max="261" width="15.5546875" style="462" customWidth="1"/>
    <col min="262" max="262" width="18.44140625" style="462" bestFit="1" customWidth="1"/>
    <col min="263" max="263" width="18.33203125" style="462" customWidth="1"/>
    <col min="264" max="264" width="11.5546875" style="462"/>
    <col min="265" max="265" width="14" style="462" bestFit="1" customWidth="1"/>
    <col min="266" max="510" width="11.5546875" style="462"/>
    <col min="511" max="511" width="22.33203125" style="462" customWidth="1"/>
    <col min="512" max="512" width="16.88671875" style="462" customWidth="1"/>
    <col min="513" max="513" width="14.5546875" style="462" customWidth="1"/>
    <col min="514" max="514" width="14.88671875" style="462" customWidth="1"/>
    <col min="515" max="515" width="14.5546875" style="462" customWidth="1"/>
    <col min="516" max="516" width="16.33203125" style="462" customWidth="1"/>
    <col min="517" max="517" width="15.5546875" style="462" customWidth="1"/>
    <col min="518" max="518" width="18.44140625" style="462" bestFit="1" customWidth="1"/>
    <col min="519" max="519" width="18.33203125" style="462" customWidth="1"/>
    <col min="520" max="520" width="11.5546875" style="462"/>
    <col min="521" max="521" width="14" style="462" bestFit="1" customWidth="1"/>
    <col min="522" max="766" width="11.5546875" style="462"/>
    <col min="767" max="767" width="22.33203125" style="462" customWidth="1"/>
    <col min="768" max="768" width="16.88671875" style="462" customWidth="1"/>
    <col min="769" max="769" width="14.5546875" style="462" customWidth="1"/>
    <col min="770" max="770" width="14.88671875" style="462" customWidth="1"/>
    <col min="771" max="771" width="14.5546875" style="462" customWidth="1"/>
    <col min="772" max="772" width="16.33203125" style="462" customWidth="1"/>
    <col min="773" max="773" width="15.5546875" style="462" customWidth="1"/>
    <col min="774" max="774" width="18.44140625" style="462" bestFit="1" customWidth="1"/>
    <col min="775" max="775" width="18.33203125" style="462" customWidth="1"/>
    <col min="776" max="776" width="11.5546875" style="462"/>
    <col min="777" max="777" width="14" style="462" bestFit="1" customWidth="1"/>
    <col min="778" max="1022" width="11.5546875" style="462"/>
    <col min="1023" max="1023" width="22.33203125" style="462" customWidth="1"/>
    <col min="1024" max="1024" width="16.88671875" style="462" customWidth="1"/>
    <col min="1025" max="1025" width="14.5546875" style="462" customWidth="1"/>
    <col min="1026" max="1026" width="14.88671875" style="462" customWidth="1"/>
    <col min="1027" max="1027" width="14.5546875" style="462" customWidth="1"/>
    <col min="1028" max="1028" width="16.33203125" style="462" customWidth="1"/>
    <col min="1029" max="1029" width="15.5546875" style="462" customWidth="1"/>
    <col min="1030" max="1030" width="18.44140625" style="462" bestFit="1" customWidth="1"/>
    <col min="1031" max="1031" width="18.33203125" style="462" customWidth="1"/>
    <col min="1032" max="1032" width="11.5546875" style="462"/>
    <col min="1033" max="1033" width="14" style="462" bestFit="1" customWidth="1"/>
    <col min="1034" max="1278" width="11.5546875" style="462"/>
    <col min="1279" max="1279" width="22.33203125" style="462" customWidth="1"/>
    <col min="1280" max="1280" width="16.88671875" style="462" customWidth="1"/>
    <col min="1281" max="1281" width="14.5546875" style="462" customWidth="1"/>
    <col min="1282" max="1282" width="14.88671875" style="462" customWidth="1"/>
    <col min="1283" max="1283" width="14.5546875" style="462" customWidth="1"/>
    <col min="1284" max="1284" width="16.33203125" style="462" customWidth="1"/>
    <col min="1285" max="1285" width="15.5546875" style="462" customWidth="1"/>
    <col min="1286" max="1286" width="18.44140625" style="462" bestFit="1" customWidth="1"/>
    <col min="1287" max="1287" width="18.33203125" style="462" customWidth="1"/>
    <col min="1288" max="1288" width="11.5546875" style="462"/>
    <col min="1289" max="1289" width="14" style="462" bestFit="1" customWidth="1"/>
    <col min="1290" max="1534" width="11.5546875" style="462"/>
    <col min="1535" max="1535" width="22.33203125" style="462" customWidth="1"/>
    <col min="1536" max="1536" width="16.88671875" style="462" customWidth="1"/>
    <col min="1537" max="1537" width="14.5546875" style="462" customWidth="1"/>
    <col min="1538" max="1538" width="14.88671875" style="462" customWidth="1"/>
    <col min="1539" max="1539" width="14.5546875" style="462" customWidth="1"/>
    <col min="1540" max="1540" width="16.33203125" style="462" customWidth="1"/>
    <col min="1541" max="1541" width="15.5546875" style="462" customWidth="1"/>
    <col min="1542" max="1542" width="18.44140625" style="462" bestFit="1" customWidth="1"/>
    <col min="1543" max="1543" width="18.33203125" style="462" customWidth="1"/>
    <col min="1544" max="1544" width="11.5546875" style="462"/>
    <col min="1545" max="1545" width="14" style="462" bestFit="1" customWidth="1"/>
    <col min="1546" max="1790" width="11.5546875" style="462"/>
    <col min="1791" max="1791" width="22.33203125" style="462" customWidth="1"/>
    <col min="1792" max="1792" width="16.88671875" style="462" customWidth="1"/>
    <col min="1793" max="1793" width="14.5546875" style="462" customWidth="1"/>
    <col min="1794" max="1794" width="14.88671875" style="462" customWidth="1"/>
    <col min="1795" max="1795" width="14.5546875" style="462" customWidth="1"/>
    <col min="1796" max="1796" width="16.33203125" style="462" customWidth="1"/>
    <col min="1797" max="1797" width="15.5546875" style="462" customWidth="1"/>
    <col min="1798" max="1798" width="18.44140625" style="462" bestFit="1" customWidth="1"/>
    <col min="1799" max="1799" width="18.33203125" style="462" customWidth="1"/>
    <col min="1800" max="1800" width="11.5546875" style="462"/>
    <col min="1801" max="1801" width="14" style="462" bestFit="1" customWidth="1"/>
    <col min="1802" max="2046" width="11.5546875" style="462"/>
    <col min="2047" max="2047" width="22.33203125" style="462" customWidth="1"/>
    <col min="2048" max="2048" width="16.88671875" style="462" customWidth="1"/>
    <col min="2049" max="2049" width="14.5546875" style="462" customWidth="1"/>
    <col min="2050" max="2050" width="14.88671875" style="462" customWidth="1"/>
    <col min="2051" max="2051" width="14.5546875" style="462" customWidth="1"/>
    <col min="2052" max="2052" width="16.33203125" style="462" customWidth="1"/>
    <col min="2053" max="2053" width="15.5546875" style="462" customWidth="1"/>
    <col min="2054" max="2054" width="18.44140625" style="462" bestFit="1" customWidth="1"/>
    <col min="2055" max="2055" width="18.33203125" style="462" customWidth="1"/>
    <col min="2056" max="2056" width="11.5546875" style="462"/>
    <col min="2057" max="2057" width="14" style="462" bestFit="1" customWidth="1"/>
    <col min="2058" max="2302" width="11.5546875" style="462"/>
    <col min="2303" max="2303" width="22.33203125" style="462" customWidth="1"/>
    <col min="2304" max="2304" width="16.88671875" style="462" customWidth="1"/>
    <col min="2305" max="2305" width="14.5546875" style="462" customWidth="1"/>
    <col min="2306" max="2306" width="14.88671875" style="462" customWidth="1"/>
    <col min="2307" max="2307" width="14.5546875" style="462" customWidth="1"/>
    <col min="2308" max="2308" width="16.33203125" style="462" customWidth="1"/>
    <col min="2309" max="2309" width="15.5546875" style="462" customWidth="1"/>
    <col min="2310" max="2310" width="18.44140625" style="462" bestFit="1" customWidth="1"/>
    <col min="2311" max="2311" width="18.33203125" style="462" customWidth="1"/>
    <col min="2312" max="2312" width="11.5546875" style="462"/>
    <col min="2313" max="2313" width="14" style="462" bestFit="1" customWidth="1"/>
    <col min="2314" max="2558" width="11.5546875" style="462"/>
    <col min="2559" max="2559" width="22.33203125" style="462" customWidth="1"/>
    <col min="2560" max="2560" width="16.88671875" style="462" customWidth="1"/>
    <col min="2561" max="2561" width="14.5546875" style="462" customWidth="1"/>
    <col min="2562" max="2562" width="14.88671875" style="462" customWidth="1"/>
    <col min="2563" max="2563" width="14.5546875" style="462" customWidth="1"/>
    <col min="2564" max="2564" width="16.33203125" style="462" customWidth="1"/>
    <col min="2565" max="2565" width="15.5546875" style="462" customWidth="1"/>
    <col min="2566" max="2566" width="18.44140625" style="462" bestFit="1" customWidth="1"/>
    <col min="2567" max="2567" width="18.33203125" style="462" customWidth="1"/>
    <col min="2568" max="2568" width="11.5546875" style="462"/>
    <col min="2569" max="2569" width="14" style="462" bestFit="1" customWidth="1"/>
    <col min="2570" max="2814" width="11.5546875" style="462"/>
    <col min="2815" max="2815" width="22.33203125" style="462" customWidth="1"/>
    <col min="2816" max="2816" width="16.88671875" style="462" customWidth="1"/>
    <col min="2817" max="2817" width="14.5546875" style="462" customWidth="1"/>
    <col min="2818" max="2818" width="14.88671875" style="462" customWidth="1"/>
    <col min="2819" max="2819" width="14.5546875" style="462" customWidth="1"/>
    <col min="2820" max="2820" width="16.33203125" style="462" customWidth="1"/>
    <col min="2821" max="2821" width="15.5546875" style="462" customWidth="1"/>
    <col min="2822" max="2822" width="18.44140625" style="462" bestFit="1" customWidth="1"/>
    <col min="2823" max="2823" width="18.33203125" style="462" customWidth="1"/>
    <col min="2824" max="2824" width="11.5546875" style="462"/>
    <col min="2825" max="2825" width="14" style="462" bestFit="1" customWidth="1"/>
    <col min="2826" max="3070" width="11.5546875" style="462"/>
    <col min="3071" max="3071" width="22.33203125" style="462" customWidth="1"/>
    <col min="3072" max="3072" width="16.88671875" style="462" customWidth="1"/>
    <col min="3073" max="3073" width="14.5546875" style="462" customWidth="1"/>
    <col min="3074" max="3074" width="14.88671875" style="462" customWidth="1"/>
    <col min="3075" max="3075" width="14.5546875" style="462" customWidth="1"/>
    <col min="3076" max="3076" width="16.33203125" style="462" customWidth="1"/>
    <col min="3077" max="3077" width="15.5546875" style="462" customWidth="1"/>
    <col min="3078" max="3078" width="18.44140625" style="462" bestFit="1" customWidth="1"/>
    <col min="3079" max="3079" width="18.33203125" style="462" customWidth="1"/>
    <col min="3080" max="3080" width="11.5546875" style="462"/>
    <col min="3081" max="3081" width="14" style="462" bestFit="1" customWidth="1"/>
    <col min="3082" max="3326" width="11.5546875" style="462"/>
    <col min="3327" max="3327" width="22.33203125" style="462" customWidth="1"/>
    <col min="3328" max="3328" width="16.88671875" style="462" customWidth="1"/>
    <col min="3329" max="3329" width="14.5546875" style="462" customWidth="1"/>
    <col min="3330" max="3330" width="14.88671875" style="462" customWidth="1"/>
    <col min="3331" max="3331" width="14.5546875" style="462" customWidth="1"/>
    <col min="3332" max="3332" width="16.33203125" style="462" customWidth="1"/>
    <col min="3333" max="3333" width="15.5546875" style="462" customWidth="1"/>
    <col min="3334" max="3334" width="18.44140625" style="462" bestFit="1" customWidth="1"/>
    <col min="3335" max="3335" width="18.33203125" style="462" customWidth="1"/>
    <col min="3336" max="3336" width="11.5546875" style="462"/>
    <col min="3337" max="3337" width="14" style="462" bestFit="1" customWidth="1"/>
    <col min="3338" max="3582" width="11.5546875" style="462"/>
    <col min="3583" max="3583" width="22.33203125" style="462" customWidth="1"/>
    <col min="3584" max="3584" width="16.88671875" style="462" customWidth="1"/>
    <col min="3585" max="3585" width="14.5546875" style="462" customWidth="1"/>
    <col min="3586" max="3586" width="14.88671875" style="462" customWidth="1"/>
    <col min="3587" max="3587" width="14.5546875" style="462" customWidth="1"/>
    <col min="3588" max="3588" width="16.33203125" style="462" customWidth="1"/>
    <col min="3589" max="3589" width="15.5546875" style="462" customWidth="1"/>
    <col min="3590" max="3590" width="18.44140625" style="462" bestFit="1" customWidth="1"/>
    <col min="3591" max="3591" width="18.33203125" style="462" customWidth="1"/>
    <col min="3592" max="3592" width="11.5546875" style="462"/>
    <col min="3593" max="3593" width="14" style="462" bestFit="1" customWidth="1"/>
    <col min="3594" max="3838" width="11.5546875" style="462"/>
    <col min="3839" max="3839" width="22.33203125" style="462" customWidth="1"/>
    <col min="3840" max="3840" width="16.88671875" style="462" customWidth="1"/>
    <col min="3841" max="3841" width="14.5546875" style="462" customWidth="1"/>
    <col min="3842" max="3842" width="14.88671875" style="462" customWidth="1"/>
    <col min="3843" max="3843" width="14.5546875" style="462" customWidth="1"/>
    <col min="3844" max="3844" width="16.33203125" style="462" customWidth="1"/>
    <col min="3845" max="3845" width="15.5546875" style="462" customWidth="1"/>
    <col min="3846" max="3846" width="18.44140625" style="462" bestFit="1" customWidth="1"/>
    <col min="3847" max="3847" width="18.33203125" style="462" customWidth="1"/>
    <col min="3848" max="3848" width="11.5546875" style="462"/>
    <col min="3849" max="3849" width="14" style="462" bestFit="1" customWidth="1"/>
    <col min="3850" max="4094" width="11.5546875" style="462"/>
    <col min="4095" max="4095" width="22.33203125" style="462" customWidth="1"/>
    <col min="4096" max="4096" width="16.88671875" style="462" customWidth="1"/>
    <col min="4097" max="4097" width="14.5546875" style="462" customWidth="1"/>
    <col min="4098" max="4098" width="14.88671875" style="462" customWidth="1"/>
    <col min="4099" max="4099" width="14.5546875" style="462" customWidth="1"/>
    <col min="4100" max="4100" width="16.33203125" style="462" customWidth="1"/>
    <col min="4101" max="4101" width="15.5546875" style="462" customWidth="1"/>
    <col min="4102" max="4102" width="18.44140625" style="462" bestFit="1" customWidth="1"/>
    <col min="4103" max="4103" width="18.33203125" style="462" customWidth="1"/>
    <col min="4104" max="4104" width="11.5546875" style="462"/>
    <col min="4105" max="4105" width="14" style="462" bestFit="1" customWidth="1"/>
    <col min="4106" max="4350" width="11.5546875" style="462"/>
    <col min="4351" max="4351" width="22.33203125" style="462" customWidth="1"/>
    <col min="4352" max="4352" width="16.88671875" style="462" customWidth="1"/>
    <col min="4353" max="4353" width="14.5546875" style="462" customWidth="1"/>
    <col min="4354" max="4354" width="14.88671875" style="462" customWidth="1"/>
    <col min="4355" max="4355" width="14.5546875" style="462" customWidth="1"/>
    <col min="4356" max="4356" width="16.33203125" style="462" customWidth="1"/>
    <col min="4357" max="4357" width="15.5546875" style="462" customWidth="1"/>
    <col min="4358" max="4358" width="18.44140625" style="462" bestFit="1" customWidth="1"/>
    <col min="4359" max="4359" width="18.33203125" style="462" customWidth="1"/>
    <col min="4360" max="4360" width="11.5546875" style="462"/>
    <col min="4361" max="4361" width="14" style="462" bestFit="1" customWidth="1"/>
    <col min="4362" max="4606" width="11.5546875" style="462"/>
    <col min="4607" max="4607" width="22.33203125" style="462" customWidth="1"/>
    <col min="4608" max="4608" width="16.88671875" style="462" customWidth="1"/>
    <col min="4609" max="4609" width="14.5546875" style="462" customWidth="1"/>
    <col min="4610" max="4610" width="14.88671875" style="462" customWidth="1"/>
    <col min="4611" max="4611" width="14.5546875" style="462" customWidth="1"/>
    <col min="4612" max="4612" width="16.33203125" style="462" customWidth="1"/>
    <col min="4613" max="4613" width="15.5546875" style="462" customWidth="1"/>
    <col min="4614" max="4614" width="18.44140625" style="462" bestFit="1" customWidth="1"/>
    <col min="4615" max="4615" width="18.33203125" style="462" customWidth="1"/>
    <col min="4616" max="4616" width="11.5546875" style="462"/>
    <col min="4617" max="4617" width="14" style="462" bestFit="1" customWidth="1"/>
    <col min="4618" max="4862" width="11.5546875" style="462"/>
    <col min="4863" max="4863" width="22.33203125" style="462" customWidth="1"/>
    <col min="4864" max="4864" width="16.88671875" style="462" customWidth="1"/>
    <col min="4865" max="4865" width="14.5546875" style="462" customWidth="1"/>
    <col min="4866" max="4866" width="14.88671875" style="462" customWidth="1"/>
    <col min="4867" max="4867" width="14.5546875" style="462" customWidth="1"/>
    <col min="4868" max="4868" width="16.33203125" style="462" customWidth="1"/>
    <col min="4869" max="4869" width="15.5546875" style="462" customWidth="1"/>
    <col min="4870" max="4870" width="18.44140625" style="462" bestFit="1" customWidth="1"/>
    <col min="4871" max="4871" width="18.33203125" style="462" customWidth="1"/>
    <col min="4872" max="4872" width="11.5546875" style="462"/>
    <col min="4873" max="4873" width="14" style="462" bestFit="1" customWidth="1"/>
    <col min="4874" max="5118" width="11.5546875" style="462"/>
    <col min="5119" max="5119" width="22.33203125" style="462" customWidth="1"/>
    <col min="5120" max="5120" width="16.88671875" style="462" customWidth="1"/>
    <col min="5121" max="5121" width="14.5546875" style="462" customWidth="1"/>
    <col min="5122" max="5122" width="14.88671875" style="462" customWidth="1"/>
    <col min="5123" max="5123" width="14.5546875" style="462" customWidth="1"/>
    <col min="5124" max="5124" width="16.33203125" style="462" customWidth="1"/>
    <col min="5125" max="5125" width="15.5546875" style="462" customWidth="1"/>
    <col min="5126" max="5126" width="18.44140625" style="462" bestFit="1" customWidth="1"/>
    <col min="5127" max="5127" width="18.33203125" style="462" customWidth="1"/>
    <col min="5128" max="5128" width="11.5546875" style="462"/>
    <col min="5129" max="5129" width="14" style="462" bestFit="1" customWidth="1"/>
    <col min="5130" max="5374" width="11.5546875" style="462"/>
    <col min="5375" max="5375" width="22.33203125" style="462" customWidth="1"/>
    <col min="5376" max="5376" width="16.88671875" style="462" customWidth="1"/>
    <col min="5377" max="5377" width="14.5546875" style="462" customWidth="1"/>
    <col min="5378" max="5378" width="14.88671875" style="462" customWidth="1"/>
    <col min="5379" max="5379" width="14.5546875" style="462" customWidth="1"/>
    <col min="5380" max="5380" width="16.33203125" style="462" customWidth="1"/>
    <col min="5381" max="5381" width="15.5546875" style="462" customWidth="1"/>
    <col min="5382" max="5382" width="18.44140625" style="462" bestFit="1" customWidth="1"/>
    <col min="5383" max="5383" width="18.33203125" style="462" customWidth="1"/>
    <col min="5384" max="5384" width="11.5546875" style="462"/>
    <col min="5385" max="5385" width="14" style="462" bestFit="1" customWidth="1"/>
    <col min="5386" max="5630" width="11.5546875" style="462"/>
    <col min="5631" max="5631" width="22.33203125" style="462" customWidth="1"/>
    <col min="5632" max="5632" width="16.88671875" style="462" customWidth="1"/>
    <col min="5633" max="5633" width="14.5546875" style="462" customWidth="1"/>
    <col min="5634" max="5634" width="14.88671875" style="462" customWidth="1"/>
    <col min="5635" max="5635" width="14.5546875" style="462" customWidth="1"/>
    <col min="5636" max="5636" width="16.33203125" style="462" customWidth="1"/>
    <col min="5637" max="5637" width="15.5546875" style="462" customWidth="1"/>
    <col min="5638" max="5638" width="18.44140625" style="462" bestFit="1" customWidth="1"/>
    <col min="5639" max="5639" width="18.33203125" style="462" customWidth="1"/>
    <col min="5640" max="5640" width="11.5546875" style="462"/>
    <col min="5641" max="5641" width="14" style="462" bestFit="1" customWidth="1"/>
    <col min="5642" max="5886" width="11.5546875" style="462"/>
    <col min="5887" max="5887" width="22.33203125" style="462" customWidth="1"/>
    <col min="5888" max="5888" width="16.88671875" style="462" customWidth="1"/>
    <col min="5889" max="5889" width="14.5546875" style="462" customWidth="1"/>
    <col min="5890" max="5890" width="14.88671875" style="462" customWidth="1"/>
    <col min="5891" max="5891" width="14.5546875" style="462" customWidth="1"/>
    <col min="5892" max="5892" width="16.33203125" style="462" customWidth="1"/>
    <col min="5893" max="5893" width="15.5546875" style="462" customWidth="1"/>
    <col min="5894" max="5894" width="18.44140625" style="462" bestFit="1" customWidth="1"/>
    <col min="5895" max="5895" width="18.33203125" style="462" customWidth="1"/>
    <col min="5896" max="5896" width="11.5546875" style="462"/>
    <col min="5897" max="5897" width="14" style="462" bestFit="1" customWidth="1"/>
    <col min="5898" max="6142" width="11.5546875" style="462"/>
    <col min="6143" max="6143" width="22.33203125" style="462" customWidth="1"/>
    <col min="6144" max="6144" width="16.88671875" style="462" customWidth="1"/>
    <col min="6145" max="6145" width="14.5546875" style="462" customWidth="1"/>
    <col min="6146" max="6146" width="14.88671875" style="462" customWidth="1"/>
    <col min="6147" max="6147" width="14.5546875" style="462" customWidth="1"/>
    <col min="6148" max="6148" width="16.33203125" style="462" customWidth="1"/>
    <col min="6149" max="6149" width="15.5546875" style="462" customWidth="1"/>
    <col min="6150" max="6150" width="18.44140625" style="462" bestFit="1" customWidth="1"/>
    <col min="6151" max="6151" width="18.33203125" style="462" customWidth="1"/>
    <col min="6152" max="6152" width="11.5546875" style="462"/>
    <col min="6153" max="6153" width="14" style="462" bestFit="1" customWidth="1"/>
    <col min="6154" max="6398" width="11.5546875" style="462"/>
    <col min="6399" max="6399" width="22.33203125" style="462" customWidth="1"/>
    <col min="6400" max="6400" width="16.88671875" style="462" customWidth="1"/>
    <col min="6401" max="6401" width="14.5546875" style="462" customWidth="1"/>
    <col min="6402" max="6402" width="14.88671875" style="462" customWidth="1"/>
    <col min="6403" max="6403" width="14.5546875" style="462" customWidth="1"/>
    <col min="6404" max="6404" width="16.33203125" style="462" customWidth="1"/>
    <col min="6405" max="6405" width="15.5546875" style="462" customWidth="1"/>
    <col min="6406" max="6406" width="18.44140625" style="462" bestFit="1" customWidth="1"/>
    <col min="6407" max="6407" width="18.33203125" style="462" customWidth="1"/>
    <col min="6408" max="6408" width="11.5546875" style="462"/>
    <col min="6409" max="6409" width="14" style="462" bestFit="1" customWidth="1"/>
    <col min="6410" max="6654" width="11.5546875" style="462"/>
    <col min="6655" max="6655" width="22.33203125" style="462" customWidth="1"/>
    <col min="6656" max="6656" width="16.88671875" style="462" customWidth="1"/>
    <col min="6657" max="6657" width="14.5546875" style="462" customWidth="1"/>
    <col min="6658" max="6658" width="14.88671875" style="462" customWidth="1"/>
    <col min="6659" max="6659" width="14.5546875" style="462" customWidth="1"/>
    <col min="6660" max="6660" width="16.33203125" style="462" customWidth="1"/>
    <col min="6661" max="6661" width="15.5546875" style="462" customWidth="1"/>
    <col min="6662" max="6662" width="18.44140625" style="462" bestFit="1" customWidth="1"/>
    <col min="6663" max="6663" width="18.33203125" style="462" customWidth="1"/>
    <col min="6664" max="6664" width="11.5546875" style="462"/>
    <col min="6665" max="6665" width="14" style="462" bestFit="1" customWidth="1"/>
    <col min="6666" max="6910" width="11.5546875" style="462"/>
    <col min="6911" max="6911" width="22.33203125" style="462" customWidth="1"/>
    <col min="6912" max="6912" width="16.88671875" style="462" customWidth="1"/>
    <col min="6913" max="6913" width="14.5546875" style="462" customWidth="1"/>
    <col min="6914" max="6914" width="14.88671875" style="462" customWidth="1"/>
    <col min="6915" max="6915" width="14.5546875" style="462" customWidth="1"/>
    <col min="6916" max="6916" width="16.33203125" style="462" customWidth="1"/>
    <col min="6917" max="6917" width="15.5546875" style="462" customWidth="1"/>
    <col min="6918" max="6918" width="18.44140625" style="462" bestFit="1" customWidth="1"/>
    <col min="6919" max="6919" width="18.33203125" style="462" customWidth="1"/>
    <col min="6920" max="6920" width="11.5546875" style="462"/>
    <col min="6921" max="6921" width="14" style="462" bestFit="1" customWidth="1"/>
    <col min="6922" max="7166" width="11.5546875" style="462"/>
    <col min="7167" max="7167" width="22.33203125" style="462" customWidth="1"/>
    <col min="7168" max="7168" width="16.88671875" style="462" customWidth="1"/>
    <col min="7169" max="7169" width="14.5546875" style="462" customWidth="1"/>
    <col min="7170" max="7170" width="14.88671875" style="462" customWidth="1"/>
    <col min="7171" max="7171" width="14.5546875" style="462" customWidth="1"/>
    <col min="7172" max="7172" width="16.33203125" style="462" customWidth="1"/>
    <col min="7173" max="7173" width="15.5546875" style="462" customWidth="1"/>
    <col min="7174" max="7174" width="18.44140625" style="462" bestFit="1" customWidth="1"/>
    <col min="7175" max="7175" width="18.33203125" style="462" customWidth="1"/>
    <col min="7176" max="7176" width="11.5546875" style="462"/>
    <col min="7177" max="7177" width="14" style="462" bestFit="1" customWidth="1"/>
    <col min="7178" max="7422" width="11.5546875" style="462"/>
    <col min="7423" max="7423" width="22.33203125" style="462" customWidth="1"/>
    <col min="7424" max="7424" width="16.88671875" style="462" customWidth="1"/>
    <col min="7425" max="7425" width="14.5546875" style="462" customWidth="1"/>
    <col min="7426" max="7426" width="14.88671875" style="462" customWidth="1"/>
    <col min="7427" max="7427" width="14.5546875" style="462" customWidth="1"/>
    <col min="7428" max="7428" width="16.33203125" style="462" customWidth="1"/>
    <col min="7429" max="7429" width="15.5546875" style="462" customWidth="1"/>
    <col min="7430" max="7430" width="18.44140625" style="462" bestFit="1" customWidth="1"/>
    <col min="7431" max="7431" width="18.33203125" style="462" customWidth="1"/>
    <col min="7432" max="7432" width="11.5546875" style="462"/>
    <col min="7433" max="7433" width="14" style="462" bestFit="1" customWidth="1"/>
    <col min="7434" max="7678" width="11.5546875" style="462"/>
    <col min="7679" max="7679" width="22.33203125" style="462" customWidth="1"/>
    <col min="7680" max="7680" width="16.88671875" style="462" customWidth="1"/>
    <col min="7681" max="7681" width="14.5546875" style="462" customWidth="1"/>
    <col min="7682" max="7682" width="14.88671875" style="462" customWidth="1"/>
    <col min="7683" max="7683" width="14.5546875" style="462" customWidth="1"/>
    <col min="7684" max="7684" width="16.33203125" style="462" customWidth="1"/>
    <col min="7685" max="7685" width="15.5546875" style="462" customWidth="1"/>
    <col min="7686" max="7686" width="18.44140625" style="462" bestFit="1" customWidth="1"/>
    <col min="7687" max="7687" width="18.33203125" style="462" customWidth="1"/>
    <col min="7688" max="7688" width="11.5546875" style="462"/>
    <col min="7689" max="7689" width="14" style="462" bestFit="1" customWidth="1"/>
    <col min="7690" max="7934" width="11.5546875" style="462"/>
    <col min="7935" max="7935" width="22.33203125" style="462" customWidth="1"/>
    <col min="7936" max="7936" width="16.88671875" style="462" customWidth="1"/>
    <col min="7937" max="7937" width="14.5546875" style="462" customWidth="1"/>
    <col min="7938" max="7938" width="14.88671875" style="462" customWidth="1"/>
    <col min="7939" max="7939" width="14.5546875" style="462" customWidth="1"/>
    <col min="7940" max="7940" width="16.33203125" style="462" customWidth="1"/>
    <col min="7941" max="7941" width="15.5546875" style="462" customWidth="1"/>
    <col min="7942" max="7942" width="18.44140625" style="462" bestFit="1" customWidth="1"/>
    <col min="7943" max="7943" width="18.33203125" style="462" customWidth="1"/>
    <col min="7944" max="7944" width="11.5546875" style="462"/>
    <col min="7945" max="7945" width="14" style="462" bestFit="1" customWidth="1"/>
    <col min="7946" max="8190" width="11.5546875" style="462"/>
    <col min="8191" max="8191" width="22.33203125" style="462" customWidth="1"/>
    <col min="8192" max="8192" width="16.88671875" style="462" customWidth="1"/>
    <col min="8193" max="8193" width="14.5546875" style="462" customWidth="1"/>
    <col min="8194" max="8194" width="14.88671875" style="462" customWidth="1"/>
    <col min="8195" max="8195" width="14.5546875" style="462" customWidth="1"/>
    <col min="8196" max="8196" width="16.33203125" style="462" customWidth="1"/>
    <col min="8197" max="8197" width="15.5546875" style="462" customWidth="1"/>
    <col min="8198" max="8198" width="18.44140625" style="462" bestFit="1" customWidth="1"/>
    <col min="8199" max="8199" width="18.33203125" style="462" customWidth="1"/>
    <col min="8200" max="8200" width="11.5546875" style="462"/>
    <col min="8201" max="8201" width="14" style="462" bestFit="1" customWidth="1"/>
    <col min="8202" max="8446" width="11.5546875" style="462"/>
    <col min="8447" max="8447" width="22.33203125" style="462" customWidth="1"/>
    <col min="8448" max="8448" width="16.88671875" style="462" customWidth="1"/>
    <col min="8449" max="8449" width="14.5546875" style="462" customWidth="1"/>
    <col min="8450" max="8450" width="14.88671875" style="462" customWidth="1"/>
    <col min="8451" max="8451" width="14.5546875" style="462" customWidth="1"/>
    <col min="8452" max="8452" width="16.33203125" style="462" customWidth="1"/>
    <col min="8453" max="8453" width="15.5546875" style="462" customWidth="1"/>
    <col min="8454" max="8454" width="18.44140625" style="462" bestFit="1" customWidth="1"/>
    <col min="8455" max="8455" width="18.33203125" style="462" customWidth="1"/>
    <col min="8456" max="8456" width="11.5546875" style="462"/>
    <col min="8457" max="8457" width="14" style="462" bestFit="1" customWidth="1"/>
    <col min="8458" max="8702" width="11.5546875" style="462"/>
    <col min="8703" max="8703" width="22.33203125" style="462" customWidth="1"/>
    <col min="8704" max="8704" width="16.88671875" style="462" customWidth="1"/>
    <col min="8705" max="8705" width="14.5546875" style="462" customWidth="1"/>
    <col min="8706" max="8706" width="14.88671875" style="462" customWidth="1"/>
    <col min="8707" max="8707" width="14.5546875" style="462" customWidth="1"/>
    <col min="8708" max="8708" width="16.33203125" style="462" customWidth="1"/>
    <col min="8709" max="8709" width="15.5546875" style="462" customWidth="1"/>
    <col min="8710" max="8710" width="18.44140625" style="462" bestFit="1" customWidth="1"/>
    <col min="8711" max="8711" width="18.33203125" style="462" customWidth="1"/>
    <col min="8712" max="8712" width="11.5546875" style="462"/>
    <col min="8713" max="8713" width="14" style="462" bestFit="1" customWidth="1"/>
    <col min="8714" max="8958" width="11.5546875" style="462"/>
    <col min="8959" max="8959" width="22.33203125" style="462" customWidth="1"/>
    <col min="8960" max="8960" width="16.88671875" style="462" customWidth="1"/>
    <col min="8961" max="8961" width="14.5546875" style="462" customWidth="1"/>
    <col min="8962" max="8962" width="14.88671875" style="462" customWidth="1"/>
    <col min="8963" max="8963" width="14.5546875" style="462" customWidth="1"/>
    <col min="8964" max="8964" width="16.33203125" style="462" customWidth="1"/>
    <col min="8965" max="8965" width="15.5546875" style="462" customWidth="1"/>
    <col min="8966" max="8966" width="18.44140625" style="462" bestFit="1" customWidth="1"/>
    <col min="8967" max="8967" width="18.33203125" style="462" customWidth="1"/>
    <col min="8968" max="8968" width="11.5546875" style="462"/>
    <col min="8969" max="8969" width="14" style="462" bestFit="1" customWidth="1"/>
    <col min="8970" max="9214" width="11.5546875" style="462"/>
    <col min="9215" max="9215" width="22.33203125" style="462" customWidth="1"/>
    <col min="9216" max="9216" width="16.88671875" style="462" customWidth="1"/>
    <col min="9217" max="9217" width="14.5546875" style="462" customWidth="1"/>
    <col min="9218" max="9218" width="14.88671875" style="462" customWidth="1"/>
    <col min="9219" max="9219" width="14.5546875" style="462" customWidth="1"/>
    <col min="9220" max="9220" width="16.33203125" style="462" customWidth="1"/>
    <col min="9221" max="9221" width="15.5546875" style="462" customWidth="1"/>
    <col min="9222" max="9222" width="18.44140625" style="462" bestFit="1" customWidth="1"/>
    <col min="9223" max="9223" width="18.33203125" style="462" customWidth="1"/>
    <col min="9224" max="9224" width="11.5546875" style="462"/>
    <col min="9225" max="9225" width="14" style="462" bestFit="1" customWidth="1"/>
    <col min="9226" max="9470" width="11.5546875" style="462"/>
    <col min="9471" max="9471" width="22.33203125" style="462" customWidth="1"/>
    <col min="9472" max="9472" width="16.88671875" style="462" customWidth="1"/>
    <col min="9473" max="9473" width="14.5546875" style="462" customWidth="1"/>
    <col min="9474" max="9474" width="14.88671875" style="462" customWidth="1"/>
    <col min="9475" max="9475" width="14.5546875" style="462" customWidth="1"/>
    <col min="9476" max="9476" width="16.33203125" style="462" customWidth="1"/>
    <col min="9477" max="9477" width="15.5546875" style="462" customWidth="1"/>
    <col min="9478" max="9478" width="18.44140625" style="462" bestFit="1" customWidth="1"/>
    <col min="9479" max="9479" width="18.33203125" style="462" customWidth="1"/>
    <col min="9480" max="9480" width="11.5546875" style="462"/>
    <col min="9481" max="9481" width="14" style="462" bestFit="1" customWidth="1"/>
    <col min="9482" max="9726" width="11.5546875" style="462"/>
    <col min="9727" max="9727" width="22.33203125" style="462" customWidth="1"/>
    <col min="9728" max="9728" width="16.88671875" style="462" customWidth="1"/>
    <col min="9729" max="9729" width="14.5546875" style="462" customWidth="1"/>
    <col min="9730" max="9730" width="14.88671875" style="462" customWidth="1"/>
    <col min="9731" max="9731" width="14.5546875" style="462" customWidth="1"/>
    <col min="9732" max="9732" width="16.33203125" style="462" customWidth="1"/>
    <col min="9733" max="9733" width="15.5546875" style="462" customWidth="1"/>
    <col min="9734" max="9734" width="18.44140625" style="462" bestFit="1" customWidth="1"/>
    <col min="9735" max="9735" width="18.33203125" style="462" customWidth="1"/>
    <col min="9736" max="9736" width="11.5546875" style="462"/>
    <col min="9737" max="9737" width="14" style="462" bestFit="1" customWidth="1"/>
    <col min="9738" max="9982" width="11.5546875" style="462"/>
    <col min="9983" max="9983" width="22.33203125" style="462" customWidth="1"/>
    <col min="9984" max="9984" width="16.88671875" style="462" customWidth="1"/>
    <col min="9985" max="9985" width="14.5546875" style="462" customWidth="1"/>
    <col min="9986" max="9986" width="14.88671875" style="462" customWidth="1"/>
    <col min="9987" max="9987" width="14.5546875" style="462" customWidth="1"/>
    <col min="9988" max="9988" width="16.33203125" style="462" customWidth="1"/>
    <col min="9989" max="9989" width="15.5546875" style="462" customWidth="1"/>
    <col min="9990" max="9990" width="18.44140625" style="462" bestFit="1" customWidth="1"/>
    <col min="9991" max="9991" width="18.33203125" style="462" customWidth="1"/>
    <col min="9992" max="9992" width="11.5546875" style="462"/>
    <col min="9993" max="9993" width="14" style="462" bestFit="1" customWidth="1"/>
    <col min="9994" max="10238" width="11.5546875" style="462"/>
    <col min="10239" max="10239" width="22.33203125" style="462" customWidth="1"/>
    <col min="10240" max="10240" width="16.88671875" style="462" customWidth="1"/>
    <col min="10241" max="10241" width="14.5546875" style="462" customWidth="1"/>
    <col min="10242" max="10242" width="14.88671875" style="462" customWidth="1"/>
    <col min="10243" max="10243" width="14.5546875" style="462" customWidth="1"/>
    <col min="10244" max="10244" width="16.33203125" style="462" customWidth="1"/>
    <col min="10245" max="10245" width="15.5546875" style="462" customWidth="1"/>
    <col min="10246" max="10246" width="18.44140625" style="462" bestFit="1" customWidth="1"/>
    <col min="10247" max="10247" width="18.33203125" style="462" customWidth="1"/>
    <col min="10248" max="10248" width="11.5546875" style="462"/>
    <col min="10249" max="10249" width="14" style="462" bestFit="1" customWidth="1"/>
    <col min="10250" max="10494" width="11.5546875" style="462"/>
    <col min="10495" max="10495" width="22.33203125" style="462" customWidth="1"/>
    <col min="10496" max="10496" width="16.88671875" style="462" customWidth="1"/>
    <col min="10497" max="10497" width="14.5546875" style="462" customWidth="1"/>
    <col min="10498" max="10498" width="14.88671875" style="462" customWidth="1"/>
    <col min="10499" max="10499" width="14.5546875" style="462" customWidth="1"/>
    <col min="10500" max="10500" width="16.33203125" style="462" customWidth="1"/>
    <col min="10501" max="10501" width="15.5546875" style="462" customWidth="1"/>
    <col min="10502" max="10502" width="18.44140625" style="462" bestFit="1" customWidth="1"/>
    <col min="10503" max="10503" width="18.33203125" style="462" customWidth="1"/>
    <col min="10504" max="10504" width="11.5546875" style="462"/>
    <col min="10505" max="10505" width="14" style="462" bestFit="1" customWidth="1"/>
    <col min="10506" max="10750" width="11.5546875" style="462"/>
    <col min="10751" max="10751" width="22.33203125" style="462" customWidth="1"/>
    <col min="10752" max="10752" width="16.88671875" style="462" customWidth="1"/>
    <col min="10753" max="10753" width="14.5546875" style="462" customWidth="1"/>
    <col min="10754" max="10754" width="14.88671875" style="462" customWidth="1"/>
    <col min="10755" max="10755" width="14.5546875" style="462" customWidth="1"/>
    <col min="10756" max="10756" width="16.33203125" style="462" customWidth="1"/>
    <col min="10757" max="10757" width="15.5546875" style="462" customWidth="1"/>
    <col min="10758" max="10758" width="18.44140625" style="462" bestFit="1" customWidth="1"/>
    <col min="10759" max="10759" width="18.33203125" style="462" customWidth="1"/>
    <col min="10760" max="10760" width="11.5546875" style="462"/>
    <col min="10761" max="10761" width="14" style="462" bestFit="1" customWidth="1"/>
    <col min="10762" max="11006" width="11.5546875" style="462"/>
    <col min="11007" max="11007" width="22.33203125" style="462" customWidth="1"/>
    <col min="11008" max="11008" width="16.88671875" style="462" customWidth="1"/>
    <col min="11009" max="11009" width="14.5546875" style="462" customWidth="1"/>
    <col min="11010" max="11010" width="14.88671875" style="462" customWidth="1"/>
    <col min="11011" max="11011" width="14.5546875" style="462" customWidth="1"/>
    <col min="11012" max="11012" width="16.33203125" style="462" customWidth="1"/>
    <col min="11013" max="11013" width="15.5546875" style="462" customWidth="1"/>
    <col min="11014" max="11014" width="18.44140625" style="462" bestFit="1" customWidth="1"/>
    <col min="11015" max="11015" width="18.33203125" style="462" customWidth="1"/>
    <col min="11016" max="11016" width="11.5546875" style="462"/>
    <col min="11017" max="11017" width="14" style="462" bestFit="1" customWidth="1"/>
    <col min="11018" max="11262" width="11.5546875" style="462"/>
    <col min="11263" max="11263" width="22.33203125" style="462" customWidth="1"/>
    <col min="11264" max="11264" width="16.88671875" style="462" customWidth="1"/>
    <col min="11265" max="11265" width="14.5546875" style="462" customWidth="1"/>
    <col min="11266" max="11266" width="14.88671875" style="462" customWidth="1"/>
    <col min="11267" max="11267" width="14.5546875" style="462" customWidth="1"/>
    <col min="11268" max="11268" width="16.33203125" style="462" customWidth="1"/>
    <col min="11269" max="11269" width="15.5546875" style="462" customWidth="1"/>
    <col min="11270" max="11270" width="18.44140625" style="462" bestFit="1" customWidth="1"/>
    <col min="11271" max="11271" width="18.33203125" style="462" customWidth="1"/>
    <col min="11272" max="11272" width="11.5546875" style="462"/>
    <col min="11273" max="11273" width="14" style="462" bestFit="1" customWidth="1"/>
    <col min="11274" max="11518" width="11.5546875" style="462"/>
    <col min="11519" max="11519" width="22.33203125" style="462" customWidth="1"/>
    <col min="11520" max="11520" width="16.88671875" style="462" customWidth="1"/>
    <col min="11521" max="11521" width="14.5546875" style="462" customWidth="1"/>
    <col min="11522" max="11522" width="14.88671875" style="462" customWidth="1"/>
    <col min="11523" max="11523" width="14.5546875" style="462" customWidth="1"/>
    <col min="11524" max="11524" width="16.33203125" style="462" customWidth="1"/>
    <col min="11525" max="11525" width="15.5546875" style="462" customWidth="1"/>
    <col min="11526" max="11526" width="18.44140625" style="462" bestFit="1" customWidth="1"/>
    <col min="11527" max="11527" width="18.33203125" style="462" customWidth="1"/>
    <col min="11528" max="11528" width="11.5546875" style="462"/>
    <col min="11529" max="11529" width="14" style="462" bestFit="1" customWidth="1"/>
    <col min="11530" max="11774" width="11.5546875" style="462"/>
    <col min="11775" max="11775" width="22.33203125" style="462" customWidth="1"/>
    <col min="11776" max="11776" width="16.88671875" style="462" customWidth="1"/>
    <col min="11777" max="11777" width="14.5546875" style="462" customWidth="1"/>
    <col min="11778" max="11778" width="14.88671875" style="462" customWidth="1"/>
    <col min="11779" max="11779" width="14.5546875" style="462" customWidth="1"/>
    <col min="11780" max="11780" width="16.33203125" style="462" customWidth="1"/>
    <col min="11781" max="11781" width="15.5546875" style="462" customWidth="1"/>
    <col min="11782" max="11782" width="18.44140625" style="462" bestFit="1" customWidth="1"/>
    <col min="11783" max="11783" width="18.33203125" style="462" customWidth="1"/>
    <col min="11784" max="11784" width="11.5546875" style="462"/>
    <col min="11785" max="11785" width="14" style="462" bestFit="1" customWidth="1"/>
    <col min="11786" max="12030" width="11.5546875" style="462"/>
    <col min="12031" max="12031" width="22.33203125" style="462" customWidth="1"/>
    <col min="12032" max="12032" width="16.88671875" style="462" customWidth="1"/>
    <col min="12033" max="12033" width="14.5546875" style="462" customWidth="1"/>
    <col min="12034" max="12034" width="14.88671875" style="462" customWidth="1"/>
    <col min="12035" max="12035" width="14.5546875" style="462" customWidth="1"/>
    <col min="12036" max="12036" width="16.33203125" style="462" customWidth="1"/>
    <col min="12037" max="12037" width="15.5546875" style="462" customWidth="1"/>
    <col min="12038" max="12038" width="18.44140625" style="462" bestFit="1" customWidth="1"/>
    <col min="12039" max="12039" width="18.33203125" style="462" customWidth="1"/>
    <col min="12040" max="12040" width="11.5546875" style="462"/>
    <col min="12041" max="12041" width="14" style="462" bestFit="1" customWidth="1"/>
    <col min="12042" max="12286" width="11.5546875" style="462"/>
    <col min="12287" max="12287" width="22.33203125" style="462" customWidth="1"/>
    <col min="12288" max="12288" width="16.88671875" style="462" customWidth="1"/>
    <col min="12289" max="12289" width="14.5546875" style="462" customWidth="1"/>
    <col min="12290" max="12290" width="14.88671875" style="462" customWidth="1"/>
    <col min="12291" max="12291" width="14.5546875" style="462" customWidth="1"/>
    <col min="12292" max="12292" width="16.33203125" style="462" customWidth="1"/>
    <col min="12293" max="12293" width="15.5546875" style="462" customWidth="1"/>
    <col min="12294" max="12294" width="18.44140625" style="462" bestFit="1" customWidth="1"/>
    <col min="12295" max="12295" width="18.33203125" style="462" customWidth="1"/>
    <col min="12296" max="12296" width="11.5546875" style="462"/>
    <col min="12297" max="12297" width="14" style="462" bestFit="1" customWidth="1"/>
    <col min="12298" max="12542" width="11.5546875" style="462"/>
    <col min="12543" max="12543" width="22.33203125" style="462" customWidth="1"/>
    <col min="12544" max="12544" width="16.88671875" style="462" customWidth="1"/>
    <col min="12545" max="12545" width="14.5546875" style="462" customWidth="1"/>
    <col min="12546" max="12546" width="14.88671875" style="462" customWidth="1"/>
    <col min="12547" max="12547" width="14.5546875" style="462" customWidth="1"/>
    <col min="12548" max="12548" width="16.33203125" style="462" customWidth="1"/>
    <col min="12549" max="12549" width="15.5546875" style="462" customWidth="1"/>
    <col min="12550" max="12550" width="18.44140625" style="462" bestFit="1" customWidth="1"/>
    <col min="12551" max="12551" width="18.33203125" style="462" customWidth="1"/>
    <col min="12552" max="12552" width="11.5546875" style="462"/>
    <col min="12553" max="12553" width="14" style="462" bestFit="1" customWidth="1"/>
    <col min="12554" max="12798" width="11.5546875" style="462"/>
    <col min="12799" max="12799" width="22.33203125" style="462" customWidth="1"/>
    <col min="12800" max="12800" width="16.88671875" style="462" customWidth="1"/>
    <col min="12801" max="12801" width="14.5546875" style="462" customWidth="1"/>
    <col min="12802" max="12802" width="14.88671875" style="462" customWidth="1"/>
    <col min="12803" max="12803" width="14.5546875" style="462" customWidth="1"/>
    <col min="12804" max="12804" width="16.33203125" style="462" customWidth="1"/>
    <col min="12805" max="12805" width="15.5546875" style="462" customWidth="1"/>
    <col min="12806" max="12806" width="18.44140625" style="462" bestFit="1" customWidth="1"/>
    <col min="12807" max="12807" width="18.33203125" style="462" customWidth="1"/>
    <col min="12808" max="12808" width="11.5546875" style="462"/>
    <col min="12809" max="12809" width="14" style="462" bestFit="1" customWidth="1"/>
    <col min="12810" max="13054" width="11.5546875" style="462"/>
    <col min="13055" max="13055" width="22.33203125" style="462" customWidth="1"/>
    <col min="13056" max="13056" width="16.88671875" style="462" customWidth="1"/>
    <col min="13057" max="13057" width="14.5546875" style="462" customWidth="1"/>
    <col min="13058" max="13058" width="14.88671875" style="462" customWidth="1"/>
    <col min="13059" max="13059" width="14.5546875" style="462" customWidth="1"/>
    <col min="13060" max="13060" width="16.33203125" style="462" customWidth="1"/>
    <col min="13061" max="13061" width="15.5546875" style="462" customWidth="1"/>
    <col min="13062" max="13062" width="18.44140625" style="462" bestFit="1" customWidth="1"/>
    <col min="13063" max="13063" width="18.33203125" style="462" customWidth="1"/>
    <col min="13064" max="13064" width="11.5546875" style="462"/>
    <col min="13065" max="13065" width="14" style="462" bestFit="1" customWidth="1"/>
    <col min="13066" max="13310" width="11.5546875" style="462"/>
    <col min="13311" max="13311" width="22.33203125" style="462" customWidth="1"/>
    <col min="13312" max="13312" width="16.88671875" style="462" customWidth="1"/>
    <col min="13313" max="13313" width="14.5546875" style="462" customWidth="1"/>
    <col min="13314" max="13314" width="14.88671875" style="462" customWidth="1"/>
    <col min="13315" max="13315" width="14.5546875" style="462" customWidth="1"/>
    <col min="13316" max="13316" width="16.33203125" style="462" customWidth="1"/>
    <col min="13317" max="13317" width="15.5546875" style="462" customWidth="1"/>
    <col min="13318" max="13318" width="18.44140625" style="462" bestFit="1" customWidth="1"/>
    <col min="13319" max="13319" width="18.33203125" style="462" customWidth="1"/>
    <col min="13320" max="13320" width="11.5546875" style="462"/>
    <col min="13321" max="13321" width="14" style="462" bestFit="1" customWidth="1"/>
    <col min="13322" max="13566" width="11.5546875" style="462"/>
    <col min="13567" max="13567" width="22.33203125" style="462" customWidth="1"/>
    <col min="13568" max="13568" width="16.88671875" style="462" customWidth="1"/>
    <col min="13569" max="13569" width="14.5546875" style="462" customWidth="1"/>
    <col min="13570" max="13570" width="14.88671875" style="462" customWidth="1"/>
    <col min="13571" max="13571" width="14.5546875" style="462" customWidth="1"/>
    <col min="13572" max="13572" width="16.33203125" style="462" customWidth="1"/>
    <col min="13573" max="13573" width="15.5546875" style="462" customWidth="1"/>
    <col min="13574" max="13574" width="18.44140625" style="462" bestFit="1" customWidth="1"/>
    <col min="13575" max="13575" width="18.33203125" style="462" customWidth="1"/>
    <col min="13576" max="13576" width="11.5546875" style="462"/>
    <col min="13577" max="13577" width="14" style="462" bestFit="1" customWidth="1"/>
    <col min="13578" max="13822" width="11.5546875" style="462"/>
    <col min="13823" max="13823" width="22.33203125" style="462" customWidth="1"/>
    <col min="13824" max="13824" width="16.88671875" style="462" customWidth="1"/>
    <col min="13825" max="13825" width="14.5546875" style="462" customWidth="1"/>
    <col min="13826" max="13826" width="14.88671875" style="462" customWidth="1"/>
    <col min="13827" max="13827" width="14.5546875" style="462" customWidth="1"/>
    <col min="13828" max="13828" width="16.33203125" style="462" customWidth="1"/>
    <col min="13829" max="13829" width="15.5546875" style="462" customWidth="1"/>
    <col min="13830" max="13830" width="18.44140625" style="462" bestFit="1" customWidth="1"/>
    <col min="13831" max="13831" width="18.33203125" style="462" customWidth="1"/>
    <col min="13832" max="13832" width="11.5546875" style="462"/>
    <col min="13833" max="13833" width="14" style="462" bestFit="1" customWidth="1"/>
    <col min="13834" max="14078" width="11.5546875" style="462"/>
    <col min="14079" max="14079" width="22.33203125" style="462" customWidth="1"/>
    <col min="14080" max="14080" width="16.88671875" style="462" customWidth="1"/>
    <col min="14081" max="14081" width="14.5546875" style="462" customWidth="1"/>
    <col min="14082" max="14082" width="14.88671875" style="462" customWidth="1"/>
    <col min="14083" max="14083" width="14.5546875" style="462" customWidth="1"/>
    <col min="14084" max="14084" width="16.33203125" style="462" customWidth="1"/>
    <col min="14085" max="14085" width="15.5546875" style="462" customWidth="1"/>
    <col min="14086" max="14086" width="18.44140625" style="462" bestFit="1" customWidth="1"/>
    <col min="14087" max="14087" width="18.33203125" style="462" customWidth="1"/>
    <col min="14088" max="14088" width="11.5546875" style="462"/>
    <col min="14089" max="14089" width="14" style="462" bestFit="1" customWidth="1"/>
    <col min="14090" max="14334" width="11.5546875" style="462"/>
    <col min="14335" max="14335" width="22.33203125" style="462" customWidth="1"/>
    <col min="14336" max="14336" width="16.88671875" style="462" customWidth="1"/>
    <col min="14337" max="14337" width="14.5546875" style="462" customWidth="1"/>
    <col min="14338" max="14338" width="14.88671875" style="462" customWidth="1"/>
    <col min="14339" max="14339" width="14.5546875" style="462" customWidth="1"/>
    <col min="14340" max="14340" width="16.33203125" style="462" customWidth="1"/>
    <col min="14341" max="14341" width="15.5546875" style="462" customWidth="1"/>
    <col min="14342" max="14342" width="18.44140625" style="462" bestFit="1" customWidth="1"/>
    <col min="14343" max="14343" width="18.33203125" style="462" customWidth="1"/>
    <col min="14344" max="14344" width="11.5546875" style="462"/>
    <col min="14345" max="14345" width="14" style="462" bestFit="1" customWidth="1"/>
    <col min="14346" max="14590" width="11.5546875" style="462"/>
    <col min="14591" max="14591" width="22.33203125" style="462" customWidth="1"/>
    <col min="14592" max="14592" width="16.88671875" style="462" customWidth="1"/>
    <col min="14593" max="14593" width="14.5546875" style="462" customWidth="1"/>
    <col min="14594" max="14594" width="14.88671875" style="462" customWidth="1"/>
    <col min="14595" max="14595" width="14.5546875" style="462" customWidth="1"/>
    <col min="14596" max="14596" width="16.33203125" style="462" customWidth="1"/>
    <col min="14597" max="14597" width="15.5546875" style="462" customWidth="1"/>
    <col min="14598" max="14598" width="18.44140625" style="462" bestFit="1" customWidth="1"/>
    <col min="14599" max="14599" width="18.33203125" style="462" customWidth="1"/>
    <col min="14600" max="14600" width="11.5546875" style="462"/>
    <col min="14601" max="14601" width="14" style="462" bestFit="1" customWidth="1"/>
    <col min="14602" max="14846" width="11.5546875" style="462"/>
    <col min="14847" max="14847" width="22.33203125" style="462" customWidth="1"/>
    <col min="14848" max="14848" width="16.88671875" style="462" customWidth="1"/>
    <col min="14849" max="14849" width="14.5546875" style="462" customWidth="1"/>
    <col min="14850" max="14850" width="14.88671875" style="462" customWidth="1"/>
    <col min="14851" max="14851" width="14.5546875" style="462" customWidth="1"/>
    <col min="14852" max="14852" width="16.33203125" style="462" customWidth="1"/>
    <col min="14853" max="14853" width="15.5546875" style="462" customWidth="1"/>
    <col min="14854" max="14854" width="18.44140625" style="462" bestFit="1" customWidth="1"/>
    <col min="14855" max="14855" width="18.33203125" style="462" customWidth="1"/>
    <col min="14856" max="14856" width="11.5546875" style="462"/>
    <col min="14857" max="14857" width="14" style="462" bestFit="1" customWidth="1"/>
    <col min="14858" max="15102" width="11.5546875" style="462"/>
    <col min="15103" max="15103" width="22.33203125" style="462" customWidth="1"/>
    <col min="15104" max="15104" width="16.88671875" style="462" customWidth="1"/>
    <col min="15105" max="15105" width="14.5546875" style="462" customWidth="1"/>
    <col min="15106" max="15106" width="14.88671875" style="462" customWidth="1"/>
    <col min="15107" max="15107" width="14.5546875" style="462" customWidth="1"/>
    <col min="15108" max="15108" width="16.33203125" style="462" customWidth="1"/>
    <col min="15109" max="15109" width="15.5546875" style="462" customWidth="1"/>
    <col min="15110" max="15110" width="18.44140625" style="462" bestFit="1" customWidth="1"/>
    <col min="15111" max="15111" width="18.33203125" style="462" customWidth="1"/>
    <col min="15112" max="15112" width="11.5546875" style="462"/>
    <col min="15113" max="15113" width="14" style="462" bestFit="1" customWidth="1"/>
    <col min="15114" max="15358" width="11.5546875" style="462"/>
    <col min="15359" max="15359" width="22.33203125" style="462" customWidth="1"/>
    <col min="15360" max="15360" width="16.88671875" style="462" customWidth="1"/>
    <col min="15361" max="15361" width="14.5546875" style="462" customWidth="1"/>
    <col min="15362" max="15362" width="14.88671875" style="462" customWidth="1"/>
    <col min="15363" max="15363" width="14.5546875" style="462" customWidth="1"/>
    <col min="15364" max="15364" width="16.33203125" style="462" customWidth="1"/>
    <col min="15365" max="15365" width="15.5546875" style="462" customWidth="1"/>
    <col min="15366" max="15366" width="18.44140625" style="462" bestFit="1" customWidth="1"/>
    <col min="15367" max="15367" width="18.33203125" style="462" customWidth="1"/>
    <col min="15368" max="15368" width="11.5546875" style="462"/>
    <col min="15369" max="15369" width="14" style="462" bestFit="1" customWidth="1"/>
    <col min="15370" max="15614" width="11.5546875" style="462"/>
    <col min="15615" max="15615" width="22.33203125" style="462" customWidth="1"/>
    <col min="15616" max="15616" width="16.88671875" style="462" customWidth="1"/>
    <col min="15617" max="15617" width="14.5546875" style="462" customWidth="1"/>
    <col min="15618" max="15618" width="14.88671875" style="462" customWidth="1"/>
    <col min="15619" max="15619" width="14.5546875" style="462" customWidth="1"/>
    <col min="15620" max="15620" width="16.33203125" style="462" customWidth="1"/>
    <col min="15621" max="15621" width="15.5546875" style="462" customWidth="1"/>
    <col min="15622" max="15622" width="18.44140625" style="462" bestFit="1" customWidth="1"/>
    <col min="15623" max="15623" width="18.33203125" style="462" customWidth="1"/>
    <col min="15624" max="15624" width="11.5546875" style="462"/>
    <col min="15625" max="15625" width="14" style="462" bestFit="1" customWidth="1"/>
    <col min="15626" max="15870" width="11.5546875" style="462"/>
    <col min="15871" max="15871" width="22.33203125" style="462" customWidth="1"/>
    <col min="15872" max="15872" width="16.88671875" style="462" customWidth="1"/>
    <col min="15873" max="15873" width="14.5546875" style="462" customWidth="1"/>
    <col min="15874" max="15874" width="14.88671875" style="462" customWidth="1"/>
    <col min="15875" max="15875" width="14.5546875" style="462" customWidth="1"/>
    <col min="15876" max="15876" width="16.33203125" style="462" customWidth="1"/>
    <col min="15877" max="15877" width="15.5546875" style="462" customWidth="1"/>
    <col min="15878" max="15878" width="18.44140625" style="462" bestFit="1" customWidth="1"/>
    <col min="15879" max="15879" width="18.33203125" style="462" customWidth="1"/>
    <col min="15880" max="15880" width="11.5546875" style="462"/>
    <col min="15881" max="15881" width="14" style="462" bestFit="1" customWidth="1"/>
    <col min="15882" max="16126" width="11.5546875" style="462"/>
    <col min="16127" max="16127" width="22.33203125" style="462" customWidth="1"/>
    <col min="16128" max="16128" width="16.88671875" style="462" customWidth="1"/>
    <col min="16129" max="16129" width="14.5546875" style="462" customWidth="1"/>
    <col min="16130" max="16130" width="14.88671875" style="462" customWidth="1"/>
    <col min="16131" max="16131" width="14.5546875" style="462" customWidth="1"/>
    <col min="16132" max="16132" width="16.33203125" style="462" customWidth="1"/>
    <col min="16133" max="16133" width="15.5546875" style="462" customWidth="1"/>
    <col min="16134" max="16134" width="18.44140625" style="462" bestFit="1" customWidth="1"/>
    <col min="16135" max="16135" width="18.33203125" style="462" customWidth="1"/>
    <col min="16136" max="16136" width="11.5546875" style="462"/>
    <col min="16137" max="16137" width="14" style="462" bestFit="1" customWidth="1"/>
    <col min="16138" max="16384" width="11.5546875" style="462"/>
  </cols>
  <sheetData>
    <row r="1" spans="1:10" ht="18.600000000000001" thickBot="1">
      <c r="A1" s="533" t="s">
        <v>414</v>
      </c>
      <c r="B1" s="534"/>
      <c r="C1" s="534"/>
      <c r="D1" s="535"/>
      <c r="F1" s="462" t="str">
        <f>$A$1</f>
        <v>MUNICIPIO DE XXXXX</v>
      </c>
    </row>
    <row r="2" spans="1:10" ht="50.25" customHeight="1">
      <c r="A2" s="533" t="str">
        <f>PRESUP!A4</f>
        <v xml:space="preserve">PROYECTO "OPTIMIZACION DEL ACUEDUCTO RURAL DEL BARRIO CEFERINO EN ZONA RURAL DEL MUNICIPIO DE HELICONIA-ANTIOQUIA"     </v>
      </c>
      <c r="B2" s="534"/>
      <c r="C2" s="534"/>
      <c r="D2" s="535"/>
      <c r="F2" s="462" t="s">
        <v>385</v>
      </c>
    </row>
    <row r="3" spans="1:10" ht="28.8">
      <c r="A3" s="463"/>
      <c r="B3" s="464" t="s">
        <v>403</v>
      </c>
      <c r="C3" s="515" t="s">
        <v>404</v>
      </c>
      <c r="D3" s="465" t="s">
        <v>327</v>
      </c>
    </row>
    <row r="4" spans="1:10" ht="22.5" customHeight="1">
      <c r="A4" s="466" t="s">
        <v>386</v>
      </c>
      <c r="B4" s="467"/>
      <c r="C4" s="516"/>
      <c r="D4" s="468"/>
    </row>
    <row r="5" spans="1:10" ht="18" customHeight="1">
      <c r="A5" s="469" t="e">
        <f xml:space="preserve"> "A = " &amp; ($D$5/$D$4)*100 &amp; "%"</f>
        <v>#DIV/0!</v>
      </c>
      <c r="B5" s="467"/>
      <c r="C5" s="516"/>
      <c r="D5" s="470"/>
      <c r="F5" s="462">
        <v>105861524</v>
      </c>
      <c r="G5" s="471"/>
    </row>
    <row r="6" spans="1:10" ht="19.5" customHeight="1">
      <c r="A6" s="469" t="s">
        <v>413</v>
      </c>
      <c r="B6" s="467"/>
      <c r="C6" s="516"/>
      <c r="D6" s="470"/>
      <c r="F6" s="462">
        <v>909106938</v>
      </c>
      <c r="G6" s="472"/>
    </row>
    <row r="7" spans="1:10" ht="18.75" customHeight="1">
      <c r="A7" s="469" t="s">
        <v>387</v>
      </c>
      <c r="B7" s="467"/>
      <c r="C7" s="516"/>
      <c r="D7" s="470"/>
      <c r="F7" s="473">
        <v>754274718</v>
      </c>
      <c r="G7" s="474"/>
      <c r="H7" s="473"/>
      <c r="I7" s="473"/>
      <c r="J7" s="473"/>
    </row>
    <row r="8" spans="1:10" ht="24.75" customHeight="1">
      <c r="A8" s="475" t="s">
        <v>388</v>
      </c>
      <c r="B8" s="476">
        <f>SUM(B4:B7)</f>
        <v>0</v>
      </c>
      <c r="C8" s="476">
        <f t="shared" ref="C8:D8" si="0">SUM(C4:C7)</f>
        <v>0</v>
      </c>
      <c r="D8" s="476">
        <f t="shared" si="0"/>
        <v>0</v>
      </c>
      <c r="F8" s="477">
        <f>+F6-F7</f>
        <v>154832220</v>
      </c>
      <c r="G8" s="478"/>
      <c r="H8" s="473"/>
      <c r="I8" s="473"/>
      <c r="J8" s="473"/>
    </row>
    <row r="9" spans="1:10" ht="22.5" customHeight="1">
      <c r="A9" s="475" t="s">
        <v>389</v>
      </c>
      <c r="B9" s="476"/>
      <c r="C9" s="517"/>
      <c r="D9" s="479"/>
      <c r="F9" s="480">
        <f>+F7/F6</f>
        <v>0.82968756091486351</v>
      </c>
      <c r="G9" s="481"/>
      <c r="H9" s="473"/>
      <c r="I9" s="473"/>
      <c r="J9" s="473"/>
    </row>
    <row r="10" spans="1:10" ht="20.25" customHeight="1">
      <c r="A10" s="469" t="e">
        <f xml:space="preserve"> "A = " &amp; ($D$5/$D$4)*100 &amp; "%"</f>
        <v>#DIV/0!</v>
      </c>
      <c r="B10" s="482"/>
      <c r="C10" s="518"/>
      <c r="D10" s="470"/>
      <c r="F10" s="483">
        <f>+F8/F6</f>
        <v>0.17031243908513655</v>
      </c>
      <c r="G10" s="477"/>
      <c r="H10" s="473"/>
      <c r="I10" s="473"/>
      <c r="J10" s="473"/>
    </row>
    <row r="11" spans="1:10" ht="22.5" customHeight="1">
      <c r="A11" s="466" t="s">
        <v>390</v>
      </c>
      <c r="B11" s="476"/>
      <c r="C11" s="476"/>
      <c r="D11" s="476">
        <f t="shared" ref="D11" si="1">+D9+D10</f>
        <v>0</v>
      </c>
      <c r="F11" s="473"/>
      <c r="G11" s="473"/>
      <c r="H11" s="473"/>
      <c r="I11" s="473"/>
      <c r="J11" s="473"/>
    </row>
    <row r="12" spans="1:10" ht="22.2" customHeight="1">
      <c r="A12" s="484" t="s">
        <v>391</v>
      </c>
      <c r="B12" s="485"/>
      <c r="C12" s="520"/>
      <c r="D12" s="486"/>
      <c r="E12" s="472"/>
      <c r="F12" s="487"/>
      <c r="G12" s="473"/>
      <c r="H12" s="473"/>
      <c r="I12" s="488"/>
      <c r="J12" s="473"/>
    </row>
    <row r="13" spans="1:10" ht="22.5" customHeight="1">
      <c r="A13" s="489" t="s">
        <v>392</v>
      </c>
      <c r="B13" s="490">
        <f>ROUNDUP(B8+B11+B12,0)</f>
        <v>0</v>
      </c>
      <c r="C13" s="490">
        <f>C8+C11+C12</f>
        <v>0</v>
      </c>
      <c r="D13" s="490">
        <f>ROUNDUP(D8+D11+D12,0)</f>
        <v>0</v>
      </c>
      <c r="E13" s="472"/>
      <c r="F13" s="487">
        <v>0.7</v>
      </c>
      <c r="G13" s="473" t="s">
        <v>393</v>
      </c>
      <c r="H13" s="473"/>
      <c r="I13" s="488"/>
      <c r="J13" s="473"/>
    </row>
    <row r="14" spans="1:10" ht="22.5" customHeight="1">
      <c r="A14" s="491" t="s">
        <v>394</v>
      </c>
      <c r="B14" s="492"/>
      <c r="C14" s="519"/>
      <c r="D14" s="493"/>
      <c r="F14" s="487">
        <v>0.3</v>
      </c>
      <c r="G14" s="473" t="s">
        <v>395</v>
      </c>
      <c r="H14" s="473"/>
      <c r="I14" s="473"/>
      <c r="J14" s="473"/>
    </row>
    <row r="15" spans="1:10" ht="22.5" customHeight="1">
      <c r="A15" s="494" t="e">
        <f>"Interventoría Obra física ("&amp;ROUND(PRESUP!I10*100,2)&amp;"%)"</f>
        <v>#DIV/0!</v>
      </c>
      <c r="B15" s="482"/>
      <c r="C15" s="482"/>
      <c r="D15" s="470"/>
      <c r="F15" s="495">
        <v>0</v>
      </c>
      <c r="G15" s="473" t="s">
        <v>400</v>
      </c>
      <c r="H15" s="473"/>
      <c r="I15" s="473"/>
      <c r="J15" s="473"/>
    </row>
    <row r="16" spans="1:10" ht="22.5" customHeight="1">
      <c r="A16" s="494" t="e">
        <f>"Interventoría Suministros ("&amp;IF(PRESUP!#REF!=0,0,ROUND(PRESUP!#REF!*100,2))&amp;"%)"</f>
        <v>#REF!</v>
      </c>
      <c r="B16" s="482"/>
      <c r="C16" s="482"/>
      <c r="D16" s="470">
        <f>+PRESUP!I12</f>
        <v>0</v>
      </c>
      <c r="F16" s="477"/>
      <c r="G16" s="473"/>
      <c r="H16" s="473"/>
      <c r="I16" s="473"/>
      <c r="J16" s="473"/>
    </row>
    <row r="17" spans="1:10" ht="27.75" customHeight="1">
      <c r="A17" s="494" t="s">
        <v>396</v>
      </c>
      <c r="B17" s="482"/>
      <c r="C17" s="482"/>
      <c r="D17" s="470"/>
      <c r="F17" s="473"/>
      <c r="G17" s="473"/>
      <c r="H17" s="473"/>
      <c r="I17" s="473"/>
      <c r="J17" s="473"/>
    </row>
    <row r="18" spans="1:10" ht="22.2" customHeight="1">
      <c r="A18" s="484" t="s">
        <v>397</v>
      </c>
      <c r="B18" s="485">
        <f t="shared" ref="B18:D18" si="2">+B15+B16+B17</f>
        <v>0</v>
      </c>
      <c r="C18" s="485">
        <f t="shared" si="2"/>
        <v>0</v>
      </c>
      <c r="D18" s="485">
        <f t="shared" si="2"/>
        <v>0</v>
      </c>
      <c r="E18" s="472"/>
      <c r="F18" s="487"/>
      <c r="G18" s="473"/>
      <c r="H18" s="473"/>
      <c r="I18" s="488"/>
      <c r="J18" s="473"/>
    </row>
    <row r="19" spans="1:10" ht="22.5" customHeight="1">
      <c r="A19" s="489" t="s">
        <v>398</v>
      </c>
      <c r="B19" s="490">
        <f t="shared" ref="B19" si="3">+B13+B18</f>
        <v>0</v>
      </c>
      <c r="C19" s="490">
        <f>+C13+C18</f>
        <v>0</v>
      </c>
      <c r="D19" s="490">
        <f>+D13+D18</f>
        <v>0</v>
      </c>
      <c r="F19" s="488"/>
      <c r="G19" s="473"/>
      <c r="H19" s="473"/>
      <c r="I19" s="473"/>
      <c r="J19" s="473"/>
    </row>
    <row r="20" spans="1:10">
      <c r="B20" s="496" t="e">
        <f>+B19/$D$19</f>
        <v>#DIV/0!</v>
      </c>
      <c r="C20" s="496" t="e">
        <f>+C19/$D$19</f>
        <v>#DIV/0!</v>
      </c>
    </row>
    <row r="21" spans="1:10">
      <c r="B21" s="497"/>
      <c r="C21" s="497"/>
    </row>
  </sheetData>
  <mergeCells count="2">
    <mergeCell ref="A1:D1"/>
    <mergeCell ref="A2:D2"/>
  </mergeCells>
  <printOptions horizontalCentered="1"/>
  <pageMargins left="0.19685039370078741" right="0.19685039370078741" top="0.39370078740157483" bottom="0.19685039370078741" header="0.31496062992125984" footer="0.31496062992125984"/>
  <pageSetup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34"/>
  </sheetPr>
  <dimension ref="A1:R55"/>
  <sheetViews>
    <sheetView view="pageBreakPreview" topLeftCell="A35" zoomScale="84" zoomScaleNormal="85" zoomScaleSheetLayoutView="84" zoomScalePageLayoutView="25" workbookViewId="0">
      <selection activeCell="A43" sqref="A43:H43"/>
    </sheetView>
  </sheetViews>
  <sheetFormatPr baseColWidth="10" defaultColWidth="11.44140625" defaultRowHeight="13.2"/>
  <cols>
    <col min="1" max="1" width="5.6640625" style="86" customWidth="1"/>
    <col min="2" max="2" width="68.88671875" style="144" customWidth="1"/>
    <col min="3" max="3" width="10" style="144" customWidth="1"/>
    <col min="4" max="4" width="11.33203125" style="144" customWidth="1"/>
    <col min="5" max="5" width="16.6640625" style="177" customWidth="1"/>
    <col min="6" max="6" width="12.88671875" style="194" customWidth="1"/>
    <col min="7" max="7" width="10.6640625" style="178" bestFit="1" customWidth="1"/>
    <col min="8" max="8" width="18.109375" style="204" customWidth="1"/>
    <col min="9" max="9" width="22.44140625" style="144" bestFit="1" customWidth="1"/>
    <col min="10" max="10" width="20.6640625" style="144" bestFit="1" customWidth="1"/>
    <col min="11" max="11" width="12.88671875" style="144" bestFit="1" customWidth="1"/>
    <col min="12" max="12" width="16" style="144" bestFit="1" customWidth="1"/>
    <col min="13" max="13" width="19.44140625" style="144" customWidth="1"/>
    <col min="14" max="14" width="21.44140625" style="144" customWidth="1"/>
    <col min="15" max="15" width="20.33203125" style="144" customWidth="1"/>
    <col min="16" max="16384" width="11.44140625" style="144"/>
  </cols>
  <sheetData>
    <row r="1" spans="1:18" s="138" customFormat="1" ht="17.399999999999999">
      <c r="A1" s="537" t="s">
        <v>54</v>
      </c>
      <c r="B1" s="538"/>
      <c r="C1" s="538"/>
      <c r="D1" s="538"/>
      <c r="E1" s="538"/>
      <c r="F1" s="538"/>
      <c r="G1" s="538"/>
      <c r="H1" s="539"/>
    </row>
    <row r="2" spans="1:18" s="139" customFormat="1" ht="26.25" customHeight="1">
      <c r="A2" s="540" t="s">
        <v>111</v>
      </c>
      <c r="B2" s="541"/>
      <c r="C2" s="541"/>
      <c r="D2" s="541"/>
      <c r="E2" s="541"/>
      <c r="F2" s="541"/>
      <c r="G2" s="541"/>
      <c r="H2" s="542"/>
    </row>
    <row r="3" spans="1:18" s="139" customFormat="1" ht="30" customHeight="1">
      <c r="A3" s="543" t="s">
        <v>130</v>
      </c>
      <c r="B3" s="546"/>
      <c r="C3" s="546"/>
      <c r="D3" s="546"/>
      <c r="E3" s="546"/>
      <c r="F3" s="546"/>
      <c r="G3" s="546"/>
      <c r="H3" s="547"/>
      <c r="J3" s="226"/>
    </row>
    <row r="4" spans="1:18" s="141" customFormat="1" ht="48.75" customHeight="1">
      <c r="A4" s="543" t="s">
        <v>407</v>
      </c>
      <c r="B4" s="544"/>
      <c r="C4" s="544"/>
      <c r="D4" s="544"/>
      <c r="E4" s="544"/>
      <c r="F4" s="544"/>
      <c r="G4" s="544"/>
      <c r="H4" s="545"/>
      <c r="I4" s="140"/>
      <c r="J4" s="227"/>
    </row>
    <row r="5" spans="1:18" s="142" customFormat="1" ht="20.25" customHeight="1" thickBot="1">
      <c r="A5" s="549" t="s">
        <v>18</v>
      </c>
      <c r="B5" s="550"/>
      <c r="C5" s="550"/>
      <c r="D5" s="550"/>
      <c r="E5" s="550"/>
      <c r="F5" s="550"/>
      <c r="G5" s="550"/>
      <c r="H5" s="551"/>
      <c r="I5" s="140"/>
    </row>
    <row r="6" spans="1:18" ht="44.25" customHeight="1">
      <c r="A6" s="59" t="s">
        <v>19</v>
      </c>
      <c r="B6" s="60" t="s">
        <v>87</v>
      </c>
      <c r="C6" s="61" t="s">
        <v>83</v>
      </c>
      <c r="D6" s="61" t="s">
        <v>84</v>
      </c>
      <c r="E6" s="143" t="s">
        <v>55</v>
      </c>
      <c r="F6" s="180" t="s">
        <v>85</v>
      </c>
      <c r="G6" s="62" t="s">
        <v>86</v>
      </c>
      <c r="H6" s="63" t="s">
        <v>56</v>
      </c>
      <c r="I6" s="140"/>
      <c r="J6" s="208"/>
      <c r="L6" s="86"/>
      <c r="M6" s="86"/>
      <c r="N6" s="86"/>
      <c r="O6" s="86"/>
      <c r="P6" s="86"/>
      <c r="Q6" s="86"/>
      <c r="R6" s="86"/>
    </row>
    <row r="7" spans="1:18" ht="20.25" customHeight="1">
      <c r="A7" s="87" t="s">
        <v>20</v>
      </c>
      <c r="B7" s="98" t="s">
        <v>21</v>
      </c>
      <c r="C7" s="145"/>
      <c r="D7" s="145"/>
      <c r="E7" s="146"/>
      <c r="F7" s="181"/>
      <c r="G7" s="147"/>
      <c r="H7" s="195"/>
      <c r="L7" s="86"/>
      <c r="M7" s="86"/>
      <c r="N7" s="86"/>
      <c r="O7" s="86"/>
      <c r="P7" s="86"/>
      <c r="Q7" s="86"/>
      <c r="R7" s="86"/>
    </row>
    <row r="8" spans="1:18">
      <c r="A8" s="88">
        <v>1</v>
      </c>
      <c r="B8" s="89" t="s">
        <v>22</v>
      </c>
      <c r="C8" s="148"/>
      <c r="D8" s="148"/>
      <c r="E8" s="149"/>
      <c r="F8" s="182"/>
      <c r="G8" s="150"/>
      <c r="H8" s="196"/>
      <c r="M8" s="498" t="s">
        <v>388</v>
      </c>
      <c r="N8" s="499">
        <f>+'PLAN FINANCIERO'!D8</f>
        <v>0</v>
      </c>
      <c r="O8" s="499">
        <f>+N8*0.08</f>
        <v>0</v>
      </c>
      <c r="P8" s="500" t="e">
        <f>+O8/N8</f>
        <v>#DIV/0!</v>
      </c>
      <c r="Q8" s="86"/>
      <c r="R8" s="86"/>
    </row>
    <row r="9" spans="1:18" s="86" customFormat="1" ht="13.8">
      <c r="A9" s="99" t="s">
        <v>99</v>
      </c>
      <c r="B9" s="521" t="s">
        <v>101</v>
      </c>
      <c r="C9" s="522" t="s">
        <v>88</v>
      </c>
      <c r="D9" s="90">
        <v>1</v>
      </c>
      <c r="E9" s="526">
        <v>5859315</v>
      </c>
      <c r="F9" s="183">
        <v>0.5</v>
      </c>
      <c r="G9" s="93">
        <v>4.5</v>
      </c>
      <c r="H9" s="197">
        <f>+E9*F9*G9*D9</f>
        <v>13183458.75</v>
      </c>
      <c r="I9" s="525">
        <f>ROUNDUP(SUM(H9:H13)*G16+H18+H32+H34,0)</f>
        <v>185330668</v>
      </c>
      <c r="J9" s="509">
        <f>+I9-I12</f>
        <v>185330668</v>
      </c>
      <c r="L9" s="144"/>
      <c r="M9" s="498" t="s">
        <v>390</v>
      </c>
      <c r="N9" s="501">
        <f>+'PLAN FINANCIERO'!D11</f>
        <v>0</v>
      </c>
      <c r="O9" s="501">
        <f>+N9*0.02</f>
        <v>0</v>
      </c>
      <c r="P9" s="500" t="e">
        <f>+O9/N9</f>
        <v>#DIV/0!</v>
      </c>
    </row>
    <row r="10" spans="1:18" s="86" customFormat="1" ht="13.8">
      <c r="A10" s="99" t="s">
        <v>100</v>
      </c>
      <c r="B10" s="521" t="s">
        <v>110</v>
      </c>
      <c r="C10" s="522" t="s">
        <v>88</v>
      </c>
      <c r="D10" s="90">
        <v>1</v>
      </c>
      <c r="E10" s="526">
        <v>4773757</v>
      </c>
      <c r="F10" s="184">
        <v>1</v>
      </c>
      <c r="G10" s="93">
        <f>G9</f>
        <v>4.5</v>
      </c>
      <c r="H10" s="197">
        <f t="shared" ref="H10:H12" si="0">+E10*F10*G10*D10</f>
        <v>21481906.5</v>
      </c>
      <c r="I10" s="502" t="e">
        <f>J9/N8</f>
        <v>#DIV/0!</v>
      </c>
      <c r="J10" s="503"/>
      <c r="L10" s="144"/>
      <c r="M10" s="498" t="s">
        <v>392</v>
      </c>
      <c r="N10" s="501">
        <f>+N9+N8</f>
        <v>0</v>
      </c>
      <c r="O10" s="504">
        <f>+O9+O8</f>
        <v>0</v>
      </c>
      <c r="P10" s="505"/>
    </row>
    <row r="11" spans="1:18" s="86" customFormat="1" ht="13.8">
      <c r="A11" s="99" t="s">
        <v>114</v>
      </c>
      <c r="B11" s="521" t="s">
        <v>401</v>
      </c>
      <c r="C11" s="522" t="s">
        <v>88</v>
      </c>
      <c r="D11" s="90">
        <v>1</v>
      </c>
      <c r="E11" s="527">
        <v>3124968</v>
      </c>
      <c r="F11" s="184">
        <v>1</v>
      </c>
      <c r="G11" s="93">
        <f t="shared" ref="G11:G12" si="1">G10</f>
        <v>4.5</v>
      </c>
      <c r="H11" s="197">
        <f t="shared" si="0"/>
        <v>14062356</v>
      </c>
      <c r="I11" s="506"/>
      <c r="L11" s="144"/>
      <c r="M11" s="507"/>
      <c r="N11" s="508"/>
      <c r="O11" s="509"/>
      <c r="P11" s="505"/>
    </row>
    <row r="12" spans="1:18" s="86" customFormat="1" ht="13.8">
      <c r="A12" s="99" t="s">
        <v>115</v>
      </c>
      <c r="B12" s="521" t="s">
        <v>402</v>
      </c>
      <c r="C12" s="522" t="s">
        <v>88</v>
      </c>
      <c r="D12" s="90">
        <v>1</v>
      </c>
      <c r="E12" s="527">
        <v>3124968</v>
      </c>
      <c r="F12" s="184">
        <v>1</v>
      </c>
      <c r="G12" s="93">
        <f t="shared" si="1"/>
        <v>4.5</v>
      </c>
      <c r="H12" s="197">
        <f t="shared" si="0"/>
        <v>14062356</v>
      </c>
      <c r="I12" s="510">
        <f>+O9</f>
        <v>0</v>
      </c>
      <c r="L12" s="144"/>
      <c r="M12" s="220"/>
      <c r="N12" s="222">
        <f>+H34</f>
        <v>28613184.469999999</v>
      </c>
      <c r="O12" s="222">
        <f>+O10-N12</f>
        <v>-28613184.469999999</v>
      </c>
    </row>
    <row r="13" spans="1:18" s="86" customFormat="1">
      <c r="A13" s="99"/>
      <c r="B13" s="521"/>
      <c r="C13" s="522"/>
      <c r="D13" s="90"/>
      <c r="E13" s="96"/>
      <c r="F13" s="184"/>
      <c r="G13" s="228"/>
      <c r="H13" s="197"/>
      <c r="I13" s="511"/>
      <c r="J13" s="221"/>
      <c r="L13" s="144"/>
      <c r="M13" s="220"/>
      <c r="O13" s="225"/>
    </row>
    <row r="14" spans="1:18" s="86" customFormat="1" ht="13.8" thickBot="1">
      <c r="A14" s="99"/>
      <c r="B14" s="101"/>
      <c r="C14" s="91"/>
      <c r="D14" s="90"/>
      <c r="E14" s="96"/>
      <c r="F14" s="184"/>
      <c r="G14" s="228"/>
      <c r="H14" s="197"/>
      <c r="I14" s="512" t="e">
        <f>+#REF!*100</f>
        <v>#REF!</v>
      </c>
      <c r="J14" s="144"/>
      <c r="K14" s="144"/>
      <c r="L14" s="144"/>
      <c r="M14" s="513">
        <v>3030356461</v>
      </c>
      <c r="N14" s="144"/>
      <c r="O14" s="144"/>
      <c r="P14" s="144"/>
    </row>
    <row r="15" spans="1:18" ht="14.4" thickBot="1">
      <c r="A15" s="84"/>
      <c r="B15" s="95" t="s">
        <v>23</v>
      </c>
      <c r="C15" s="151"/>
      <c r="D15" s="152"/>
      <c r="E15" s="153"/>
      <c r="F15" s="185"/>
      <c r="G15" s="154"/>
      <c r="H15" s="199">
        <f>SUM(H9:H13)</f>
        <v>62790077.25</v>
      </c>
      <c r="M15" s="513">
        <v>477377139.48000002</v>
      </c>
    </row>
    <row r="16" spans="1:18" ht="14.4" thickBot="1">
      <c r="A16" s="84"/>
      <c r="B16" s="95" t="s">
        <v>90</v>
      </c>
      <c r="C16" s="151"/>
      <c r="D16" s="152"/>
      <c r="E16" s="153"/>
      <c r="F16" s="186"/>
      <c r="G16" s="126">
        <v>1.97</v>
      </c>
      <c r="H16" s="155"/>
      <c r="J16" s="217">
        <v>600000</v>
      </c>
    </row>
    <row r="17" spans="1:15" ht="13.8" thickBot="1">
      <c r="A17" s="99"/>
      <c r="B17" s="100" t="s">
        <v>24</v>
      </c>
      <c r="C17" s="91"/>
      <c r="D17" s="90"/>
      <c r="E17" s="92"/>
      <c r="F17" s="184"/>
      <c r="G17" s="109"/>
      <c r="H17" s="199">
        <f>ROUND(((H15)*G16),0)</f>
        <v>123696452</v>
      </c>
      <c r="J17" s="218">
        <f>(5*J16*G9)+(J16*0.05*G9)</f>
        <v>13635000</v>
      </c>
    </row>
    <row r="18" spans="1:15" ht="13.8" thickBot="1">
      <c r="A18" s="88">
        <v>2</v>
      </c>
      <c r="B18" s="89" t="s">
        <v>134</v>
      </c>
      <c r="C18" s="148"/>
      <c r="D18" s="148"/>
      <c r="E18" s="149"/>
      <c r="F18" s="182"/>
      <c r="G18" s="150"/>
      <c r="H18" s="199">
        <f>H19+H20</f>
        <v>17257500</v>
      </c>
      <c r="J18" s="218"/>
    </row>
    <row r="19" spans="1:15" s="86" customFormat="1" ht="42" customHeight="1">
      <c r="A19" s="99" t="s">
        <v>102</v>
      </c>
      <c r="B19" s="211" t="s">
        <v>381</v>
      </c>
      <c r="C19" s="212" t="s">
        <v>106</v>
      </c>
      <c r="D19" s="90"/>
      <c r="E19" s="96">
        <f>+FM!J34</f>
        <v>2091600</v>
      </c>
      <c r="F19" s="184"/>
      <c r="G19" s="93"/>
      <c r="H19" s="230">
        <f>+E19*$G$9</f>
        <v>9412200</v>
      </c>
      <c r="I19" s="222"/>
      <c r="J19" s="219"/>
    </row>
    <row r="20" spans="1:15" s="86" customFormat="1" ht="66">
      <c r="A20" s="99" t="s">
        <v>133</v>
      </c>
      <c r="B20" s="211" t="s">
        <v>382</v>
      </c>
      <c r="C20" s="212" t="s">
        <v>106</v>
      </c>
      <c r="D20" s="90"/>
      <c r="E20" s="96">
        <f>+FM!K34</f>
        <v>1743400</v>
      </c>
      <c r="F20" s="184"/>
      <c r="G20" s="93"/>
      <c r="H20" s="230">
        <f>+E20*$G$9</f>
        <v>7845300</v>
      </c>
      <c r="I20" s="222"/>
      <c r="J20" s="219"/>
      <c r="M20" s="509">
        <f>+H35-O9</f>
        <v>185330668</v>
      </c>
    </row>
    <row r="21" spans="1:15" ht="14.4" thickBot="1">
      <c r="A21" s="84"/>
      <c r="B21" s="1" t="s">
        <v>25</v>
      </c>
      <c r="C21" s="156"/>
      <c r="D21" s="156"/>
      <c r="E21" s="157"/>
      <c r="F21" s="187"/>
      <c r="G21" s="158"/>
      <c r="H21" s="229">
        <f>H18+H17</f>
        <v>140953952</v>
      </c>
      <c r="I21" s="219"/>
      <c r="J21" s="219"/>
      <c r="K21" s="219"/>
      <c r="L21" s="219"/>
    </row>
    <row r="22" spans="1:15" ht="13.8">
      <c r="A22" s="85" t="s">
        <v>26</v>
      </c>
      <c r="B22" s="2" t="s">
        <v>27</v>
      </c>
      <c r="C22" s="159"/>
      <c r="D22" s="159"/>
      <c r="E22" s="160"/>
      <c r="F22" s="188"/>
      <c r="G22" s="161"/>
      <c r="H22" s="200"/>
      <c r="I22" s="219"/>
      <c r="J22" s="219"/>
      <c r="K22" s="219"/>
      <c r="L22" s="219"/>
    </row>
    <row r="23" spans="1:15" ht="13.8">
      <c r="A23" s="104">
        <v>3</v>
      </c>
      <c r="B23" s="1" t="s">
        <v>91</v>
      </c>
      <c r="C23" s="156"/>
      <c r="D23" s="156"/>
      <c r="E23" s="157"/>
      <c r="F23" s="187"/>
      <c r="G23" s="158"/>
      <c r="H23" s="201"/>
      <c r="I23" s="219"/>
      <c r="J23" s="219"/>
      <c r="K23" s="219"/>
      <c r="L23" s="219"/>
    </row>
    <row r="24" spans="1:15" s="86" customFormat="1" ht="13.8">
      <c r="A24" s="84" t="s">
        <v>103</v>
      </c>
      <c r="B24" s="101" t="s">
        <v>126</v>
      </c>
      <c r="C24" s="91" t="s">
        <v>89</v>
      </c>
      <c r="D24" s="91">
        <v>1</v>
      </c>
      <c r="E24" s="97">
        <v>120000</v>
      </c>
      <c r="F24" s="183"/>
      <c r="G24" s="94">
        <f>+G9</f>
        <v>4.5</v>
      </c>
      <c r="H24" s="198">
        <f>D24*E24*G24</f>
        <v>540000</v>
      </c>
      <c r="I24" s="219"/>
      <c r="J24" s="219"/>
      <c r="K24" s="219"/>
      <c r="L24" s="219"/>
    </row>
    <row r="25" spans="1:15" s="86" customFormat="1" ht="13.8">
      <c r="A25" s="84" t="s">
        <v>116</v>
      </c>
      <c r="B25" s="101" t="s">
        <v>135</v>
      </c>
      <c r="C25" s="152" t="s">
        <v>89</v>
      </c>
      <c r="D25" s="91">
        <v>2</v>
      </c>
      <c r="E25" s="97">
        <v>350000</v>
      </c>
      <c r="F25" s="184"/>
      <c r="G25" s="94">
        <f>+G10</f>
        <v>4.5</v>
      </c>
      <c r="H25" s="197">
        <f>D25*E25*G25</f>
        <v>3150000</v>
      </c>
      <c r="I25" s="219"/>
      <c r="J25" s="219"/>
      <c r="K25" s="219"/>
      <c r="L25" s="219"/>
    </row>
    <row r="26" spans="1:15" s="86" customFormat="1" ht="13.8">
      <c r="A26" s="84" t="s">
        <v>117</v>
      </c>
      <c r="B26" s="101" t="s">
        <v>131</v>
      </c>
      <c r="C26" s="91" t="s">
        <v>89</v>
      </c>
      <c r="D26" s="91">
        <v>1</v>
      </c>
      <c r="E26" s="96">
        <v>200000</v>
      </c>
      <c r="F26" s="183"/>
      <c r="G26" s="94">
        <f>+G9</f>
        <v>4.5</v>
      </c>
      <c r="H26" s="198">
        <f t="shared" ref="H26:H27" si="2">D26*E26*G26</f>
        <v>900000</v>
      </c>
      <c r="I26" s="219"/>
      <c r="J26" s="219"/>
      <c r="K26" s="219"/>
      <c r="L26" s="219"/>
    </row>
    <row r="27" spans="1:15" s="86" customFormat="1" ht="26.4">
      <c r="A27" s="84" t="s">
        <v>118</v>
      </c>
      <c r="B27" s="223" t="s">
        <v>125</v>
      </c>
      <c r="C27" s="91" t="s">
        <v>89</v>
      </c>
      <c r="D27" s="91">
        <v>1</v>
      </c>
      <c r="E27" s="96">
        <v>500000</v>
      </c>
      <c r="F27" s="183"/>
      <c r="G27" s="94">
        <f>+G9</f>
        <v>4.5</v>
      </c>
      <c r="H27" s="198">
        <f t="shared" si="2"/>
        <v>2250000</v>
      </c>
    </row>
    <row r="28" spans="1:15" s="86" customFormat="1" ht="13.8">
      <c r="A28" s="84" t="s">
        <v>119</v>
      </c>
      <c r="B28" s="223" t="s">
        <v>132</v>
      </c>
      <c r="C28" s="91" t="s">
        <v>89</v>
      </c>
      <c r="D28" s="91">
        <v>1</v>
      </c>
      <c r="E28" s="97">
        <v>300000</v>
      </c>
      <c r="F28" s="183"/>
      <c r="G28" s="94">
        <v>1</v>
      </c>
      <c r="H28" s="198">
        <f>+D28*E28</f>
        <v>300000</v>
      </c>
    </row>
    <row r="29" spans="1:15" s="86" customFormat="1" ht="13.8">
      <c r="A29" s="84" t="s">
        <v>120</v>
      </c>
      <c r="B29" s="223" t="s">
        <v>124</v>
      </c>
      <c r="C29" s="91" t="s">
        <v>89</v>
      </c>
      <c r="D29" s="91">
        <v>1</v>
      </c>
      <c r="E29" s="97">
        <v>1400000</v>
      </c>
      <c r="F29" s="183"/>
      <c r="G29" s="94">
        <f>+G9</f>
        <v>4.5</v>
      </c>
      <c r="H29" s="198">
        <f>+D29*E29*G29</f>
        <v>6300000</v>
      </c>
      <c r="O29" s="162"/>
    </row>
    <row r="30" spans="1:15" s="86" customFormat="1" ht="52.8">
      <c r="A30" s="130">
        <v>4</v>
      </c>
      <c r="B30" s="101" t="s">
        <v>127</v>
      </c>
      <c r="C30" s="212" t="s">
        <v>106</v>
      </c>
      <c r="D30" s="91">
        <v>1</v>
      </c>
      <c r="E30" s="97">
        <f>+LABORATORIOS!F9</f>
        <v>2323530.66</v>
      </c>
      <c r="F30" s="183"/>
      <c r="G30" s="103"/>
      <c r="H30" s="213">
        <f>+E30*D30</f>
        <v>2323530.66</v>
      </c>
      <c r="M30" s="207"/>
      <c r="N30" s="207"/>
      <c r="O30" s="162"/>
    </row>
    <row r="31" spans="1:15" s="86" customFormat="1" ht="14.4" thickBot="1">
      <c r="A31" s="133"/>
      <c r="B31" s="134"/>
      <c r="C31" s="135"/>
      <c r="D31" s="135"/>
      <c r="E31" s="136"/>
      <c r="F31" s="189"/>
      <c r="G31" s="137"/>
      <c r="H31" s="202"/>
      <c r="M31" s="207"/>
      <c r="N31" s="207"/>
      <c r="O31" s="162"/>
    </row>
    <row r="32" spans="1:15" ht="21" customHeight="1" thickBot="1">
      <c r="A32" s="84"/>
      <c r="B32" s="1" t="s">
        <v>28</v>
      </c>
      <c r="C32" s="163"/>
      <c r="D32" s="163"/>
      <c r="E32" s="164"/>
      <c r="F32" s="190"/>
      <c r="G32" s="165"/>
      <c r="H32" s="199">
        <f>ROUND(SUM(H24:H30),2)</f>
        <v>15763530.66</v>
      </c>
      <c r="I32" s="166"/>
      <c r="J32" s="86"/>
      <c r="L32" s="209"/>
      <c r="M32" s="207"/>
      <c r="N32" s="207"/>
      <c r="O32" s="162"/>
    </row>
    <row r="33" spans="1:15" ht="17.25" customHeight="1" thickBot="1">
      <c r="A33" s="84"/>
      <c r="B33" s="1" t="s">
        <v>29</v>
      </c>
      <c r="C33" s="163"/>
      <c r="D33" s="163"/>
      <c r="E33" s="164"/>
      <c r="F33" s="190"/>
      <c r="G33" s="167"/>
      <c r="H33" s="199">
        <f>ROUND(H21+H32,2)</f>
        <v>156717482.66</v>
      </c>
      <c r="I33" s="168"/>
      <c r="J33" s="86"/>
      <c r="L33" s="162"/>
      <c r="M33" s="207"/>
      <c r="N33" s="207"/>
      <c r="O33" s="207"/>
    </row>
    <row r="34" spans="1:15" ht="18.75" customHeight="1" thickBot="1">
      <c r="A34" s="84"/>
      <c r="B34" s="1" t="s">
        <v>319</v>
      </c>
      <c r="C34" s="163"/>
      <c r="D34" s="163"/>
      <c r="E34" s="164"/>
      <c r="F34" s="190"/>
      <c r="G34" s="165"/>
      <c r="H34" s="199">
        <f>ROUND((((H15*FM!F43)+H18+H32)*0.19),2)</f>
        <v>28613184.469999999</v>
      </c>
      <c r="I34" s="162"/>
    </row>
    <row r="35" spans="1:15" ht="18" customHeight="1" thickBot="1">
      <c r="A35" s="131"/>
      <c r="B35" s="132" t="s">
        <v>30</v>
      </c>
      <c r="C35" s="169"/>
      <c r="D35" s="169"/>
      <c r="E35" s="170"/>
      <c r="F35" s="191"/>
      <c r="G35" s="171"/>
      <c r="H35" s="424">
        <f>ROUNDUP((SUM(H33:H34)),0)</f>
        <v>185330668</v>
      </c>
      <c r="I35" s="424">
        <v>185330688</v>
      </c>
      <c r="J35" s="162"/>
      <c r="L35" s="208"/>
      <c r="M35" s="207"/>
      <c r="N35" s="207"/>
      <c r="O35" s="207"/>
    </row>
    <row r="36" spans="1:15" ht="18" customHeight="1">
      <c r="A36" s="107"/>
      <c r="B36" s="108"/>
      <c r="C36" s="173"/>
      <c r="D36" s="173"/>
      <c r="E36" s="174"/>
      <c r="F36" s="192"/>
      <c r="G36" s="175"/>
      <c r="H36" s="144"/>
      <c r="J36" s="162"/>
      <c r="M36" s="207"/>
      <c r="O36" s="207"/>
    </row>
    <row r="37" spans="1:15" ht="19.5" customHeight="1">
      <c r="A37" s="548" t="s">
        <v>31</v>
      </c>
      <c r="B37" s="548"/>
      <c r="C37" s="548"/>
      <c r="D37" s="548"/>
      <c r="E37" s="548"/>
      <c r="F37" s="548"/>
      <c r="G37" s="548"/>
      <c r="H37" s="548"/>
      <c r="I37" s="208"/>
      <c r="M37" s="207"/>
    </row>
    <row r="38" spans="1:15" ht="48" customHeight="1">
      <c r="A38" s="536" t="s">
        <v>104</v>
      </c>
      <c r="B38" s="536"/>
      <c r="C38" s="536"/>
      <c r="D38" s="536"/>
      <c r="E38" s="536"/>
      <c r="F38" s="536"/>
      <c r="G38" s="536"/>
      <c r="H38" s="536"/>
      <c r="I38" s="172"/>
      <c r="L38" s="162"/>
      <c r="M38" s="207"/>
    </row>
    <row r="39" spans="1:15" ht="19.5" customHeight="1">
      <c r="A39" s="536" t="s">
        <v>105</v>
      </c>
      <c r="B39" s="536"/>
      <c r="C39" s="536"/>
      <c r="D39" s="536"/>
      <c r="E39" s="536"/>
      <c r="F39" s="536"/>
      <c r="G39" s="536"/>
      <c r="H39" s="536"/>
      <c r="L39" s="162"/>
      <c r="M39" s="207"/>
    </row>
    <row r="40" spans="1:15" ht="45.75" customHeight="1">
      <c r="A40" s="548" t="s">
        <v>121</v>
      </c>
      <c r="B40" s="536"/>
      <c r="C40" s="536"/>
      <c r="D40" s="536"/>
      <c r="E40" s="536"/>
      <c r="F40" s="536"/>
      <c r="G40" s="536"/>
      <c r="H40" s="536"/>
      <c r="I40" s="86"/>
    </row>
    <row r="41" spans="1:15" ht="80.25" customHeight="1">
      <c r="A41" s="536" t="s">
        <v>122</v>
      </c>
      <c r="B41" s="536"/>
      <c r="C41" s="536"/>
      <c r="D41" s="536"/>
      <c r="E41" s="536"/>
      <c r="F41" s="536"/>
      <c r="G41" s="536"/>
      <c r="H41" s="536"/>
      <c r="I41" s="86"/>
    </row>
    <row r="42" spans="1:15" ht="51" customHeight="1">
      <c r="A42" s="536" t="s">
        <v>136</v>
      </c>
      <c r="B42" s="536"/>
      <c r="C42" s="536"/>
      <c r="D42" s="536"/>
      <c r="E42" s="536"/>
      <c r="F42" s="536"/>
      <c r="G42" s="536"/>
      <c r="H42" s="536"/>
      <c r="I42" s="86"/>
    </row>
    <row r="43" spans="1:15" ht="51" customHeight="1">
      <c r="A43" s="536" t="s">
        <v>137</v>
      </c>
      <c r="B43" s="536"/>
      <c r="C43" s="536"/>
      <c r="D43" s="536"/>
      <c r="E43" s="536"/>
      <c r="F43" s="536"/>
      <c r="G43" s="536"/>
      <c r="H43" s="536"/>
      <c r="I43" s="86"/>
    </row>
    <row r="44" spans="1:15" ht="13.8">
      <c r="A44" s="216"/>
      <c r="B44" s="216"/>
      <c r="C44" s="216"/>
      <c r="D44" s="216"/>
      <c r="E44" s="216"/>
      <c r="F44" s="216"/>
      <c r="G44" s="216"/>
      <c r="H44" s="216"/>
      <c r="I44" s="86"/>
    </row>
    <row r="45" spans="1:15" s="65" customFormat="1" ht="13.8">
      <c r="A45" s="64"/>
      <c r="B45" s="65" t="s">
        <v>98</v>
      </c>
      <c r="C45" s="73"/>
      <c r="E45" s="69"/>
      <c r="F45" s="193"/>
      <c r="H45" s="203"/>
    </row>
    <row r="46" spans="1:15" s="65" customFormat="1" ht="13.8">
      <c r="A46" s="64"/>
      <c r="C46" s="73"/>
      <c r="E46" s="69"/>
      <c r="F46" s="193"/>
      <c r="H46" s="203"/>
    </row>
    <row r="47" spans="1:15">
      <c r="B47" s="176"/>
    </row>
    <row r="48" spans="1:15">
      <c r="B48" s="179"/>
      <c r="H48" s="205"/>
    </row>
    <row r="49" spans="2:6" ht="13.8">
      <c r="B49" s="72"/>
      <c r="F49" s="144"/>
    </row>
    <row r="50" spans="2:6" ht="13.8">
      <c r="B50" s="72" t="s">
        <v>412</v>
      </c>
      <c r="C50" s="72"/>
    </row>
    <row r="51" spans="2:6" ht="13.8">
      <c r="B51" s="72"/>
    </row>
    <row r="52" spans="2:6">
      <c r="B52" s="176"/>
    </row>
    <row r="55" spans="2:6" ht="13.8">
      <c r="B55" s="72"/>
    </row>
  </sheetData>
  <protectedRanges>
    <protectedRange sqref="E7:E8 E32:E36 I38 I35 H7:H24 H26:H35" name="Rango1_5"/>
    <protectedRange sqref="E37 H37 E44 H44" name="Rango1_1_1_1"/>
    <protectedRange sqref="E26 E15:E24" name="Rango1_3_2"/>
    <protectedRange sqref="E27:E31" name="Rango1_2_1_1"/>
    <protectedRange sqref="E9:E14" name="Rango1_3_2_1_1"/>
    <protectedRange sqref="H25" name="Rango1_5_1"/>
    <protectedRange sqref="E25" name="Rango1_3_2_1"/>
    <protectedRange sqref="E38:E43 H38:H43" name="Rango1_1_1_1_1"/>
  </protectedRanges>
  <mergeCells count="12">
    <mergeCell ref="A43:H43"/>
    <mergeCell ref="A1:H1"/>
    <mergeCell ref="A2:H2"/>
    <mergeCell ref="A4:H4"/>
    <mergeCell ref="A3:H3"/>
    <mergeCell ref="A37:H37"/>
    <mergeCell ref="A42:H42"/>
    <mergeCell ref="A38:H38"/>
    <mergeCell ref="A39:H39"/>
    <mergeCell ref="A40:H40"/>
    <mergeCell ref="A5:H5"/>
    <mergeCell ref="A41:H41"/>
  </mergeCells>
  <phoneticPr fontId="87" type="noConversion"/>
  <printOptions horizontalCentered="1"/>
  <pageMargins left="0.23622047244094491" right="0.23622047244094491" top="0.35433070866141736" bottom="0.35433070866141736" header="0.31496062992125984" footer="0.31496062992125984"/>
  <pageSetup scale="60" fitToWidth="0" fitToHeight="0" orientation="portrait" horizontalDpi="4294967295" verticalDpi="4294967295" r:id="rId1"/>
  <headerFooter alignWithMargins="0">
    <oddFooter>&amp;C&amp;P de  &amp;N</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1"/>
  <sheetViews>
    <sheetView workbookViewId="0">
      <selection activeCell="K4" sqref="K4"/>
    </sheetView>
  </sheetViews>
  <sheetFormatPr baseColWidth="10" defaultRowHeight="14.4"/>
  <cols>
    <col min="1" max="1" width="3.44140625" customWidth="1"/>
    <col min="2" max="2" width="69" customWidth="1"/>
    <col min="7" max="7" width="44.88671875" customWidth="1"/>
  </cols>
  <sheetData>
    <row r="1" spans="1:11" s="379" customFormat="1" ht="82.8">
      <c r="A1" s="374"/>
      <c r="B1" s="375" t="s">
        <v>87</v>
      </c>
      <c r="C1" s="376" t="s">
        <v>256</v>
      </c>
      <c r="D1" s="376" t="s">
        <v>257</v>
      </c>
      <c r="E1" s="376" t="s">
        <v>258</v>
      </c>
      <c r="F1" s="377" t="s">
        <v>259</v>
      </c>
      <c r="G1" s="377" t="s">
        <v>260</v>
      </c>
      <c r="H1" s="378"/>
      <c r="I1" s="374"/>
    </row>
    <row r="2" spans="1:11" s="379" customFormat="1" ht="66">
      <c r="A2" s="374"/>
      <c r="B2" s="380" t="s">
        <v>261</v>
      </c>
      <c r="C2" s="381" t="s">
        <v>262</v>
      </c>
      <c r="D2" s="382">
        <v>3</v>
      </c>
      <c r="E2" s="383"/>
      <c r="F2" s="384">
        <f t="shared" ref="F2:F6" si="0">+D2*E2</f>
        <v>0</v>
      </c>
      <c r="G2" s="385" t="s">
        <v>263</v>
      </c>
      <c r="H2" s="378"/>
      <c r="I2" s="374"/>
    </row>
    <row r="3" spans="1:11" s="379" customFormat="1" ht="52.8">
      <c r="A3" s="374"/>
      <c r="B3" s="380" t="s">
        <v>264</v>
      </c>
      <c r="C3" s="381" t="s">
        <v>265</v>
      </c>
      <c r="D3" s="382">
        <v>0.25</v>
      </c>
      <c r="E3" s="383"/>
      <c r="F3" s="384">
        <f t="shared" si="0"/>
        <v>0</v>
      </c>
      <c r="G3" s="385" t="s">
        <v>266</v>
      </c>
      <c r="H3" s="378"/>
      <c r="I3" s="374"/>
    </row>
    <row r="4" spans="1:11" s="379" customFormat="1" ht="66">
      <c r="A4" s="374"/>
      <c r="B4" s="380" t="s">
        <v>267</v>
      </c>
      <c r="C4" s="381" t="s">
        <v>265</v>
      </c>
      <c r="D4" s="382">
        <f>IFERROR(I35/$G$12/$G$76,0)</f>
        <v>0</v>
      </c>
      <c r="E4" s="383"/>
      <c r="F4" s="384">
        <f t="shared" si="0"/>
        <v>0</v>
      </c>
      <c r="G4" s="386" t="s">
        <v>268</v>
      </c>
      <c r="H4" s="378"/>
      <c r="I4" s="374"/>
    </row>
    <row r="5" spans="1:11" s="379" customFormat="1" ht="52.8">
      <c r="A5" s="374"/>
      <c r="B5" s="387" t="s">
        <v>269</v>
      </c>
      <c r="C5" s="388" t="s">
        <v>265</v>
      </c>
      <c r="D5" s="382">
        <f>IFERROR(I50/$G$12/$I$11,0)</f>
        <v>0</v>
      </c>
      <c r="E5" s="383"/>
      <c r="F5" s="384">
        <f t="shared" si="0"/>
        <v>0</v>
      </c>
      <c r="G5" s="385" t="s">
        <v>270</v>
      </c>
      <c r="H5" s="378"/>
      <c r="I5" s="374"/>
    </row>
    <row r="6" spans="1:11" s="379" customFormat="1" ht="26.4">
      <c r="A6" s="374"/>
      <c r="B6" s="389" t="s">
        <v>271</v>
      </c>
      <c r="C6" s="369" t="s">
        <v>262</v>
      </c>
      <c r="D6" s="390">
        <v>0.5</v>
      </c>
      <c r="E6" s="390"/>
      <c r="F6" s="384">
        <f t="shared" si="0"/>
        <v>0</v>
      </c>
      <c r="G6" s="385" t="s">
        <v>272</v>
      </c>
      <c r="H6" s="378"/>
      <c r="I6" s="374"/>
    </row>
    <row r="7" spans="1:11" s="379" customFormat="1">
      <c r="A7" s="374"/>
      <c r="B7" s="380"/>
      <c r="C7" s="380"/>
      <c r="D7" s="390"/>
      <c r="E7" s="390"/>
      <c r="F7" s="384"/>
      <c r="G7" s="384"/>
      <c r="H7" s="378"/>
      <c r="I7" s="374"/>
    </row>
    <row r="8" spans="1:11" s="379" customFormat="1">
      <c r="A8" s="391"/>
      <c r="B8" s="380"/>
      <c r="C8" s="380"/>
      <c r="D8" s="390"/>
      <c r="E8" s="390"/>
      <c r="F8" s="384"/>
      <c r="G8" s="384"/>
      <c r="H8" s="378"/>
      <c r="I8" s="374"/>
    </row>
    <row r="9" spans="1:11" s="379" customFormat="1">
      <c r="A9" s="391"/>
      <c r="B9" s="392"/>
      <c r="C9" s="392"/>
      <c r="D9" s="392"/>
      <c r="E9" s="392"/>
      <c r="F9" s="393"/>
      <c r="G9" s="392"/>
      <c r="H9" s="394"/>
      <c r="I9" s="395"/>
      <c r="K9" s="378"/>
    </row>
    <row r="10" spans="1:11" s="379" customFormat="1">
      <c r="A10" s="391"/>
      <c r="B10" s="396"/>
      <c r="C10" s="396"/>
      <c r="D10" s="397"/>
      <c r="E10" s="397"/>
      <c r="F10" s="393"/>
      <c r="G10" s="396"/>
      <c r="H10" s="398"/>
      <c r="I10" s="395"/>
      <c r="K10" s="378"/>
    </row>
    <row r="11" spans="1:11" s="379" customFormat="1">
      <c r="A11" s="391"/>
      <c r="B11" s="392"/>
      <c r="C11" s="392"/>
      <c r="D11" s="397"/>
      <c r="E11" s="397"/>
      <c r="F11" s="393"/>
      <c r="G11" s="399"/>
      <c r="H11" s="399"/>
      <c r="I11" s="395"/>
      <c r="K11" s="378"/>
    </row>
    <row r="12" spans="1:11" s="379" customFormat="1">
      <c r="A12" s="391"/>
      <c r="B12" s="392"/>
      <c r="C12" s="392"/>
      <c r="D12" s="394"/>
      <c r="E12" s="394"/>
      <c r="F12" s="400"/>
      <c r="G12" s="401" t="s">
        <v>273</v>
      </c>
      <c r="H12" s="402"/>
      <c r="I12" s="395"/>
      <c r="K12" s="378"/>
    </row>
    <row r="13" spans="1:11" s="379" customFormat="1">
      <c r="A13" s="391"/>
      <c r="B13" s="403" t="s">
        <v>274</v>
      </c>
      <c r="C13" s="403"/>
      <c r="D13" s="403"/>
      <c r="E13" s="403"/>
      <c r="F13" s="403"/>
      <c r="G13" s="403">
        <v>18</v>
      </c>
      <c r="H13" s="403" t="s">
        <v>240</v>
      </c>
      <c r="I13" s="403"/>
      <c r="K13" s="378"/>
    </row>
    <row r="14" spans="1:11" s="379" customFormat="1" ht="17.399999999999999">
      <c r="A14" s="391"/>
      <c r="B14" s="404" t="s">
        <v>275</v>
      </c>
      <c r="C14" s="405"/>
      <c r="D14" s="406"/>
      <c r="E14" s="406"/>
      <c r="F14" s="406"/>
      <c r="G14" s="406"/>
      <c r="H14" s="406"/>
      <c r="I14" s="406"/>
      <c r="K14" s="378"/>
    </row>
    <row r="15" spans="1:11" s="379" customFormat="1" ht="26.4">
      <c r="A15" s="391"/>
      <c r="B15" s="407" t="s">
        <v>276</v>
      </c>
      <c r="C15" s="408" t="s">
        <v>89</v>
      </c>
      <c r="D15" s="409" t="s">
        <v>277</v>
      </c>
      <c r="E15" s="409" t="s">
        <v>278</v>
      </c>
      <c r="F15" s="409" t="s">
        <v>279</v>
      </c>
      <c r="G15" s="410" t="s">
        <v>280</v>
      </c>
      <c r="H15" s="409" t="s">
        <v>281</v>
      </c>
      <c r="I15" s="411" t="s">
        <v>282</v>
      </c>
      <c r="K15" s="378"/>
    </row>
    <row r="16" spans="1:11" s="379" customFormat="1">
      <c r="A16" s="391"/>
      <c r="B16" s="412" t="s">
        <v>283</v>
      </c>
      <c r="C16" s="412"/>
      <c r="D16" s="413">
        <v>10</v>
      </c>
      <c r="E16" s="414">
        <v>1</v>
      </c>
      <c r="F16" s="412">
        <v>11954</v>
      </c>
      <c r="G16" s="412">
        <f>+F16*0.19</f>
        <v>2271.2600000000002</v>
      </c>
      <c r="H16" s="415">
        <f>+$I$11</f>
        <v>0</v>
      </c>
      <c r="I16" s="412">
        <f>+D16*(E16)*(F16)*H16</f>
        <v>0</v>
      </c>
      <c r="K16" s="378"/>
    </row>
    <row r="17" spans="1:11" s="379" customFormat="1">
      <c r="A17" s="391"/>
      <c r="B17" s="412" t="s">
        <v>284</v>
      </c>
      <c r="C17" s="412"/>
      <c r="D17" s="413">
        <v>10</v>
      </c>
      <c r="E17" s="414">
        <v>1</v>
      </c>
      <c r="F17" s="412">
        <v>2710</v>
      </c>
      <c r="G17" s="412">
        <f>+F17*0.19</f>
        <v>514.9</v>
      </c>
      <c r="H17" s="415">
        <f>+$I$11</f>
        <v>0</v>
      </c>
      <c r="I17" s="412">
        <f>+D17*(E17)*(F17)*H17</f>
        <v>0</v>
      </c>
      <c r="K17" s="378"/>
    </row>
    <row r="18" spans="1:11" s="379" customFormat="1">
      <c r="A18" s="391"/>
      <c r="B18" s="412" t="s">
        <v>285</v>
      </c>
      <c r="C18" s="412"/>
      <c r="D18" s="413">
        <v>1</v>
      </c>
      <c r="E18" s="414">
        <v>1</v>
      </c>
      <c r="F18" s="412">
        <v>25318</v>
      </c>
      <c r="G18" s="412">
        <f t="shared" ref="G18:G34" si="1">+F18*0.19</f>
        <v>4810.42</v>
      </c>
      <c r="H18" s="415">
        <f t="shared" ref="H18:H34" si="2">+$I$11</f>
        <v>0</v>
      </c>
      <c r="I18" s="412">
        <f>+D18*(E18)*(F18)*H18</f>
        <v>0</v>
      </c>
      <c r="K18" s="378"/>
    </row>
    <row r="19" spans="1:11" s="379" customFormat="1">
      <c r="A19" s="391"/>
      <c r="B19" s="412" t="s">
        <v>286</v>
      </c>
      <c r="C19" s="412"/>
      <c r="D19" s="413">
        <v>1</v>
      </c>
      <c r="E19" s="414">
        <v>1</v>
      </c>
      <c r="F19" s="412">
        <v>4996</v>
      </c>
      <c r="G19" s="412">
        <f t="shared" si="1"/>
        <v>949.24</v>
      </c>
      <c r="H19" s="415">
        <f t="shared" si="2"/>
        <v>0</v>
      </c>
      <c r="I19" s="412">
        <f t="shared" ref="I19:I34" si="3">+D19*(E19)*(F19)*H19</f>
        <v>0</v>
      </c>
      <c r="K19" s="378"/>
    </row>
    <row r="20" spans="1:11" s="379" customFormat="1">
      <c r="A20" s="391"/>
      <c r="B20" s="412" t="s">
        <v>287</v>
      </c>
      <c r="C20" s="412"/>
      <c r="D20" s="413">
        <v>2</v>
      </c>
      <c r="E20" s="414">
        <v>1</v>
      </c>
      <c r="F20" s="412">
        <v>101271</v>
      </c>
      <c r="G20" s="412">
        <f t="shared" si="1"/>
        <v>19241.490000000002</v>
      </c>
      <c r="H20" s="415">
        <f t="shared" si="2"/>
        <v>0</v>
      </c>
      <c r="I20" s="412">
        <f t="shared" si="3"/>
        <v>0</v>
      </c>
      <c r="K20" s="378"/>
    </row>
    <row r="21" spans="1:11" s="379" customFormat="1">
      <c r="A21" s="374"/>
      <c r="B21" s="412" t="s">
        <v>288</v>
      </c>
      <c r="C21" s="412"/>
      <c r="D21" s="413">
        <v>2</v>
      </c>
      <c r="E21" s="414">
        <v>1</v>
      </c>
      <c r="F21" s="412">
        <v>22693</v>
      </c>
      <c r="G21" s="412">
        <f t="shared" si="1"/>
        <v>4311.67</v>
      </c>
      <c r="H21" s="415">
        <f t="shared" si="2"/>
        <v>0</v>
      </c>
      <c r="I21" s="412">
        <f t="shared" si="3"/>
        <v>0</v>
      </c>
      <c r="K21" s="378"/>
    </row>
    <row r="22" spans="1:11" s="379" customFormat="1">
      <c r="A22" s="374"/>
      <c r="B22" s="412" t="s">
        <v>289</v>
      </c>
      <c r="C22" s="412"/>
      <c r="D22" s="413">
        <v>2</v>
      </c>
      <c r="E22" s="414">
        <v>1</v>
      </c>
      <c r="F22" s="412">
        <v>22354</v>
      </c>
      <c r="G22" s="412">
        <f t="shared" si="1"/>
        <v>4247.26</v>
      </c>
      <c r="H22" s="415">
        <f t="shared" si="2"/>
        <v>0</v>
      </c>
      <c r="I22" s="412">
        <f t="shared" si="3"/>
        <v>0</v>
      </c>
    </row>
    <row r="23" spans="1:11" s="379" customFormat="1">
      <c r="A23" s="374"/>
      <c r="B23" s="412" t="s">
        <v>290</v>
      </c>
      <c r="C23" s="412"/>
      <c r="D23" s="413">
        <v>1</v>
      </c>
      <c r="E23" s="414">
        <v>1</v>
      </c>
      <c r="F23" s="412">
        <v>26054</v>
      </c>
      <c r="G23" s="412">
        <f t="shared" si="1"/>
        <v>4950.26</v>
      </c>
      <c r="H23" s="415">
        <f t="shared" si="2"/>
        <v>0</v>
      </c>
      <c r="I23" s="412">
        <f t="shared" si="3"/>
        <v>0</v>
      </c>
    </row>
    <row r="24" spans="1:11" s="379" customFormat="1">
      <c r="A24" s="374"/>
      <c r="B24" s="412" t="s">
        <v>291</v>
      </c>
      <c r="C24" s="412"/>
      <c r="D24" s="413">
        <v>1</v>
      </c>
      <c r="E24" s="414">
        <v>1</v>
      </c>
      <c r="F24" s="412">
        <v>27491</v>
      </c>
      <c r="G24" s="412">
        <f t="shared" si="1"/>
        <v>5223.29</v>
      </c>
      <c r="H24" s="415">
        <f t="shared" si="2"/>
        <v>0</v>
      </c>
      <c r="I24" s="412">
        <f t="shared" si="3"/>
        <v>0</v>
      </c>
    </row>
    <row r="25" spans="1:11" s="379" customFormat="1">
      <c r="A25" s="374"/>
      <c r="B25" s="412" t="s">
        <v>292</v>
      </c>
      <c r="C25" s="412"/>
      <c r="D25" s="413">
        <v>1</v>
      </c>
      <c r="E25" s="414">
        <v>1</v>
      </c>
      <c r="F25" s="412">
        <v>41945</v>
      </c>
      <c r="G25" s="412">
        <f t="shared" si="1"/>
        <v>7969.55</v>
      </c>
      <c r="H25" s="415">
        <f t="shared" si="2"/>
        <v>0</v>
      </c>
      <c r="I25" s="412">
        <f t="shared" si="3"/>
        <v>0</v>
      </c>
    </row>
    <row r="26" spans="1:11" s="379" customFormat="1">
      <c r="A26" s="374"/>
      <c r="B26" s="412" t="s">
        <v>293</v>
      </c>
      <c r="C26" s="412"/>
      <c r="D26" s="413">
        <v>1</v>
      </c>
      <c r="E26" s="414">
        <v>1</v>
      </c>
      <c r="F26" s="412">
        <v>38104</v>
      </c>
      <c r="G26" s="412">
        <f t="shared" si="1"/>
        <v>7239.76</v>
      </c>
      <c r="H26" s="415">
        <f t="shared" si="2"/>
        <v>0</v>
      </c>
      <c r="I26" s="412">
        <f t="shared" si="3"/>
        <v>0</v>
      </c>
    </row>
    <row r="27" spans="1:11" s="379" customFormat="1">
      <c r="A27" s="374"/>
      <c r="B27" s="412" t="s">
        <v>294</v>
      </c>
      <c r="C27" s="412"/>
      <c r="D27" s="413">
        <v>10</v>
      </c>
      <c r="E27" s="414">
        <v>1</v>
      </c>
      <c r="F27" s="412">
        <v>220155</v>
      </c>
      <c r="G27" s="412">
        <f t="shared" si="1"/>
        <v>41829.449999999997</v>
      </c>
      <c r="H27" s="415">
        <f t="shared" si="2"/>
        <v>0</v>
      </c>
      <c r="I27" s="412">
        <f t="shared" si="3"/>
        <v>0</v>
      </c>
    </row>
    <row r="28" spans="1:11" s="379" customFormat="1">
      <c r="A28" s="374"/>
      <c r="B28" s="412" t="s">
        <v>295</v>
      </c>
      <c r="C28" s="412"/>
      <c r="D28" s="413">
        <v>2</v>
      </c>
      <c r="E28" s="414">
        <v>1</v>
      </c>
      <c r="F28" s="412">
        <v>97376</v>
      </c>
      <c r="G28" s="412">
        <f t="shared" si="1"/>
        <v>18501.439999999999</v>
      </c>
      <c r="H28" s="415">
        <f t="shared" si="2"/>
        <v>0</v>
      </c>
      <c r="I28" s="412">
        <f t="shared" si="3"/>
        <v>0</v>
      </c>
    </row>
    <row r="29" spans="1:11" s="379" customFormat="1">
      <c r="A29" s="374"/>
      <c r="B29" s="412" t="s">
        <v>296</v>
      </c>
      <c r="C29" s="412"/>
      <c r="D29" s="413">
        <v>1</v>
      </c>
      <c r="E29" s="414">
        <v>1</v>
      </c>
      <c r="F29" s="412">
        <v>16088</v>
      </c>
      <c r="G29" s="412">
        <f t="shared" si="1"/>
        <v>3056.7200000000003</v>
      </c>
      <c r="H29" s="415">
        <f t="shared" si="2"/>
        <v>0</v>
      </c>
      <c r="I29" s="412">
        <f t="shared" si="3"/>
        <v>0</v>
      </c>
    </row>
    <row r="30" spans="1:11" s="379" customFormat="1">
      <c r="A30" s="374"/>
      <c r="B30" s="412" t="s">
        <v>297</v>
      </c>
      <c r="C30" s="412"/>
      <c r="D30" s="413">
        <v>2</v>
      </c>
      <c r="E30" s="414">
        <v>1</v>
      </c>
      <c r="F30" s="412">
        <v>46605</v>
      </c>
      <c r="G30" s="412">
        <f t="shared" si="1"/>
        <v>8854.9500000000007</v>
      </c>
      <c r="H30" s="415">
        <f t="shared" si="2"/>
        <v>0</v>
      </c>
      <c r="I30" s="412">
        <f t="shared" si="3"/>
        <v>0</v>
      </c>
    </row>
    <row r="31" spans="1:11" s="379" customFormat="1">
      <c r="A31" s="374"/>
      <c r="B31" s="412" t="s">
        <v>298</v>
      </c>
      <c r="C31" s="412"/>
      <c r="D31" s="413">
        <v>10</v>
      </c>
      <c r="E31" s="414">
        <v>1</v>
      </c>
      <c r="F31" s="412">
        <v>50805</v>
      </c>
      <c r="G31" s="412">
        <f t="shared" si="1"/>
        <v>9652.9500000000007</v>
      </c>
      <c r="H31" s="415">
        <f t="shared" si="2"/>
        <v>0</v>
      </c>
      <c r="I31" s="412">
        <f t="shared" si="3"/>
        <v>0</v>
      </c>
    </row>
    <row r="32" spans="1:11" s="379" customFormat="1">
      <c r="A32" s="374"/>
      <c r="B32" s="412" t="s">
        <v>299</v>
      </c>
      <c r="C32" s="412"/>
      <c r="D32" s="413">
        <v>1</v>
      </c>
      <c r="E32" s="414">
        <v>1</v>
      </c>
      <c r="F32" s="412">
        <v>63506</v>
      </c>
      <c r="G32" s="412">
        <f t="shared" si="1"/>
        <v>12066.14</v>
      </c>
      <c r="H32" s="415">
        <f t="shared" si="2"/>
        <v>0</v>
      </c>
      <c r="I32" s="412">
        <f t="shared" si="3"/>
        <v>0</v>
      </c>
    </row>
    <row r="33" spans="1:9" s="379" customFormat="1">
      <c r="A33" s="374"/>
      <c r="B33" s="412" t="s">
        <v>300</v>
      </c>
      <c r="C33" s="412"/>
      <c r="D33" s="413">
        <v>10</v>
      </c>
      <c r="E33" s="414">
        <v>1</v>
      </c>
      <c r="F33" s="412">
        <v>66399</v>
      </c>
      <c r="G33" s="412">
        <f t="shared" si="1"/>
        <v>12615.81</v>
      </c>
      <c r="H33" s="415">
        <f t="shared" si="2"/>
        <v>0</v>
      </c>
      <c r="I33" s="412">
        <f t="shared" si="3"/>
        <v>0</v>
      </c>
    </row>
    <row r="34" spans="1:9" s="379" customFormat="1">
      <c r="A34" s="374"/>
      <c r="B34" s="412" t="s">
        <v>301</v>
      </c>
      <c r="C34" s="412"/>
      <c r="D34" s="413">
        <v>2</v>
      </c>
      <c r="E34" s="414">
        <v>1</v>
      </c>
      <c r="F34" s="412">
        <v>20212</v>
      </c>
      <c r="G34" s="412">
        <f t="shared" si="1"/>
        <v>3840.28</v>
      </c>
      <c r="H34" s="415">
        <f t="shared" si="2"/>
        <v>0</v>
      </c>
      <c r="I34" s="412">
        <f t="shared" si="3"/>
        <v>0</v>
      </c>
    </row>
    <row r="35" spans="1:9" s="379" customFormat="1">
      <c r="A35" s="374"/>
      <c r="B35" s="416" t="s">
        <v>302</v>
      </c>
      <c r="C35" s="416"/>
      <c r="D35" s="416"/>
      <c r="E35" s="416"/>
      <c r="F35" s="416"/>
      <c r="G35" s="416" t="s">
        <v>303</v>
      </c>
      <c r="H35" s="417"/>
      <c r="I35" s="412">
        <f>SUM(I16:I34)</f>
        <v>0</v>
      </c>
    </row>
    <row r="36" spans="1:9" s="379" customFormat="1">
      <c r="A36" s="374"/>
      <c r="B36" s="374"/>
      <c r="C36" s="374"/>
      <c r="D36" s="418"/>
      <c r="E36" s="418"/>
      <c r="F36" s="374"/>
      <c r="G36" s="374"/>
      <c r="H36" s="378"/>
      <c r="I36" s="374"/>
    </row>
    <row r="37" spans="1:9" s="379" customFormat="1">
      <c r="A37" s="374"/>
      <c r="B37" s="374"/>
      <c r="C37" s="374"/>
      <c r="D37" s="418"/>
      <c r="E37" s="418"/>
      <c r="F37" s="374"/>
      <c r="G37" s="374"/>
      <c r="H37" s="378"/>
      <c r="I37" s="374"/>
    </row>
    <row r="38" spans="1:9" s="379" customFormat="1" ht="17.399999999999999">
      <c r="A38" s="374"/>
      <c r="B38" s="419" t="s">
        <v>304</v>
      </c>
      <c r="C38" s="420"/>
      <c r="D38" s="420"/>
      <c r="E38" s="420"/>
      <c r="F38" s="420"/>
      <c r="G38" s="420"/>
      <c r="H38" s="420"/>
      <c r="I38" s="420"/>
    </row>
    <row r="39" spans="1:9" s="379" customFormat="1" ht="39.6">
      <c r="A39" s="374"/>
      <c r="B39" s="407" t="s">
        <v>305</v>
      </c>
      <c r="C39" s="409" t="s">
        <v>306</v>
      </c>
      <c r="D39" s="409" t="s">
        <v>277</v>
      </c>
      <c r="E39" s="409" t="s">
        <v>278</v>
      </c>
      <c r="F39" s="409" t="s">
        <v>307</v>
      </c>
      <c r="G39" s="409" t="s">
        <v>308</v>
      </c>
      <c r="H39" s="409" t="s">
        <v>281</v>
      </c>
      <c r="I39" s="421" t="s">
        <v>282</v>
      </c>
    </row>
    <row r="40" spans="1:9" s="379" customFormat="1">
      <c r="A40" s="374"/>
      <c r="B40" s="422" t="s">
        <v>74</v>
      </c>
      <c r="C40" s="415" t="s">
        <v>309</v>
      </c>
      <c r="D40" s="413">
        <v>1</v>
      </c>
      <c r="E40" s="414">
        <v>0.15</v>
      </c>
      <c r="F40" s="423">
        <v>1271936</v>
      </c>
      <c r="G40" s="415">
        <v>1.56</v>
      </c>
      <c r="H40" s="415">
        <f>+$I$11</f>
        <v>0</v>
      </c>
      <c r="I40" s="412">
        <f t="shared" ref="I40:I49" si="4">+IFERROR(D40*E40*F40*G40*H40,"")</f>
        <v>0</v>
      </c>
    </row>
    <row r="41" spans="1:9" s="379" customFormat="1">
      <c r="A41" s="374"/>
      <c r="B41" s="422" t="s">
        <v>75</v>
      </c>
      <c r="C41" s="415" t="s">
        <v>310</v>
      </c>
      <c r="D41" s="413">
        <v>1</v>
      </c>
      <c r="E41" s="414">
        <v>0.25</v>
      </c>
      <c r="F41" s="423">
        <v>999378</v>
      </c>
      <c r="G41" s="415">
        <v>1.58</v>
      </c>
      <c r="H41" s="415">
        <f t="shared" ref="H41:H49" si="5">+$I$11</f>
        <v>0</v>
      </c>
      <c r="I41" s="412">
        <f t="shared" si="4"/>
        <v>0</v>
      </c>
    </row>
    <row r="42" spans="1:9" s="379" customFormat="1">
      <c r="A42" s="374"/>
      <c r="B42" s="422" t="s">
        <v>311</v>
      </c>
      <c r="C42" s="415" t="s">
        <v>309</v>
      </c>
      <c r="D42" s="413">
        <v>1</v>
      </c>
      <c r="E42" s="414">
        <v>0.02</v>
      </c>
      <c r="F42" s="423">
        <v>7631619</v>
      </c>
      <c r="G42" s="415">
        <v>1.38</v>
      </c>
      <c r="H42" s="415">
        <f t="shared" si="5"/>
        <v>0</v>
      </c>
      <c r="I42" s="412">
        <f t="shared" si="4"/>
        <v>0</v>
      </c>
    </row>
    <row r="43" spans="1:9" s="379" customFormat="1">
      <c r="A43" s="374"/>
      <c r="B43" s="422" t="s">
        <v>312</v>
      </c>
      <c r="C43" s="415" t="s">
        <v>309</v>
      </c>
      <c r="D43" s="413">
        <v>1</v>
      </c>
      <c r="E43" s="414">
        <v>0.05</v>
      </c>
      <c r="F43" s="423">
        <v>4179220</v>
      </c>
      <c r="G43" s="415">
        <v>1.38</v>
      </c>
      <c r="H43" s="415">
        <f t="shared" si="5"/>
        <v>0</v>
      </c>
      <c r="I43" s="412">
        <f t="shared" si="4"/>
        <v>0</v>
      </c>
    </row>
    <row r="44" spans="1:9" s="379" customFormat="1">
      <c r="A44" s="374"/>
      <c r="B44" s="422" t="s">
        <v>313</v>
      </c>
      <c r="C44" s="415" t="s">
        <v>309</v>
      </c>
      <c r="D44" s="413">
        <v>1</v>
      </c>
      <c r="E44" s="414">
        <v>0.05</v>
      </c>
      <c r="F44" s="423">
        <v>4179220</v>
      </c>
      <c r="G44" s="415">
        <v>1.38</v>
      </c>
      <c r="H44" s="415">
        <f t="shared" si="5"/>
        <v>0</v>
      </c>
      <c r="I44" s="412">
        <f t="shared" si="4"/>
        <v>0</v>
      </c>
    </row>
    <row r="45" spans="1:9" s="379" customFormat="1">
      <c r="A45" s="374"/>
      <c r="B45" s="422" t="s">
        <v>314</v>
      </c>
      <c r="C45" s="415" t="s">
        <v>309</v>
      </c>
      <c r="D45" s="413">
        <v>1</v>
      </c>
      <c r="E45" s="414">
        <v>0.08</v>
      </c>
      <c r="F45" s="423">
        <v>3634104</v>
      </c>
      <c r="G45" s="415">
        <v>1.38</v>
      </c>
      <c r="H45" s="415">
        <f t="shared" si="5"/>
        <v>0</v>
      </c>
      <c r="I45" s="412">
        <f t="shared" si="4"/>
        <v>0</v>
      </c>
    </row>
    <row r="46" spans="1:9" s="379" customFormat="1">
      <c r="A46" s="374"/>
      <c r="B46" s="422" t="s">
        <v>77</v>
      </c>
      <c r="C46" s="415" t="s">
        <v>309</v>
      </c>
      <c r="D46" s="413">
        <v>1</v>
      </c>
      <c r="E46" s="414">
        <v>0.05</v>
      </c>
      <c r="F46" s="423">
        <v>4179220</v>
      </c>
      <c r="G46" s="415">
        <v>1.38</v>
      </c>
      <c r="H46" s="415">
        <f t="shared" si="5"/>
        <v>0</v>
      </c>
      <c r="I46" s="412">
        <f t="shared" si="4"/>
        <v>0</v>
      </c>
    </row>
    <row r="47" spans="1:9" s="379" customFormat="1">
      <c r="A47" s="374"/>
      <c r="B47" s="422" t="s">
        <v>315</v>
      </c>
      <c r="C47" s="415" t="s">
        <v>309</v>
      </c>
      <c r="D47" s="413">
        <v>1</v>
      </c>
      <c r="E47" s="414">
        <v>0.05</v>
      </c>
      <c r="F47" s="423">
        <v>4179220</v>
      </c>
      <c r="G47" s="415">
        <v>1.38</v>
      </c>
      <c r="H47" s="415">
        <f t="shared" si="5"/>
        <v>0</v>
      </c>
      <c r="I47" s="412">
        <f t="shared" si="4"/>
        <v>0</v>
      </c>
    </row>
    <row r="48" spans="1:9" s="379" customFormat="1">
      <c r="A48" s="374"/>
      <c r="B48" s="422" t="s">
        <v>316</v>
      </c>
      <c r="C48" s="415" t="s">
        <v>309</v>
      </c>
      <c r="D48" s="413">
        <v>1</v>
      </c>
      <c r="E48" s="414">
        <v>0.05</v>
      </c>
      <c r="F48" s="423">
        <v>4179220</v>
      </c>
      <c r="G48" s="415">
        <v>1.38</v>
      </c>
      <c r="H48" s="415">
        <f t="shared" si="5"/>
        <v>0</v>
      </c>
      <c r="I48" s="412">
        <f t="shared" si="4"/>
        <v>0</v>
      </c>
    </row>
    <row r="49" spans="1:9" s="379" customFormat="1">
      <c r="A49" s="374"/>
      <c r="B49" s="422" t="s">
        <v>317</v>
      </c>
      <c r="C49" s="415" t="s">
        <v>309</v>
      </c>
      <c r="D49" s="413">
        <v>1</v>
      </c>
      <c r="E49" s="414">
        <v>0.15</v>
      </c>
      <c r="F49" s="423">
        <v>1271936</v>
      </c>
      <c r="G49" s="415">
        <v>1.49</v>
      </c>
      <c r="H49" s="415">
        <f t="shared" si="5"/>
        <v>0</v>
      </c>
      <c r="I49" s="412">
        <f t="shared" si="4"/>
        <v>0</v>
      </c>
    </row>
    <row r="50" spans="1:9" s="379" customFormat="1">
      <c r="A50" s="374"/>
      <c r="B50" s="416" t="s">
        <v>302</v>
      </c>
      <c r="C50" s="416"/>
      <c r="D50" s="416"/>
      <c r="E50" s="416"/>
      <c r="F50" s="416"/>
      <c r="G50" s="416"/>
      <c r="H50" s="417"/>
      <c r="I50" s="412">
        <f>SUM(I40:I49)</f>
        <v>0</v>
      </c>
    </row>
    <row r="51" spans="1:9" s="379" customFormat="1">
      <c r="A51" s="374"/>
      <c r="B51" s="374"/>
      <c r="C51" s="374"/>
      <c r="D51" s="418"/>
      <c r="E51" s="418"/>
      <c r="F51" s="374"/>
      <c r="G51" s="374"/>
      <c r="H51" s="378"/>
      <c r="I51" s="374"/>
    </row>
  </sheetData>
  <conditionalFormatting sqref="B2:F6">
    <cfRule type="containsBlanks" dxfId="3" priority="1">
      <formula>LEN(TRIM(B2))=0</formula>
    </cfRule>
  </conditionalFormatting>
  <conditionalFormatting sqref="D16:D34">
    <cfRule type="expression" dxfId="2" priority="4">
      <formula>+TEXT($B16="","")</formula>
    </cfRule>
  </conditionalFormatting>
  <conditionalFormatting sqref="D40:D49">
    <cfRule type="expression" dxfId="1" priority="2">
      <formula>+TEXT($B40="","")</formula>
    </cfRule>
  </conditionalFormatting>
  <conditionalFormatting sqref="F41:G49 I41:I49">
    <cfRule type="expression" dxfId="0" priority="3">
      <formula>+TEXT($C41="","")</formula>
    </cfRule>
  </conditionalFormatting>
  <dataValidations count="4">
    <dataValidation type="list" allowBlank="1" showInputMessage="1" showErrorMessage="1" sqref="C40:C49" xr:uid="{00000000-0002-0000-0200-000000000000}">
      <formula1>"I,II,III,IV,V"</formula1>
    </dataValidation>
    <dataValidation allowBlank="1" showInputMessage="1" showErrorMessage="1" promptTitle="Cantidad" prompt="Número de personas que se necesitan" sqref="D39" xr:uid="{00000000-0002-0000-0200-000001000000}"/>
    <dataValidation allowBlank="1" showInputMessage="1" showErrorMessage="1" promptTitle="F.P" prompt="Factor prestacional" sqref="G15 G39" xr:uid="{00000000-0002-0000-0200-000002000000}"/>
    <dataValidation allowBlank="1" showInputMessage="1" showErrorMessage="1" promptTitle="% de Dedicación" prompt="% de dedicación de las personas necesarias para cada cargo" sqref="E15 E39" xr:uid="{00000000-0002-0000-0200-000003000000}"/>
  </dataValidation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W62"/>
  <sheetViews>
    <sheetView topLeftCell="A10" workbookViewId="0">
      <selection activeCell="D24" sqref="D24"/>
    </sheetView>
  </sheetViews>
  <sheetFormatPr baseColWidth="10" defaultColWidth="9.109375" defaultRowHeight="13.2"/>
  <cols>
    <col min="1" max="1" width="60" style="281" customWidth="1"/>
    <col min="2" max="2" width="10.5546875" style="280" bestFit="1" customWidth="1"/>
    <col min="3" max="3" width="13.88671875" style="281" bestFit="1" customWidth="1"/>
    <col min="4" max="4" width="10.6640625" style="280" customWidth="1"/>
    <col min="5" max="5" width="16.6640625" style="281" customWidth="1"/>
    <col min="6" max="6" width="7.44140625" style="281" customWidth="1"/>
    <col min="7" max="7" width="16.6640625" style="281" customWidth="1"/>
    <col min="8" max="8" width="7.44140625" style="281" customWidth="1"/>
    <col min="9" max="9" width="16.6640625" style="281" customWidth="1"/>
    <col min="10" max="10" width="7.44140625" style="281" customWidth="1"/>
    <col min="11" max="11" width="16.6640625" style="281" customWidth="1"/>
    <col min="12" max="12" width="7.44140625" style="281" customWidth="1"/>
    <col min="13" max="13" width="16.6640625" style="281" customWidth="1"/>
    <col min="14" max="14" width="7.44140625" style="281" customWidth="1"/>
    <col min="15" max="15" width="16.6640625" style="281" customWidth="1"/>
    <col min="16" max="16" width="7.44140625" style="281" customWidth="1"/>
    <col min="17" max="17" width="16.6640625" style="281" customWidth="1"/>
    <col min="18" max="18" width="7.44140625" style="281" customWidth="1"/>
    <col min="19" max="19" width="16.6640625" style="281" customWidth="1"/>
    <col min="20" max="20" width="7.44140625" style="281" customWidth="1"/>
    <col min="21" max="21" width="16.6640625" style="281" customWidth="1"/>
    <col min="22" max="22" width="7.44140625" style="281" customWidth="1"/>
    <col min="23" max="23" width="16.6640625" style="281" customWidth="1"/>
    <col min="24" max="24" width="7.44140625" style="281" customWidth="1"/>
    <col min="25" max="25" width="16.6640625" style="281" customWidth="1"/>
    <col min="26" max="26" width="7.44140625" style="281" customWidth="1"/>
    <col min="27" max="27" width="16.6640625" style="281" customWidth="1"/>
    <col min="28" max="28" width="7.44140625" style="281" customWidth="1"/>
    <col min="29" max="29" width="16.6640625" style="281" customWidth="1"/>
    <col min="30" max="30" width="7.44140625" style="281" customWidth="1"/>
    <col min="31" max="31" width="16.6640625" style="281" customWidth="1"/>
    <col min="32" max="32" width="7.44140625" style="281" customWidth="1"/>
    <col min="33" max="33" width="16.6640625" style="281" customWidth="1"/>
    <col min="34" max="34" width="7.44140625" style="281" customWidth="1"/>
    <col min="35" max="35" width="16.6640625" style="281" customWidth="1"/>
    <col min="36" max="36" width="7.44140625" style="281" customWidth="1"/>
    <col min="37" max="37" width="16.6640625" style="281" customWidth="1"/>
    <col min="38" max="38" width="7.44140625" style="281" customWidth="1"/>
    <col min="39" max="39" width="16.6640625" style="281" customWidth="1"/>
    <col min="40" max="40" width="7.44140625" style="281" customWidth="1"/>
    <col min="41" max="41" width="16.6640625" style="281" customWidth="1"/>
    <col min="42" max="42" width="7.44140625" style="281" customWidth="1"/>
    <col min="43" max="43" width="16.6640625" style="281" customWidth="1"/>
    <col min="44" max="44" width="7.44140625" style="281" customWidth="1"/>
    <col min="45" max="45" width="5.109375" style="281" customWidth="1"/>
    <col min="46" max="46" width="2.33203125" style="281" bestFit="1" customWidth="1"/>
    <col min="47" max="47" width="15" style="281" customWidth="1"/>
    <col min="48" max="48" width="14.33203125" style="281" bestFit="1" customWidth="1"/>
    <col min="49" max="49" width="9.33203125" style="281" bestFit="1" customWidth="1"/>
    <col min="50" max="280" width="9.109375" style="281"/>
    <col min="281" max="281" width="60" style="281" customWidth="1"/>
    <col min="282" max="282" width="14.33203125" style="281" bestFit="1" customWidth="1"/>
    <col min="283" max="283" width="22.33203125" style="281" customWidth="1"/>
    <col min="284" max="284" width="10.6640625" style="281" customWidth="1"/>
    <col min="285" max="298" width="0" style="281" hidden="1" customWidth="1"/>
    <col min="299" max="299" width="17" style="281" bestFit="1" customWidth="1"/>
    <col min="300" max="300" width="8.6640625" style="281" bestFit="1" customWidth="1"/>
    <col min="301" max="301" width="5.109375" style="281" customWidth="1"/>
    <col min="302" max="302" width="2.33203125" style="281" bestFit="1" customWidth="1"/>
    <col min="303" max="303" width="15" style="281" customWidth="1"/>
    <col min="304" max="304" width="14.33203125" style="281" bestFit="1" customWidth="1"/>
    <col min="305" max="305" width="9.33203125" style="281" bestFit="1" customWidth="1"/>
    <col min="306" max="536" width="9.109375" style="281"/>
    <col min="537" max="537" width="60" style="281" customWidth="1"/>
    <col min="538" max="538" width="14.33203125" style="281" bestFit="1" customWidth="1"/>
    <col min="539" max="539" width="22.33203125" style="281" customWidth="1"/>
    <col min="540" max="540" width="10.6640625" style="281" customWidth="1"/>
    <col min="541" max="554" width="0" style="281" hidden="1" customWidth="1"/>
    <col min="555" max="555" width="17" style="281" bestFit="1" customWidth="1"/>
    <col min="556" max="556" width="8.6640625" style="281" bestFit="1" customWidth="1"/>
    <col min="557" max="557" width="5.109375" style="281" customWidth="1"/>
    <col min="558" max="558" width="2.33203125" style="281" bestFit="1" customWidth="1"/>
    <col min="559" max="559" width="15" style="281" customWidth="1"/>
    <col min="560" max="560" width="14.33203125" style="281" bestFit="1" customWidth="1"/>
    <col min="561" max="561" width="9.33203125" style="281" bestFit="1" customWidth="1"/>
    <col min="562" max="792" width="9.109375" style="281"/>
    <col min="793" max="793" width="60" style="281" customWidth="1"/>
    <col min="794" max="794" width="14.33203125" style="281" bestFit="1" customWidth="1"/>
    <col min="795" max="795" width="22.33203125" style="281" customWidth="1"/>
    <col min="796" max="796" width="10.6640625" style="281" customWidth="1"/>
    <col min="797" max="810" width="0" style="281" hidden="1" customWidth="1"/>
    <col min="811" max="811" width="17" style="281" bestFit="1" customWidth="1"/>
    <col min="812" max="812" width="8.6640625" style="281" bestFit="1" customWidth="1"/>
    <col min="813" max="813" width="5.109375" style="281" customWidth="1"/>
    <col min="814" max="814" width="2.33203125" style="281" bestFit="1" customWidth="1"/>
    <col min="815" max="815" width="15" style="281" customWidth="1"/>
    <col min="816" max="816" width="14.33203125" style="281" bestFit="1" customWidth="1"/>
    <col min="817" max="817" width="9.33203125" style="281" bestFit="1" customWidth="1"/>
    <col min="818" max="1048" width="9.109375" style="281"/>
    <col min="1049" max="1049" width="60" style="281" customWidth="1"/>
    <col min="1050" max="1050" width="14.33203125" style="281" bestFit="1" customWidth="1"/>
    <col min="1051" max="1051" width="22.33203125" style="281" customWidth="1"/>
    <col min="1052" max="1052" width="10.6640625" style="281" customWidth="1"/>
    <col min="1053" max="1066" width="0" style="281" hidden="1" customWidth="1"/>
    <col min="1067" max="1067" width="17" style="281" bestFit="1" customWidth="1"/>
    <col min="1068" max="1068" width="8.6640625" style="281" bestFit="1" customWidth="1"/>
    <col min="1069" max="1069" width="5.109375" style="281" customWidth="1"/>
    <col min="1070" max="1070" width="2.33203125" style="281" bestFit="1" customWidth="1"/>
    <col min="1071" max="1071" width="15" style="281" customWidth="1"/>
    <col min="1072" max="1072" width="14.33203125" style="281" bestFit="1" customWidth="1"/>
    <col min="1073" max="1073" width="9.33203125" style="281" bestFit="1" customWidth="1"/>
    <col min="1074" max="1304" width="9.109375" style="281"/>
    <col min="1305" max="1305" width="60" style="281" customWidth="1"/>
    <col min="1306" max="1306" width="14.33203125" style="281" bestFit="1" customWidth="1"/>
    <col min="1307" max="1307" width="22.33203125" style="281" customWidth="1"/>
    <col min="1308" max="1308" width="10.6640625" style="281" customWidth="1"/>
    <col min="1309" max="1322" width="0" style="281" hidden="1" customWidth="1"/>
    <col min="1323" max="1323" width="17" style="281" bestFit="1" customWidth="1"/>
    <col min="1324" max="1324" width="8.6640625" style="281" bestFit="1" customWidth="1"/>
    <col min="1325" max="1325" width="5.109375" style="281" customWidth="1"/>
    <col min="1326" max="1326" width="2.33203125" style="281" bestFit="1" customWidth="1"/>
    <col min="1327" max="1327" width="15" style="281" customWidth="1"/>
    <col min="1328" max="1328" width="14.33203125" style="281" bestFit="1" customWidth="1"/>
    <col min="1329" max="1329" width="9.33203125" style="281" bestFit="1" customWidth="1"/>
    <col min="1330" max="1560" width="9.109375" style="281"/>
    <col min="1561" max="1561" width="60" style="281" customWidth="1"/>
    <col min="1562" max="1562" width="14.33203125" style="281" bestFit="1" customWidth="1"/>
    <col min="1563" max="1563" width="22.33203125" style="281" customWidth="1"/>
    <col min="1564" max="1564" width="10.6640625" style="281" customWidth="1"/>
    <col min="1565" max="1578" width="0" style="281" hidden="1" customWidth="1"/>
    <col min="1579" max="1579" width="17" style="281" bestFit="1" customWidth="1"/>
    <col min="1580" max="1580" width="8.6640625" style="281" bestFit="1" customWidth="1"/>
    <col min="1581" max="1581" width="5.109375" style="281" customWidth="1"/>
    <col min="1582" max="1582" width="2.33203125" style="281" bestFit="1" customWidth="1"/>
    <col min="1583" max="1583" width="15" style="281" customWidth="1"/>
    <col min="1584" max="1584" width="14.33203125" style="281" bestFit="1" customWidth="1"/>
    <col min="1585" max="1585" width="9.33203125" style="281" bestFit="1" customWidth="1"/>
    <col min="1586" max="1816" width="9.109375" style="281"/>
    <col min="1817" max="1817" width="60" style="281" customWidth="1"/>
    <col min="1818" max="1818" width="14.33203125" style="281" bestFit="1" customWidth="1"/>
    <col min="1819" max="1819" width="22.33203125" style="281" customWidth="1"/>
    <col min="1820" max="1820" width="10.6640625" style="281" customWidth="1"/>
    <col min="1821" max="1834" width="0" style="281" hidden="1" customWidth="1"/>
    <col min="1835" max="1835" width="17" style="281" bestFit="1" customWidth="1"/>
    <col min="1836" max="1836" width="8.6640625" style="281" bestFit="1" customWidth="1"/>
    <col min="1837" max="1837" width="5.109375" style="281" customWidth="1"/>
    <col min="1838" max="1838" width="2.33203125" style="281" bestFit="1" customWidth="1"/>
    <col min="1839" max="1839" width="15" style="281" customWidth="1"/>
    <col min="1840" max="1840" width="14.33203125" style="281" bestFit="1" customWidth="1"/>
    <col min="1841" max="1841" width="9.33203125" style="281" bestFit="1" customWidth="1"/>
    <col min="1842" max="2072" width="9.109375" style="281"/>
    <col min="2073" max="2073" width="60" style="281" customWidth="1"/>
    <col min="2074" max="2074" width="14.33203125" style="281" bestFit="1" customWidth="1"/>
    <col min="2075" max="2075" width="22.33203125" style="281" customWidth="1"/>
    <col min="2076" max="2076" width="10.6640625" style="281" customWidth="1"/>
    <col min="2077" max="2090" width="0" style="281" hidden="1" customWidth="1"/>
    <col min="2091" max="2091" width="17" style="281" bestFit="1" customWidth="1"/>
    <col min="2092" max="2092" width="8.6640625" style="281" bestFit="1" customWidth="1"/>
    <col min="2093" max="2093" width="5.109375" style="281" customWidth="1"/>
    <col min="2094" max="2094" width="2.33203125" style="281" bestFit="1" customWidth="1"/>
    <col min="2095" max="2095" width="15" style="281" customWidth="1"/>
    <col min="2096" max="2096" width="14.33203125" style="281" bestFit="1" customWidth="1"/>
    <col min="2097" max="2097" width="9.33203125" style="281" bestFit="1" customWidth="1"/>
    <col min="2098" max="2328" width="9.109375" style="281"/>
    <col min="2329" max="2329" width="60" style="281" customWidth="1"/>
    <col min="2330" max="2330" width="14.33203125" style="281" bestFit="1" customWidth="1"/>
    <col min="2331" max="2331" width="22.33203125" style="281" customWidth="1"/>
    <col min="2332" max="2332" width="10.6640625" style="281" customWidth="1"/>
    <col min="2333" max="2346" width="0" style="281" hidden="1" customWidth="1"/>
    <col min="2347" max="2347" width="17" style="281" bestFit="1" customWidth="1"/>
    <col min="2348" max="2348" width="8.6640625" style="281" bestFit="1" customWidth="1"/>
    <col min="2349" max="2349" width="5.109375" style="281" customWidth="1"/>
    <col min="2350" max="2350" width="2.33203125" style="281" bestFit="1" customWidth="1"/>
    <col min="2351" max="2351" width="15" style="281" customWidth="1"/>
    <col min="2352" max="2352" width="14.33203125" style="281" bestFit="1" customWidth="1"/>
    <col min="2353" max="2353" width="9.33203125" style="281" bestFit="1" customWidth="1"/>
    <col min="2354" max="2584" width="9.109375" style="281"/>
    <col min="2585" max="2585" width="60" style="281" customWidth="1"/>
    <col min="2586" max="2586" width="14.33203125" style="281" bestFit="1" customWidth="1"/>
    <col min="2587" max="2587" width="22.33203125" style="281" customWidth="1"/>
    <col min="2588" max="2588" width="10.6640625" style="281" customWidth="1"/>
    <col min="2589" max="2602" width="0" style="281" hidden="1" customWidth="1"/>
    <col min="2603" max="2603" width="17" style="281" bestFit="1" customWidth="1"/>
    <col min="2604" max="2604" width="8.6640625" style="281" bestFit="1" customWidth="1"/>
    <col min="2605" max="2605" width="5.109375" style="281" customWidth="1"/>
    <col min="2606" max="2606" width="2.33203125" style="281" bestFit="1" customWidth="1"/>
    <col min="2607" max="2607" width="15" style="281" customWidth="1"/>
    <col min="2608" max="2608" width="14.33203125" style="281" bestFit="1" customWidth="1"/>
    <col min="2609" max="2609" width="9.33203125" style="281" bestFit="1" customWidth="1"/>
    <col min="2610" max="2840" width="9.109375" style="281"/>
    <col min="2841" max="2841" width="60" style="281" customWidth="1"/>
    <col min="2842" max="2842" width="14.33203125" style="281" bestFit="1" customWidth="1"/>
    <col min="2843" max="2843" width="22.33203125" style="281" customWidth="1"/>
    <col min="2844" max="2844" width="10.6640625" style="281" customWidth="1"/>
    <col min="2845" max="2858" width="0" style="281" hidden="1" customWidth="1"/>
    <col min="2859" max="2859" width="17" style="281" bestFit="1" customWidth="1"/>
    <col min="2860" max="2860" width="8.6640625" style="281" bestFit="1" customWidth="1"/>
    <col min="2861" max="2861" width="5.109375" style="281" customWidth="1"/>
    <col min="2862" max="2862" width="2.33203125" style="281" bestFit="1" customWidth="1"/>
    <col min="2863" max="2863" width="15" style="281" customWidth="1"/>
    <col min="2864" max="2864" width="14.33203125" style="281" bestFit="1" customWidth="1"/>
    <col min="2865" max="2865" width="9.33203125" style="281" bestFit="1" customWidth="1"/>
    <col min="2866" max="3096" width="9.109375" style="281"/>
    <col min="3097" max="3097" width="60" style="281" customWidth="1"/>
    <col min="3098" max="3098" width="14.33203125" style="281" bestFit="1" customWidth="1"/>
    <col min="3099" max="3099" width="22.33203125" style="281" customWidth="1"/>
    <col min="3100" max="3100" width="10.6640625" style="281" customWidth="1"/>
    <col min="3101" max="3114" width="0" style="281" hidden="1" customWidth="1"/>
    <col min="3115" max="3115" width="17" style="281" bestFit="1" customWidth="1"/>
    <col min="3116" max="3116" width="8.6640625" style="281" bestFit="1" customWidth="1"/>
    <col min="3117" max="3117" width="5.109375" style="281" customWidth="1"/>
    <col min="3118" max="3118" width="2.33203125" style="281" bestFit="1" customWidth="1"/>
    <col min="3119" max="3119" width="15" style="281" customWidth="1"/>
    <col min="3120" max="3120" width="14.33203125" style="281" bestFit="1" customWidth="1"/>
    <col min="3121" max="3121" width="9.33203125" style="281" bestFit="1" customWidth="1"/>
    <col min="3122" max="3352" width="9.109375" style="281"/>
    <col min="3353" max="3353" width="60" style="281" customWidth="1"/>
    <col min="3354" max="3354" width="14.33203125" style="281" bestFit="1" customWidth="1"/>
    <col min="3355" max="3355" width="22.33203125" style="281" customWidth="1"/>
    <col min="3356" max="3356" width="10.6640625" style="281" customWidth="1"/>
    <col min="3357" max="3370" width="0" style="281" hidden="1" customWidth="1"/>
    <col min="3371" max="3371" width="17" style="281" bestFit="1" customWidth="1"/>
    <col min="3372" max="3372" width="8.6640625" style="281" bestFit="1" customWidth="1"/>
    <col min="3373" max="3373" width="5.109375" style="281" customWidth="1"/>
    <col min="3374" max="3374" width="2.33203125" style="281" bestFit="1" customWidth="1"/>
    <col min="3375" max="3375" width="15" style="281" customWidth="1"/>
    <col min="3376" max="3376" width="14.33203125" style="281" bestFit="1" customWidth="1"/>
    <col min="3377" max="3377" width="9.33203125" style="281" bestFit="1" customWidth="1"/>
    <col min="3378" max="3608" width="9.109375" style="281"/>
    <col min="3609" max="3609" width="60" style="281" customWidth="1"/>
    <col min="3610" max="3610" width="14.33203125" style="281" bestFit="1" customWidth="1"/>
    <col min="3611" max="3611" width="22.33203125" style="281" customWidth="1"/>
    <col min="3612" max="3612" width="10.6640625" style="281" customWidth="1"/>
    <col min="3613" max="3626" width="0" style="281" hidden="1" customWidth="1"/>
    <col min="3627" max="3627" width="17" style="281" bestFit="1" customWidth="1"/>
    <col min="3628" max="3628" width="8.6640625" style="281" bestFit="1" customWidth="1"/>
    <col min="3629" max="3629" width="5.109375" style="281" customWidth="1"/>
    <col min="3630" max="3630" width="2.33203125" style="281" bestFit="1" customWidth="1"/>
    <col min="3631" max="3631" width="15" style="281" customWidth="1"/>
    <col min="3632" max="3632" width="14.33203125" style="281" bestFit="1" customWidth="1"/>
    <col min="3633" max="3633" width="9.33203125" style="281" bestFit="1" customWidth="1"/>
    <col min="3634" max="3864" width="9.109375" style="281"/>
    <col min="3865" max="3865" width="60" style="281" customWidth="1"/>
    <col min="3866" max="3866" width="14.33203125" style="281" bestFit="1" customWidth="1"/>
    <col min="3867" max="3867" width="22.33203125" style="281" customWidth="1"/>
    <col min="3868" max="3868" width="10.6640625" style="281" customWidth="1"/>
    <col min="3869" max="3882" width="0" style="281" hidden="1" customWidth="1"/>
    <col min="3883" max="3883" width="17" style="281" bestFit="1" customWidth="1"/>
    <col min="3884" max="3884" width="8.6640625" style="281" bestFit="1" customWidth="1"/>
    <col min="3885" max="3885" width="5.109375" style="281" customWidth="1"/>
    <col min="3886" max="3886" width="2.33203125" style="281" bestFit="1" customWidth="1"/>
    <col min="3887" max="3887" width="15" style="281" customWidth="1"/>
    <col min="3888" max="3888" width="14.33203125" style="281" bestFit="1" customWidth="1"/>
    <col min="3889" max="3889" width="9.33203125" style="281" bestFit="1" customWidth="1"/>
    <col min="3890" max="4120" width="9.109375" style="281"/>
    <col min="4121" max="4121" width="60" style="281" customWidth="1"/>
    <col min="4122" max="4122" width="14.33203125" style="281" bestFit="1" customWidth="1"/>
    <col min="4123" max="4123" width="22.33203125" style="281" customWidth="1"/>
    <col min="4124" max="4124" width="10.6640625" style="281" customWidth="1"/>
    <col min="4125" max="4138" width="0" style="281" hidden="1" customWidth="1"/>
    <col min="4139" max="4139" width="17" style="281" bestFit="1" customWidth="1"/>
    <col min="4140" max="4140" width="8.6640625" style="281" bestFit="1" customWidth="1"/>
    <col min="4141" max="4141" width="5.109375" style="281" customWidth="1"/>
    <col min="4142" max="4142" width="2.33203125" style="281" bestFit="1" customWidth="1"/>
    <col min="4143" max="4143" width="15" style="281" customWidth="1"/>
    <col min="4144" max="4144" width="14.33203125" style="281" bestFit="1" customWidth="1"/>
    <col min="4145" max="4145" width="9.33203125" style="281" bestFit="1" customWidth="1"/>
    <col min="4146" max="4376" width="9.109375" style="281"/>
    <col min="4377" max="4377" width="60" style="281" customWidth="1"/>
    <col min="4378" max="4378" width="14.33203125" style="281" bestFit="1" customWidth="1"/>
    <col min="4379" max="4379" width="22.33203125" style="281" customWidth="1"/>
    <col min="4380" max="4380" width="10.6640625" style="281" customWidth="1"/>
    <col min="4381" max="4394" width="0" style="281" hidden="1" customWidth="1"/>
    <col min="4395" max="4395" width="17" style="281" bestFit="1" customWidth="1"/>
    <col min="4396" max="4396" width="8.6640625" style="281" bestFit="1" customWidth="1"/>
    <col min="4397" max="4397" width="5.109375" style="281" customWidth="1"/>
    <col min="4398" max="4398" width="2.33203125" style="281" bestFit="1" customWidth="1"/>
    <col min="4399" max="4399" width="15" style="281" customWidth="1"/>
    <col min="4400" max="4400" width="14.33203125" style="281" bestFit="1" customWidth="1"/>
    <col min="4401" max="4401" width="9.33203125" style="281" bestFit="1" customWidth="1"/>
    <col min="4402" max="4632" width="9.109375" style="281"/>
    <col min="4633" max="4633" width="60" style="281" customWidth="1"/>
    <col min="4634" max="4634" width="14.33203125" style="281" bestFit="1" customWidth="1"/>
    <col min="4635" max="4635" width="22.33203125" style="281" customWidth="1"/>
    <col min="4636" max="4636" width="10.6640625" style="281" customWidth="1"/>
    <col min="4637" max="4650" width="0" style="281" hidden="1" customWidth="1"/>
    <col min="4651" max="4651" width="17" style="281" bestFit="1" customWidth="1"/>
    <col min="4652" max="4652" width="8.6640625" style="281" bestFit="1" customWidth="1"/>
    <col min="4653" max="4653" width="5.109375" style="281" customWidth="1"/>
    <col min="4654" max="4654" width="2.33203125" style="281" bestFit="1" customWidth="1"/>
    <col min="4655" max="4655" width="15" style="281" customWidth="1"/>
    <col min="4656" max="4656" width="14.33203125" style="281" bestFit="1" customWidth="1"/>
    <col min="4657" max="4657" width="9.33203125" style="281" bestFit="1" customWidth="1"/>
    <col min="4658" max="4888" width="9.109375" style="281"/>
    <col min="4889" max="4889" width="60" style="281" customWidth="1"/>
    <col min="4890" max="4890" width="14.33203125" style="281" bestFit="1" customWidth="1"/>
    <col min="4891" max="4891" width="22.33203125" style="281" customWidth="1"/>
    <col min="4892" max="4892" width="10.6640625" style="281" customWidth="1"/>
    <col min="4893" max="4906" width="0" style="281" hidden="1" customWidth="1"/>
    <col min="4907" max="4907" width="17" style="281" bestFit="1" customWidth="1"/>
    <col min="4908" max="4908" width="8.6640625" style="281" bestFit="1" customWidth="1"/>
    <col min="4909" max="4909" width="5.109375" style="281" customWidth="1"/>
    <col min="4910" max="4910" width="2.33203125" style="281" bestFit="1" customWidth="1"/>
    <col min="4911" max="4911" width="15" style="281" customWidth="1"/>
    <col min="4912" max="4912" width="14.33203125" style="281" bestFit="1" customWidth="1"/>
    <col min="4913" max="4913" width="9.33203125" style="281" bestFit="1" customWidth="1"/>
    <col min="4914" max="5144" width="9.109375" style="281"/>
    <col min="5145" max="5145" width="60" style="281" customWidth="1"/>
    <col min="5146" max="5146" width="14.33203125" style="281" bestFit="1" customWidth="1"/>
    <col min="5147" max="5147" width="22.33203125" style="281" customWidth="1"/>
    <col min="5148" max="5148" width="10.6640625" style="281" customWidth="1"/>
    <col min="5149" max="5162" width="0" style="281" hidden="1" customWidth="1"/>
    <col min="5163" max="5163" width="17" style="281" bestFit="1" customWidth="1"/>
    <col min="5164" max="5164" width="8.6640625" style="281" bestFit="1" customWidth="1"/>
    <col min="5165" max="5165" width="5.109375" style="281" customWidth="1"/>
    <col min="5166" max="5166" width="2.33203125" style="281" bestFit="1" customWidth="1"/>
    <col min="5167" max="5167" width="15" style="281" customWidth="1"/>
    <col min="5168" max="5168" width="14.33203125" style="281" bestFit="1" customWidth="1"/>
    <col min="5169" max="5169" width="9.33203125" style="281" bestFit="1" customWidth="1"/>
    <col min="5170" max="5400" width="9.109375" style="281"/>
    <col min="5401" max="5401" width="60" style="281" customWidth="1"/>
    <col min="5402" max="5402" width="14.33203125" style="281" bestFit="1" customWidth="1"/>
    <col min="5403" max="5403" width="22.33203125" style="281" customWidth="1"/>
    <col min="5404" max="5404" width="10.6640625" style="281" customWidth="1"/>
    <col min="5405" max="5418" width="0" style="281" hidden="1" customWidth="1"/>
    <col min="5419" max="5419" width="17" style="281" bestFit="1" customWidth="1"/>
    <col min="5420" max="5420" width="8.6640625" style="281" bestFit="1" customWidth="1"/>
    <col min="5421" max="5421" width="5.109375" style="281" customWidth="1"/>
    <col min="5422" max="5422" width="2.33203125" style="281" bestFit="1" customWidth="1"/>
    <col min="5423" max="5423" width="15" style="281" customWidth="1"/>
    <col min="5424" max="5424" width="14.33203125" style="281" bestFit="1" customWidth="1"/>
    <col min="5425" max="5425" width="9.33203125" style="281" bestFit="1" customWidth="1"/>
    <col min="5426" max="5656" width="9.109375" style="281"/>
    <col min="5657" max="5657" width="60" style="281" customWidth="1"/>
    <col min="5658" max="5658" width="14.33203125" style="281" bestFit="1" customWidth="1"/>
    <col min="5659" max="5659" width="22.33203125" style="281" customWidth="1"/>
    <col min="5660" max="5660" width="10.6640625" style="281" customWidth="1"/>
    <col min="5661" max="5674" width="0" style="281" hidden="1" customWidth="1"/>
    <col min="5675" max="5675" width="17" style="281" bestFit="1" customWidth="1"/>
    <col min="5676" max="5676" width="8.6640625" style="281" bestFit="1" customWidth="1"/>
    <col min="5677" max="5677" width="5.109375" style="281" customWidth="1"/>
    <col min="5678" max="5678" width="2.33203125" style="281" bestFit="1" customWidth="1"/>
    <col min="5679" max="5679" width="15" style="281" customWidth="1"/>
    <col min="5680" max="5680" width="14.33203125" style="281" bestFit="1" customWidth="1"/>
    <col min="5681" max="5681" width="9.33203125" style="281" bestFit="1" customWidth="1"/>
    <col min="5682" max="5912" width="9.109375" style="281"/>
    <col min="5913" max="5913" width="60" style="281" customWidth="1"/>
    <col min="5914" max="5914" width="14.33203125" style="281" bestFit="1" customWidth="1"/>
    <col min="5915" max="5915" width="22.33203125" style="281" customWidth="1"/>
    <col min="5916" max="5916" width="10.6640625" style="281" customWidth="1"/>
    <col min="5917" max="5930" width="0" style="281" hidden="1" customWidth="1"/>
    <col min="5931" max="5931" width="17" style="281" bestFit="1" customWidth="1"/>
    <col min="5932" max="5932" width="8.6640625" style="281" bestFit="1" customWidth="1"/>
    <col min="5933" max="5933" width="5.109375" style="281" customWidth="1"/>
    <col min="5934" max="5934" width="2.33203125" style="281" bestFit="1" customWidth="1"/>
    <col min="5935" max="5935" width="15" style="281" customWidth="1"/>
    <col min="5936" max="5936" width="14.33203125" style="281" bestFit="1" customWidth="1"/>
    <col min="5937" max="5937" width="9.33203125" style="281" bestFit="1" customWidth="1"/>
    <col min="5938" max="6168" width="9.109375" style="281"/>
    <col min="6169" max="6169" width="60" style="281" customWidth="1"/>
    <col min="6170" max="6170" width="14.33203125" style="281" bestFit="1" customWidth="1"/>
    <col min="6171" max="6171" width="22.33203125" style="281" customWidth="1"/>
    <col min="6172" max="6172" width="10.6640625" style="281" customWidth="1"/>
    <col min="6173" max="6186" width="0" style="281" hidden="1" customWidth="1"/>
    <col min="6187" max="6187" width="17" style="281" bestFit="1" customWidth="1"/>
    <col min="6188" max="6188" width="8.6640625" style="281" bestFit="1" customWidth="1"/>
    <col min="6189" max="6189" width="5.109375" style="281" customWidth="1"/>
    <col min="6190" max="6190" width="2.33203125" style="281" bestFit="1" customWidth="1"/>
    <col min="6191" max="6191" width="15" style="281" customWidth="1"/>
    <col min="6192" max="6192" width="14.33203125" style="281" bestFit="1" customWidth="1"/>
    <col min="6193" max="6193" width="9.33203125" style="281" bestFit="1" customWidth="1"/>
    <col min="6194" max="6424" width="9.109375" style="281"/>
    <col min="6425" max="6425" width="60" style="281" customWidth="1"/>
    <col min="6426" max="6426" width="14.33203125" style="281" bestFit="1" customWidth="1"/>
    <col min="6427" max="6427" width="22.33203125" style="281" customWidth="1"/>
    <col min="6428" max="6428" width="10.6640625" style="281" customWidth="1"/>
    <col min="6429" max="6442" width="0" style="281" hidden="1" customWidth="1"/>
    <col min="6443" max="6443" width="17" style="281" bestFit="1" customWidth="1"/>
    <col min="6444" max="6444" width="8.6640625" style="281" bestFit="1" customWidth="1"/>
    <col min="6445" max="6445" width="5.109375" style="281" customWidth="1"/>
    <col min="6446" max="6446" width="2.33203125" style="281" bestFit="1" customWidth="1"/>
    <col min="6447" max="6447" width="15" style="281" customWidth="1"/>
    <col min="6448" max="6448" width="14.33203125" style="281" bestFit="1" customWidth="1"/>
    <col min="6449" max="6449" width="9.33203125" style="281" bestFit="1" customWidth="1"/>
    <col min="6450" max="6680" width="9.109375" style="281"/>
    <col min="6681" max="6681" width="60" style="281" customWidth="1"/>
    <col min="6682" max="6682" width="14.33203125" style="281" bestFit="1" customWidth="1"/>
    <col min="6683" max="6683" width="22.33203125" style="281" customWidth="1"/>
    <col min="6684" max="6684" width="10.6640625" style="281" customWidth="1"/>
    <col min="6685" max="6698" width="0" style="281" hidden="1" customWidth="1"/>
    <col min="6699" max="6699" width="17" style="281" bestFit="1" customWidth="1"/>
    <col min="6700" max="6700" width="8.6640625" style="281" bestFit="1" customWidth="1"/>
    <col min="6701" max="6701" width="5.109375" style="281" customWidth="1"/>
    <col min="6702" max="6702" width="2.33203125" style="281" bestFit="1" customWidth="1"/>
    <col min="6703" max="6703" width="15" style="281" customWidth="1"/>
    <col min="6704" max="6704" width="14.33203125" style="281" bestFit="1" customWidth="1"/>
    <col min="6705" max="6705" width="9.33203125" style="281" bestFit="1" customWidth="1"/>
    <col min="6706" max="6936" width="9.109375" style="281"/>
    <col min="6937" max="6937" width="60" style="281" customWidth="1"/>
    <col min="6938" max="6938" width="14.33203125" style="281" bestFit="1" customWidth="1"/>
    <col min="6939" max="6939" width="22.33203125" style="281" customWidth="1"/>
    <col min="6940" max="6940" width="10.6640625" style="281" customWidth="1"/>
    <col min="6941" max="6954" width="0" style="281" hidden="1" customWidth="1"/>
    <col min="6955" max="6955" width="17" style="281" bestFit="1" customWidth="1"/>
    <col min="6956" max="6956" width="8.6640625" style="281" bestFit="1" customWidth="1"/>
    <col min="6957" max="6957" width="5.109375" style="281" customWidth="1"/>
    <col min="6958" max="6958" width="2.33203125" style="281" bestFit="1" customWidth="1"/>
    <col min="6959" max="6959" width="15" style="281" customWidth="1"/>
    <col min="6960" max="6960" width="14.33203125" style="281" bestFit="1" customWidth="1"/>
    <col min="6961" max="6961" width="9.33203125" style="281" bestFit="1" customWidth="1"/>
    <col min="6962" max="7192" width="9.109375" style="281"/>
    <col min="7193" max="7193" width="60" style="281" customWidth="1"/>
    <col min="7194" max="7194" width="14.33203125" style="281" bestFit="1" customWidth="1"/>
    <col min="7195" max="7195" width="22.33203125" style="281" customWidth="1"/>
    <col min="7196" max="7196" width="10.6640625" style="281" customWidth="1"/>
    <col min="7197" max="7210" width="0" style="281" hidden="1" customWidth="1"/>
    <col min="7211" max="7211" width="17" style="281" bestFit="1" customWidth="1"/>
    <col min="7212" max="7212" width="8.6640625" style="281" bestFit="1" customWidth="1"/>
    <col min="7213" max="7213" width="5.109375" style="281" customWidth="1"/>
    <col min="7214" max="7214" width="2.33203125" style="281" bestFit="1" customWidth="1"/>
    <col min="7215" max="7215" width="15" style="281" customWidth="1"/>
    <col min="7216" max="7216" width="14.33203125" style="281" bestFit="1" customWidth="1"/>
    <col min="7217" max="7217" width="9.33203125" style="281" bestFit="1" customWidth="1"/>
    <col min="7218" max="7448" width="9.109375" style="281"/>
    <col min="7449" max="7449" width="60" style="281" customWidth="1"/>
    <col min="7450" max="7450" width="14.33203125" style="281" bestFit="1" customWidth="1"/>
    <col min="7451" max="7451" width="22.33203125" style="281" customWidth="1"/>
    <col min="7452" max="7452" width="10.6640625" style="281" customWidth="1"/>
    <col min="7453" max="7466" width="0" style="281" hidden="1" customWidth="1"/>
    <col min="7467" max="7467" width="17" style="281" bestFit="1" customWidth="1"/>
    <col min="7468" max="7468" width="8.6640625" style="281" bestFit="1" customWidth="1"/>
    <col min="7469" max="7469" width="5.109375" style="281" customWidth="1"/>
    <col min="7470" max="7470" width="2.33203125" style="281" bestFit="1" customWidth="1"/>
    <col min="7471" max="7471" width="15" style="281" customWidth="1"/>
    <col min="7472" max="7472" width="14.33203125" style="281" bestFit="1" customWidth="1"/>
    <col min="7473" max="7473" width="9.33203125" style="281" bestFit="1" customWidth="1"/>
    <col min="7474" max="7704" width="9.109375" style="281"/>
    <col min="7705" max="7705" width="60" style="281" customWidth="1"/>
    <col min="7706" max="7706" width="14.33203125" style="281" bestFit="1" customWidth="1"/>
    <col min="7707" max="7707" width="22.33203125" style="281" customWidth="1"/>
    <col min="7708" max="7708" width="10.6640625" style="281" customWidth="1"/>
    <col min="7709" max="7722" width="0" style="281" hidden="1" customWidth="1"/>
    <col min="7723" max="7723" width="17" style="281" bestFit="1" customWidth="1"/>
    <col min="7724" max="7724" width="8.6640625" style="281" bestFit="1" customWidth="1"/>
    <col min="7725" max="7725" width="5.109375" style="281" customWidth="1"/>
    <col min="7726" max="7726" width="2.33203125" style="281" bestFit="1" customWidth="1"/>
    <col min="7727" max="7727" width="15" style="281" customWidth="1"/>
    <col min="7728" max="7728" width="14.33203125" style="281" bestFit="1" customWidth="1"/>
    <col min="7729" max="7729" width="9.33203125" style="281" bestFit="1" customWidth="1"/>
    <col min="7730" max="7960" width="9.109375" style="281"/>
    <col min="7961" max="7961" width="60" style="281" customWidth="1"/>
    <col min="7962" max="7962" width="14.33203125" style="281" bestFit="1" customWidth="1"/>
    <col min="7963" max="7963" width="22.33203125" style="281" customWidth="1"/>
    <col min="7964" max="7964" width="10.6640625" style="281" customWidth="1"/>
    <col min="7965" max="7978" width="0" style="281" hidden="1" customWidth="1"/>
    <col min="7979" max="7979" width="17" style="281" bestFit="1" customWidth="1"/>
    <col min="7980" max="7980" width="8.6640625" style="281" bestFit="1" customWidth="1"/>
    <col min="7981" max="7981" width="5.109375" style="281" customWidth="1"/>
    <col min="7982" max="7982" width="2.33203125" style="281" bestFit="1" customWidth="1"/>
    <col min="7983" max="7983" width="15" style="281" customWidth="1"/>
    <col min="7984" max="7984" width="14.33203125" style="281" bestFit="1" customWidth="1"/>
    <col min="7985" max="7985" width="9.33203125" style="281" bestFit="1" customWidth="1"/>
    <col min="7986" max="8216" width="9.109375" style="281"/>
    <col min="8217" max="8217" width="60" style="281" customWidth="1"/>
    <col min="8218" max="8218" width="14.33203125" style="281" bestFit="1" customWidth="1"/>
    <col min="8219" max="8219" width="22.33203125" style="281" customWidth="1"/>
    <col min="8220" max="8220" width="10.6640625" style="281" customWidth="1"/>
    <col min="8221" max="8234" width="0" style="281" hidden="1" customWidth="1"/>
    <col min="8235" max="8235" width="17" style="281" bestFit="1" customWidth="1"/>
    <col min="8236" max="8236" width="8.6640625" style="281" bestFit="1" customWidth="1"/>
    <col min="8237" max="8237" width="5.109375" style="281" customWidth="1"/>
    <col min="8238" max="8238" width="2.33203125" style="281" bestFit="1" customWidth="1"/>
    <col min="8239" max="8239" width="15" style="281" customWidth="1"/>
    <col min="8240" max="8240" width="14.33203125" style="281" bestFit="1" customWidth="1"/>
    <col min="8241" max="8241" width="9.33203125" style="281" bestFit="1" customWidth="1"/>
    <col min="8242" max="8472" width="9.109375" style="281"/>
    <col min="8473" max="8473" width="60" style="281" customWidth="1"/>
    <col min="8474" max="8474" width="14.33203125" style="281" bestFit="1" customWidth="1"/>
    <col min="8475" max="8475" width="22.33203125" style="281" customWidth="1"/>
    <col min="8476" max="8476" width="10.6640625" style="281" customWidth="1"/>
    <col min="8477" max="8490" width="0" style="281" hidden="1" customWidth="1"/>
    <col min="8491" max="8491" width="17" style="281" bestFit="1" customWidth="1"/>
    <col min="8492" max="8492" width="8.6640625" style="281" bestFit="1" customWidth="1"/>
    <col min="8493" max="8493" width="5.109375" style="281" customWidth="1"/>
    <col min="8494" max="8494" width="2.33203125" style="281" bestFit="1" customWidth="1"/>
    <col min="8495" max="8495" width="15" style="281" customWidth="1"/>
    <col min="8496" max="8496" width="14.33203125" style="281" bestFit="1" customWidth="1"/>
    <col min="8497" max="8497" width="9.33203125" style="281" bestFit="1" customWidth="1"/>
    <col min="8498" max="8728" width="9.109375" style="281"/>
    <col min="8729" max="8729" width="60" style="281" customWidth="1"/>
    <col min="8730" max="8730" width="14.33203125" style="281" bestFit="1" customWidth="1"/>
    <col min="8731" max="8731" width="22.33203125" style="281" customWidth="1"/>
    <col min="8732" max="8732" width="10.6640625" style="281" customWidth="1"/>
    <col min="8733" max="8746" width="0" style="281" hidden="1" customWidth="1"/>
    <col min="8747" max="8747" width="17" style="281" bestFit="1" customWidth="1"/>
    <col min="8748" max="8748" width="8.6640625" style="281" bestFit="1" customWidth="1"/>
    <col min="8749" max="8749" width="5.109375" style="281" customWidth="1"/>
    <col min="8750" max="8750" width="2.33203125" style="281" bestFit="1" customWidth="1"/>
    <col min="8751" max="8751" width="15" style="281" customWidth="1"/>
    <col min="8752" max="8752" width="14.33203125" style="281" bestFit="1" customWidth="1"/>
    <col min="8753" max="8753" width="9.33203125" style="281" bestFit="1" customWidth="1"/>
    <col min="8754" max="8984" width="9.109375" style="281"/>
    <col min="8985" max="8985" width="60" style="281" customWidth="1"/>
    <col min="8986" max="8986" width="14.33203125" style="281" bestFit="1" customWidth="1"/>
    <col min="8987" max="8987" width="22.33203125" style="281" customWidth="1"/>
    <col min="8988" max="8988" width="10.6640625" style="281" customWidth="1"/>
    <col min="8989" max="9002" width="0" style="281" hidden="1" customWidth="1"/>
    <col min="9003" max="9003" width="17" style="281" bestFit="1" customWidth="1"/>
    <col min="9004" max="9004" width="8.6640625" style="281" bestFit="1" customWidth="1"/>
    <col min="9005" max="9005" width="5.109375" style="281" customWidth="1"/>
    <col min="9006" max="9006" width="2.33203125" style="281" bestFit="1" customWidth="1"/>
    <col min="9007" max="9007" width="15" style="281" customWidth="1"/>
    <col min="9008" max="9008" width="14.33203125" style="281" bestFit="1" customWidth="1"/>
    <col min="9009" max="9009" width="9.33203125" style="281" bestFit="1" customWidth="1"/>
    <col min="9010" max="9240" width="9.109375" style="281"/>
    <col min="9241" max="9241" width="60" style="281" customWidth="1"/>
    <col min="9242" max="9242" width="14.33203125" style="281" bestFit="1" customWidth="1"/>
    <col min="9243" max="9243" width="22.33203125" style="281" customWidth="1"/>
    <col min="9244" max="9244" width="10.6640625" style="281" customWidth="1"/>
    <col min="9245" max="9258" width="0" style="281" hidden="1" customWidth="1"/>
    <col min="9259" max="9259" width="17" style="281" bestFit="1" customWidth="1"/>
    <col min="9260" max="9260" width="8.6640625" style="281" bestFit="1" customWidth="1"/>
    <col min="9261" max="9261" width="5.109375" style="281" customWidth="1"/>
    <col min="9262" max="9262" width="2.33203125" style="281" bestFit="1" customWidth="1"/>
    <col min="9263" max="9263" width="15" style="281" customWidth="1"/>
    <col min="9264" max="9264" width="14.33203125" style="281" bestFit="1" customWidth="1"/>
    <col min="9265" max="9265" width="9.33203125" style="281" bestFit="1" customWidth="1"/>
    <col min="9266" max="9496" width="9.109375" style="281"/>
    <col min="9497" max="9497" width="60" style="281" customWidth="1"/>
    <col min="9498" max="9498" width="14.33203125" style="281" bestFit="1" customWidth="1"/>
    <col min="9499" max="9499" width="22.33203125" style="281" customWidth="1"/>
    <col min="9500" max="9500" width="10.6640625" style="281" customWidth="1"/>
    <col min="9501" max="9514" width="0" style="281" hidden="1" customWidth="1"/>
    <col min="9515" max="9515" width="17" style="281" bestFit="1" customWidth="1"/>
    <col min="9516" max="9516" width="8.6640625" style="281" bestFit="1" customWidth="1"/>
    <col min="9517" max="9517" width="5.109375" style="281" customWidth="1"/>
    <col min="9518" max="9518" width="2.33203125" style="281" bestFit="1" customWidth="1"/>
    <col min="9519" max="9519" width="15" style="281" customWidth="1"/>
    <col min="9520" max="9520" width="14.33203125" style="281" bestFit="1" customWidth="1"/>
    <col min="9521" max="9521" width="9.33203125" style="281" bestFit="1" customWidth="1"/>
    <col min="9522" max="9752" width="9.109375" style="281"/>
    <col min="9753" max="9753" width="60" style="281" customWidth="1"/>
    <col min="9754" max="9754" width="14.33203125" style="281" bestFit="1" customWidth="1"/>
    <col min="9755" max="9755" width="22.33203125" style="281" customWidth="1"/>
    <col min="9756" max="9756" width="10.6640625" style="281" customWidth="1"/>
    <col min="9757" max="9770" width="0" style="281" hidden="1" customWidth="1"/>
    <col min="9771" max="9771" width="17" style="281" bestFit="1" customWidth="1"/>
    <col min="9772" max="9772" width="8.6640625" style="281" bestFit="1" customWidth="1"/>
    <col min="9773" max="9773" width="5.109375" style="281" customWidth="1"/>
    <col min="9774" max="9774" width="2.33203125" style="281" bestFit="1" customWidth="1"/>
    <col min="9775" max="9775" width="15" style="281" customWidth="1"/>
    <col min="9776" max="9776" width="14.33203125" style="281" bestFit="1" customWidth="1"/>
    <col min="9777" max="9777" width="9.33203125" style="281" bestFit="1" customWidth="1"/>
    <col min="9778" max="10008" width="9.109375" style="281"/>
    <col min="10009" max="10009" width="60" style="281" customWidth="1"/>
    <col min="10010" max="10010" width="14.33203125" style="281" bestFit="1" customWidth="1"/>
    <col min="10011" max="10011" width="22.33203125" style="281" customWidth="1"/>
    <col min="10012" max="10012" width="10.6640625" style="281" customWidth="1"/>
    <col min="10013" max="10026" width="0" style="281" hidden="1" customWidth="1"/>
    <col min="10027" max="10027" width="17" style="281" bestFit="1" customWidth="1"/>
    <col min="10028" max="10028" width="8.6640625" style="281" bestFit="1" customWidth="1"/>
    <col min="10029" max="10029" width="5.109375" style="281" customWidth="1"/>
    <col min="10030" max="10030" width="2.33203125" style="281" bestFit="1" customWidth="1"/>
    <col min="10031" max="10031" width="15" style="281" customWidth="1"/>
    <col min="10032" max="10032" width="14.33203125" style="281" bestFit="1" customWidth="1"/>
    <col min="10033" max="10033" width="9.33203125" style="281" bestFit="1" customWidth="1"/>
    <col min="10034" max="10264" width="9.109375" style="281"/>
    <col min="10265" max="10265" width="60" style="281" customWidth="1"/>
    <col min="10266" max="10266" width="14.33203125" style="281" bestFit="1" customWidth="1"/>
    <col min="10267" max="10267" width="22.33203125" style="281" customWidth="1"/>
    <col min="10268" max="10268" width="10.6640625" style="281" customWidth="1"/>
    <col min="10269" max="10282" width="0" style="281" hidden="1" customWidth="1"/>
    <col min="10283" max="10283" width="17" style="281" bestFit="1" customWidth="1"/>
    <col min="10284" max="10284" width="8.6640625" style="281" bestFit="1" customWidth="1"/>
    <col min="10285" max="10285" width="5.109375" style="281" customWidth="1"/>
    <col min="10286" max="10286" width="2.33203125" style="281" bestFit="1" customWidth="1"/>
    <col min="10287" max="10287" width="15" style="281" customWidth="1"/>
    <col min="10288" max="10288" width="14.33203125" style="281" bestFit="1" customWidth="1"/>
    <col min="10289" max="10289" width="9.33203125" style="281" bestFit="1" customWidth="1"/>
    <col min="10290" max="10520" width="9.109375" style="281"/>
    <col min="10521" max="10521" width="60" style="281" customWidth="1"/>
    <col min="10522" max="10522" width="14.33203125" style="281" bestFit="1" customWidth="1"/>
    <col min="10523" max="10523" width="22.33203125" style="281" customWidth="1"/>
    <col min="10524" max="10524" width="10.6640625" style="281" customWidth="1"/>
    <col min="10525" max="10538" width="0" style="281" hidden="1" customWidth="1"/>
    <col min="10539" max="10539" width="17" style="281" bestFit="1" customWidth="1"/>
    <col min="10540" max="10540" width="8.6640625" style="281" bestFit="1" customWidth="1"/>
    <col min="10541" max="10541" width="5.109375" style="281" customWidth="1"/>
    <col min="10542" max="10542" width="2.33203125" style="281" bestFit="1" customWidth="1"/>
    <col min="10543" max="10543" width="15" style="281" customWidth="1"/>
    <col min="10544" max="10544" width="14.33203125" style="281" bestFit="1" customWidth="1"/>
    <col min="10545" max="10545" width="9.33203125" style="281" bestFit="1" customWidth="1"/>
    <col min="10546" max="10776" width="9.109375" style="281"/>
    <col min="10777" max="10777" width="60" style="281" customWidth="1"/>
    <col min="10778" max="10778" width="14.33203125" style="281" bestFit="1" customWidth="1"/>
    <col min="10779" max="10779" width="22.33203125" style="281" customWidth="1"/>
    <col min="10780" max="10780" width="10.6640625" style="281" customWidth="1"/>
    <col min="10781" max="10794" width="0" style="281" hidden="1" customWidth="1"/>
    <col min="10795" max="10795" width="17" style="281" bestFit="1" customWidth="1"/>
    <col min="10796" max="10796" width="8.6640625" style="281" bestFit="1" customWidth="1"/>
    <col min="10797" max="10797" width="5.109375" style="281" customWidth="1"/>
    <col min="10798" max="10798" width="2.33203125" style="281" bestFit="1" customWidth="1"/>
    <col min="10799" max="10799" width="15" style="281" customWidth="1"/>
    <col min="10800" max="10800" width="14.33203125" style="281" bestFit="1" customWidth="1"/>
    <col min="10801" max="10801" width="9.33203125" style="281" bestFit="1" customWidth="1"/>
    <col min="10802" max="11032" width="9.109375" style="281"/>
    <col min="11033" max="11033" width="60" style="281" customWidth="1"/>
    <col min="11034" max="11034" width="14.33203125" style="281" bestFit="1" customWidth="1"/>
    <col min="11035" max="11035" width="22.33203125" style="281" customWidth="1"/>
    <col min="11036" max="11036" width="10.6640625" style="281" customWidth="1"/>
    <col min="11037" max="11050" width="0" style="281" hidden="1" customWidth="1"/>
    <col min="11051" max="11051" width="17" style="281" bestFit="1" customWidth="1"/>
    <col min="11052" max="11052" width="8.6640625" style="281" bestFit="1" customWidth="1"/>
    <col min="11053" max="11053" width="5.109375" style="281" customWidth="1"/>
    <col min="11054" max="11054" width="2.33203125" style="281" bestFit="1" customWidth="1"/>
    <col min="11055" max="11055" width="15" style="281" customWidth="1"/>
    <col min="11056" max="11056" width="14.33203125" style="281" bestFit="1" customWidth="1"/>
    <col min="11057" max="11057" width="9.33203125" style="281" bestFit="1" customWidth="1"/>
    <col min="11058" max="11288" width="9.109375" style="281"/>
    <col min="11289" max="11289" width="60" style="281" customWidth="1"/>
    <col min="11290" max="11290" width="14.33203125" style="281" bestFit="1" customWidth="1"/>
    <col min="11291" max="11291" width="22.33203125" style="281" customWidth="1"/>
    <col min="11292" max="11292" width="10.6640625" style="281" customWidth="1"/>
    <col min="11293" max="11306" width="0" style="281" hidden="1" customWidth="1"/>
    <col min="11307" max="11307" width="17" style="281" bestFit="1" customWidth="1"/>
    <col min="11308" max="11308" width="8.6640625" style="281" bestFit="1" customWidth="1"/>
    <col min="11309" max="11309" width="5.109375" style="281" customWidth="1"/>
    <col min="11310" max="11310" width="2.33203125" style="281" bestFit="1" customWidth="1"/>
    <col min="11311" max="11311" width="15" style="281" customWidth="1"/>
    <col min="11312" max="11312" width="14.33203125" style="281" bestFit="1" customWidth="1"/>
    <col min="11313" max="11313" width="9.33203125" style="281" bestFit="1" customWidth="1"/>
    <col min="11314" max="11544" width="9.109375" style="281"/>
    <col min="11545" max="11545" width="60" style="281" customWidth="1"/>
    <col min="11546" max="11546" width="14.33203125" style="281" bestFit="1" customWidth="1"/>
    <col min="11547" max="11547" width="22.33203125" style="281" customWidth="1"/>
    <col min="11548" max="11548" width="10.6640625" style="281" customWidth="1"/>
    <col min="11549" max="11562" width="0" style="281" hidden="1" customWidth="1"/>
    <col min="11563" max="11563" width="17" style="281" bestFit="1" customWidth="1"/>
    <col min="11564" max="11564" width="8.6640625" style="281" bestFit="1" customWidth="1"/>
    <col min="11565" max="11565" width="5.109375" style="281" customWidth="1"/>
    <col min="11566" max="11566" width="2.33203125" style="281" bestFit="1" customWidth="1"/>
    <col min="11567" max="11567" width="15" style="281" customWidth="1"/>
    <col min="11568" max="11568" width="14.33203125" style="281" bestFit="1" customWidth="1"/>
    <col min="11569" max="11569" width="9.33203125" style="281" bestFit="1" customWidth="1"/>
    <col min="11570" max="11800" width="9.109375" style="281"/>
    <col min="11801" max="11801" width="60" style="281" customWidth="1"/>
    <col min="11802" max="11802" width="14.33203125" style="281" bestFit="1" customWidth="1"/>
    <col min="11803" max="11803" width="22.33203125" style="281" customWidth="1"/>
    <col min="11804" max="11804" width="10.6640625" style="281" customWidth="1"/>
    <col min="11805" max="11818" width="0" style="281" hidden="1" customWidth="1"/>
    <col min="11819" max="11819" width="17" style="281" bestFit="1" customWidth="1"/>
    <col min="11820" max="11820" width="8.6640625" style="281" bestFit="1" customWidth="1"/>
    <col min="11821" max="11821" width="5.109375" style="281" customWidth="1"/>
    <col min="11822" max="11822" width="2.33203125" style="281" bestFit="1" customWidth="1"/>
    <col min="11823" max="11823" width="15" style="281" customWidth="1"/>
    <col min="11824" max="11824" width="14.33203125" style="281" bestFit="1" customWidth="1"/>
    <col min="11825" max="11825" width="9.33203125" style="281" bestFit="1" customWidth="1"/>
    <col min="11826" max="12056" width="9.109375" style="281"/>
    <col min="12057" max="12057" width="60" style="281" customWidth="1"/>
    <col min="12058" max="12058" width="14.33203125" style="281" bestFit="1" customWidth="1"/>
    <col min="12059" max="12059" width="22.33203125" style="281" customWidth="1"/>
    <col min="12060" max="12060" width="10.6640625" style="281" customWidth="1"/>
    <col min="12061" max="12074" width="0" style="281" hidden="1" customWidth="1"/>
    <col min="12075" max="12075" width="17" style="281" bestFit="1" customWidth="1"/>
    <col min="12076" max="12076" width="8.6640625" style="281" bestFit="1" customWidth="1"/>
    <col min="12077" max="12077" width="5.109375" style="281" customWidth="1"/>
    <col min="12078" max="12078" width="2.33203125" style="281" bestFit="1" customWidth="1"/>
    <col min="12079" max="12079" width="15" style="281" customWidth="1"/>
    <col min="12080" max="12080" width="14.33203125" style="281" bestFit="1" customWidth="1"/>
    <col min="12081" max="12081" width="9.33203125" style="281" bestFit="1" customWidth="1"/>
    <col min="12082" max="12312" width="9.109375" style="281"/>
    <col min="12313" max="12313" width="60" style="281" customWidth="1"/>
    <col min="12314" max="12314" width="14.33203125" style="281" bestFit="1" customWidth="1"/>
    <col min="12315" max="12315" width="22.33203125" style="281" customWidth="1"/>
    <col min="12316" max="12316" width="10.6640625" style="281" customWidth="1"/>
    <col min="12317" max="12330" width="0" style="281" hidden="1" customWidth="1"/>
    <col min="12331" max="12331" width="17" style="281" bestFit="1" customWidth="1"/>
    <col min="12332" max="12332" width="8.6640625" style="281" bestFit="1" customWidth="1"/>
    <col min="12333" max="12333" width="5.109375" style="281" customWidth="1"/>
    <col min="12334" max="12334" width="2.33203125" style="281" bestFit="1" customWidth="1"/>
    <col min="12335" max="12335" width="15" style="281" customWidth="1"/>
    <col min="12336" max="12336" width="14.33203125" style="281" bestFit="1" customWidth="1"/>
    <col min="12337" max="12337" width="9.33203125" style="281" bestFit="1" customWidth="1"/>
    <col min="12338" max="12568" width="9.109375" style="281"/>
    <col min="12569" max="12569" width="60" style="281" customWidth="1"/>
    <col min="12570" max="12570" width="14.33203125" style="281" bestFit="1" customWidth="1"/>
    <col min="12571" max="12571" width="22.33203125" style="281" customWidth="1"/>
    <col min="12572" max="12572" width="10.6640625" style="281" customWidth="1"/>
    <col min="12573" max="12586" width="0" style="281" hidden="1" customWidth="1"/>
    <col min="12587" max="12587" width="17" style="281" bestFit="1" customWidth="1"/>
    <col min="12588" max="12588" width="8.6640625" style="281" bestFit="1" customWidth="1"/>
    <col min="12589" max="12589" width="5.109375" style="281" customWidth="1"/>
    <col min="12590" max="12590" width="2.33203125" style="281" bestFit="1" customWidth="1"/>
    <col min="12591" max="12591" width="15" style="281" customWidth="1"/>
    <col min="12592" max="12592" width="14.33203125" style="281" bestFit="1" customWidth="1"/>
    <col min="12593" max="12593" width="9.33203125" style="281" bestFit="1" customWidth="1"/>
    <col min="12594" max="12824" width="9.109375" style="281"/>
    <col min="12825" max="12825" width="60" style="281" customWidth="1"/>
    <col min="12826" max="12826" width="14.33203125" style="281" bestFit="1" customWidth="1"/>
    <col min="12827" max="12827" width="22.33203125" style="281" customWidth="1"/>
    <col min="12828" max="12828" width="10.6640625" style="281" customWidth="1"/>
    <col min="12829" max="12842" width="0" style="281" hidden="1" customWidth="1"/>
    <col min="12843" max="12843" width="17" style="281" bestFit="1" customWidth="1"/>
    <col min="12844" max="12844" width="8.6640625" style="281" bestFit="1" customWidth="1"/>
    <col min="12845" max="12845" width="5.109375" style="281" customWidth="1"/>
    <col min="12846" max="12846" width="2.33203125" style="281" bestFit="1" customWidth="1"/>
    <col min="12847" max="12847" width="15" style="281" customWidth="1"/>
    <col min="12848" max="12848" width="14.33203125" style="281" bestFit="1" customWidth="1"/>
    <col min="12849" max="12849" width="9.33203125" style="281" bestFit="1" customWidth="1"/>
    <col min="12850" max="13080" width="9.109375" style="281"/>
    <col min="13081" max="13081" width="60" style="281" customWidth="1"/>
    <col min="13082" max="13082" width="14.33203125" style="281" bestFit="1" customWidth="1"/>
    <col min="13083" max="13083" width="22.33203125" style="281" customWidth="1"/>
    <col min="13084" max="13084" width="10.6640625" style="281" customWidth="1"/>
    <col min="13085" max="13098" width="0" style="281" hidden="1" customWidth="1"/>
    <col min="13099" max="13099" width="17" style="281" bestFit="1" customWidth="1"/>
    <col min="13100" max="13100" width="8.6640625" style="281" bestFit="1" customWidth="1"/>
    <col min="13101" max="13101" width="5.109375" style="281" customWidth="1"/>
    <col min="13102" max="13102" width="2.33203125" style="281" bestFit="1" customWidth="1"/>
    <col min="13103" max="13103" width="15" style="281" customWidth="1"/>
    <col min="13104" max="13104" width="14.33203125" style="281" bestFit="1" customWidth="1"/>
    <col min="13105" max="13105" width="9.33203125" style="281" bestFit="1" customWidth="1"/>
    <col min="13106" max="13336" width="9.109375" style="281"/>
    <col min="13337" max="13337" width="60" style="281" customWidth="1"/>
    <col min="13338" max="13338" width="14.33203125" style="281" bestFit="1" customWidth="1"/>
    <col min="13339" max="13339" width="22.33203125" style="281" customWidth="1"/>
    <col min="13340" max="13340" width="10.6640625" style="281" customWidth="1"/>
    <col min="13341" max="13354" width="0" style="281" hidden="1" customWidth="1"/>
    <col min="13355" max="13355" width="17" style="281" bestFit="1" customWidth="1"/>
    <col min="13356" max="13356" width="8.6640625" style="281" bestFit="1" customWidth="1"/>
    <col min="13357" max="13357" width="5.109375" style="281" customWidth="1"/>
    <col min="13358" max="13358" width="2.33203125" style="281" bestFit="1" customWidth="1"/>
    <col min="13359" max="13359" width="15" style="281" customWidth="1"/>
    <col min="13360" max="13360" width="14.33203125" style="281" bestFit="1" customWidth="1"/>
    <col min="13361" max="13361" width="9.33203125" style="281" bestFit="1" customWidth="1"/>
    <col min="13362" max="13592" width="9.109375" style="281"/>
    <col min="13593" max="13593" width="60" style="281" customWidth="1"/>
    <col min="13594" max="13594" width="14.33203125" style="281" bestFit="1" customWidth="1"/>
    <col min="13595" max="13595" width="22.33203125" style="281" customWidth="1"/>
    <col min="13596" max="13596" width="10.6640625" style="281" customWidth="1"/>
    <col min="13597" max="13610" width="0" style="281" hidden="1" customWidth="1"/>
    <col min="13611" max="13611" width="17" style="281" bestFit="1" customWidth="1"/>
    <col min="13612" max="13612" width="8.6640625" style="281" bestFit="1" customWidth="1"/>
    <col min="13613" max="13613" width="5.109375" style="281" customWidth="1"/>
    <col min="13614" max="13614" width="2.33203125" style="281" bestFit="1" customWidth="1"/>
    <col min="13615" max="13615" width="15" style="281" customWidth="1"/>
    <col min="13616" max="13616" width="14.33203125" style="281" bestFit="1" customWidth="1"/>
    <col min="13617" max="13617" width="9.33203125" style="281" bestFit="1" customWidth="1"/>
    <col min="13618" max="13848" width="9.109375" style="281"/>
    <col min="13849" max="13849" width="60" style="281" customWidth="1"/>
    <col min="13850" max="13850" width="14.33203125" style="281" bestFit="1" customWidth="1"/>
    <col min="13851" max="13851" width="22.33203125" style="281" customWidth="1"/>
    <col min="13852" max="13852" width="10.6640625" style="281" customWidth="1"/>
    <col min="13853" max="13866" width="0" style="281" hidden="1" customWidth="1"/>
    <col min="13867" max="13867" width="17" style="281" bestFit="1" customWidth="1"/>
    <col min="13868" max="13868" width="8.6640625" style="281" bestFit="1" customWidth="1"/>
    <col min="13869" max="13869" width="5.109375" style="281" customWidth="1"/>
    <col min="13870" max="13870" width="2.33203125" style="281" bestFit="1" customWidth="1"/>
    <col min="13871" max="13871" width="15" style="281" customWidth="1"/>
    <col min="13872" max="13872" width="14.33203125" style="281" bestFit="1" customWidth="1"/>
    <col min="13873" max="13873" width="9.33203125" style="281" bestFit="1" customWidth="1"/>
    <col min="13874" max="14104" width="9.109375" style="281"/>
    <col min="14105" max="14105" width="60" style="281" customWidth="1"/>
    <col min="14106" max="14106" width="14.33203125" style="281" bestFit="1" customWidth="1"/>
    <col min="14107" max="14107" width="22.33203125" style="281" customWidth="1"/>
    <col min="14108" max="14108" width="10.6640625" style="281" customWidth="1"/>
    <col min="14109" max="14122" width="0" style="281" hidden="1" customWidth="1"/>
    <col min="14123" max="14123" width="17" style="281" bestFit="1" customWidth="1"/>
    <col min="14124" max="14124" width="8.6640625" style="281" bestFit="1" customWidth="1"/>
    <col min="14125" max="14125" width="5.109375" style="281" customWidth="1"/>
    <col min="14126" max="14126" width="2.33203125" style="281" bestFit="1" customWidth="1"/>
    <col min="14127" max="14127" width="15" style="281" customWidth="1"/>
    <col min="14128" max="14128" width="14.33203125" style="281" bestFit="1" customWidth="1"/>
    <col min="14129" max="14129" width="9.33203125" style="281" bestFit="1" customWidth="1"/>
    <col min="14130" max="14360" width="9.109375" style="281"/>
    <col min="14361" max="14361" width="60" style="281" customWidth="1"/>
    <col min="14362" max="14362" width="14.33203125" style="281" bestFit="1" customWidth="1"/>
    <col min="14363" max="14363" width="22.33203125" style="281" customWidth="1"/>
    <col min="14364" max="14364" width="10.6640625" style="281" customWidth="1"/>
    <col min="14365" max="14378" width="0" style="281" hidden="1" customWidth="1"/>
    <col min="14379" max="14379" width="17" style="281" bestFit="1" customWidth="1"/>
    <col min="14380" max="14380" width="8.6640625" style="281" bestFit="1" customWidth="1"/>
    <col min="14381" max="14381" width="5.109375" style="281" customWidth="1"/>
    <col min="14382" max="14382" width="2.33203125" style="281" bestFit="1" customWidth="1"/>
    <col min="14383" max="14383" width="15" style="281" customWidth="1"/>
    <col min="14384" max="14384" width="14.33203125" style="281" bestFit="1" customWidth="1"/>
    <col min="14385" max="14385" width="9.33203125" style="281" bestFit="1" customWidth="1"/>
    <col min="14386" max="14616" width="9.109375" style="281"/>
    <col min="14617" max="14617" width="60" style="281" customWidth="1"/>
    <col min="14618" max="14618" width="14.33203125" style="281" bestFit="1" customWidth="1"/>
    <col min="14619" max="14619" width="22.33203125" style="281" customWidth="1"/>
    <col min="14620" max="14620" width="10.6640625" style="281" customWidth="1"/>
    <col min="14621" max="14634" width="0" style="281" hidden="1" customWidth="1"/>
    <col min="14635" max="14635" width="17" style="281" bestFit="1" customWidth="1"/>
    <col min="14636" max="14636" width="8.6640625" style="281" bestFit="1" customWidth="1"/>
    <col min="14637" max="14637" width="5.109375" style="281" customWidth="1"/>
    <col min="14638" max="14638" width="2.33203125" style="281" bestFit="1" customWidth="1"/>
    <col min="14639" max="14639" width="15" style="281" customWidth="1"/>
    <col min="14640" max="14640" width="14.33203125" style="281" bestFit="1" customWidth="1"/>
    <col min="14641" max="14641" width="9.33203125" style="281" bestFit="1" customWidth="1"/>
    <col min="14642" max="14872" width="9.109375" style="281"/>
    <col min="14873" max="14873" width="60" style="281" customWidth="1"/>
    <col min="14874" max="14874" width="14.33203125" style="281" bestFit="1" customWidth="1"/>
    <col min="14875" max="14875" width="22.33203125" style="281" customWidth="1"/>
    <col min="14876" max="14876" width="10.6640625" style="281" customWidth="1"/>
    <col min="14877" max="14890" width="0" style="281" hidden="1" customWidth="1"/>
    <col min="14891" max="14891" width="17" style="281" bestFit="1" customWidth="1"/>
    <col min="14892" max="14892" width="8.6640625" style="281" bestFit="1" customWidth="1"/>
    <col min="14893" max="14893" width="5.109375" style="281" customWidth="1"/>
    <col min="14894" max="14894" width="2.33203125" style="281" bestFit="1" customWidth="1"/>
    <col min="14895" max="14895" width="15" style="281" customWidth="1"/>
    <col min="14896" max="14896" width="14.33203125" style="281" bestFit="1" customWidth="1"/>
    <col min="14897" max="14897" width="9.33203125" style="281" bestFit="1" customWidth="1"/>
    <col min="14898" max="15128" width="9.109375" style="281"/>
    <col min="15129" max="15129" width="60" style="281" customWidth="1"/>
    <col min="15130" max="15130" width="14.33203125" style="281" bestFit="1" customWidth="1"/>
    <col min="15131" max="15131" width="22.33203125" style="281" customWidth="1"/>
    <col min="15132" max="15132" width="10.6640625" style="281" customWidth="1"/>
    <col min="15133" max="15146" width="0" style="281" hidden="1" customWidth="1"/>
    <col min="15147" max="15147" width="17" style="281" bestFit="1" customWidth="1"/>
    <col min="15148" max="15148" width="8.6640625" style="281" bestFit="1" customWidth="1"/>
    <col min="15149" max="15149" width="5.109375" style="281" customWidth="1"/>
    <col min="15150" max="15150" width="2.33203125" style="281" bestFit="1" customWidth="1"/>
    <col min="15151" max="15151" width="15" style="281" customWidth="1"/>
    <col min="15152" max="15152" width="14.33203125" style="281" bestFit="1" customWidth="1"/>
    <col min="15153" max="15153" width="9.33203125" style="281" bestFit="1" customWidth="1"/>
    <col min="15154" max="15384" width="9.109375" style="281"/>
    <col min="15385" max="15385" width="60" style="281" customWidth="1"/>
    <col min="15386" max="15386" width="14.33203125" style="281" bestFit="1" customWidth="1"/>
    <col min="15387" max="15387" width="22.33203125" style="281" customWidth="1"/>
    <col min="15388" max="15388" width="10.6640625" style="281" customWidth="1"/>
    <col min="15389" max="15402" width="0" style="281" hidden="1" customWidth="1"/>
    <col min="15403" max="15403" width="17" style="281" bestFit="1" customWidth="1"/>
    <col min="15404" max="15404" width="8.6640625" style="281" bestFit="1" customWidth="1"/>
    <col min="15405" max="15405" width="5.109375" style="281" customWidth="1"/>
    <col min="15406" max="15406" width="2.33203125" style="281" bestFit="1" customWidth="1"/>
    <col min="15407" max="15407" width="15" style="281" customWidth="1"/>
    <col min="15408" max="15408" width="14.33203125" style="281" bestFit="1" customWidth="1"/>
    <col min="15409" max="15409" width="9.33203125" style="281" bestFit="1" customWidth="1"/>
    <col min="15410" max="15640" width="9.109375" style="281"/>
    <col min="15641" max="15641" width="60" style="281" customWidth="1"/>
    <col min="15642" max="15642" width="14.33203125" style="281" bestFit="1" customWidth="1"/>
    <col min="15643" max="15643" width="22.33203125" style="281" customWidth="1"/>
    <col min="15644" max="15644" width="10.6640625" style="281" customWidth="1"/>
    <col min="15645" max="15658" width="0" style="281" hidden="1" customWidth="1"/>
    <col min="15659" max="15659" width="17" style="281" bestFit="1" customWidth="1"/>
    <col min="15660" max="15660" width="8.6640625" style="281" bestFit="1" customWidth="1"/>
    <col min="15661" max="15661" width="5.109375" style="281" customWidth="1"/>
    <col min="15662" max="15662" width="2.33203125" style="281" bestFit="1" customWidth="1"/>
    <col min="15663" max="15663" width="15" style="281" customWidth="1"/>
    <col min="15664" max="15664" width="14.33203125" style="281" bestFit="1" customWidth="1"/>
    <col min="15665" max="15665" width="9.33203125" style="281" bestFit="1" customWidth="1"/>
    <col min="15666" max="15896" width="9.109375" style="281"/>
    <col min="15897" max="15897" width="60" style="281" customWidth="1"/>
    <col min="15898" max="15898" width="14.33203125" style="281" bestFit="1" customWidth="1"/>
    <col min="15899" max="15899" width="22.33203125" style="281" customWidth="1"/>
    <col min="15900" max="15900" width="10.6640625" style="281" customWidth="1"/>
    <col min="15901" max="15914" width="0" style="281" hidden="1" customWidth="1"/>
    <col min="15915" max="15915" width="17" style="281" bestFit="1" customWidth="1"/>
    <col min="15916" max="15916" width="8.6640625" style="281" bestFit="1" customWidth="1"/>
    <col min="15917" max="15917" width="5.109375" style="281" customWidth="1"/>
    <col min="15918" max="15918" width="2.33203125" style="281" bestFit="1" customWidth="1"/>
    <col min="15919" max="15919" width="15" style="281" customWidth="1"/>
    <col min="15920" max="15920" width="14.33203125" style="281" bestFit="1" customWidth="1"/>
    <col min="15921" max="15921" width="9.33203125" style="281" bestFit="1" customWidth="1"/>
    <col min="15922" max="16152" width="9.109375" style="281"/>
    <col min="16153" max="16153" width="60" style="281" customWidth="1"/>
    <col min="16154" max="16154" width="14.33203125" style="281" bestFit="1" customWidth="1"/>
    <col min="16155" max="16155" width="22.33203125" style="281" customWidth="1"/>
    <col min="16156" max="16156" width="10.6640625" style="281" customWidth="1"/>
    <col min="16157" max="16170" width="0" style="281" hidden="1" customWidth="1"/>
    <col min="16171" max="16171" width="17" style="281" bestFit="1" customWidth="1"/>
    <col min="16172" max="16172" width="8.6640625" style="281" bestFit="1" customWidth="1"/>
    <col min="16173" max="16173" width="5.109375" style="281" customWidth="1"/>
    <col min="16174" max="16174" width="2.33203125" style="281" bestFit="1" customWidth="1"/>
    <col min="16175" max="16175" width="15" style="281" customWidth="1"/>
    <col min="16176" max="16176" width="14.33203125" style="281" bestFit="1" customWidth="1"/>
    <col min="16177" max="16177" width="9.33203125" style="281" bestFit="1" customWidth="1"/>
    <col min="16178" max="16384" width="9.109375" style="281"/>
  </cols>
  <sheetData>
    <row r="1" spans="1:49">
      <c r="A1" s="279" t="s">
        <v>171</v>
      </c>
      <c r="F1" s="282"/>
      <c r="G1" s="282"/>
      <c r="H1" s="282"/>
    </row>
    <row r="2" spans="1:49">
      <c r="A2" s="279" t="s">
        <v>172</v>
      </c>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U2" s="280"/>
      <c r="AV2" s="280"/>
    </row>
    <row r="3" spans="1:49">
      <c r="A3" s="279"/>
      <c r="C3" s="283"/>
      <c r="E3" s="280"/>
      <c r="F3" s="280"/>
      <c r="G3" s="280"/>
      <c r="H3" s="280"/>
      <c r="I3" s="280"/>
      <c r="J3" s="280"/>
      <c r="K3" s="280"/>
      <c r="L3" s="280"/>
      <c r="M3" s="280"/>
      <c r="N3" s="280"/>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U3" s="280"/>
      <c r="AV3" s="280"/>
    </row>
    <row r="4" spans="1:49">
      <c r="A4" s="284" t="s">
        <v>173</v>
      </c>
      <c r="B4" s="285">
        <v>908526</v>
      </c>
      <c r="C4" s="284">
        <v>2021</v>
      </c>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280"/>
      <c r="AU4" s="280"/>
      <c r="AV4" s="280"/>
    </row>
    <row r="5" spans="1:49">
      <c r="A5" s="284" t="s">
        <v>174</v>
      </c>
      <c r="B5" s="285">
        <v>106454</v>
      </c>
      <c r="C5" s="286">
        <v>2021</v>
      </c>
      <c r="AU5" s="287"/>
    </row>
    <row r="6" spans="1:49">
      <c r="C6" s="552" t="s">
        <v>175</v>
      </c>
      <c r="D6" s="552"/>
      <c r="E6" s="552"/>
      <c r="F6" s="552"/>
      <c r="G6" s="552"/>
      <c r="H6" s="552"/>
      <c r="I6" s="552"/>
      <c r="J6" s="552"/>
      <c r="K6" s="552"/>
      <c r="L6" s="552"/>
      <c r="M6" s="552"/>
      <c r="N6" s="552"/>
      <c r="O6" s="552"/>
      <c r="P6" s="552"/>
      <c r="Q6" s="552"/>
      <c r="R6" s="552"/>
      <c r="S6" s="552"/>
      <c r="T6" s="552"/>
      <c r="U6" s="552"/>
      <c r="V6" s="552"/>
      <c r="W6" s="552"/>
      <c r="X6" s="552"/>
      <c r="Y6" s="552"/>
      <c r="Z6" s="552"/>
      <c r="AA6" s="552"/>
      <c r="AB6" s="552"/>
      <c r="AC6" s="552"/>
      <c r="AD6" s="552"/>
      <c r="AE6" s="552"/>
      <c r="AF6" s="552"/>
      <c r="AG6" s="288"/>
      <c r="AH6" s="288"/>
      <c r="AI6" s="288"/>
      <c r="AJ6" s="288"/>
      <c r="AK6" s="288"/>
      <c r="AL6" s="288"/>
      <c r="AM6" s="288"/>
      <c r="AN6" s="288"/>
      <c r="AO6" s="288"/>
      <c r="AP6" s="288"/>
      <c r="AQ6" s="288"/>
      <c r="AR6" s="288"/>
      <c r="AV6" s="289"/>
    </row>
    <row r="7" spans="1:49">
      <c r="B7" s="290"/>
      <c r="C7" s="553" t="s">
        <v>176</v>
      </c>
      <c r="D7" s="553"/>
      <c r="E7" s="553"/>
      <c r="F7" s="553"/>
      <c r="G7" s="553"/>
      <c r="H7" s="553"/>
      <c r="I7" s="553"/>
      <c r="J7" s="553"/>
      <c r="K7" s="553"/>
      <c r="L7" s="553"/>
      <c r="M7" s="553"/>
      <c r="N7" s="553"/>
      <c r="O7" s="553"/>
      <c r="P7" s="553"/>
      <c r="Q7" s="554" t="s">
        <v>177</v>
      </c>
      <c r="R7" s="554"/>
      <c r="S7" s="554"/>
      <c r="T7" s="554"/>
      <c r="U7" s="554"/>
      <c r="V7" s="554"/>
      <c r="W7" s="554"/>
      <c r="X7" s="554"/>
      <c r="Y7" s="554"/>
      <c r="Z7" s="554"/>
      <c r="AA7" s="554"/>
      <c r="AB7" s="554"/>
      <c r="AC7" s="554"/>
      <c r="AD7" s="554"/>
      <c r="AE7" s="554"/>
      <c r="AF7" s="554"/>
      <c r="AG7" s="291"/>
      <c r="AH7" s="291"/>
      <c r="AI7" s="291"/>
      <c r="AJ7" s="291"/>
      <c r="AK7" s="291"/>
      <c r="AL7" s="291"/>
      <c r="AM7" s="291"/>
      <c r="AN7" s="291"/>
      <c r="AO7" s="291"/>
      <c r="AP7" s="291"/>
      <c r="AQ7" s="291"/>
      <c r="AR7" s="291"/>
    </row>
    <row r="8" spans="1:49" ht="106.2" customHeight="1">
      <c r="B8" s="290"/>
      <c r="C8" s="555" t="s">
        <v>178</v>
      </c>
      <c r="D8" s="556"/>
      <c r="E8" s="556" t="s">
        <v>179</v>
      </c>
      <c r="F8" s="556"/>
      <c r="G8" s="556" t="s">
        <v>180</v>
      </c>
      <c r="H8" s="556"/>
      <c r="I8" s="556" t="s">
        <v>181</v>
      </c>
      <c r="J8" s="556"/>
      <c r="K8" s="556" t="s">
        <v>182</v>
      </c>
      <c r="L8" s="556"/>
      <c r="M8" s="556" t="s">
        <v>183</v>
      </c>
      <c r="N8" s="556"/>
      <c r="O8" s="556" t="s">
        <v>184</v>
      </c>
      <c r="P8" s="556"/>
      <c r="Q8" s="557" t="s">
        <v>185</v>
      </c>
      <c r="R8" s="557"/>
      <c r="S8" s="557" t="s">
        <v>170</v>
      </c>
      <c r="T8" s="557"/>
      <c r="U8" s="557" t="s">
        <v>169</v>
      </c>
      <c r="V8" s="557"/>
      <c r="W8" s="557" t="s">
        <v>168</v>
      </c>
      <c r="X8" s="557"/>
      <c r="Y8" s="557" t="s">
        <v>167</v>
      </c>
      <c r="Z8" s="557"/>
      <c r="AA8" s="557" t="s">
        <v>166</v>
      </c>
      <c r="AB8" s="557"/>
      <c r="AC8" s="557" t="s">
        <v>186</v>
      </c>
      <c r="AD8" s="557"/>
      <c r="AE8" s="557" t="s">
        <v>187</v>
      </c>
      <c r="AF8" s="557"/>
      <c r="AG8" s="557" t="s">
        <v>188</v>
      </c>
      <c r="AH8" s="557"/>
      <c r="AI8" s="557" t="s">
        <v>189</v>
      </c>
      <c r="AJ8" s="557"/>
      <c r="AK8" s="557" t="s">
        <v>190</v>
      </c>
      <c r="AL8" s="557"/>
      <c r="AM8" s="557" t="s">
        <v>191</v>
      </c>
      <c r="AN8" s="557"/>
      <c r="AO8" s="557" t="s">
        <v>192</v>
      </c>
      <c r="AP8" s="557"/>
      <c r="AQ8" s="557" t="s">
        <v>165</v>
      </c>
      <c r="AR8" s="557"/>
    </row>
    <row r="9" spans="1:49">
      <c r="A9" s="558" t="s">
        <v>193</v>
      </c>
      <c r="B9" s="559"/>
      <c r="C9" s="560">
        <f>ROUND(C10*$B$4*12/360,0)</f>
        <v>30284</v>
      </c>
      <c r="D9" s="561"/>
      <c r="E9" s="560">
        <f t="shared" ref="E9:G9" si="0">ROUND(E10*$B$4*12/360,0)</f>
        <v>39369</v>
      </c>
      <c r="F9" s="561"/>
      <c r="G9" s="560">
        <f t="shared" si="0"/>
        <v>45426</v>
      </c>
      <c r="H9" s="561"/>
      <c r="I9" s="560">
        <f t="shared" ref="I9" si="1">ROUND(I10*$B$4*12/360,0)</f>
        <v>60568</v>
      </c>
      <c r="J9" s="561"/>
      <c r="K9" s="560">
        <f t="shared" ref="K9" si="2">ROUND(K10*$B$4*12/360,0)</f>
        <v>79042</v>
      </c>
      <c r="L9" s="561"/>
      <c r="M9" s="560">
        <f t="shared" ref="M9" si="3">ROUND(M10*$B$4*12/360,0)</f>
        <v>114777</v>
      </c>
      <c r="N9" s="561"/>
      <c r="O9" s="560">
        <f t="shared" ref="O9:AQ9" si="4">ROUND(O10*$B$4*12/360,0)</f>
        <v>141427</v>
      </c>
      <c r="P9" s="561"/>
      <c r="Q9" s="562">
        <f t="shared" si="4"/>
        <v>33313</v>
      </c>
      <c r="R9" s="563"/>
      <c r="S9" s="562">
        <f t="shared" si="4"/>
        <v>42398</v>
      </c>
      <c r="T9" s="563"/>
      <c r="U9" s="562">
        <f t="shared" si="4"/>
        <v>54512</v>
      </c>
      <c r="V9" s="563"/>
      <c r="W9" s="562">
        <f t="shared" si="4"/>
        <v>69654</v>
      </c>
      <c r="X9" s="563"/>
      <c r="Y9" s="562">
        <f t="shared" si="4"/>
        <v>81767</v>
      </c>
      <c r="Z9" s="563"/>
      <c r="AA9" s="562">
        <f t="shared" si="4"/>
        <v>81767</v>
      </c>
      <c r="AB9" s="563"/>
      <c r="AC9" s="562">
        <f t="shared" si="4"/>
        <v>84796</v>
      </c>
      <c r="AD9" s="563"/>
      <c r="AE9" s="562">
        <f t="shared" si="4"/>
        <v>90853</v>
      </c>
      <c r="AF9" s="563"/>
      <c r="AG9" s="562">
        <f t="shared" si="4"/>
        <v>121137</v>
      </c>
      <c r="AH9" s="563"/>
      <c r="AI9" s="562">
        <f t="shared" si="4"/>
        <v>139307</v>
      </c>
      <c r="AJ9" s="563"/>
      <c r="AK9" s="562">
        <f t="shared" si="4"/>
        <v>166563</v>
      </c>
      <c r="AL9" s="563"/>
      <c r="AM9" s="562">
        <f t="shared" si="4"/>
        <v>181705</v>
      </c>
      <c r="AN9" s="563"/>
      <c r="AO9" s="562">
        <f t="shared" si="4"/>
        <v>202904</v>
      </c>
      <c r="AP9" s="563"/>
      <c r="AQ9" s="562">
        <f t="shared" si="4"/>
        <v>254387</v>
      </c>
      <c r="AR9" s="563"/>
    </row>
    <row r="10" spans="1:49">
      <c r="C10" s="292">
        <v>1</v>
      </c>
      <c r="D10" s="293" t="s">
        <v>194</v>
      </c>
      <c r="E10" s="292">
        <v>1.3</v>
      </c>
      <c r="F10" s="293" t="s">
        <v>194</v>
      </c>
      <c r="G10" s="292">
        <v>1.5</v>
      </c>
      <c r="H10" s="293" t="s">
        <v>194</v>
      </c>
      <c r="I10" s="292">
        <v>2</v>
      </c>
      <c r="J10" s="293" t="s">
        <v>194</v>
      </c>
      <c r="K10" s="292">
        <v>2.61</v>
      </c>
      <c r="L10" s="293" t="s">
        <v>194</v>
      </c>
      <c r="M10" s="292">
        <v>3.79</v>
      </c>
      <c r="N10" s="293" t="s">
        <v>194</v>
      </c>
      <c r="O10" s="292">
        <v>4.67</v>
      </c>
      <c r="P10" s="293" t="s">
        <v>194</v>
      </c>
      <c r="Q10" s="294">
        <v>1.1000000000000001</v>
      </c>
      <c r="R10" s="295" t="s">
        <v>194</v>
      </c>
      <c r="S10" s="294">
        <v>1.4</v>
      </c>
      <c r="T10" s="295" t="s">
        <v>194</v>
      </c>
      <c r="U10" s="294">
        <v>1.8</v>
      </c>
      <c r="V10" s="295" t="s">
        <v>194</v>
      </c>
      <c r="W10" s="294">
        <v>2.2999999999999998</v>
      </c>
      <c r="X10" s="295" t="s">
        <v>194</v>
      </c>
      <c r="Y10" s="294">
        <v>2.7</v>
      </c>
      <c r="Z10" s="295" t="s">
        <v>194</v>
      </c>
      <c r="AA10" s="294">
        <v>2.7</v>
      </c>
      <c r="AB10" s="295" t="s">
        <v>194</v>
      </c>
      <c r="AC10" s="294">
        <v>2.8</v>
      </c>
      <c r="AD10" s="295" t="s">
        <v>194</v>
      </c>
      <c r="AE10" s="294">
        <v>3</v>
      </c>
      <c r="AF10" s="295" t="s">
        <v>194</v>
      </c>
      <c r="AG10" s="294">
        <v>4</v>
      </c>
      <c r="AH10" s="295" t="s">
        <v>194</v>
      </c>
      <c r="AI10" s="294">
        <v>4.5999999999999996</v>
      </c>
      <c r="AJ10" s="295" t="s">
        <v>194</v>
      </c>
      <c r="AK10" s="294">
        <v>5.5</v>
      </c>
      <c r="AL10" s="295" t="s">
        <v>194</v>
      </c>
      <c r="AM10" s="294">
        <v>6</v>
      </c>
      <c r="AN10" s="295" t="s">
        <v>194</v>
      </c>
      <c r="AO10" s="294">
        <v>6.7</v>
      </c>
      <c r="AP10" s="295" t="s">
        <v>194</v>
      </c>
      <c r="AQ10" s="294">
        <v>8.4</v>
      </c>
      <c r="AR10" s="295" t="s">
        <v>194</v>
      </c>
      <c r="AV10" s="287"/>
      <c r="AW10" s="287"/>
    </row>
    <row r="11" spans="1:49">
      <c r="A11" s="296" t="s">
        <v>195</v>
      </c>
      <c r="B11" s="297"/>
      <c r="C11" s="298"/>
      <c r="D11" s="299" t="s">
        <v>196</v>
      </c>
      <c r="E11" s="300"/>
      <c r="F11" s="299" t="s">
        <v>196</v>
      </c>
      <c r="G11" s="300"/>
      <c r="H11" s="299" t="s">
        <v>196</v>
      </c>
      <c r="I11" s="300"/>
      <c r="J11" s="299" t="s">
        <v>196</v>
      </c>
      <c r="K11" s="300"/>
      <c r="L11" s="299" t="s">
        <v>196</v>
      </c>
      <c r="M11" s="300"/>
      <c r="N11" s="299" t="s">
        <v>196</v>
      </c>
      <c r="O11" s="300"/>
      <c r="P11" s="299" t="s">
        <v>196</v>
      </c>
      <c r="Q11" s="301"/>
      <c r="R11" s="302" t="s">
        <v>196</v>
      </c>
      <c r="S11" s="301"/>
      <c r="T11" s="302" t="s">
        <v>196</v>
      </c>
      <c r="U11" s="301"/>
      <c r="V11" s="302" t="s">
        <v>196</v>
      </c>
      <c r="W11" s="301"/>
      <c r="X11" s="302" t="s">
        <v>196</v>
      </c>
      <c r="Y11" s="301"/>
      <c r="Z11" s="302" t="s">
        <v>196</v>
      </c>
      <c r="AA11" s="301"/>
      <c r="AB11" s="302" t="s">
        <v>196</v>
      </c>
      <c r="AC11" s="301"/>
      <c r="AD11" s="302" t="s">
        <v>196</v>
      </c>
      <c r="AE11" s="301"/>
      <c r="AF11" s="302" t="s">
        <v>196</v>
      </c>
      <c r="AG11" s="301"/>
      <c r="AH11" s="302" t="s">
        <v>196</v>
      </c>
      <c r="AI11" s="301"/>
      <c r="AJ11" s="302" t="s">
        <v>196</v>
      </c>
      <c r="AK11" s="301"/>
      <c r="AL11" s="302" t="s">
        <v>196</v>
      </c>
      <c r="AM11" s="301"/>
      <c r="AN11" s="302" t="s">
        <v>196</v>
      </c>
      <c r="AO11" s="301"/>
      <c r="AP11" s="302" t="s">
        <v>196</v>
      </c>
      <c r="AQ11" s="301"/>
      <c r="AR11" s="302" t="s">
        <v>196</v>
      </c>
    </row>
    <row r="12" spans="1:49">
      <c r="A12" s="303" t="s">
        <v>197</v>
      </c>
      <c r="B12" s="304"/>
      <c r="C12" s="305">
        <f>$B$4*C10</f>
        <v>908526</v>
      </c>
      <c r="D12" s="304"/>
      <c r="E12" s="305">
        <f>$B$4*E10</f>
        <v>1181083.8</v>
      </c>
      <c r="F12" s="303"/>
      <c r="G12" s="305">
        <f>$B$4*G10</f>
        <v>1362789</v>
      </c>
      <c r="H12" s="303"/>
      <c r="I12" s="305">
        <f>$B$4*I10</f>
        <v>1817052</v>
      </c>
      <c r="J12" s="303"/>
      <c r="K12" s="305">
        <f>$B$4*K10</f>
        <v>2371252.86</v>
      </c>
      <c r="L12" s="303"/>
      <c r="M12" s="305">
        <f>$B$4*M10</f>
        <v>3443313.54</v>
      </c>
      <c r="N12" s="303"/>
      <c r="O12" s="305">
        <f>$B$4*O10</f>
        <v>4242816.42</v>
      </c>
      <c r="P12" s="303"/>
      <c r="Q12" s="305">
        <f>$B$4*Q10</f>
        <v>999378.60000000009</v>
      </c>
      <c r="R12" s="303"/>
      <c r="S12" s="305">
        <f t="shared" ref="S12" si="5">$B$4*S10</f>
        <v>1271936.3999999999</v>
      </c>
      <c r="T12" s="303"/>
      <c r="U12" s="305">
        <f t="shared" ref="U12" si="6">$B$4*U10</f>
        <v>1635346.8</v>
      </c>
      <c r="V12" s="303"/>
      <c r="W12" s="305">
        <f t="shared" ref="W12" si="7">$B$4*W10</f>
        <v>2089609.7999999998</v>
      </c>
      <c r="X12" s="303"/>
      <c r="Y12" s="305">
        <f t="shared" ref="Y12" si="8">$B$4*Y10</f>
        <v>2453020.2000000002</v>
      </c>
      <c r="Z12" s="303"/>
      <c r="AA12" s="305">
        <f t="shared" ref="AA12" si="9">$B$4*AA10</f>
        <v>2453020.2000000002</v>
      </c>
      <c r="AB12" s="303"/>
      <c r="AC12" s="305">
        <f t="shared" ref="AC12" si="10">$B$4*AC10</f>
        <v>2543872.7999999998</v>
      </c>
      <c r="AD12" s="303"/>
      <c r="AE12" s="305">
        <f t="shared" ref="AE12" si="11">$B$4*AE10</f>
        <v>2725578</v>
      </c>
      <c r="AF12" s="303"/>
      <c r="AG12" s="305">
        <f t="shared" ref="AG12" si="12">$B$4*AG10</f>
        <v>3634104</v>
      </c>
      <c r="AH12" s="303"/>
      <c r="AI12" s="305">
        <f t="shared" ref="AI12" si="13">$B$4*AI10</f>
        <v>4179219.5999999996</v>
      </c>
      <c r="AJ12" s="303"/>
      <c r="AK12" s="305">
        <f t="shared" ref="AK12" si="14">$B$4*AK10</f>
        <v>4996893</v>
      </c>
      <c r="AL12" s="303"/>
      <c r="AM12" s="306">
        <f>$B$4*AM10</f>
        <v>5451156</v>
      </c>
      <c r="AN12" s="306"/>
      <c r="AO12" s="305">
        <f t="shared" ref="AO12" si="15">$B$4*AO10</f>
        <v>6087124.2000000002</v>
      </c>
      <c r="AP12" s="303"/>
      <c r="AQ12" s="305">
        <f t="shared" ref="AQ12" si="16">$B$4*AQ10</f>
        <v>7631618.4000000004</v>
      </c>
      <c r="AR12" s="303"/>
    </row>
    <row r="13" spans="1:49">
      <c r="A13" s="303" t="s">
        <v>174</v>
      </c>
      <c r="B13" s="304"/>
      <c r="C13" s="305">
        <f>IF(C8="",0,IF(C10&lt;=2,$B$5,0))</f>
        <v>106454</v>
      </c>
      <c r="D13" s="304"/>
      <c r="E13" s="305">
        <f>IF(E8="",0,IF(E10&lt;=2,$B$5,0))</f>
        <v>106454</v>
      </c>
      <c r="F13" s="303"/>
      <c r="G13" s="305">
        <f>IF(G8="",0,IF(G10&lt;=2,$B$5,0))</f>
        <v>106454</v>
      </c>
      <c r="H13" s="303"/>
      <c r="I13" s="305">
        <f>IF(I8="",0,IF(I10&lt;=2,$B$5,0))</f>
        <v>106454</v>
      </c>
      <c r="J13" s="303"/>
      <c r="K13" s="305">
        <f>IF(K8="",0,IF(K10&lt;=2,$B$5,0))</f>
        <v>0</v>
      </c>
      <c r="L13" s="303"/>
      <c r="M13" s="305">
        <f>IF(M8="",0,IF(M10&lt;=2,$B$5,0))</f>
        <v>0</v>
      </c>
      <c r="N13" s="303"/>
      <c r="O13" s="305">
        <f>IF(O8="",0,IF(O10&lt;=2,$B$5,0))</f>
        <v>0</v>
      </c>
      <c r="P13" s="303"/>
      <c r="Q13" s="305">
        <f>IF(Q8="",0,IF(Q10&lt;=2,$B$5,0))</f>
        <v>106454</v>
      </c>
      <c r="R13" s="303"/>
      <c r="S13" s="305">
        <f t="shared" ref="S13" si="17">IF(S8="",0,IF(S10&lt;=2,$B$5,0))</f>
        <v>106454</v>
      </c>
      <c r="T13" s="303"/>
      <c r="U13" s="305">
        <f t="shared" ref="U13" si="18">IF(U8="",0,IF(U10&lt;=2,$B$5,0))</f>
        <v>106454</v>
      </c>
      <c r="V13" s="303"/>
      <c r="W13" s="305">
        <f t="shared" ref="W13" si="19">IF(W8="",0,IF(W10&lt;=2,$B$5,0))</f>
        <v>0</v>
      </c>
      <c r="X13" s="303"/>
      <c r="Y13" s="305">
        <f t="shared" ref="Y13" si="20">IF(Y8="",0,IF(Y10&lt;=2,$B$5,0))</f>
        <v>0</v>
      </c>
      <c r="Z13" s="303"/>
      <c r="AA13" s="305">
        <f t="shared" ref="AA13" si="21">IF(AA8="",0,IF(AA10&lt;=2,$B$5,0))</f>
        <v>0</v>
      </c>
      <c r="AB13" s="303"/>
      <c r="AC13" s="305">
        <f t="shared" ref="AC13" si="22">IF(AC8="",0,IF(AC10&lt;=2,$B$5,0))</f>
        <v>0</v>
      </c>
      <c r="AD13" s="303"/>
      <c r="AE13" s="305">
        <f t="shared" ref="AE13" si="23">IF(AE8="",0,IF(AE10&lt;=2,$B$5,0))</f>
        <v>0</v>
      </c>
      <c r="AF13" s="303"/>
      <c r="AG13" s="305">
        <f t="shared" ref="AG13" si="24">IF(AG8="",0,IF(AG10&lt;=2,$B$5,0))</f>
        <v>0</v>
      </c>
      <c r="AH13" s="303"/>
      <c r="AI13" s="305">
        <f t="shared" ref="AI13" si="25">IF(AI8="",0,IF(AI10&lt;=2,$B$5,0))</f>
        <v>0</v>
      </c>
      <c r="AJ13" s="303"/>
      <c r="AK13" s="305">
        <f t="shared" ref="AK13" si="26">IF(AK8="",0,IF(AK10&lt;=2,$B$5,0))</f>
        <v>0</v>
      </c>
      <c r="AL13" s="303"/>
      <c r="AM13" s="305">
        <f t="shared" ref="AM13" si="27">IF(AM8="",0,IF(AM10&lt;=2,$B$5,0))</f>
        <v>0</v>
      </c>
      <c r="AN13" s="303"/>
      <c r="AO13" s="305">
        <f t="shared" ref="AO13" si="28">IF(AO8="",0,IF(AO10&lt;=2,$B$5,0))</f>
        <v>0</v>
      </c>
      <c r="AP13" s="303"/>
      <c r="AQ13" s="305">
        <f t="shared" ref="AQ13" si="29">IF(AQ8="",0,IF(AQ10&lt;=2,$B$5,0))</f>
        <v>0</v>
      </c>
      <c r="AR13" s="303"/>
    </row>
    <row r="14" spans="1:49">
      <c r="A14" s="303" t="s">
        <v>198</v>
      </c>
      <c r="B14" s="304"/>
      <c r="C14" s="305">
        <f>C12+C13</f>
        <v>1014980</v>
      </c>
      <c r="D14" s="304"/>
      <c r="E14" s="305">
        <f>E12+E13</f>
        <v>1287537.8</v>
      </c>
      <c r="F14" s="303"/>
      <c r="G14" s="305">
        <f>G12+G13</f>
        <v>1469243</v>
      </c>
      <c r="H14" s="303"/>
      <c r="I14" s="305">
        <f>I12+I13</f>
        <v>1923506</v>
      </c>
      <c r="J14" s="303"/>
      <c r="K14" s="305">
        <f>K12+K13</f>
        <v>2371252.86</v>
      </c>
      <c r="L14" s="303"/>
      <c r="M14" s="305">
        <f>M12+M13</f>
        <v>3443313.54</v>
      </c>
      <c r="N14" s="303"/>
      <c r="O14" s="305">
        <f>O12+O13</f>
        <v>4242816.42</v>
      </c>
      <c r="P14" s="303"/>
      <c r="Q14" s="305">
        <f>Q12+Q13</f>
        <v>1105832.6000000001</v>
      </c>
      <c r="R14" s="303"/>
      <c r="S14" s="305">
        <f t="shared" ref="S14" si="30">S12+S13</f>
        <v>1378390.4</v>
      </c>
      <c r="T14" s="303"/>
      <c r="U14" s="305">
        <f t="shared" ref="U14" si="31">U12+U13</f>
        <v>1741800.8</v>
      </c>
      <c r="V14" s="303"/>
      <c r="W14" s="305">
        <f t="shared" ref="W14" si="32">W12+W13</f>
        <v>2089609.7999999998</v>
      </c>
      <c r="X14" s="303"/>
      <c r="Y14" s="305">
        <f t="shared" ref="Y14" si="33">Y12+Y13</f>
        <v>2453020.2000000002</v>
      </c>
      <c r="Z14" s="303"/>
      <c r="AA14" s="305">
        <f t="shared" ref="AA14" si="34">AA12+AA13</f>
        <v>2453020.2000000002</v>
      </c>
      <c r="AB14" s="303"/>
      <c r="AC14" s="305">
        <f t="shared" ref="AC14" si="35">AC12+AC13</f>
        <v>2543872.7999999998</v>
      </c>
      <c r="AD14" s="303"/>
      <c r="AE14" s="305">
        <f t="shared" ref="AE14" si="36">AE12+AE13</f>
        <v>2725578</v>
      </c>
      <c r="AF14" s="303"/>
      <c r="AG14" s="305">
        <f t="shared" ref="AG14" si="37">AG12+AG13</f>
        <v>3634104</v>
      </c>
      <c r="AH14" s="303"/>
      <c r="AI14" s="305">
        <f t="shared" ref="AI14" si="38">AI12+AI13</f>
        <v>4179219.5999999996</v>
      </c>
      <c r="AJ14" s="303"/>
      <c r="AK14" s="305">
        <f t="shared" ref="AK14" si="39">AK12+AK13</f>
        <v>4996893</v>
      </c>
      <c r="AL14" s="303"/>
      <c r="AM14" s="305">
        <f>AM12+AM13</f>
        <v>5451156</v>
      </c>
      <c r="AN14" s="303"/>
      <c r="AO14" s="305">
        <f t="shared" ref="AO14" si="40">AO12+AO13</f>
        <v>6087124.2000000002</v>
      </c>
      <c r="AP14" s="303"/>
      <c r="AQ14" s="305">
        <f t="shared" ref="AQ14" si="41">AQ12+AQ13</f>
        <v>7631618.4000000004</v>
      </c>
      <c r="AR14" s="303"/>
    </row>
    <row r="15" spans="1:49">
      <c r="A15" s="303" t="s">
        <v>199</v>
      </c>
      <c r="B15" s="304"/>
      <c r="C15" s="305">
        <f>C14/30</f>
        <v>33832.666666666664</v>
      </c>
      <c r="D15" s="304"/>
      <c r="E15" s="305">
        <f>E14/30</f>
        <v>42917.926666666666</v>
      </c>
      <c r="F15" s="303"/>
      <c r="G15" s="305">
        <f>G14/30</f>
        <v>48974.76666666667</v>
      </c>
      <c r="H15" s="303"/>
      <c r="I15" s="305">
        <f>I14/30</f>
        <v>64116.866666666669</v>
      </c>
      <c r="J15" s="303"/>
      <c r="K15" s="305">
        <f>K14/30</f>
        <v>79041.762000000002</v>
      </c>
      <c r="L15" s="303"/>
      <c r="M15" s="305">
        <f>M14/30</f>
        <v>114777.118</v>
      </c>
      <c r="N15" s="303"/>
      <c r="O15" s="305">
        <f>O14/30</f>
        <v>141427.21400000001</v>
      </c>
      <c r="P15" s="303"/>
      <c r="Q15" s="305">
        <f>Q14/30</f>
        <v>36861.08666666667</v>
      </c>
      <c r="R15" s="303"/>
      <c r="S15" s="305">
        <f t="shared" ref="S15" si="42">S14/30</f>
        <v>45946.346666666665</v>
      </c>
      <c r="T15" s="303"/>
      <c r="U15" s="305">
        <f t="shared" ref="U15" si="43">U14/30</f>
        <v>58060.026666666665</v>
      </c>
      <c r="V15" s="303"/>
      <c r="W15" s="305">
        <f t="shared" ref="W15" si="44">W14/30</f>
        <v>69653.659999999989</v>
      </c>
      <c r="X15" s="303"/>
      <c r="Y15" s="305">
        <f t="shared" ref="Y15" si="45">Y14/30</f>
        <v>81767.340000000011</v>
      </c>
      <c r="Z15" s="303"/>
      <c r="AA15" s="305">
        <f t="shared" ref="AA15" si="46">AA14/30</f>
        <v>81767.340000000011</v>
      </c>
      <c r="AB15" s="303"/>
      <c r="AC15" s="305">
        <f t="shared" ref="AC15" si="47">AC14/30</f>
        <v>84795.76</v>
      </c>
      <c r="AD15" s="303"/>
      <c r="AE15" s="305">
        <f t="shared" ref="AE15" si="48">AE14/30</f>
        <v>90852.6</v>
      </c>
      <c r="AF15" s="303"/>
      <c r="AG15" s="305">
        <f t="shared" ref="AG15" si="49">AG14/30</f>
        <v>121136.8</v>
      </c>
      <c r="AH15" s="303"/>
      <c r="AI15" s="305">
        <f t="shared" ref="AI15" si="50">AI14/30</f>
        <v>139307.31999999998</v>
      </c>
      <c r="AJ15" s="303"/>
      <c r="AK15" s="305">
        <f t="shared" ref="AK15" si="51">AK14/30</f>
        <v>166563.1</v>
      </c>
      <c r="AL15" s="303"/>
      <c r="AM15" s="305">
        <f t="shared" ref="AM15" si="52">AM14/30</f>
        <v>181705.2</v>
      </c>
      <c r="AN15" s="303"/>
      <c r="AO15" s="305">
        <f t="shared" ref="AO15" si="53">AO14/30</f>
        <v>202904.14</v>
      </c>
      <c r="AP15" s="303"/>
      <c r="AQ15" s="305">
        <f t="shared" ref="AQ15" si="54">AQ14/30</f>
        <v>254387.28</v>
      </c>
      <c r="AR15" s="303"/>
    </row>
    <row r="16" spans="1:49">
      <c r="A16" s="303" t="s">
        <v>200</v>
      </c>
      <c r="B16" s="307">
        <f>ROUND(360/360*12,2)</f>
        <v>12</v>
      </c>
      <c r="C16" s="305">
        <f>C12*$B$16</f>
        <v>10902312</v>
      </c>
      <c r="D16" s="308">
        <v>1</v>
      </c>
      <c r="E16" s="305">
        <f>E12*$B$16</f>
        <v>14173005.600000001</v>
      </c>
      <c r="F16" s="308">
        <v>1</v>
      </c>
      <c r="G16" s="305">
        <f>G12*$B$16</f>
        <v>16353468</v>
      </c>
      <c r="H16" s="308">
        <v>1</v>
      </c>
      <c r="I16" s="305">
        <f>I12*$B$16</f>
        <v>21804624</v>
      </c>
      <c r="J16" s="308">
        <v>1</v>
      </c>
      <c r="K16" s="305">
        <f>K12*$B$16</f>
        <v>28455034.32</v>
      </c>
      <c r="L16" s="308">
        <v>1</v>
      </c>
      <c r="M16" s="305">
        <f>M12*$B$16</f>
        <v>41319762.480000004</v>
      </c>
      <c r="N16" s="308">
        <v>1</v>
      </c>
      <c r="O16" s="305">
        <f>O12*$B$16</f>
        <v>50913797.039999999</v>
      </c>
      <c r="P16" s="308">
        <v>1</v>
      </c>
      <c r="Q16" s="305">
        <f>Q12*$B$16</f>
        <v>11992543.200000001</v>
      </c>
      <c r="R16" s="308">
        <v>1</v>
      </c>
      <c r="S16" s="305">
        <f t="shared" ref="S16" si="55">S12*$B$16</f>
        <v>15263236.799999999</v>
      </c>
      <c r="T16" s="308">
        <v>1</v>
      </c>
      <c r="U16" s="305">
        <f t="shared" ref="U16" si="56">U12*$B$16</f>
        <v>19624161.600000001</v>
      </c>
      <c r="V16" s="308">
        <v>1</v>
      </c>
      <c r="W16" s="305">
        <f t="shared" ref="W16" si="57">W12*$B$16</f>
        <v>25075317.599999998</v>
      </c>
      <c r="X16" s="308">
        <v>1</v>
      </c>
      <c r="Y16" s="305">
        <f t="shared" ref="Y16" si="58">Y12*$B$16</f>
        <v>29436242.400000002</v>
      </c>
      <c r="Z16" s="308">
        <v>1</v>
      </c>
      <c r="AA16" s="305">
        <f t="shared" ref="AA16" si="59">AA12*$B$16</f>
        <v>29436242.400000002</v>
      </c>
      <c r="AB16" s="308">
        <v>1</v>
      </c>
      <c r="AC16" s="305">
        <f t="shared" ref="AC16" si="60">AC12*$B$16</f>
        <v>30526473.599999998</v>
      </c>
      <c r="AD16" s="308">
        <v>1</v>
      </c>
      <c r="AE16" s="305">
        <f t="shared" ref="AE16" si="61">AE12*$B$16</f>
        <v>32706936</v>
      </c>
      <c r="AF16" s="308">
        <v>1</v>
      </c>
      <c r="AG16" s="305">
        <f t="shared" ref="AG16" si="62">AG12*$B$16</f>
        <v>43609248</v>
      </c>
      <c r="AH16" s="308">
        <v>1</v>
      </c>
      <c r="AI16" s="305">
        <f t="shared" ref="AI16" si="63">AI12*$B$16</f>
        <v>50150635.199999996</v>
      </c>
      <c r="AJ16" s="308">
        <v>1</v>
      </c>
      <c r="AK16" s="305">
        <f t="shared" ref="AK16" si="64">AK12*$B$16</f>
        <v>59962716</v>
      </c>
      <c r="AL16" s="308">
        <v>1</v>
      </c>
      <c r="AM16" s="305">
        <f>AM12*$B$16</f>
        <v>65413872</v>
      </c>
      <c r="AN16" s="308">
        <v>1</v>
      </c>
      <c r="AO16" s="305">
        <f t="shared" ref="AO16" si="65">AO12*$B$16</f>
        <v>73045490.400000006</v>
      </c>
      <c r="AP16" s="308">
        <v>1</v>
      </c>
      <c r="AQ16" s="305">
        <f t="shared" ref="AQ16" si="66">AQ12*$B$16</f>
        <v>91579420.800000012</v>
      </c>
      <c r="AR16" s="308">
        <v>1</v>
      </c>
    </row>
    <row r="17" spans="1:45">
      <c r="A17" s="303" t="s">
        <v>201</v>
      </c>
      <c r="B17" s="307">
        <f>ROUND(360/360*12,2)</f>
        <v>12</v>
      </c>
      <c r="C17" s="305">
        <f>C13*$B$17</f>
        <v>1277448</v>
      </c>
      <c r="D17" s="309">
        <f>+C17/C16</f>
        <v>0.11717221081179845</v>
      </c>
      <c r="E17" s="305">
        <f>E13*$B$17</f>
        <v>1277448</v>
      </c>
      <c r="F17" s="309">
        <f>+E17/E16</f>
        <v>9.0132469855229574E-2</v>
      </c>
      <c r="G17" s="305">
        <f>G13*$B$17</f>
        <v>1277448</v>
      </c>
      <c r="H17" s="309">
        <f>+G17/G16</f>
        <v>7.8114807207865636E-2</v>
      </c>
      <c r="I17" s="305">
        <f>I13*$B$17</f>
        <v>1277448</v>
      </c>
      <c r="J17" s="309">
        <f>+I17/I16</f>
        <v>5.8586105405899223E-2</v>
      </c>
      <c r="K17" s="305">
        <f>K13*$B$17</f>
        <v>0</v>
      </c>
      <c r="L17" s="309">
        <f>+K17/K16</f>
        <v>0</v>
      </c>
      <c r="M17" s="305">
        <f>M13*$B$17</f>
        <v>0</v>
      </c>
      <c r="N17" s="309">
        <f>+M17/M16</f>
        <v>0</v>
      </c>
      <c r="O17" s="305">
        <f>O13*$B$17</f>
        <v>0</v>
      </c>
      <c r="P17" s="309">
        <f>+O17/O16</f>
        <v>0</v>
      </c>
      <c r="Q17" s="305">
        <f>Q13*$B$17</f>
        <v>1277448</v>
      </c>
      <c r="R17" s="309">
        <f>+Q17/Q16</f>
        <v>0.10652019164708949</v>
      </c>
      <c r="S17" s="305">
        <f t="shared" ref="S17" si="67">S13*$B$17</f>
        <v>1277448</v>
      </c>
      <c r="T17" s="309">
        <f t="shared" ref="T17" si="68">+S17/S16</f>
        <v>8.3694436294141764E-2</v>
      </c>
      <c r="U17" s="305">
        <f t="shared" ref="U17" si="69">U13*$B$17</f>
        <v>1277448</v>
      </c>
      <c r="V17" s="309">
        <f t="shared" ref="V17" si="70">+U17/U16</f>
        <v>6.5095672673221361E-2</v>
      </c>
      <c r="W17" s="305">
        <f t="shared" ref="W17" si="71">W13*$B$17</f>
        <v>0</v>
      </c>
      <c r="X17" s="309">
        <f t="shared" ref="X17" si="72">+W17/W16</f>
        <v>0</v>
      </c>
      <c r="Y17" s="305">
        <f t="shared" ref="Y17" si="73">Y13*$B$17</f>
        <v>0</v>
      </c>
      <c r="Z17" s="309">
        <f t="shared" ref="Z17" si="74">+Y17/Y16</f>
        <v>0</v>
      </c>
      <c r="AA17" s="305">
        <f t="shared" ref="AA17" si="75">AA13*$B$17</f>
        <v>0</v>
      </c>
      <c r="AB17" s="309">
        <f t="shared" ref="AB17" si="76">+AA17/AA16</f>
        <v>0</v>
      </c>
      <c r="AC17" s="305">
        <f t="shared" ref="AC17" si="77">AC13*$B$17</f>
        <v>0</v>
      </c>
      <c r="AD17" s="309">
        <f t="shared" ref="AD17" si="78">+AC17/AC16</f>
        <v>0</v>
      </c>
      <c r="AE17" s="305">
        <f t="shared" ref="AE17" si="79">AE13*$B$17</f>
        <v>0</v>
      </c>
      <c r="AF17" s="309">
        <f t="shared" ref="AF17" si="80">+AE17/AE16</f>
        <v>0</v>
      </c>
      <c r="AG17" s="305">
        <f t="shared" ref="AG17" si="81">AG13*$B$17</f>
        <v>0</v>
      </c>
      <c r="AH17" s="309">
        <f t="shared" ref="AH17" si="82">+AG17/AG16</f>
        <v>0</v>
      </c>
      <c r="AI17" s="305">
        <f t="shared" ref="AI17" si="83">AI13*$B$17</f>
        <v>0</v>
      </c>
      <c r="AJ17" s="309">
        <f t="shared" ref="AJ17" si="84">+AI17/AI16</f>
        <v>0</v>
      </c>
      <c r="AK17" s="305">
        <f t="shared" ref="AK17" si="85">AK13*$B$17</f>
        <v>0</v>
      </c>
      <c r="AL17" s="309">
        <f t="shared" ref="AL17" si="86">+AK17/AK16</f>
        <v>0</v>
      </c>
      <c r="AM17" s="305">
        <f t="shared" ref="AM17" si="87">AM13*$B$17</f>
        <v>0</v>
      </c>
      <c r="AN17" s="309">
        <f t="shared" ref="AN17" si="88">+AM17/AM16</f>
        <v>0</v>
      </c>
      <c r="AO17" s="305">
        <f t="shared" ref="AO17" si="89">AO13*$B$17</f>
        <v>0</v>
      </c>
      <c r="AP17" s="309">
        <f t="shared" ref="AP17" si="90">+AO17/AO16</f>
        <v>0</v>
      </c>
      <c r="AQ17" s="305">
        <f t="shared" ref="AQ17" si="91">AQ13*$B$17</f>
        <v>0</v>
      </c>
      <c r="AR17" s="309">
        <f t="shared" ref="AR17" si="92">+AQ17/AQ16</f>
        <v>0</v>
      </c>
    </row>
    <row r="18" spans="1:45">
      <c r="A18" s="303" t="s">
        <v>202</v>
      </c>
      <c r="B18" s="304"/>
      <c r="C18" s="310">
        <f>C16+C17</f>
        <v>12179760</v>
      </c>
      <c r="D18" s="304"/>
      <c r="E18" s="310">
        <f>E16+E17</f>
        <v>15450453.600000001</v>
      </c>
      <c r="F18" s="303"/>
      <c r="G18" s="310">
        <f>G16+G17</f>
        <v>17630916</v>
      </c>
      <c r="H18" s="303"/>
      <c r="I18" s="310">
        <f>I16+I17</f>
        <v>23082072</v>
      </c>
      <c r="J18" s="303"/>
      <c r="K18" s="310">
        <f>K16+K17</f>
        <v>28455034.32</v>
      </c>
      <c r="L18" s="303"/>
      <c r="M18" s="310">
        <f>M16+M17</f>
        <v>41319762.480000004</v>
      </c>
      <c r="N18" s="303"/>
      <c r="O18" s="310">
        <f>O16+O17</f>
        <v>50913797.039999999</v>
      </c>
      <c r="P18" s="303"/>
      <c r="Q18" s="310">
        <f>Q16+Q17</f>
        <v>13269991.200000001</v>
      </c>
      <c r="R18" s="303"/>
      <c r="S18" s="310">
        <f t="shared" ref="S18" si="93">S16+S17</f>
        <v>16540684.799999999</v>
      </c>
      <c r="T18" s="303"/>
      <c r="U18" s="310">
        <f t="shared" ref="U18" si="94">U16+U17</f>
        <v>20901609.600000001</v>
      </c>
      <c r="V18" s="303"/>
      <c r="W18" s="310">
        <f t="shared" ref="W18" si="95">W16+W17</f>
        <v>25075317.599999998</v>
      </c>
      <c r="X18" s="303"/>
      <c r="Y18" s="310">
        <f t="shared" ref="Y18" si="96">Y16+Y17</f>
        <v>29436242.400000002</v>
      </c>
      <c r="Z18" s="303"/>
      <c r="AA18" s="310">
        <f t="shared" ref="AA18" si="97">AA16+AA17</f>
        <v>29436242.400000002</v>
      </c>
      <c r="AB18" s="303"/>
      <c r="AC18" s="310">
        <f t="shared" ref="AC18" si="98">AC16+AC17</f>
        <v>30526473.599999998</v>
      </c>
      <c r="AD18" s="303"/>
      <c r="AE18" s="310">
        <f t="shared" ref="AE18" si="99">AE16+AE17</f>
        <v>32706936</v>
      </c>
      <c r="AF18" s="303"/>
      <c r="AG18" s="310">
        <f t="shared" ref="AG18" si="100">AG16+AG17</f>
        <v>43609248</v>
      </c>
      <c r="AH18" s="303"/>
      <c r="AI18" s="310">
        <f t="shared" ref="AI18" si="101">AI16+AI17</f>
        <v>50150635.199999996</v>
      </c>
      <c r="AJ18" s="303"/>
      <c r="AK18" s="310">
        <f t="shared" ref="AK18" si="102">AK16+AK17</f>
        <v>59962716</v>
      </c>
      <c r="AL18" s="303"/>
      <c r="AM18" s="310">
        <f t="shared" ref="AM18" si="103">AM16+AM17</f>
        <v>65413872</v>
      </c>
      <c r="AN18" s="303"/>
      <c r="AO18" s="310">
        <f t="shared" ref="AO18" si="104">AO16+AO17</f>
        <v>73045490.400000006</v>
      </c>
      <c r="AP18" s="303"/>
      <c r="AQ18" s="310">
        <f t="shared" ref="AQ18" si="105">AQ16+AQ17</f>
        <v>91579420.800000012</v>
      </c>
      <c r="AR18" s="303"/>
    </row>
    <row r="19" spans="1:45" ht="10.199999999999999" hidden="1" customHeight="1">
      <c r="A19" s="303" t="s">
        <v>203</v>
      </c>
      <c r="B19" s="304"/>
      <c r="C19" s="303"/>
      <c r="D19" s="304"/>
      <c r="E19" s="303"/>
      <c r="F19" s="303"/>
      <c r="G19" s="303"/>
      <c r="H19" s="303"/>
      <c r="I19" s="303"/>
      <c r="J19" s="303"/>
      <c r="K19" s="303"/>
      <c r="L19" s="303"/>
      <c r="M19" s="303"/>
      <c r="N19" s="303"/>
      <c r="O19" s="303"/>
      <c r="P19" s="303"/>
      <c r="Q19" s="303"/>
      <c r="R19" s="303"/>
      <c r="S19" s="303"/>
      <c r="T19" s="303"/>
      <c r="U19" s="303"/>
      <c r="V19" s="303"/>
      <c r="W19" s="303"/>
      <c r="X19" s="303"/>
      <c r="Y19" s="303"/>
      <c r="Z19" s="303"/>
      <c r="AA19" s="303"/>
      <c r="AB19" s="303"/>
      <c r="AC19" s="303"/>
      <c r="AD19" s="303"/>
      <c r="AE19" s="303"/>
      <c r="AF19" s="303"/>
      <c r="AG19" s="303"/>
      <c r="AH19" s="303"/>
      <c r="AI19" s="303"/>
      <c r="AJ19" s="303"/>
      <c r="AK19" s="303"/>
      <c r="AL19" s="303"/>
      <c r="AM19" s="303"/>
      <c r="AN19" s="303"/>
      <c r="AO19" s="303"/>
      <c r="AP19" s="303"/>
      <c r="AQ19" s="303"/>
      <c r="AR19" s="303"/>
    </row>
    <row r="20" spans="1:45" ht="10.199999999999999" hidden="1" customHeight="1">
      <c r="A20" s="303" t="s">
        <v>204</v>
      </c>
      <c r="B20" s="304"/>
      <c r="C20" s="303"/>
      <c r="D20" s="304"/>
      <c r="E20" s="303"/>
      <c r="F20" s="303"/>
      <c r="G20" s="303"/>
      <c r="H20" s="303"/>
      <c r="I20" s="303"/>
      <c r="J20" s="303"/>
      <c r="K20" s="303"/>
      <c r="L20" s="303"/>
      <c r="M20" s="303"/>
      <c r="N20" s="303"/>
      <c r="O20" s="303"/>
      <c r="P20" s="303"/>
      <c r="Q20" s="303"/>
      <c r="R20" s="303"/>
      <c r="S20" s="303"/>
      <c r="T20" s="303"/>
      <c r="U20" s="303"/>
      <c r="V20" s="303"/>
      <c r="W20" s="303"/>
      <c r="X20" s="303"/>
      <c r="Y20" s="303"/>
      <c r="Z20" s="303"/>
      <c r="AA20" s="303"/>
      <c r="AB20" s="303"/>
      <c r="AC20" s="303"/>
      <c r="AD20" s="303"/>
      <c r="AE20" s="303"/>
      <c r="AF20" s="303"/>
      <c r="AG20" s="303"/>
      <c r="AH20" s="303"/>
      <c r="AI20" s="303"/>
      <c r="AJ20" s="303"/>
      <c r="AK20" s="303"/>
      <c r="AL20" s="303"/>
      <c r="AM20" s="303"/>
      <c r="AN20" s="303"/>
      <c r="AO20" s="303"/>
      <c r="AP20" s="303"/>
      <c r="AQ20" s="303"/>
      <c r="AR20" s="303"/>
    </row>
    <row r="21" spans="1:45" ht="10.199999999999999" hidden="1" customHeight="1">
      <c r="A21" s="303" t="s">
        <v>174</v>
      </c>
      <c r="B21" s="304"/>
      <c r="C21" s="303"/>
      <c r="D21" s="304"/>
      <c r="E21" s="303"/>
      <c r="F21" s="303"/>
      <c r="G21" s="303"/>
      <c r="H21" s="303"/>
      <c r="I21" s="303"/>
      <c r="J21" s="303"/>
      <c r="K21" s="303"/>
      <c r="L21" s="303"/>
      <c r="M21" s="303"/>
      <c r="N21" s="303"/>
      <c r="O21" s="303"/>
      <c r="P21" s="303"/>
      <c r="Q21" s="303"/>
      <c r="R21" s="303"/>
      <c r="S21" s="303"/>
      <c r="T21" s="303"/>
      <c r="U21" s="303"/>
      <c r="V21" s="303"/>
      <c r="W21" s="303"/>
      <c r="X21" s="303"/>
      <c r="Y21" s="303"/>
      <c r="Z21" s="303"/>
      <c r="AA21" s="303"/>
      <c r="AB21" s="303"/>
      <c r="AC21" s="303"/>
      <c r="AD21" s="303"/>
      <c r="AE21" s="303"/>
      <c r="AF21" s="303"/>
      <c r="AG21" s="303"/>
      <c r="AH21" s="303"/>
      <c r="AI21" s="303"/>
      <c r="AJ21" s="303"/>
      <c r="AK21" s="303"/>
      <c r="AL21" s="303"/>
      <c r="AM21" s="303"/>
      <c r="AN21" s="303"/>
      <c r="AO21" s="303"/>
      <c r="AP21" s="303"/>
      <c r="AQ21" s="303"/>
      <c r="AR21" s="303"/>
    </row>
    <row r="22" spans="1:45">
      <c r="A22" s="564" t="s">
        <v>205</v>
      </c>
      <c r="B22" s="565"/>
      <c r="C22" s="298"/>
      <c r="D22" s="299" t="s">
        <v>196</v>
      </c>
      <c r="E22" s="298"/>
      <c r="F22" s="299" t="s">
        <v>196</v>
      </c>
      <c r="G22" s="298"/>
      <c r="H22" s="299" t="s">
        <v>196</v>
      </c>
      <c r="I22" s="298"/>
      <c r="J22" s="299" t="s">
        <v>196</v>
      </c>
      <c r="K22" s="298"/>
      <c r="L22" s="299" t="s">
        <v>196</v>
      </c>
      <c r="M22" s="298"/>
      <c r="N22" s="299" t="s">
        <v>196</v>
      </c>
      <c r="O22" s="298"/>
      <c r="P22" s="299" t="s">
        <v>196</v>
      </c>
      <c r="Q22" s="311"/>
      <c r="R22" s="302" t="s">
        <v>196</v>
      </c>
      <c r="S22" s="311"/>
      <c r="T22" s="302" t="s">
        <v>196</v>
      </c>
      <c r="U22" s="311"/>
      <c r="V22" s="302" t="s">
        <v>196</v>
      </c>
      <c r="W22" s="311"/>
      <c r="X22" s="302" t="s">
        <v>196</v>
      </c>
      <c r="Y22" s="311"/>
      <c r="Z22" s="302" t="s">
        <v>196</v>
      </c>
      <c r="AA22" s="311"/>
      <c r="AB22" s="302" t="s">
        <v>196</v>
      </c>
      <c r="AC22" s="311"/>
      <c r="AD22" s="302" t="s">
        <v>196</v>
      </c>
      <c r="AE22" s="311"/>
      <c r="AF22" s="302" t="s">
        <v>196</v>
      </c>
      <c r="AG22" s="311"/>
      <c r="AH22" s="302" t="s">
        <v>196</v>
      </c>
      <c r="AI22" s="311"/>
      <c r="AJ22" s="302" t="s">
        <v>196</v>
      </c>
      <c r="AK22" s="311"/>
      <c r="AL22" s="302" t="s">
        <v>196</v>
      </c>
      <c r="AM22" s="311"/>
      <c r="AN22" s="302" t="s">
        <v>196</v>
      </c>
      <c r="AO22" s="311"/>
      <c r="AP22" s="302" t="s">
        <v>196</v>
      </c>
      <c r="AQ22" s="311"/>
      <c r="AR22" s="302" t="s">
        <v>196</v>
      </c>
    </row>
    <row r="23" spans="1:45">
      <c r="A23" s="303" t="s">
        <v>206</v>
      </c>
      <c r="B23" s="312">
        <v>8.3299999999999999E-2</v>
      </c>
      <c r="C23" s="305">
        <f>+$B$23*C18</f>
        <v>1014574.008</v>
      </c>
      <c r="D23" s="313">
        <f>C23/$C$18</f>
        <v>8.3299999999999999E-2</v>
      </c>
      <c r="E23" s="305">
        <f>+$B$23*E18</f>
        <v>1287022.7848800002</v>
      </c>
      <c r="F23" s="313">
        <f>E23/E$18</f>
        <v>8.3299999999999999E-2</v>
      </c>
      <c r="G23" s="305">
        <f>+$B$23*G18</f>
        <v>1468655.3027999999</v>
      </c>
      <c r="H23" s="313">
        <f>G23/G$18</f>
        <v>8.3299999999999999E-2</v>
      </c>
      <c r="I23" s="305">
        <f>+$B$23*I18</f>
        <v>1922736.5976</v>
      </c>
      <c r="J23" s="313">
        <f>I23/I$18</f>
        <v>8.3299999999999999E-2</v>
      </c>
      <c r="K23" s="305">
        <f>+$B$23*K18</f>
        <v>2370304.358856</v>
      </c>
      <c r="L23" s="313">
        <f>K23/$K$16</f>
        <v>8.3299999999999999E-2</v>
      </c>
      <c r="M23" s="305">
        <f>+$B$23*M18</f>
        <v>3441936.2145840004</v>
      </c>
      <c r="N23" s="313">
        <f>M23/M$18</f>
        <v>8.3299999999999999E-2</v>
      </c>
      <c r="O23" s="305">
        <f>+$B$23*O18</f>
        <v>4241119.2934320001</v>
      </c>
      <c r="P23" s="313">
        <f>O23/O$18</f>
        <v>8.3299999999999999E-2</v>
      </c>
      <c r="Q23" s="305">
        <f>+$B$23*Q18</f>
        <v>1105390.2669600002</v>
      </c>
      <c r="R23" s="313">
        <f>Q23/Q$18</f>
        <v>8.3299999999999999E-2</v>
      </c>
      <c r="S23" s="305">
        <f t="shared" ref="S23" si="106">+$B$23*S18</f>
        <v>1377839.0438399999</v>
      </c>
      <c r="T23" s="313">
        <f t="shared" ref="T23" si="107">S23/S$18</f>
        <v>8.3299999999999999E-2</v>
      </c>
      <c r="U23" s="305">
        <f t="shared" ref="U23" si="108">+$B$23*U18</f>
        <v>1741104.0796800002</v>
      </c>
      <c r="V23" s="313">
        <f t="shared" ref="V23" si="109">U23/U$18</f>
        <v>8.3299999999999999E-2</v>
      </c>
      <c r="W23" s="305">
        <f t="shared" ref="W23" si="110">+$B$23*W18</f>
        <v>2088773.9560799997</v>
      </c>
      <c r="X23" s="313">
        <f t="shared" ref="X23" si="111">W23/W$18</f>
        <v>8.3299999999999999E-2</v>
      </c>
      <c r="Y23" s="305">
        <f t="shared" ref="Y23" si="112">+$B$23*Y18</f>
        <v>2452038.9919199999</v>
      </c>
      <c r="Z23" s="313">
        <f t="shared" ref="Z23" si="113">Y23/Y$18</f>
        <v>8.3299999999999985E-2</v>
      </c>
      <c r="AA23" s="305">
        <f t="shared" ref="AA23" si="114">+$B$23*AA18</f>
        <v>2452038.9919199999</v>
      </c>
      <c r="AB23" s="313">
        <f t="shared" ref="AB23" si="115">AA23/AA$18</f>
        <v>8.3299999999999985E-2</v>
      </c>
      <c r="AC23" s="305">
        <f t="shared" ref="AC23" si="116">+$B$23*AC18</f>
        <v>2542855.2508799997</v>
      </c>
      <c r="AD23" s="313">
        <f t="shared" ref="AD23" si="117">AC23/AC$18</f>
        <v>8.3299999999999999E-2</v>
      </c>
      <c r="AE23" s="305">
        <f t="shared" ref="AE23" si="118">+$B$23*AE18</f>
        <v>2724487.7688000002</v>
      </c>
      <c r="AF23" s="313">
        <f t="shared" ref="AF23" si="119">AE23/AE$18</f>
        <v>8.3299999999999999E-2</v>
      </c>
      <c r="AG23" s="305">
        <f t="shared" ref="AG23" si="120">+$B$23*AG18</f>
        <v>3632650.3583999998</v>
      </c>
      <c r="AH23" s="313">
        <f t="shared" ref="AH23" si="121">AG23/AG$18</f>
        <v>8.3299999999999999E-2</v>
      </c>
      <c r="AI23" s="305">
        <f t="shared" ref="AI23" si="122">+$B$23*AI18</f>
        <v>4177547.9121599994</v>
      </c>
      <c r="AJ23" s="313">
        <f t="shared" ref="AJ23" si="123">AI23/AI$18</f>
        <v>8.3299999999999999E-2</v>
      </c>
      <c r="AK23" s="305">
        <f t="shared" ref="AK23" si="124">+$B$23*AK18</f>
        <v>4994894.2428000001</v>
      </c>
      <c r="AL23" s="313">
        <f t="shared" ref="AL23" si="125">AK23/AK$18</f>
        <v>8.3299999999999999E-2</v>
      </c>
      <c r="AM23" s="305">
        <f t="shared" ref="AM23" si="126">+$B$23*AM18</f>
        <v>5448975.5376000004</v>
      </c>
      <c r="AN23" s="313">
        <f t="shared" ref="AN23" si="127">AM23/AM$18</f>
        <v>8.3299999999999999E-2</v>
      </c>
      <c r="AO23" s="305">
        <f t="shared" ref="AO23" si="128">+$B$23*AO18</f>
        <v>6084689.3503200002</v>
      </c>
      <c r="AP23" s="313">
        <f t="shared" ref="AP23" si="129">AO23/AO$18</f>
        <v>8.3299999999999999E-2</v>
      </c>
      <c r="AQ23" s="305">
        <f t="shared" ref="AQ23" si="130">+$B$23*AQ18</f>
        <v>7628565.7526400005</v>
      </c>
      <c r="AR23" s="313">
        <f t="shared" ref="AR23" si="131">AQ23/AQ$18</f>
        <v>8.3299999999999999E-2</v>
      </c>
    </row>
    <row r="24" spans="1:45">
      <c r="A24" s="303" t="s">
        <v>207</v>
      </c>
      <c r="B24" s="308">
        <v>0.12</v>
      </c>
      <c r="C24" s="305">
        <f>+C23*$B$24</f>
        <v>121748.88095999999</v>
      </c>
      <c r="D24" s="313">
        <f>C24/$C$16</f>
        <v>1.1167253419274737E-2</v>
      </c>
      <c r="E24" s="305">
        <f>+E23*$B$24</f>
        <v>154442.73418560001</v>
      </c>
      <c r="F24" s="313">
        <f>E24/$E$16</f>
        <v>1.0896964168672875E-2</v>
      </c>
      <c r="G24" s="305">
        <f>+G23*$B$24</f>
        <v>176238.636336</v>
      </c>
      <c r="H24" s="313">
        <f>G24/$G$16</f>
        <v>1.0776835612849825E-2</v>
      </c>
      <c r="I24" s="305">
        <f>+I23*$B$24</f>
        <v>230728.39171199998</v>
      </c>
      <c r="J24" s="313">
        <f>I24/$I$16</f>
        <v>1.0581626709637368E-2</v>
      </c>
      <c r="K24" s="305">
        <f>+K23*$B$24</f>
        <v>284436.52306271996</v>
      </c>
      <c r="L24" s="313">
        <f>K24/$K$16</f>
        <v>9.9959999999999979E-3</v>
      </c>
      <c r="M24" s="305">
        <f>+M23*$B$24</f>
        <v>413032.34575008001</v>
      </c>
      <c r="N24" s="313">
        <f>M24/$M$16</f>
        <v>9.9959999999999997E-3</v>
      </c>
      <c r="O24" s="305">
        <f>+O23*$B$24</f>
        <v>508934.31521183997</v>
      </c>
      <c r="P24" s="313">
        <f>O24/$O$16</f>
        <v>9.9959999999999997E-3</v>
      </c>
      <c r="Q24" s="305">
        <f>+Q23*$B$24</f>
        <v>132646.8320352</v>
      </c>
      <c r="R24" s="313">
        <f>Q24/Q16</f>
        <v>1.1060775835704306E-2</v>
      </c>
      <c r="S24" s="305">
        <f t="shared" ref="S24" si="132">+S23*$B$24</f>
        <v>165340.68526079998</v>
      </c>
      <c r="T24" s="313">
        <f t="shared" ref="T24" si="133">S24/S16</f>
        <v>1.083260958519624E-2</v>
      </c>
      <c r="U24" s="305">
        <f t="shared" ref="U24" si="134">+U23*$B$24</f>
        <v>208932.48956160003</v>
      </c>
      <c r="V24" s="313">
        <f t="shared" ref="V24" si="135">U24/U16</f>
        <v>1.0646696344041522E-2</v>
      </c>
      <c r="W24" s="305">
        <f t="shared" ref="W24" si="136">+W23*$B$24</f>
        <v>250652.87472959995</v>
      </c>
      <c r="X24" s="313">
        <f t="shared" ref="X24" si="137">W24/W16</f>
        <v>9.9959999999999997E-3</v>
      </c>
      <c r="Y24" s="305">
        <f t="shared" ref="Y24" si="138">+Y23*$B$24</f>
        <v>294244.6790304</v>
      </c>
      <c r="Z24" s="313">
        <f t="shared" ref="Z24" si="139">Y24/Y16</f>
        <v>9.9959999999999997E-3</v>
      </c>
      <c r="AA24" s="305">
        <f t="shared" ref="AA24" si="140">+AA23*$B$24</f>
        <v>294244.6790304</v>
      </c>
      <c r="AB24" s="313">
        <f t="shared" ref="AB24" si="141">AA24/AA16</f>
        <v>9.9959999999999997E-3</v>
      </c>
      <c r="AC24" s="305">
        <f t="shared" ref="AC24" si="142">+AC23*$B$24</f>
        <v>305142.63010559994</v>
      </c>
      <c r="AD24" s="313">
        <f t="shared" ref="AD24" si="143">AC24/AC16</f>
        <v>9.9959999999999979E-3</v>
      </c>
      <c r="AE24" s="305">
        <f t="shared" ref="AE24" si="144">+AE23*$B$24</f>
        <v>326938.53225600003</v>
      </c>
      <c r="AF24" s="313">
        <f t="shared" ref="AF24" si="145">AE24/AE16</f>
        <v>9.9960000000000014E-3</v>
      </c>
      <c r="AG24" s="305">
        <f t="shared" ref="AG24" si="146">+AG23*$B$24</f>
        <v>435918.04300799995</v>
      </c>
      <c r="AH24" s="313">
        <f t="shared" ref="AH24" si="147">AG24/AG16</f>
        <v>9.9959999999999997E-3</v>
      </c>
      <c r="AI24" s="305">
        <f t="shared" ref="AI24" si="148">+AI23*$B$24</f>
        <v>501305.7494591999</v>
      </c>
      <c r="AJ24" s="313">
        <f t="shared" ref="AJ24" si="149">AI24/AI16</f>
        <v>9.9959999999999997E-3</v>
      </c>
      <c r="AK24" s="305">
        <f t="shared" ref="AK24" si="150">+AK23*$B$24</f>
        <v>599387.309136</v>
      </c>
      <c r="AL24" s="313">
        <f t="shared" ref="AL24" si="151">AK24/AK16</f>
        <v>9.9959999999999997E-3</v>
      </c>
      <c r="AM24" s="305">
        <f t="shared" ref="AM24" si="152">+AM23*$B$24</f>
        <v>653877.06451200007</v>
      </c>
      <c r="AN24" s="313">
        <f t="shared" ref="AN24" si="153">AM24/AM16</f>
        <v>9.9960000000000014E-3</v>
      </c>
      <c r="AO24" s="305">
        <f t="shared" ref="AO24" si="154">+AO23*$B$24</f>
        <v>730162.72203840001</v>
      </c>
      <c r="AP24" s="313">
        <f t="shared" ref="AP24" si="155">AO24/AO16</f>
        <v>9.9959999999999997E-3</v>
      </c>
      <c r="AQ24" s="305">
        <f t="shared" ref="AQ24" si="156">+AQ23*$B$24</f>
        <v>915427.89031679998</v>
      </c>
      <c r="AR24" s="313">
        <f t="shared" ref="AR24" si="157">AQ24/AQ16</f>
        <v>9.9959999999999979E-3</v>
      </c>
    </row>
    <row r="25" spans="1:45">
      <c r="A25" s="303" t="s">
        <v>208</v>
      </c>
      <c r="B25" s="308">
        <v>1</v>
      </c>
      <c r="C25" s="305">
        <f>+$B$25*C12</f>
        <v>908526</v>
      </c>
      <c r="D25" s="313">
        <f>C25/$C$16</f>
        <v>8.3333333333333329E-2</v>
      </c>
      <c r="E25" s="305">
        <f>+$B$25*E12</f>
        <v>1181083.8</v>
      </c>
      <c r="F25" s="313">
        <f>E25/$E$16</f>
        <v>8.3333333333333329E-2</v>
      </c>
      <c r="G25" s="305">
        <f>+$B$25*G12</f>
        <v>1362789</v>
      </c>
      <c r="H25" s="313">
        <f>G25/$G$16</f>
        <v>8.3333333333333329E-2</v>
      </c>
      <c r="I25" s="305">
        <f>+$B$25*I12</f>
        <v>1817052</v>
      </c>
      <c r="J25" s="313">
        <f>I25/$I$16</f>
        <v>8.3333333333333329E-2</v>
      </c>
      <c r="K25" s="305">
        <f>+$B$25*K12</f>
        <v>2371252.86</v>
      </c>
      <c r="L25" s="313">
        <f>K25/$K$16</f>
        <v>8.3333333333333329E-2</v>
      </c>
      <c r="M25" s="305">
        <f>+$B$25*M12</f>
        <v>3443313.54</v>
      </c>
      <c r="N25" s="313">
        <f>M25/$M$16</f>
        <v>8.3333333333333329E-2</v>
      </c>
      <c r="O25" s="305">
        <f>+$B$25*O12</f>
        <v>4242816.42</v>
      </c>
      <c r="P25" s="313">
        <f>O25/$O$16</f>
        <v>8.3333333333333329E-2</v>
      </c>
      <c r="Q25" s="305">
        <f>+$B$25*Q12</f>
        <v>999378.60000000009</v>
      </c>
      <c r="R25" s="313">
        <f>Q25/Q16</f>
        <v>8.3333333333333329E-2</v>
      </c>
      <c r="S25" s="305">
        <f t="shared" ref="S25" si="158">+$B$25*S12</f>
        <v>1271936.3999999999</v>
      </c>
      <c r="T25" s="313">
        <f t="shared" ref="T25" si="159">S25/S16</f>
        <v>8.3333333333333329E-2</v>
      </c>
      <c r="U25" s="305">
        <f t="shared" ref="U25" si="160">+$B$25*U12</f>
        <v>1635346.8</v>
      </c>
      <c r="V25" s="313">
        <f t="shared" ref="V25" si="161">U25/U16</f>
        <v>8.3333333333333329E-2</v>
      </c>
      <c r="W25" s="305">
        <f t="shared" ref="W25" si="162">+$B$25*W12</f>
        <v>2089609.7999999998</v>
      </c>
      <c r="X25" s="313">
        <f t="shared" ref="X25" si="163">W25/W16</f>
        <v>8.3333333333333329E-2</v>
      </c>
      <c r="Y25" s="305">
        <f t="shared" ref="Y25" si="164">+$B$25*Y12</f>
        <v>2453020.2000000002</v>
      </c>
      <c r="Z25" s="313">
        <f t="shared" ref="Z25" si="165">Y25/Y16</f>
        <v>8.3333333333333329E-2</v>
      </c>
      <c r="AA25" s="305">
        <f t="shared" ref="AA25" si="166">+$B$25*AA12</f>
        <v>2453020.2000000002</v>
      </c>
      <c r="AB25" s="313">
        <f t="shared" ref="AB25" si="167">AA25/AA16</f>
        <v>8.3333333333333329E-2</v>
      </c>
      <c r="AC25" s="305">
        <f t="shared" ref="AC25" si="168">+$B$25*AC12</f>
        <v>2543872.7999999998</v>
      </c>
      <c r="AD25" s="313">
        <f t="shared" ref="AD25" si="169">AC25/AC16</f>
        <v>8.3333333333333329E-2</v>
      </c>
      <c r="AE25" s="305">
        <f t="shared" ref="AE25" si="170">+$B$25*AE12</f>
        <v>2725578</v>
      </c>
      <c r="AF25" s="313">
        <f t="shared" ref="AF25" si="171">AE25/AE16</f>
        <v>8.3333333333333329E-2</v>
      </c>
      <c r="AG25" s="305">
        <f t="shared" ref="AG25" si="172">+$B$25*AG12</f>
        <v>3634104</v>
      </c>
      <c r="AH25" s="313">
        <f t="shared" ref="AH25" si="173">AG25/AG16</f>
        <v>8.3333333333333329E-2</v>
      </c>
      <c r="AI25" s="305">
        <f t="shared" ref="AI25" si="174">+$B$25*AI12</f>
        <v>4179219.5999999996</v>
      </c>
      <c r="AJ25" s="313">
        <f t="shared" ref="AJ25" si="175">AI25/AI16</f>
        <v>8.3333333333333329E-2</v>
      </c>
      <c r="AK25" s="305">
        <f t="shared" ref="AK25" si="176">+$B$25*AK12</f>
        <v>4996893</v>
      </c>
      <c r="AL25" s="313">
        <f t="shared" ref="AL25" si="177">AK25/AK16</f>
        <v>8.3333333333333329E-2</v>
      </c>
      <c r="AM25" s="305">
        <f>+$B$25*AM12</f>
        <v>5451156</v>
      </c>
      <c r="AN25" s="313">
        <f t="shared" ref="AN25" si="178">AM25/AM16</f>
        <v>8.3333333333333329E-2</v>
      </c>
      <c r="AO25" s="305">
        <f t="shared" ref="AO25" si="179">+$B$25*AO12</f>
        <v>6087124.2000000002</v>
      </c>
      <c r="AP25" s="313">
        <f t="shared" ref="AP25" si="180">AO25/AO16</f>
        <v>8.3333333333333329E-2</v>
      </c>
      <c r="AQ25" s="305">
        <f t="shared" ref="AQ25" si="181">+$B$25*AQ12</f>
        <v>7631618.4000000004</v>
      </c>
      <c r="AR25" s="313">
        <f t="shared" ref="AR25" si="182">AQ25/AQ16</f>
        <v>8.3333333333333329E-2</v>
      </c>
    </row>
    <row r="26" spans="1:45">
      <c r="A26" s="303" t="s">
        <v>209</v>
      </c>
      <c r="B26" s="308">
        <v>0.5</v>
      </c>
      <c r="C26" s="305">
        <f>+C12*$B$26</f>
        <v>454263</v>
      </c>
      <c r="D26" s="313">
        <f>C26/$C$16</f>
        <v>4.1666666666666664E-2</v>
      </c>
      <c r="E26" s="305">
        <f>+E12*$B$26</f>
        <v>590541.9</v>
      </c>
      <c r="F26" s="313">
        <f>E26/$E$16</f>
        <v>4.1666666666666664E-2</v>
      </c>
      <c r="G26" s="305">
        <f>+G12*$B$26</f>
        <v>681394.5</v>
      </c>
      <c r="H26" s="313">
        <f>G26/$G$16</f>
        <v>4.1666666666666664E-2</v>
      </c>
      <c r="I26" s="305">
        <f>+I12*$B$26</f>
        <v>908526</v>
      </c>
      <c r="J26" s="313">
        <f>I26/$I$16</f>
        <v>4.1666666666666664E-2</v>
      </c>
      <c r="K26" s="305">
        <f>+K12*$B$26</f>
        <v>1185626.43</v>
      </c>
      <c r="L26" s="313">
        <f>K26/$K$16</f>
        <v>4.1666666666666664E-2</v>
      </c>
      <c r="M26" s="305">
        <f>+M12*$B$26</f>
        <v>1721656.77</v>
      </c>
      <c r="N26" s="313">
        <f>M26/$M$16</f>
        <v>4.1666666666666664E-2</v>
      </c>
      <c r="O26" s="305">
        <f>+O12*$B$26</f>
        <v>2121408.21</v>
      </c>
      <c r="P26" s="313">
        <f>O26/$O$16</f>
        <v>4.1666666666666664E-2</v>
      </c>
      <c r="Q26" s="305">
        <f>+Q12*$B$26</f>
        <v>499689.30000000005</v>
      </c>
      <c r="R26" s="313">
        <f>Q26/Q16</f>
        <v>4.1666666666666664E-2</v>
      </c>
      <c r="S26" s="305">
        <f t="shared" ref="S26" si="183">+S12*$B$26</f>
        <v>635968.19999999995</v>
      </c>
      <c r="T26" s="313">
        <f t="shared" ref="T26" si="184">S26/S16</f>
        <v>4.1666666666666664E-2</v>
      </c>
      <c r="U26" s="305">
        <f t="shared" ref="U26" si="185">+U12*$B$26</f>
        <v>817673.4</v>
      </c>
      <c r="V26" s="313">
        <f t="shared" ref="V26" si="186">U26/U16</f>
        <v>4.1666666666666664E-2</v>
      </c>
      <c r="W26" s="305">
        <f t="shared" ref="W26" si="187">+W12*$B$26</f>
        <v>1044804.8999999999</v>
      </c>
      <c r="X26" s="313">
        <f t="shared" ref="X26" si="188">W26/W16</f>
        <v>4.1666666666666664E-2</v>
      </c>
      <c r="Y26" s="305">
        <f t="shared" ref="Y26" si="189">+Y12*$B$26</f>
        <v>1226510.1000000001</v>
      </c>
      <c r="Z26" s="313">
        <f t="shared" ref="Z26" si="190">Y26/Y16</f>
        <v>4.1666666666666664E-2</v>
      </c>
      <c r="AA26" s="305">
        <f t="shared" ref="AA26" si="191">+AA12*$B$26</f>
        <v>1226510.1000000001</v>
      </c>
      <c r="AB26" s="313">
        <f t="shared" ref="AB26" si="192">AA26/AA16</f>
        <v>4.1666666666666664E-2</v>
      </c>
      <c r="AC26" s="305">
        <f t="shared" ref="AC26" si="193">+AC12*$B$26</f>
        <v>1271936.3999999999</v>
      </c>
      <c r="AD26" s="313">
        <f t="shared" ref="AD26" si="194">AC26/AC16</f>
        <v>4.1666666666666664E-2</v>
      </c>
      <c r="AE26" s="305">
        <f t="shared" ref="AE26" si="195">+AE12*$B$26</f>
        <v>1362789</v>
      </c>
      <c r="AF26" s="313">
        <f t="shared" ref="AF26" si="196">AE26/AE16</f>
        <v>4.1666666666666664E-2</v>
      </c>
      <c r="AG26" s="305">
        <f t="shared" ref="AG26" si="197">+AG12*$B$26</f>
        <v>1817052</v>
      </c>
      <c r="AH26" s="313">
        <f t="shared" ref="AH26" si="198">AG26/AG16</f>
        <v>4.1666666666666664E-2</v>
      </c>
      <c r="AI26" s="305">
        <f t="shared" ref="AI26" si="199">+AI12*$B$26</f>
        <v>2089609.7999999998</v>
      </c>
      <c r="AJ26" s="313">
        <f t="shared" ref="AJ26" si="200">AI26/AI16</f>
        <v>4.1666666666666664E-2</v>
      </c>
      <c r="AK26" s="305">
        <f t="shared" ref="AK26" si="201">+AK12*$B$26</f>
        <v>2498446.5</v>
      </c>
      <c r="AL26" s="313">
        <f t="shared" ref="AL26" si="202">AK26/AK16</f>
        <v>4.1666666666666664E-2</v>
      </c>
      <c r="AM26" s="305">
        <f>+AM12*$B$26</f>
        <v>2725578</v>
      </c>
      <c r="AN26" s="313">
        <f t="shared" ref="AN26" si="203">AM26/AM16</f>
        <v>4.1666666666666664E-2</v>
      </c>
      <c r="AO26" s="305">
        <f t="shared" ref="AO26" si="204">+AO12*$B$26</f>
        <v>3043562.1</v>
      </c>
      <c r="AP26" s="313">
        <f t="shared" ref="AP26" si="205">AO26/AO16</f>
        <v>4.1666666666666664E-2</v>
      </c>
      <c r="AQ26" s="305">
        <f t="shared" ref="AQ26" si="206">+AQ12*$B$26</f>
        <v>3815809.2</v>
      </c>
      <c r="AR26" s="313">
        <f t="shared" ref="AR26" si="207">AQ26/AQ16</f>
        <v>4.1666666666666664E-2</v>
      </c>
    </row>
    <row r="27" spans="1:45">
      <c r="A27" s="566" t="s">
        <v>210</v>
      </c>
      <c r="B27" s="567"/>
      <c r="C27" s="310">
        <f>SUM(C23:C26)</f>
        <v>2499111.8889600001</v>
      </c>
      <c r="D27" s="304"/>
      <c r="E27" s="310">
        <f>SUM(E23:E26)</f>
        <v>3213091.2190656001</v>
      </c>
      <c r="F27" s="303"/>
      <c r="G27" s="310">
        <f>SUM(G23:G26)</f>
        <v>3689077.4391359999</v>
      </c>
      <c r="H27" s="303"/>
      <c r="I27" s="310">
        <f>SUM(I23:I26)</f>
        <v>4879042.9893120006</v>
      </c>
      <c r="J27" s="303"/>
      <c r="K27" s="310">
        <f>SUM(K23:K26)</f>
        <v>6211620.17191872</v>
      </c>
      <c r="L27" s="303"/>
      <c r="M27" s="310">
        <f>SUM(M23:M26)</f>
        <v>9019938.8703340795</v>
      </c>
      <c r="N27" s="303"/>
      <c r="O27" s="310">
        <f>SUM(O23:O26)</f>
        <v>11114278.23864384</v>
      </c>
      <c r="P27" s="303"/>
      <c r="Q27" s="310">
        <f>SUM(Q23:Q26)</f>
        <v>2737104.9989951998</v>
      </c>
      <c r="R27" s="303"/>
      <c r="S27" s="310">
        <f t="shared" ref="S27" si="208">SUM(S23:S26)</f>
        <v>3451084.3291007997</v>
      </c>
      <c r="T27" s="303"/>
      <c r="U27" s="310">
        <f t="shared" ref="U27" si="209">SUM(U23:U26)</f>
        <v>4403056.7692416003</v>
      </c>
      <c r="V27" s="303"/>
      <c r="W27" s="310">
        <f t="shared" ref="W27" si="210">SUM(W23:W26)</f>
        <v>5473841.5308095999</v>
      </c>
      <c r="X27" s="303"/>
      <c r="Y27" s="310">
        <f t="shared" ref="Y27" si="211">SUM(Y23:Y26)</f>
        <v>6425813.9709504005</v>
      </c>
      <c r="Z27" s="303"/>
      <c r="AA27" s="310">
        <f t="shared" ref="AA27" si="212">SUM(AA23:AA26)</f>
        <v>6425813.9709504005</v>
      </c>
      <c r="AB27" s="303"/>
      <c r="AC27" s="310">
        <f t="shared" ref="AC27" si="213">SUM(AC23:AC26)</f>
        <v>6663807.0809856001</v>
      </c>
      <c r="AD27" s="303"/>
      <c r="AE27" s="310">
        <f t="shared" ref="AE27" si="214">SUM(AE23:AE26)</f>
        <v>7139793.3010560004</v>
      </c>
      <c r="AF27" s="303"/>
      <c r="AG27" s="310">
        <f t="shared" ref="AG27" si="215">SUM(AG23:AG26)</f>
        <v>9519724.4014079999</v>
      </c>
      <c r="AH27" s="303"/>
      <c r="AI27" s="310">
        <f t="shared" ref="AI27" si="216">SUM(AI23:AI26)</f>
        <v>10947683.0616192</v>
      </c>
      <c r="AJ27" s="303"/>
      <c r="AK27" s="310">
        <f t="shared" ref="AK27" si="217">SUM(AK23:AK26)</f>
        <v>13089621.051936001</v>
      </c>
      <c r="AL27" s="303"/>
      <c r="AM27" s="310">
        <f t="shared" ref="AM27" si="218">SUM(AM23:AM26)</f>
        <v>14279586.602112001</v>
      </c>
      <c r="AN27" s="303"/>
      <c r="AO27" s="310">
        <f t="shared" ref="AO27" si="219">SUM(AO23:AO26)</f>
        <v>15945538.3723584</v>
      </c>
      <c r="AP27" s="303"/>
      <c r="AQ27" s="310">
        <f t="shared" ref="AQ27" si="220">SUM(AQ23:AQ26)</f>
        <v>19991421.242956802</v>
      </c>
      <c r="AR27" s="303"/>
    </row>
    <row r="28" spans="1:45">
      <c r="A28" s="564" t="s">
        <v>211</v>
      </c>
      <c r="B28" s="565"/>
      <c r="C28" s="298"/>
      <c r="D28" s="299" t="s">
        <v>196</v>
      </c>
      <c r="E28" s="298"/>
      <c r="F28" s="299" t="s">
        <v>196</v>
      </c>
      <c r="G28" s="298"/>
      <c r="H28" s="299" t="s">
        <v>196</v>
      </c>
      <c r="I28" s="298"/>
      <c r="J28" s="299" t="s">
        <v>196</v>
      </c>
      <c r="K28" s="298"/>
      <c r="L28" s="299" t="s">
        <v>196</v>
      </c>
      <c r="M28" s="298"/>
      <c r="N28" s="299" t="s">
        <v>196</v>
      </c>
      <c r="O28" s="298"/>
      <c r="P28" s="299" t="s">
        <v>196</v>
      </c>
      <c r="Q28" s="311"/>
      <c r="R28" s="302" t="s">
        <v>196</v>
      </c>
      <c r="S28" s="311"/>
      <c r="T28" s="302" t="s">
        <v>196</v>
      </c>
      <c r="U28" s="311"/>
      <c r="V28" s="302" t="s">
        <v>196</v>
      </c>
      <c r="W28" s="311"/>
      <c r="X28" s="302" t="s">
        <v>196</v>
      </c>
      <c r="Y28" s="311"/>
      <c r="Z28" s="302" t="s">
        <v>196</v>
      </c>
      <c r="AA28" s="311"/>
      <c r="AB28" s="302" t="s">
        <v>196</v>
      </c>
      <c r="AC28" s="311"/>
      <c r="AD28" s="302" t="s">
        <v>196</v>
      </c>
      <c r="AE28" s="311"/>
      <c r="AF28" s="302" t="s">
        <v>196</v>
      </c>
      <c r="AG28" s="311"/>
      <c r="AH28" s="302" t="s">
        <v>196</v>
      </c>
      <c r="AI28" s="311"/>
      <c r="AJ28" s="302" t="s">
        <v>196</v>
      </c>
      <c r="AK28" s="311"/>
      <c r="AL28" s="302" t="s">
        <v>196</v>
      </c>
      <c r="AM28" s="311"/>
      <c r="AN28" s="302" t="s">
        <v>196</v>
      </c>
      <c r="AO28" s="311"/>
      <c r="AP28" s="302" t="s">
        <v>196</v>
      </c>
      <c r="AQ28" s="311"/>
      <c r="AR28" s="302" t="s">
        <v>196</v>
      </c>
    </row>
    <row r="29" spans="1:45">
      <c r="A29" s="303" t="s">
        <v>212</v>
      </c>
      <c r="B29" s="308">
        <v>0.12</v>
      </c>
      <c r="C29" s="305">
        <f>+$B$29*C16</f>
        <v>1308277.44</v>
      </c>
      <c r="D29" s="313">
        <f>C29/$C$16</f>
        <v>0.12</v>
      </c>
      <c r="E29" s="305">
        <f>+$B$29*E16</f>
        <v>1700760.672</v>
      </c>
      <c r="F29" s="313">
        <f>E29/$E$16</f>
        <v>0.12</v>
      </c>
      <c r="G29" s="305">
        <f>+$B$29*G16</f>
        <v>1962416.16</v>
      </c>
      <c r="H29" s="313">
        <f>G29/$G$16</f>
        <v>0.12</v>
      </c>
      <c r="I29" s="305">
        <f>+$B$29*I16</f>
        <v>2616554.88</v>
      </c>
      <c r="J29" s="313">
        <f>I29/$I$16</f>
        <v>0.12</v>
      </c>
      <c r="K29" s="305">
        <f>+$B$29*K16</f>
        <v>3414604.1184</v>
      </c>
      <c r="L29" s="313">
        <f>K29/$K$16</f>
        <v>0.12</v>
      </c>
      <c r="M29" s="305">
        <f>+$B$29*M16</f>
        <v>4958371.4976000004</v>
      </c>
      <c r="N29" s="313">
        <f>M29/$M$16</f>
        <v>0.12</v>
      </c>
      <c r="O29" s="305">
        <f>+$B$29*O16</f>
        <v>6109655.6447999999</v>
      </c>
      <c r="P29" s="313">
        <f>O29/$O$16</f>
        <v>0.12</v>
      </c>
      <c r="Q29" s="305">
        <f>+$B$29*Q16</f>
        <v>1439105.1840000001</v>
      </c>
      <c r="R29" s="313">
        <f>Q29/Q16</f>
        <v>0.12</v>
      </c>
      <c r="S29" s="305">
        <f t="shared" ref="S29" si="221">+$B$29*S16</f>
        <v>1831588.4159999997</v>
      </c>
      <c r="T29" s="313">
        <f t="shared" ref="T29" si="222">S29/S16</f>
        <v>0.12</v>
      </c>
      <c r="U29" s="305">
        <f t="shared" ref="U29" si="223">+$B$29*U16</f>
        <v>2354899.392</v>
      </c>
      <c r="V29" s="313">
        <f t="shared" ref="V29" si="224">U29/U16</f>
        <v>0.12</v>
      </c>
      <c r="W29" s="305">
        <f t="shared" ref="W29" si="225">+$B$29*W16</f>
        <v>3009038.1119999997</v>
      </c>
      <c r="X29" s="313">
        <f t="shared" ref="X29" si="226">W29/W16</f>
        <v>0.12</v>
      </c>
      <c r="Y29" s="305">
        <f t="shared" ref="Y29" si="227">+$B$29*Y16</f>
        <v>3532349.088</v>
      </c>
      <c r="Z29" s="313">
        <f t="shared" ref="Z29" si="228">Y29/Y16</f>
        <v>0.12</v>
      </c>
      <c r="AA29" s="305">
        <f t="shared" ref="AA29" si="229">+$B$29*AA16</f>
        <v>3532349.088</v>
      </c>
      <c r="AB29" s="313">
        <f t="shared" ref="AB29" si="230">AA29/AA16</f>
        <v>0.12</v>
      </c>
      <c r="AC29" s="305">
        <f t="shared" ref="AC29" si="231">+$B$29*AC16</f>
        <v>3663176.8319999995</v>
      </c>
      <c r="AD29" s="313">
        <f t="shared" ref="AD29" si="232">AC29/AC16</f>
        <v>0.12</v>
      </c>
      <c r="AE29" s="305">
        <f t="shared" ref="AE29" si="233">+$B$29*AE16</f>
        <v>3924832.32</v>
      </c>
      <c r="AF29" s="313">
        <f t="shared" ref="AF29" si="234">AE29/AE16</f>
        <v>0.12</v>
      </c>
      <c r="AG29" s="305">
        <f t="shared" ref="AG29" si="235">+$B$29*AG16</f>
        <v>5233109.76</v>
      </c>
      <c r="AH29" s="313">
        <f t="shared" ref="AH29" si="236">AG29/AG16</f>
        <v>0.12</v>
      </c>
      <c r="AI29" s="305">
        <f t="shared" ref="AI29" si="237">+$B$29*AI16</f>
        <v>6018076.2239999995</v>
      </c>
      <c r="AJ29" s="313">
        <f t="shared" ref="AJ29" si="238">AI29/AI16</f>
        <v>0.12</v>
      </c>
      <c r="AK29" s="305">
        <f t="shared" ref="AK29" si="239">+$B$29*AK16</f>
        <v>7195525.9199999999</v>
      </c>
      <c r="AL29" s="313">
        <f t="shared" ref="AL29" si="240">AK29/AK16</f>
        <v>0.12</v>
      </c>
      <c r="AM29" s="305">
        <f t="shared" ref="AM29" si="241">+$B$29*AM16</f>
        <v>7849664.6399999997</v>
      </c>
      <c r="AN29" s="313">
        <f t="shared" ref="AN29" si="242">AM29/AM16</f>
        <v>0.12</v>
      </c>
      <c r="AO29" s="305">
        <f t="shared" ref="AO29" si="243">+$B$29*AO16</f>
        <v>8765458.8480000012</v>
      </c>
      <c r="AP29" s="313">
        <f t="shared" ref="AP29" si="244">AO29/AO16</f>
        <v>0.12000000000000001</v>
      </c>
      <c r="AQ29" s="305">
        <f t="shared" ref="AQ29" si="245">+$B$29*AQ16</f>
        <v>10989530.496000001</v>
      </c>
      <c r="AR29" s="313">
        <f t="shared" ref="AR29" si="246">AQ29/AQ16</f>
        <v>0.12</v>
      </c>
    </row>
    <row r="30" spans="1:45">
      <c r="A30" s="303" t="s">
        <v>213</v>
      </c>
      <c r="B30" s="314">
        <v>8.5000000000000006E-2</v>
      </c>
      <c r="C30" s="305">
        <f>+$B$30*C$16</f>
        <v>926696.52</v>
      </c>
      <c r="D30" s="313">
        <f>C30/C$16</f>
        <v>8.5000000000000006E-2</v>
      </c>
      <c r="E30" s="305">
        <f t="shared" ref="E30" si="247">+$B$30*E$16</f>
        <v>1204705.4760000003</v>
      </c>
      <c r="F30" s="313">
        <f t="shared" ref="F30" si="248">E30/E$16</f>
        <v>8.5000000000000006E-2</v>
      </c>
      <c r="G30" s="305">
        <f t="shared" ref="G30" si="249">+$B$30*G$16</f>
        <v>1390044.78</v>
      </c>
      <c r="H30" s="313">
        <f t="shared" ref="H30" si="250">G30/G$16</f>
        <v>8.5000000000000006E-2</v>
      </c>
      <c r="I30" s="305">
        <f t="shared" ref="I30" si="251">+$B$30*I$16</f>
        <v>1853393.04</v>
      </c>
      <c r="J30" s="313">
        <f t="shared" ref="J30" si="252">I30/I$16</f>
        <v>8.5000000000000006E-2</v>
      </c>
      <c r="K30" s="305">
        <f t="shared" ref="K30" si="253">+$B$30*K$16</f>
        <v>2418677.9172</v>
      </c>
      <c r="L30" s="313">
        <f t="shared" ref="L30" si="254">K30/K$16</f>
        <v>8.5000000000000006E-2</v>
      </c>
      <c r="M30" s="305">
        <f t="shared" ref="M30" si="255">+$B$30*M$16</f>
        <v>3512179.8108000006</v>
      </c>
      <c r="N30" s="313">
        <f t="shared" ref="N30" si="256">M30/M$16</f>
        <v>8.5000000000000006E-2</v>
      </c>
      <c r="O30" s="305">
        <f t="shared" ref="O30" si="257">+$B$30*O$16</f>
        <v>4327672.7483999999</v>
      </c>
      <c r="P30" s="313">
        <f t="shared" ref="P30" si="258">O30/O$16</f>
        <v>8.5000000000000006E-2</v>
      </c>
      <c r="Q30" s="305">
        <f t="shared" ref="Q30" si="259">+$B$30*Q$16</f>
        <v>1019366.1720000001</v>
      </c>
      <c r="R30" s="313">
        <f t="shared" ref="R30" si="260">Q30/Q$16</f>
        <v>8.5000000000000006E-2</v>
      </c>
      <c r="S30" s="305">
        <f t="shared" ref="S30" si="261">+$B$30*S$16</f>
        <v>1297375.128</v>
      </c>
      <c r="T30" s="313">
        <f t="shared" ref="T30" si="262">S30/S$16</f>
        <v>8.5000000000000006E-2</v>
      </c>
      <c r="U30" s="305">
        <f t="shared" ref="U30" si="263">+$B$30*U$16</f>
        <v>1668053.7360000003</v>
      </c>
      <c r="V30" s="313">
        <f t="shared" ref="V30" si="264">U30/U$16</f>
        <v>8.5000000000000006E-2</v>
      </c>
      <c r="W30" s="305">
        <f t="shared" ref="W30" si="265">+$B$30*W$16</f>
        <v>2131401.9959999998</v>
      </c>
      <c r="X30" s="313">
        <f t="shared" ref="X30" si="266">W30/W$16</f>
        <v>8.5000000000000006E-2</v>
      </c>
      <c r="Y30" s="305">
        <f t="shared" ref="Y30" si="267">+$B$30*Y$16</f>
        <v>2502080.6040000003</v>
      </c>
      <c r="Z30" s="313">
        <f t="shared" ref="Z30" si="268">Y30/Y$16</f>
        <v>8.5000000000000006E-2</v>
      </c>
      <c r="AA30" s="305">
        <f t="shared" ref="AA30" si="269">+$B$30*AA$16</f>
        <v>2502080.6040000003</v>
      </c>
      <c r="AB30" s="313">
        <f t="shared" ref="AB30" si="270">AA30/AA$16</f>
        <v>8.5000000000000006E-2</v>
      </c>
      <c r="AC30" s="305">
        <f t="shared" ref="AC30" si="271">+$B$30*AC$16</f>
        <v>2594750.2560000001</v>
      </c>
      <c r="AD30" s="313">
        <f t="shared" ref="AD30" si="272">AC30/AC$16</f>
        <v>8.5000000000000006E-2</v>
      </c>
      <c r="AE30" s="305">
        <f t="shared" ref="AE30" si="273">+$B$30*AE$16</f>
        <v>2780089.56</v>
      </c>
      <c r="AF30" s="313">
        <f t="shared" ref="AF30" si="274">AE30/AE$16</f>
        <v>8.5000000000000006E-2</v>
      </c>
      <c r="AG30" s="305">
        <f t="shared" ref="AG30" si="275">+$B$30*AG$16</f>
        <v>3706786.08</v>
      </c>
      <c r="AH30" s="313">
        <f t="shared" ref="AH30" si="276">AG30/AG$16</f>
        <v>8.5000000000000006E-2</v>
      </c>
      <c r="AI30" s="305">
        <f t="shared" ref="AI30" si="277">+$B$30*AI$16</f>
        <v>4262803.9919999996</v>
      </c>
      <c r="AJ30" s="313">
        <f t="shared" ref="AJ30" si="278">AI30/AI$16</f>
        <v>8.5000000000000006E-2</v>
      </c>
      <c r="AK30" s="305">
        <f t="shared" ref="AK30" si="279">+$B$30*AK$16</f>
        <v>5096830.8600000003</v>
      </c>
      <c r="AL30" s="313">
        <f t="shared" ref="AL30" si="280">AK30/AK$16</f>
        <v>8.5000000000000006E-2</v>
      </c>
      <c r="AM30" s="305">
        <f t="shared" ref="AM30" si="281">+$B$30*AM$16</f>
        <v>5560179.1200000001</v>
      </c>
      <c r="AN30" s="313">
        <f t="shared" ref="AN30" si="282">AM30/AM$16</f>
        <v>8.5000000000000006E-2</v>
      </c>
      <c r="AO30" s="305">
        <f t="shared" ref="AO30" si="283">+$B$30*AO$16</f>
        <v>6208866.6840000013</v>
      </c>
      <c r="AP30" s="313">
        <f t="shared" ref="AP30" si="284">AO30/AO$16</f>
        <v>8.5000000000000006E-2</v>
      </c>
      <c r="AQ30" s="305">
        <f t="shared" ref="AQ30" si="285">+$B$30*AQ$16</f>
        <v>7784250.768000002</v>
      </c>
      <c r="AR30" s="313">
        <f t="shared" ref="AR30" si="286">AQ30/AQ$16</f>
        <v>8.5000000000000006E-2</v>
      </c>
      <c r="AS30" s="281" t="s">
        <v>214</v>
      </c>
    </row>
    <row r="31" spans="1:45">
      <c r="A31" s="303" t="s">
        <v>215</v>
      </c>
      <c r="B31" s="309">
        <v>6.9599999999999995E-2</v>
      </c>
      <c r="C31" s="305">
        <f>+$B$31*C16</f>
        <v>758800.91519999993</v>
      </c>
      <c r="D31" s="313">
        <f>C31/$C$16</f>
        <v>6.9599999999999995E-2</v>
      </c>
      <c r="E31" s="305">
        <f>+$B$31*E16</f>
        <v>986441.18975999998</v>
      </c>
      <c r="F31" s="313">
        <f>E31/$E$16</f>
        <v>6.9599999999999995E-2</v>
      </c>
      <c r="G31" s="305">
        <f>+$B$31*G16</f>
        <v>1138201.3728</v>
      </c>
      <c r="H31" s="313">
        <f>G31/$G$16</f>
        <v>6.9599999999999995E-2</v>
      </c>
      <c r="I31" s="305">
        <f>+$B$31*I16</f>
        <v>1517601.8303999999</v>
      </c>
      <c r="J31" s="313">
        <f>I31/$I$16</f>
        <v>6.9599999999999995E-2</v>
      </c>
      <c r="K31" s="305">
        <f>+$B$31*K16</f>
        <v>1980470.3886719998</v>
      </c>
      <c r="L31" s="313">
        <f>K31/$K$16</f>
        <v>6.9599999999999995E-2</v>
      </c>
      <c r="M31" s="305">
        <f>+$B$31*M16</f>
        <v>2875855.4686080003</v>
      </c>
      <c r="N31" s="313">
        <f>M31/$M$16</f>
        <v>6.9599999999999995E-2</v>
      </c>
      <c r="O31" s="305">
        <f>+$B$31*O16</f>
        <v>3543600.2739839996</v>
      </c>
      <c r="P31" s="313">
        <f>O31/$O$16</f>
        <v>6.9599999999999995E-2</v>
      </c>
      <c r="Q31" s="305">
        <f>+$B$31*Q16</f>
        <v>834681.00672000006</v>
      </c>
      <c r="R31" s="313">
        <f>Q31/Q16</f>
        <v>6.9599999999999995E-2</v>
      </c>
      <c r="S31" s="305">
        <f t="shared" ref="S31" si="287">+$B$31*S16</f>
        <v>1062321.2812799998</v>
      </c>
      <c r="T31" s="313">
        <f t="shared" ref="T31" si="288">S31/S16</f>
        <v>6.9599999999999995E-2</v>
      </c>
      <c r="U31" s="305">
        <f t="shared" ref="U31" si="289">+$B$31*U16</f>
        <v>1365841.6473600001</v>
      </c>
      <c r="V31" s="313">
        <f t="shared" ref="V31" si="290">U31/U16</f>
        <v>6.9599999999999995E-2</v>
      </c>
      <c r="W31" s="305">
        <f t="shared" ref="W31" si="291">+$B$31*W16</f>
        <v>1745242.1049599997</v>
      </c>
      <c r="X31" s="313">
        <f t="shared" ref="X31" si="292">W31/W16</f>
        <v>6.9599999999999995E-2</v>
      </c>
      <c r="Y31" s="305">
        <f t="shared" ref="Y31" si="293">+$B$31*Y16</f>
        <v>2048762.47104</v>
      </c>
      <c r="Z31" s="313">
        <f t="shared" ref="Z31" si="294">Y31/Y16</f>
        <v>6.9599999999999995E-2</v>
      </c>
      <c r="AA31" s="305">
        <f t="shared" ref="AA31" si="295">+$B$31*AA16</f>
        <v>2048762.47104</v>
      </c>
      <c r="AB31" s="313">
        <f t="shared" ref="AB31" si="296">AA31/AA16</f>
        <v>6.9599999999999995E-2</v>
      </c>
      <c r="AC31" s="305">
        <f t="shared" ref="AC31" si="297">+$B$31*AC16</f>
        <v>2124642.5625599995</v>
      </c>
      <c r="AD31" s="313">
        <f t="shared" ref="AD31" si="298">AC31/AC16</f>
        <v>6.9599999999999995E-2</v>
      </c>
      <c r="AE31" s="305">
        <f t="shared" ref="AE31" si="299">+$B$31*AE16</f>
        <v>2276402.7456</v>
      </c>
      <c r="AF31" s="313">
        <f t="shared" ref="AF31" si="300">AE31/AE16</f>
        <v>6.9599999999999995E-2</v>
      </c>
      <c r="AG31" s="305">
        <f t="shared" ref="AG31" si="301">+$B$31*AG16</f>
        <v>3035203.6607999997</v>
      </c>
      <c r="AH31" s="313">
        <f t="shared" ref="AH31" si="302">AG31/AG16</f>
        <v>6.9599999999999995E-2</v>
      </c>
      <c r="AI31" s="305">
        <f t="shared" ref="AI31" si="303">+$B$31*AI16</f>
        <v>3490484.2099199994</v>
      </c>
      <c r="AJ31" s="313">
        <f t="shared" ref="AJ31" si="304">AI31/AI16</f>
        <v>6.9599999999999995E-2</v>
      </c>
      <c r="AK31" s="305">
        <f t="shared" ref="AK31" si="305">+$B$31*AK16</f>
        <v>4173405.0335999997</v>
      </c>
      <c r="AL31" s="313">
        <f t="shared" ref="AL31" si="306">AK31/AK16</f>
        <v>6.9599999999999995E-2</v>
      </c>
      <c r="AM31" s="305">
        <f t="shared" ref="AM31" si="307">+$B$31*AM16</f>
        <v>4552805.4912</v>
      </c>
      <c r="AN31" s="313">
        <f t="shared" ref="AN31" si="308">AM31/AM16</f>
        <v>6.9599999999999995E-2</v>
      </c>
      <c r="AO31" s="305">
        <f t="shared" ref="AO31" si="309">+$B$31*AO16</f>
        <v>5083966.1318399999</v>
      </c>
      <c r="AP31" s="313">
        <f t="shared" ref="AP31" si="310">AO31/AO16</f>
        <v>6.9599999999999995E-2</v>
      </c>
      <c r="AQ31" s="305">
        <f t="shared" ref="AQ31" si="311">+$B$31*AQ16</f>
        <v>6373927.6876800004</v>
      </c>
      <c r="AR31" s="313">
        <f t="shared" ref="AR31" si="312">AQ31/AQ16</f>
        <v>6.9599999999999995E-2</v>
      </c>
    </row>
    <row r="32" spans="1:45">
      <c r="A32" s="566" t="s">
        <v>216</v>
      </c>
      <c r="B32" s="567"/>
      <c r="C32" s="310">
        <f>SUM(C29:C31)</f>
        <v>2993774.8751999997</v>
      </c>
      <c r="D32" s="304"/>
      <c r="E32" s="310">
        <f>SUM(E29:E31)</f>
        <v>3891907.33776</v>
      </c>
      <c r="F32" s="303"/>
      <c r="G32" s="310">
        <f>SUM(G29:G31)</f>
        <v>4490662.3127999995</v>
      </c>
      <c r="H32" s="303"/>
      <c r="I32" s="310">
        <f>SUM(I29:I31)</f>
        <v>5987549.7503999993</v>
      </c>
      <c r="J32" s="303"/>
      <c r="K32" s="310">
        <f>SUM(K29:K31)</f>
        <v>7813752.4242719999</v>
      </c>
      <c r="L32" s="303"/>
      <c r="M32" s="310">
        <f>SUM(M29:M31)</f>
        <v>11346406.777008001</v>
      </c>
      <c r="N32" s="303"/>
      <c r="O32" s="310">
        <f>SUM(O29:O31)</f>
        <v>13980928.667183999</v>
      </c>
      <c r="P32" s="303"/>
      <c r="Q32" s="310">
        <f>SUM(Q29:Q31)</f>
        <v>3293152.3627200001</v>
      </c>
      <c r="R32" s="303"/>
      <c r="S32" s="310">
        <f t="shared" ref="S32" si="313">SUM(S29:S31)</f>
        <v>4191284.8252799995</v>
      </c>
      <c r="T32" s="303"/>
      <c r="U32" s="310">
        <f t="shared" ref="U32" si="314">SUM(U29:U31)</f>
        <v>5388794.7753600003</v>
      </c>
      <c r="V32" s="303"/>
      <c r="W32" s="310">
        <f t="shared" ref="W32" si="315">SUM(W29:W31)</f>
        <v>6885682.2129599992</v>
      </c>
      <c r="X32" s="303"/>
      <c r="Y32" s="310">
        <f t="shared" ref="Y32" si="316">SUM(Y29:Y31)</f>
        <v>8083192.16304</v>
      </c>
      <c r="Z32" s="303"/>
      <c r="AA32" s="310">
        <f t="shared" ref="AA32" si="317">SUM(AA29:AA31)</f>
        <v>8083192.16304</v>
      </c>
      <c r="AB32" s="303"/>
      <c r="AC32" s="310">
        <f t="shared" ref="AC32" si="318">SUM(AC29:AC31)</f>
        <v>8382569.650559999</v>
      </c>
      <c r="AD32" s="303"/>
      <c r="AE32" s="310">
        <f t="shared" ref="AE32" si="319">SUM(AE29:AE31)</f>
        <v>8981324.625599999</v>
      </c>
      <c r="AF32" s="303"/>
      <c r="AG32" s="310">
        <f t="shared" ref="AG32" si="320">SUM(AG29:AG31)</f>
        <v>11975099.500799999</v>
      </c>
      <c r="AH32" s="303"/>
      <c r="AI32" s="310">
        <f t="shared" ref="AI32" si="321">SUM(AI29:AI31)</f>
        <v>13771364.425919998</v>
      </c>
      <c r="AJ32" s="303"/>
      <c r="AK32" s="310">
        <f t="shared" ref="AK32" si="322">SUM(AK29:AK31)</f>
        <v>16465761.8136</v>
      </c>
      <c r="AL32" s="303"/>
      <c r="AM32" s="310">
        <f t="shared" ref="AM32" si="323">SUM(AM29:AM31)</f>
        <v>17962649.251199998</v>
      </c>
      <c r="AN32" s="303"/>
      <c r="AO32" s="310">
        <f t="shared" ref="AO32" si="324">SUM(AO29:AO31)</f>
        <v>20058291.663840003</v>
      </c>
      <c r="AP32" s="303"/>
      <c r="AQ32" s="310">
        <f t="shared" ref="AQ32" si="325">SUM(AQ29:AQ31)</f>
        <v>25147708.951680005</v>
      </c>
      <c r="AR32" s="303"/>
    </row>
    <row r="33" spans="1:45">
      <c r="A33" s="564" t="s">
        <v>217</v>
      </c>
      <c r="B33" s="565"/>
      <c r="C33" s="298"/>
      <c r="D33" s="299" t="s">
        <v>196</v>
      </c>
      <c r="E33" s="298"/>
      <c r="F33" s="299" t="s">
        <v>196</v>
      </c>
      <c r="G33" s="298"/>
      <c r="H33" s="299" t="s">
        <v>196</v>
      </c>
      <c r="I33" s="298"/>
      <c r="J33" s="299" t="s">
        <v>196</v>
      </c>
      <c r="K33" s="298"/>
      <c r="L33" s="299" t="s">
        <v>196</v>
      </c>
      <c r="M33" s="298"/>
      <c r="N33" s="299" t="s">
        <v>196</v>
      </c>
      <c r="O33" s="298"/>
      <c r="P33" s="299" t="s">
        <v>196</v>
      </c>
      <c r="Q33" s="311"/>
      <c r="R33" s="302" t="s">
        <v>196</v>
      </c>
      <c r="S33" s="311"/>
      <c r="T33" s="302" t="s">
        <v>196</v>
      </c>
      <c r="U33" s="311"/>
      <c r="V33" s="302" t="s">
        <v>196</v>
      </c>
      <c r="W33" s="311"/>
      <c r="X33" s="302" t="s">
        <v>196</v>
      </c>
      <c r="Y33" s="311"/>
      <c r="Z33" s="302" t="s">
        <v>196</v>
      </c>
      <c r="AA33" s="311"/>
      <c r="AB33" s="302" t="s">
        <v>196</v>
      </c>
      <c r="AC33" s="311"/>
      <c r="AD33" s="302" t="s">
        <v>196</v>
      </c>
      <c r="AE33" s="311"/>
      <c r="AF33" s="302" t="s">
        <v>196</v>
      </c>
      <c r="AG33" s="311"/>
      <c r="AH33" s="302" t="s">
        <v>196</v>
      </c>
      <c r="AI33" s="311"/>
      <c r="AJ33" s="302" t="s">
        <v>196</v>
      </c>
      <c r="AK33" s="311"/>
      <c r="AL33" s="302" t="s">
        <v>196</v>
      </c>
      <c r="AM33" s="311"/>
      <c r="AN33" s="302" t="s">
        <v>196</v>
      </c>
      <c r="AO33" s="311"/>
      <c r="AP33" s="302" t="s">
        <v>196</v>
      </c>
      <c r="AQ33" s="311"/>
      <c r="AR33" s="302" t="s">
        <v>196</v>
      </c>
    </row>
    <row r="34" spans="1:45">
      <c r="A34" s="303" t="s">
        <v>218</v>
      </c>
      <c r="B34" s="315">
        <v>0.02</v>
      </c>
      <c r="C34" s="305">
        <f>+$B$34*C$16</f>
        <v>218046.24</v>
      </c>
      <c r="D34" s="313">
        <f>C34/C$16</f>
        <v>0.02</v>
      </c>
      <c r="E34" s="305">
        <f>+$B$34*E$16</f>
        <v>283460.11200000002</v>
      </c>
      <c r="F34" s="313">
        <f>E34/E$16</f>
        <v>0.02</v>
      </c>
      <c r="G34" s="305">
        <f t="shared" ref="G34" si="326">+$B$34*G$16</f>
        <v>327069.36</v>
      </c>
      <c r="H34" s="313">
        <f t="shared" ref="H34:H35" si="327">G34/G$16</f>
        <v>0.02</v>
      </c>
      <c r="I34" s="305">
        <f t="shared" ref="I34" si="328">+$B$34*I$16</f>
        <v>436092.48</v>
      </c>
      <c r="J34" s="313">
        <f t="shared" ref="J34:J35" si="329">I34/I$16</f>
        <v>0.02</v>
      </c>
      <c r="K34" s="305">
        <f t="shared" ref="K34" si="330">+$B$34*K$16</f>
        <v>569100.68640000001</v>
      </c>
      <c r="L34" s="313">
        <f t="shared" ref="L34:L35" si="331">K34/K$16</f>
        <v>0.02</v>
      </c>
      <c r="M34" s="305">
        <f t="shared" ref="M34" si="332">+$B$34*M$16</f>
        <v>826395.2496000001</v>
      </c>
      <c r="N34" s="313">
        <f t="shared" ref="N34:N35" si="333">M34/M$16</f>
        <v>0.02</v>
      </c>
      <c r="O34" s="305">
        <f t="shared" ref="O34" si="334">+$B$34*O$16</f>
        <v>1018275.9408</v>
      </c>
      <c r="P34" s="313">
        <f t="shared" ref="P34:P35" si="335">O34/O$16</f>
        <v>0.02</v>
      </c>
      <c r="Q34" s="305">
        <f t="shared" ref="Q34" si="336">+$B$34*Q$16</f>
        <v>239850.86400000003</v>
      </c>
      <c r="R34" s="313">
        <f t="shared" ref="R34:R35" si="337">Q34/Q$16</f>
        <v>0.02</v>
      </c>
      <c r="S34" s="305">
        <f t="shared" ref="S34" si="338">+$B$34*S$16</f>
        <v>305264.73599999998</v>
      </c>
      <c r="T34" s="313">
        <f t="shared" ref="T34:T35" si="339">S34/S$16</f>
        <v>0.02</v>
      </c>
      <c r="U34" s="305">
        <f t="shared" ref="U34" si="340">+$B$34*U$16</f>
        <v>392483.23200000002</v>
      </c>
      <c r="V34" s="313">
        <f t="shared" ref="V34:V35" si="341">U34/U$16</f>
        <v>0.02</v>
      </c>
      <c r="W34" s="305">
        <f t="shared" ref="W34" si="342">+$B$34*W$16</f>
        <v>501506.35199999996</v>
      </c>
      <c r="X34" s="313">
        <f t="shared" ref="X34:X35" si="343">W34/W$16</f>
        <v>0.02</v>
      </c>
      <c r="Y34" s="305">
        <f t="shared" ref="Y34" si="344">+$B$34*Y$16</f>
        <v>588724.84800000011</v>
      </c>
      <c r="Z34" s="313">
        <f t="shared" ref="Z34:Z35" si="345">Y34/Y$16</f>
        <v>2.0000000000000004E-2</v>
      </c>
      <c r="AA34" s="305">
        <f t="shared" ref="AA34" si="346">+$B$34*AA$16</f>
        <v>588724.84800000011</v>
      </c>
      <c r="AB34" s="313">
        <f t="shared" ref="AB34:AB35" si="347">AA34/AA$16</f>
        <v>2.0000000000000004E-2</v>
      </c>
      <c r="AC34" s="305">
        <f t="shared" ref="AC34" si="348">+$B$34*AC$16</f>
        <v>610529.47199999995</v>
      </c>
      <c r="AD34" s="313">
        <f t="shared" ref="AD34:AD35" si="349">AC34/AC$16</f>
        <v>0.02</v>
      </c>
      <c r="AE34" s="305">
        <f t="shared" ref="AE34" si="350">+$B$34*AE$16</f>
        <v>654138.72</v>
      </c>
      <c r="AF34" s="313">
        <f t="shared" ref="AF34:AF35" si="351">AE34/AE$16</f>
        <v>0.02</v>
      </c>
      <c r="AG34" s="305">
        <f t="shared" ref="AG34" si="352">+$B$34*AG$16</f>
        <v>872184.96</v>
      </c>
      <c r="AH34" s="313">
        <f t="shared" ref="AH34:AH35" si="353">AG34/AG$16</f>
        <v>0.02</v>
      </c>
      <c r="AI34" s="305">
        <f t="shared" ref="AI34" si="354">+$B$34*AI$16</f>
        <v>1003012.7039999999</v>
      </c>
      <c r="AJ34" s="313">
        <f t="shared" ref="AJ34:AJ35" si="355">AI34/AI$16</f>
        <v>0.02</v>
      </c>
      <c r="AK34" s="305">
        <f t="shared" ref="AK34" si="356">+$B$34*AK$16</f>
        <v>1199254.32</v>
      </c>
      <c r="AL34" s="313">
        <f t="shared" ref="AL34:AL35" si="357">AK34/AK$16</f>
        <v>0.02</v>
      </c>
      <c r="AM34" s="305">
        <f t="shared" ref="AM34" si="358">+$B$34*AM$16</f>
        <v>1308277.44</v>
      </c>
      <c r="AN34" s="313">
        <f t="shared" ref="AN34:AN35" si="359">AM34/AM$16</f>
        <v>0.02</v>
      </c>
      <c r="AO34" s="305">
        <f t="shared" ref="AO34" si="360">+$B$34*AO$16</f>
        <v>1460909.8080000002</v>
      </c>
      <c r="AP34" s="313">
        <f t="shared" ref="AP34:AP35" si="361">AO34/AO$16</f>
        <v>0.02</v>
      </c>
      <c r="AQ34" s="305">
        <f t="shared" ref="AQ34" si="362">+$B$34*AQ$16</f>
        <v>1831588.4160000002</v>
      </c>
      <c r="AR34" s="313">
        <f t="shared" ref="AR34:AR35" si="363">AQ34/AQ$16</f>
        <v>0.02</v>
      </c>
      <c r="AS34" s="281" t="s">
        <v>214</v>
      </c>
    </row>
    <row r="35" spans="1:45">
      <c r="A35" s="303" t="s">
        <v>219</v>
      </c>
      <c r="B35" s="315">
        <v>0.03</v>
      </c>
      <c r="C35" s="305">
        <f>+$B$35*C$16</f>
        <v>327069.36</v>
      </c>
      <c r="D35" s="313">
        <f>C35/C$16</f>
        <v>0.03</v>
      </c>
      <c r="E35" s="305">
        <f>+$B$35*E$16</f>
        <v>425190.16800000001</v>
      </c>
      <c r="F35" s="313">
        <f>E35/E$16</f>
        <v>0.03</v>
      </c>
      <c r="G35" s="305">
        <f t="shared" ref="G35" si="364">+$B$35*G$16</f>
        <v>490604.04</v>
      </c>
      <c r="H35" s="313">
        <f t="shared" si="327"/>
        <v>0.03</v>
      </c>
      <c r="I35" s="305">
        <f t="shared" ref="I35" si="365">+$B$35*I$16</f>
        <v>654138.72</v>
      </c>
      <c r="J35" s="313">
        <f t="shared" si="329"/>
        <v>0.03</v>
      </c>
      <c r="K35" s="305">
        <f t="shared" ref="K35" si="366">+$B$35*K$16</f>
        <v>853651.02960000001</v>
      </c>
      <c r="L35" s="313">
        <f t="shared" si="331"/>
        <v>0.03</v>
      </c>
      <c r="M35" s="305">
        <f t="shared" ref="M35" si="367">+$B$35*M$16</f>
        <v>1239592.8744000001</v>
      </c>
      <c r="N35" s="313">
        <f t="shared" si="333"/>
        <v>0.03</v>
      </c>
      <c r="O35" s="305">
        <f t="shared" ref="O35" si="368">+$B$35*O$16</f>
        <v>1527413.9112</v>
      </c>
      <c r="P35" s="313">
        <f t="shared" si="335"/>
        <v>0.03</v>
      </c>
      <c r="Q35" s="305">
        <f t="shared" ref="Q35" si="369">+$B$35*Q$16</f>
        <v>359776.29600000003</v>
      </c>
      <c r="R35" s="313">
        <f t="shared" si="337"/>
        <v>0.03</v>
      </c>
      <c r="S35" s="305">
        <f t="shared" ref="S35" si="370">+$B$35*S$16</f>
        <v>457897.10399999993</v>
      </c>
      <c r="T35" s="313">
        <f t="shared" si="339"/>
        <v>0.03</v>
      </c>
      <c r="U35" s="305">
        <f t="shared" ref="U35" si="371">+$B$35*U$16</f>
        <v>588724.848</v>
      </c>
      <c r="V35" s="313">
        <f t="shared" si="341"/>
        <v>0.03</v>
      </c>
      <c r="W35" s="305">
        <f t="shared" ref="W35" si="372">+$B$35*W$16</f>
        <v>752259.52799999993</v>
      </c>
      <c r="X35" s="313">
        <f t="shared" si="343"/>
        <v>0.03</v>
      </c>
      <c r="Y35" s="305">
        <f t="shared" ref="Y35" si="373">+$B$35*Y$16</f>
        <v>883087.272</v>
      </c>
      <c r="Z35" s="313">
        <f t="shared" si="345"/>
        <v>0.03</v>
      </c>
      <c r="AA35" s="305">
        <f t="shared" ref="AA35" si="374">+$B$35*AA$16</f>
        <v>883087.272</v>
      </c>
      <c r="AB35" s="313">
        <f t="shared" si="347"/>
        <v>0.03</v>
      </c>
      <c r="AC35" s="305">
        <f t="shared" ref="AC35" si="375">+$B$35*AC$16</f>
        <v>915794.20799999987</v>
      </c>
      <c r="AD35" s="313">
        <f t="shared" si="349"/>
        <v>0.03</v>
      </c>
      <c r="AE35" s="305">
        <f t="shared" ref="AE35" si="376">+$B$35*AE$16</f>
        <v>981208.08</v>
      </c>
      <c r="AF35" s="313">
        <f t="shared" si="351"/>
        <v>0.03</v>
      </c>
      <c r="AG35" s="305">
        <f t="shared" ref="AG35" si="377">+$B$35*AG$16</f>
        <v>1308277.44</v>
      </c>
      <c r="AH35" s="313">
        <f t="shared" si="353"/>
        <v>0.03</v>
      </c>
      <c r="AI35" s="305">
        <f t="shared" ref="AI35" si="378">+$B$35*AI$16</f>
        <v>1504519.0559999999</v>
      </c>
      <c r="AJ35" s="313">
        <f t="shared" si="355"/>
        <v>0.03</v>
      </c>
      <c r="AK35" s="305">
        <f t="shared" ref="AK35" si="379">+$B$35*AK$16</f>
        <v>1798881.48</v>
      </c>
      <c r="AL35" s="313">
        <f t="shared" si="357"/>
        <v>0.03</v>
      </c>
      <c r="AM35" s="305">
        <f t="shared" ref="AM35" si="380">+$B$35*AM$16</f>
        <v>1962416.16</v>
      </c>
      <c r="AN35" s="313">
        <f t="shared" si="359"/>
        <v>0.03</v>
      </c>
      <c r="AO35" s="305">
        <f t="shared" ref="AO35" si="381">+$B$35*AO$16</f>
        <v>2191364.7120000003</v>
      </c>
      <c r="AP35" s="313">
        <f t="shared" si="361"/>
        <v>3.0000000000000002E-2</v>
      </c>
      <c r="AQ35" s="305">
        <f t="shared" ref="AQ35" si="382">+$B$35*AQ$16</f>
        <v>2747382.6240000003</v>
      </c>
      <c r="AR35" s="313">
        <f t="shared" si="363"/>
        <v>0.03</v>
      </c>
      <c r="AS35" s="281" t="s">
        <v>214</v>
      </c>
    </row>
    <row r="36" spans="1:45">
      <c r="A36" s="303" t="s">
        <v>220</v>
      </c>
      <c r="B36" s="308">
        <v>0.04</v>
      </c>
      <c r="C36" s="305">
        <f>$B$36*C16</f>
        <v>436092.48</v>
      </c>
      <c r="D36" s="313">
        <f>C36/$C$16</f>
        <v>0.04</v>
      </c>
      <c r="E36" s="305">
        <f>$B$36*E16</f>
        <v>566920.22400000005</v>
      </c>
      <c r="F36" s="316">
        <f>E36/$E$16</f>
        <v>0.04</v>
      </c>
      <c r="G36" s="305">
        <f>$B$36*G16</f>
        <v>654138.72</v>
      </c>
      <c r="H36" s="313">
        <f>G36/$G$16</f>
        <v>0.04</v>
      </c>
      <c r="I36" s="305">
        <f>$B$36*I16</f>
        <v>872184.96</v>
      </c>
      <c r="J36" s="316">
        <f>I36/$I$16</f>
        <v>0.04</v>
      </c>
      <c r="K36" s="305">
        <f>$B$36*K16</f>
        <v>1138201.3728</v>
      </c>
      <c r="L36" s="316">
        <f>K36/$K$16</f>
        <v>0.04</v>
      </c>
      <c r="M36" s="305">
        <f>$B$36*M16</f>
        <v>1652790.4992000002</v>
      </c>
      <c r="N36" s="316">
        <f>M36/$M$16</f>
        <v>0.04</v>
      </c>
      <c r="O36" s="305">
        <f>$B$36*O16</f>
        <v>2036551.8816</v>
      </c>
      <c r="P36" s="316">
        <f>O36/$O$16</f>
        <v>0.04</v>
      </c>
      <c r="Q36" s="305">
        <f>$B$36*Q16</f>
        <v>479701.72800000006</v>
      </c>
      <c r="R36" s="316">
        <f>Q36/Q16</f>
        <v>0.04</v>
      </c>
      <c r="S36" s="305">
        <f t="shared" ref="S36" si="383">$B$36*S16</f>
        <v>610529.47199999995</v>
      </c>
      <c r="T36" s="316">
        <f t="shared" ref="T36" si="384">S36/S16</f>
        <v>0.04</v>
      </c>
      <c r="U36" s="305">
        <f t="shared" ref="U36" si="385">$B$36*U16</f>
        <v>784966.46400000004</v>
      </c>
      <c r="V36" s="316">
        <f t="shared" ref="V36" si="386">U36/U16</f>
        <v>0.04</v>
      </c>
      <c r="W36" s="305">
        <f t="shared" ref="W36" si="387">$B$36*W16</f>
        <v>1003012.7039999999</v>
      </c>
      <c r="X36" s="316">
        <f t="shared" ref="X36" si="388">W36/W16</f>
        <v>0.04</v>
      </c>
      <c r="Y36" s="305">
        <f t="shared" ref="Y36" si="389">$B$36*Y16</f>
        <v>1177449.6960000002</v>
      </c>
      <c r="Z36" s="316">
        <f t="shared" ref="Z36" si="390">Y36/Y16</f>
        <v>4.0000000000000008E-2</v>
      </c>
      <c r="AA36" s="305">
        <f t="shared" ref="AA36" si="391">$B$36*AA16</f>
        <v>1177449.6960000002</v>
      </c>
      <c r="AB36" s="316">
        <f t="shared" ref="AB36" si="392">AA36/AA16</f>
        <v>4.0000000000000008E-2</v>
      </c>
      <c r="AC36" s="305">
        <f t="shared" ref="AC36" si="393">$B$36*AC16</f>
        <v>1221058.9439999999</v>
      </c>
      <c r="AD36" s="316">
        <f t="shared" ref="AD36" si="394">AC36/AC16</f>
        <v>0.04</v>
      </c>
      <c r="AE36" s="305">
        <f t="shared" ref="AE36" si="395">$B$36*AE16</f>
        <v>1308277.44</v>
      </c>
      <c r="AF36" s="316">
        <f t="shared" ref="AF36" si="396">AE36/AE16</f>
        <v>0.04</v>
      </c>
      <c r="AG36" s="305">
        <f t="shared" ref="AG36" si="397">$B$36*AG16</f>
        <v>1744369.92</v>
      </c>
      <c r="AH36" s="316">
        <f t="shared" ref="AH36" si="398">AG36/AG16</f>
        <v>0.04</v>
      </c>
      <c r="AI36" s="305">
        <f t="shared" ref="AI36" si="399">$B$36*AI16</f>
        <v>2006025.4079999998</v>
      </c>
      <c r="AJ36" s="316">
        <f t="shared" ref="AJ36" si="400">AI36/AI16</f>
        <v>0.04</v>
      </c>
      <c r="AK36" s="305">
        <f t="shared" ref="AK36" si="401">$B$36*AK16</f>
        <v>2398508.64</v>
      </c>
      <c r="AL36" s="316">
        <f t="shared" ref="AL36" si="402">AK36/AK16</f>
        <v>0.04</v>
      </c>
      <c r="AM36" s="305">
        <f t="shared" ref="AM36" si="403">$B$36*AM16</f>
        <v>2616554.88</v>
      </c>
      <c r="AN36" s="316">
        <f t="shared" ref="AN36" si="404">AM36/AM16</f>
        <v>0.04</v>
      </c>
      <c r="AO36" s="305">
        <f t="shared" ref="AO36" si="405">$B$36*AO16</f>
        <v>2921819.6160000004</v>
      </c>
      <c r="AP36" s="316">
        <f t="shared" ref="AP36" si="406">AO36/AO16</f>
        <v>0.04</v>
      </c>
      <c r="AQ36" s="305">
        <f t="shared" ref="AQ36" si="407">$B$36*AQ16</f>
        <v>3663176.8320000004</v>
      </c>
      <c r="AR36" s="316">
        <f t="shared" ref="AR36" si="408">AQ36/AQ16</f>
        <v>0.04</v>
      </c>
    </row>
    <row r="37" spans="1:45">
      <c r="A37" s="303" t="s">
        <v>221</v>
      </c>
      <c r="B37" s="317">
        <v>12</v>
      </c>
      <c r="C37" s="305">
        <f>$B$37/40*$B$4</f>
        <v>272557.8</v>
      </c>
      <c r="D37" s="313">
        <f>C37/$C$16</f>
        <v>2.4999999999999998E-2</v>
      </c>
      <c r="E37" s="305">
        <f>$B$37/40*$B$4</f>
        <v>272557.8</v>
      </c>
      <c r="F37" s="316">
        <f>E37/$E$16</f>
        <v>1.9230769230769228E-2</v>
      </c>
      <c r="G37" s="305">
        <f>$B$37/40*$B$4</f>
        <v>272557.8</v>
      </c>
      <c r="H37" s="313">
        <f>G37/$G$16</f>
        <v>1.6666666666666666E-2</v>
      </c>
      <c r="I37" s="305">
        <f>$B$37/40*$B$4</f>
        <v>272557.8</v>
      </c>
      <c r="J37" s="316">
        <f>I37/$I$16</f>
        <v>1.2499999999999999E-2</v>
      </c>
      <c r="K37" s="305">
        <f>$B$37/40*$B$4</f>
        <v>272557.8</v>
      </c>
      <c r="L37" s="316">
        <f>K37/$K$16</f>
        <v>9.5785440613026813E-3</v>
      </c>
      <c r="M37" s="305">
        <f>$B$37/40*$B$4</f>
        <v>272557.8</v>
      </c>
      <c r="N37" s="316">
        <f>M37/$M$16</f>
        <v>6.5963060686015824E-3</v>
      </c>
      <c r="O37" s="305">
        <f>$B$37/40*$B$4</f>
        <v>272557.8</v>
      </c>
      <c r="P37" s="316">
        <f>O37/$O$16</f>
        <v>5.3533190578158455E-3</v>
      </c>
      <c r="Q37" s="305">
        <f>$B$37/40*$B$4</f>
        <v>272557.8</v>
      </c>
      <c r="R37" s="316">
        <f>Q37/Q16</f>
        <v>2.2727272727272724E-2</v>
      </c>
      <c r="S37" s="305">
        <f t="shared" ref="S37" si="409">$B$37/40*$B$4</f>
        <v>272557.8</v>
      </c>
      <c r="T37" s="316">
        <f t="shared" ref="T37" si="410">S37/S16</f>
        <v>1.7857142857142856E-2</v>
      </c>
      <c r="U37" s="305">
        <f t="shared" ref="U37" si="411">$B$37/40*$B$4</f>
        <v>272557.8</v>
      </c>
      <c r="V37" s="316">
        <f t="shared" ref="V37" si="412">U37/U16</f>
        <v>1.3888888888888886E-2</v>
      </c>
      <c r="W37" s="305">
        <f t="shared" ref="W37" si="413">$B$37/40*$B$4</f>
        <v>272557.8</v>
      </c>
      <c r="X37" s="316">
        <f t="shared" ref="X37" si="414">W37/W16</f>
        <v>1.0869565217391304E-2</v>
      </c>
      <c r="Y37" s="305">
        <f t="shared" ref="Y37" si="415">$B$37/40*$B$4</f>
        <v>272557.8</v>
      </c>
      <c r="Z37" s="316">
        <f t="shared" ref="Z37" si="416">Y37/Y16</f>
        <v>9.2592592592592587E-3</v>
      </c>
      <c r="AA37" s="305">
        <f t="shared" ref="AA37" si="417">$B$37/40*$B$4</f>
        <v>272557.8</v>
      </c>
      <c r="AB37" s="316">
        <f t="shared" ref="AB37" si="418">AA37/AA16</f>
        <v>9.2592592592592587E-3</v>
      </c>
      <c r="AC37" s="305">
        <f t="shared" ref="AC37" si="419">$B$37/40*$B$4</f>
        <v>272557.8</v>
      </c>
      <c r="AD37" s="316">
        <f t="shared" ref="AD37" si="420">AC37/AC16</f>
        <v>8.9285714285714281E-3</v>
      </c>
      <c r="AE37" s="305">
        <f t="shared" ref="AE37" si="421">$B$37/40*$B$4</f>
        <v>272557.8</v>
      </c>
      <c r="AF37" s="316">
        <f t="shared" ref="AF37" si="422">AE37/AE16</f>
        <v>8.3333333333333332E-3</v>
      </c>
      <c r="AG37" s="305">
        <f t="shared" ref="AG37" si="423">$B$37/40*$B$4</f>
        <v>272557.8</v>
      </c>
      <c r="AH37" s="316">
        <f t="shared" ref="AH37" si="424">AG37/AG16</f>
        <v>6.2499999999999995E-3</v>
      </c>
      <c r="AI37" s="305">
        <f t="shared" ref="AI37" si="425">$B$37/40*$B$4</f>
        <v>272557.8</v>
      </c>
      <c r="AJ37" s="316">
        <f t="shared" ref="AJ37" si="426">AI37/AI16</f>
        <v>5.434782608695652E-3</v>
      </c>
      <c r="AK37" s="305">
        <f t="shared" ref="AK37" si="427">$B$37/40*$B$4</f>
        <v>272557.8</v>
      </c>
      <c r="AL37" s="316">
        <f t="shared" ref="AL37" si="428">AK37/AK16</f>
        <v>4.5454545454545452E-3</v>
      </c>
      <c r="AM37" s="305">
        <f t="shared" ref="AM37" si="429">$B$37/40*$B$4</f>
        <v>272557.8</v>
      </c>
      <c r="AN37" s="316">
        <f t="shared" ref="AN37" si="430">AM37/AM16</f>
        <v>4.1666666666666666E-3</v>
      </c>
      <c r="AO37" s="305">
        <f t="shared" ref="AO37" si="431">$B$37/40*$B$4</f>
        <v>272557.8</v>
      </c>
      <c r="AP37" s="316">
        <f t="shared" ref="AP37" si="432">AO37/AO16</f>
        <v>3.731343283582089E-3</v>
      </c>
      <c r="AQ37" s="305">
        <f t="shared" ref="AQ37" si="433">$B$37/40*$B$4</f>
        <v>272557.8</v>
      </c>
      <c r="AR37" s="316">
        <f t="shared" ref="AR37" si="434">AQ37/AQ16</f>
        <v>2.9761904761904756E-3</v>
      </c>
    </row>
    <row r="38" spans="1:45">
      <c r="A38" s="566" t="s">
        <v>222</v>
      </c>
      <c r="B38" s="567"/>
      <c r="C38" s="310">
        <f>SUM(C34:C37)</f>
        <v>1253765.8799999999</v>
      </c>
      <c r="D38" s="304"/>
      <c r="E38" s="310">
        <f>SUM(E34:E37)</f>
        <v>1548128.3040000002</v>
      </c>
      <c r="F38" s="303"/>
      <c r="G38" s="310">
        <f>SUM(G34:G37)</f>
        <v>1744369.92</v>
      </c>
      <c r="H38" s="303"/>
      <c r="I38" s="310">
        <f>SUM(I34:I37)</f>
        <v>2234973.96</v>
      </c>
      <c r="J38" s="303"/>
      <c r="K38" s="310">
        <f>SUM(K34:K37)</f>
        <v>2833510.8887999998</v>
      </c>
      <c r="L38" s="303"/>
      <c r="M38" s="310">
        <f>SUM(M34:M37)</f>
        <v>3991336.4232000001</v>
      </c>
      <c r="N38" s="303"/>
      <c r="O38" s="310">
        <f>SUM(O34:O37)</f>
        <v>4854799.5335999997</v>
      </c>
      <c r="P38" s="303"/>
      <c r="Q38" s="310">
        <f>SUM(Q34:Q37)</f>
        <v>1351886.6880000001</v>
      </c>
      <c r="R38" s="303"/>
      <c r="S38" s="310">
        <f t="shared" ref="S38" si="435">SUM(S34:S37)</f>
        <v>1646249.112</v>
      </c>
      <c r="T38" s="303"/>
      <c r="U38" s="310">
        <f t="shared" ref="U38" si="436">SUM(U34:U37)</f>
        <v>2038732.3440000003</v>
      </c>
      <c r="V38" s="303"/>
      <c r="W38" s="310">
        <f t="shared" ref="W38" si="437">SUM(W34:W37)</f>
        <v>2529336.3839999996</v>
      </c>
      <c r="X38" s="303"/>
      <c r="Y38" s="310">
        <f t="shared" ref="Y38" si="438">SUM(Y34:Y37)</f>
        <v>2921819.6160000004</v>
      </c>
      <c r="Z38" s="303"/>
      <c r="AA38" s="310">
        <f t="shared" ref="AA38" si="439">SUM(AA34:AA37)</f>
        <v>2921819.6160000004</v>
      </c>
      <c r="AB38" s="303"/>
      <c r="AC38" s="310">
        <f t="shared" ref="AC38" si="440">SUM(AC34:AC37)</f>
        <v>3019940.4239999996</v>
      </c>
      <c r="AD38" s="303"/>
      <c r="AE38" s="310">
        <f t="shared" ref="AE38" si="441">SUM(AE34:AE37)</f>
        <v>3216182.0399999996</v>
      </c>
      <c r="AF38" s="303"/>
      <c r="AG38" s="310">
        <f t="shared" ref="AG38" si="442">SUM(AG34:AG37)</f>
        <v>4197390.12</v>
      </c>
      <c r="AH38" s="303"/>
      <c r="AI38" s="310">
        <f t="shared" ref="AI38" si="443">SUM(AI34:AI37)</f>
        <v>4786114.9679999994</v>
      </c>
      <c r="AJ38" s="303"/>
      <c r="AK38" s="310">
        <f t="shared" ref="AK38" si="444">SUM(AK34:AK37)</f>
        <v>5669202.2399999993</v>
      </c>
      <c r="AL38" s="303"/>
      <c r="AM38" s="310">
        <f t="shared" ref="AM38" si="445">SUM(AM34:AM37)</f>
        <v>6159806.2799999993</v>
      </c>
      <c r="AN38" s="303"/>
      <c r="AO38" s="310">
        <f t="shared" ref="AO38" si="446">SUM(AO34:AO37)</f>
        <v>6846651.9360000007</v>
      </c>
      <c r="AP38" s="303"/>
      <c r="AQ38" s="310">
        <f t="shared" ref="AQ38" si="447">SUM(AQ34:AQ37)</f>
        <v>8514705.6720000021</v>
      </c>
      <c r="AR38" s="303"/>
    </row>
    <row r="39" spans="1:45">
      <c r="A39" s="564" t="s">
        <v>223</v>
      </c>
      <c r="B39" s="565"/>
      <c r="C39" s="298"/>
      <c r="D39" s="299" t="s">
        <v>196</v>
      </c>
      <c r="E39" s="298"/>
      <c r="F39" s="299" t="s">
        <v>196</v>
      </c>
      <c r="G39" s="298"/>
      <c r="H39" s="299" t="s">
        <v>196</v>
      </c>
      <c r="I39" s="298"/>
      <c r="J39" s="299" t="s">
        <v>196</v>
      </c>
      <c r="K39" s="298"/>
      <c r="L39" s="299" t="s">
        <v>196</v>
      </c>
      <c r="M39" s="298"/>
      <c r="N39" s="299" t="s">
        <v>196</v>
      </c>
      <c r="O39" s="298"/>
      <c r="P39" s="299" t="s">
        <v>196</v>
      </c>
      <c r="Q39" s="311"/>
      <c r="R39" s="302" t="s">
        <v>196</v>
      </c>
      <c r="S39" s="311"/>
      <c r="T39" s="302" t="s">
        <v>196</v>
      </c>
      <c r="U39" s="311"/>
      <c r="V39" s="302" t="s">
        <v>196</v>
      </c>
      <c r="W39" s="311"/>
      <c r="X39" s="302" t="s">
        <v>196</v>
      </c>
      <c r="Y39" s="311"/>
      <c r="Z39" s="302" t="s">
        <v>196</v>
      </c>
      <c r="AA39" s="311"/>
      <c r="AB39" s="302" t="s">
        <v>196</v>
      </c>
      <c r="AC39" s="311"/>
      <c r="AD39" s="302" t="s">
        <v>196</v>
      </c>
      <c r="AE39" s="311"/>
      <c r="AF39" s="302" t="s">
        <v>196</v>
      </c>
      <c r="AG39" s="311"/>
      <c r="AH39" s="302" t="s">
        <v>196</v>
      </c>
      <c r="AI39" s="311"/>
      <c r="AJ39" s="302" t="s">
        <v>196</v>
      </c>
      <c r="AK39" s="311"/>
      <c r="AL39" s="302" t="s">
        <v>196</v>
      </c>
      <c r="AM39" s="311"/>
      <c r="AN39" s="302" t="s">
        <v>196</v>
      </c>
      <c r="AO39" s="311"/>
      <c r="AP39" s="302" t="s">
        <v>196</v>
      </c>
      <c r="AQ39" s="311"/>
      <c r="AR39" s="302" t="s">
        <v>196</v>
      </c>
    </row>
    <row r="40" spans="1:45">
      <c r="A40" s="303" t="s">
        <v>224</v>
      </c>
      <c r="B40" s="307"/>
      <c r="C40" s="318">
        <f>367500</f>
        <v>367500</v>
      </c>
      <c r="D40" s="313">
        <f>C40/$C$16</f>
        <v>3.370844642861074E-2</v>
      </c>
      <c r="E40" s="305">
        <f>+$C$40</f>
        <v>367500</v>
      </c>
      <c r="F40" s="316">
        <f>E40/$E$16</f>
        <v>2.5929574175854411E-2</v>
      </c>
      <c r="G40" s="305">
        <f>+$C$40</f>
        <v>367500</v>
      </c>
      <c r="H40" s="313">
        <f>G40/$G$16</f>
        <v>2.2472297619073826E-2</v>
      </c>
      <c r="I40" s="305">
        <f>+$C$40</f>
        <v>367500</v>
      </c>
      <c r="J40" s="316">
        <f>I40/$I$16</f>
        <v>1.685422321430537E-2</v>
      </c>
      <c r="K40" s="305">
        <v>0</v>
      </c>
      <c r="L40" s="316">
        <f>K40/$K$16</f>
        <v>0</v>
      </c>
      <c r="M40" s="305">
        <v>0</v>
      </c>
      <c r="N40" s="316">
        <f>M40/$M$16</f>
        <v>0</v>
      </c>
      <c r="O40" s="305">
        <v>0</v>
      </c>
      <c r="P40" s="316">
        <f>O40/$O$16</f>
        <v>0</v>
      </c>
      <c r="Q40" s="305">
        <v>0</v>
      </c>
      <c r="R40" s="316">
        <f>Q40/Q16</f>
        <v>0</v>
      </c>
      <c r="S40" s="305">
        <v>1</v>
      </c>
      <c r="T40" s="316">
        <f t="shared" ref="T40" si="448">S40/S16</f>
        <v>6.5516902679515538E-8</v>
      </c>
      <c r="U40" s="305">
        <v>2</v>
      </c>
      <c r="V40" s="316">
        <f t="shared" ref="V40" si="449">U40/U16</f>
        <v>1.0191518194591304E-7</v>
      </c>
      <c r="W40" s="305">
        <v>3</v>
      </c>
      <c r="X40" s="316">
        <f t="shared" ref="X40" si="450">W40/W16</f>
        <v>1.196395614147675E-7</v>
      </c>
      <c r="Y40" s="305">
        <v>4</v>
      </c>
      <c r="Z40" s="316">
        <f t="shared" ref="Z40" si="451">Y40/Y16</f>
        <v>1.3588690926121738E-7</v>
      </c>
      <c r="AA40" s="305">
        <v>5</v>
      </c>
      <c r="AB40" s="316">
        <f t="shared" ref="AB40" si="452">AA40/AA16</f>
        <v>1.6985863657652171E-7</v>
      </c>
      <c r="AC40" s="305">
        <v>6</v>
      </c>
      <c r="AD40" s="316">
        <f t="shared" ref="AD40" si="453">AC40/AC16</f>
        <v>1.9655070803854659E-7</v>
      </c>
      <c r="AE40" s="305">
        <v>7</v>
      </c>
      <c r="AF40" s="316">
        <f t="shared" ref="AF40" si="454">AE40/AE16</f>
        <v>2.1402188208641738E-7</v>
      </c>
      <c r="AG40" s="305">
        <v>8</v>
      </c>
      <c r="AH40" s="316">
        <f t="shared" ref="AH40" si="455">AG40/AG16</f>
        <v>1.8344732750264347E-7</v>
      </c>
      <c r="AI40" s="305">
        <v>9</v>
      </c>
      <c r="AJ40" s="316">
        <f t="shared" ref="AJ40" si="456">AI40/AI16</f>
        <v>1.7945934212215125E-7</v>
      </c>
      <c r="AK40" s="305">
        <v>10</v>
      </c>
      <c r="AL40" s="316">
        <f t="shared" ref="AL40" si="457">AK40/AK16</f>
        <v>1.6677029772967589E-7</v>
      </c>
      <c r="AM40" s="305">
        <v>11</v>
      </c>
      <c r="AN40" s="316">
        <f t="shared" ref="AN40" si="458">AM40/AM16</f>
        <v>1.6816005021075653E-7</v>
      </c>
      <c r="AO40" s="305">
        <v>12</v>
      </c>
      <c r="AP40" s="316">
        <f t="shared" ref="AP40" si="459">AO40/AO16</f>
        <v>1.6428118880833742E-7</v>
      </c>
      <c r="AQ40" s="305">
        <v>13</v>
      </c>
      <c r="AR40" s="316">
        <f t="shared" ref="AR40" si="460">AQ40/AQ16</f>
        <v>1.4195328913895029E-7</v>
      </c>
    </row>
    <row r="41" spans="1:45">
      <c r="A41" s="303" t="s">
        <v>225</v>
      </c>
      <c r="B41" s="307"/>
      <c r="C41" s="318">
        <f>294000*1.0295</f>
        <v>302673</v>
      </c>
      <c r="D41" s="313">
        <f>C41/$C$16</f>
        <v>2.7762276478603805E-2</v>
      </c>
      <c r="E41" s="305">
        <f>+$C$41</f>
        <v>302673</v>
      </c>
      <c r="F41" s="316">
        <f>E41/$E$16</f>
        <v>2.1355597291233694E-2</v>
      </c>
      <c r="G41" s="305">
        <f>+$C$41</f>
        <v>302673</v>
      </c>
      <c r="H41" s="313">
        <f>G41/$G$16</f>
        <v>1.8508184319069202E-2</v>
      </c>
      <c r="I41" s="305">
        <f>+$C$41</f>
        <v>302673</v>
      </c>
      <c r="J41" s="316">
        <f>I41/$I$16</f>
        <v>1.3881138239301902E-2</v>
      </c>
      <c r="K41" s="305">
        <f>+$C$41</f>
        <v>302673</v>
      </c>
      <c r="L41" s="316">
        <f>K41/$K$16</f>
        <v>1.0636887539694944E-2</v>
      </c>
      <c r="M41" s="305">
        <f>+$C$41</f>
        <v>302673</v>
      </c>
      <c r="N41" s="316">
        <f>M41/$M$16</f>
        <v>7.3251389125603694E-3</v>
      </c>
      <c r="O41" s="305">
        <f>+$C$41</f>
        <v>302673</v>
      </c>
      <c r="P41" s="316">
        <f>O41/$O$16</f>
        <v>5.9448129504504933E-3</v>
      </c>
      <c r="Q41" s="305">
        <f>+$C$41</f>
        <v>302673</v>
      </c>
      <c r="R41" s="316">
        <f>Q41/Q16</f>
        <v>2.5238433162367093E-2</v>
      </c>
      <c r="S41" s="305">
        <f t="shared" ref="S41" si="461">+$C$41</f>
        <v>302673</v>
      </c>
      <c r="T41" s="316">
        <f t="shared" ref="T41" si="462">S41/S16</f>
        <v>1.9830197484717003E-2</v>
      </c>
      <c r="U41" s="305">
        <f t="shared" ref="U41" si="463">+$C$41</f>
        <v>302673</v>
      </c>
      <c r="V41" s="316">
        <f t="shared" ref="V41" si="464">U41/U16</f>
        <v>1.5423486932557668E-2</v>
      </c>
      <c r="W41" s="305">
        <f t="shared" ref="W41" si="465">+$C$41</f>
        <v>302673</v>
      </c>
      <c r="X41" s="316">
        <f t="shared" ref="X41" si="466">W41/W16</f>
        <v>1.2070554990697308E-2</v>
      </c>
      <c r="Y41" s="305">
        <f t="shared" ref="Y41" si="467">+$C$41</f>
        <v>302673</v>
      </c>
      <c r="Z41" s="316">
        <f t="shared" ref="Z41" si="468">Y41/Y16</f>
        <v>1.0282324621705112E-2</v>
      </c>
      <c r="AA41" s="305">
        <f t="shared" ref="AA41" si="469">+$C$41</f>
        <v>302673</v>
      </c>
      <c r="AB41" s="316">
        <f t="shared" ref="AB41" si="470">AA41/AA16</f>
        <v>1.0282324621705112E-2</v>
      </c>
      <c r="AC41" s="305">
        <f t="shared" ref="AC41" si="471">+$C$41</f>
        <v>302673</v>
      </c>
      <c r="AD41" s="316">
        <f t="shared" ref="AD41" si="472">AC41/AC16</f>
        <v>9.9150987423585017E-3</v>
      </c>
      <c r="AE41" s="305">
        <f t="shared" ref="AE41" si="473">+$C$41</f>
        <v>302673</v>
      </c>
      <c r="AF41" s="316">
        <f t="shared" ref="AF41" si="474">AE41/AE16</f>
        <v>9.254092159534601E-3</v>
      </c>
      <c r="AG41" s="305">
        <f t="shared" ref="AG41" si="475">+$C$41</f>
        <v>302673</v>
      </c>
      <c r="AH41" s="316">
        <f t="shared" ref="AH41" si="476">AG41/AG16</f>
        <v>6.9405691196509512E-3</v>
      </c>
      <c r="AI41" s="305">
        <f t="shared" ref="AI41" si="477">+$C$41</f>
        <v>302673</v>
      </c>
      <c r="AJ41" s="316">
        <f t="shared" ref="AJ41" si="478">AI41/AI16</f>
        <v>6.0352774953486539E-3</v>
      </c>
      <c r="AK41" s="305">
        <f t="shared" ref="AK41" si="479">+$C$41</f>
        <v>302673</v>
      </c>
      <c r="AL41" s="316">
        <f t="shared" ref="AL41" si="480">AK41/AK16</f>
        <v>5.0476866324734191E-3</v>
      </c>
      <c r="AM41" s="305">
        <f t="shared" ref="AM41" si="481">+$C$41</f>
        <v>302673</v>
      </c>
      <c r="AN41" s="316">
        <f t="shared" ref="AN41" si="482">AM41/AM16</f>
        <v>4.6270460797673005E-3</v>
      </c>
      <c r="AO41" s="305">
        <f t="shared" ref="AO41" si="483">+$C$41</f>
        <v>302673</v>
      </c>
      <c r="AP41" s="316">
        <f t="shared" ref="AP41" si="484">AO41/AO16</f>
        <v>4.1436233550154926E-3</v>
      </c>
      <c r="AQ41" s="305">
        <f t="shared" ref="AQ41" si="485">+$C$41</f>
        <v>302673</v>
      </c>
      <c r="AR41" s="316">
        <f t="shared" ref="AR41" si="486">AQ41/AQ16</f>
        <v>3.3050329141195E-3</v>
      </c>
    </row>
    <row r="42" spans="1:45">
      <c r="A42" s="566" t="s">
        <v>226</v>
      </c>
      <c r="B42" s="567"/>
      <c r="C42" s="310">
        <f>SUM(C40:C41)</f>
        <v>670173</v>
      </c>
      <c r="D42" s="304"/>
      <c r="E42" s="310">
        <f>SUM(E40:E41)</f>
        <v>670173</v>
      </c>
      <c r="F42" s="303"/>
      <c r="G42" s="310">
        <f>SUM(G40:G41)</f>
        <v>670173</v>
      </c>
      <c r="H42" s="303"/>
      <c r="I42" s="310">
        <f>SUM(I40:I41)</f>
        <v>670173</v>
      </c>
      <c r="J42" s="303"/>
      <c r="K42" s="310">
        <f>SUM(K40:K41)</f>
        <v>302673</v>
      </c>
      <c r="L42" s="303"/>
      <c r="M42" s="310">
        <v>0</v>
      </c>
      <c r="N42" s="303"/>
      <c r="O42" s="310">
        <v>0</v>
      </c>
      <c r="P42" s="303"/>
      <c r="Q42" s="310">
        <v>0</v>
      </c>
      <c r="R42" s="303"/>
      <c r="S42" s="310">
        <v>1</v>
      </c>
      <c r="T42" s="303"/>
      <c r="U42" s="310">
        <v>2</v>
      </c>
      <c r="V42" s="303"/>
      <c r="W42" s="310">
        <v>3</v>
      </c>
      <c r="X42" s="303"/>
      <c r="Y42" s="310">
        <v>4</v>
      </c>
      <c r="Z42" s="303"/>
      <c r="AA42" s="310">
        <v>5</v>
      </c>
      <c r="AB42" s="303"/>
      <c r="AC42" s="310">
        <v>6</v>
      </c>
      <c r="AD42" s="303"/>
      <c r="AE42" s="310">
        <v>7</v>
      </c>
      <c r="AF42" s="303"/>
      <c r="AG42" s="310">
        <v>8</v>
      </c>
      <c r="AH42" s="303"/>
      <c r="AI42" s="310">
        <v>9</v>
      </c>
      <c r="AJ42" s="303"/>
      <c r="AK42" s="310">
        <v>10</v>
      </c>
      <c r="AL42" s="303"/>
      <c r="AM42" s="310">
        <v>11</v>
      </c>
      <c r="AN42" s="303"/>
      <c r="AO42" s="310">
        <v>12</v>
      </c>
      <c r="AP42" s="303"/>
      <c r="AQ42" s="310">
        <v>13</v>
      </c>
      <c r="AR42" s="303"/>
    </row>
    <row r="43" spans="1:45" s="324" customFormat="1">
      <c r="A43" s="319" t="s">
        <v>227</v>
      </c>
      <c r="B43" s="320"/>
      <c r="C43" s="321">
        <f>SUM(C42,C38,C32,C27,C18)</f>
        <v>19596585.644159999</v>
      </c>
      <c r="D43" s="322">
        <f>SUM(D16:D42)</f>
        <v>1.7877101871382877</v>
      </c>
      <c r="E43" s="321">
        <f>SUM(E42,E38,E32,E27,E18)</f>
        <v>24773753.460825603</v>
      </c>
      <c r="F43" s="323">
        <f>SUM(F16:F42)</f>
        <v>1.7404453747217594</v>
      </c>
      <c r="G43" s="321">
        <f>SUM(G42,G38,G32,G27,G18)</f>
        <v>28225198.671935998</v>
      </c>
      <c r="H43" s="323">
        <f>SUM(H16:H42)</f>
        <v>1.7194387914255254</v>
      </c>
      <c r="I43" s="321">
        <f>SUM(I42,I38,I32,I27,I18)</f>
        <v>36853811.699712001</v>
      </c>
      <c r="J43" s="323">
        <f>SUM(J16:J42)</f>
        <v>1.6853030935691435</v>
      </c>
      <c r="K43" s="321">
        <f>SUM(K42,K38,K32,K27,K18)</f>
        <v>45616590.804990724</v>
      </c>
      <c r="L43" s="323">
        <f>SUM(L16:L42)</f>
        <v>1.6031114316009973</v>
      </c>
      <c r="M43" s="321">
        <f>SUM(M42,M38,M32,M27,M18)</f>
        <v>65677444.550542086</v>
      </c>
      <c r="N43" s="323">
        <f>SUM(N16:N42)</f>
        <v>1.5968174449811616</v>
      </c>
      <c r="O43" s="321">
        <f>SUM(O42,O38,O32,O27,O18)</f>
        <v>80863803.479427844</v>
      </c>
      <c r="P43" s="323">
        <f>SUM(P16:P42)</f>
        <v>1.594194132008266</v>
      </c>
      <c r="Q43" s="321">
        <f>SUM(Q42,Q38,Q32,Q27,Q18)</f>
        <v>20652135.249715202</v>
      </c>
      <c r="R43" s="323">
        <f>SUM(R16:R42)</f>
        <v>1.7384466733724335</v>
      </c>
      <c r="S43" s="321">
        <f>SUM(S42,S38,S32,S27,S18)</f>
        <v>25829304.066380799</v>
      </c>
      <c r="T43" s="323">
        <f>SUM(T16:T42)</f>
        <v>1.7051144517381003</v>
      </c>
      <c r="U43" s="321">
        <f>SUM(U42,U38,U32,U27,U18)</f>
        <v>32732195.488601603</v>
      </c>
      <c r="V43" s="323">
        <f>SUM(V16:V42)</f>
        <v>1.6779548467538912</v>
      </c>
      <c r="W43" s="321">
        <f>SUM(W42,W38,W32,W27,W18)</f>
        <v>39964180.727769598</v>
      </c>
      <c r="X43" s="323">
        <f>SUM(X16:X42)</f>
        <v>1.6058362398476496</v>
      </c>
      <c r="Y43" s="321">
        <f>SUM(Y42,Y38,Y32,Y27,Y18)</f>
        <v>46867072.14999041</v>
      </c>
      <c r="Z43" s="323">
        <f>SUM(Z16:Z42)</f>
        <v>1.6024377197678734</v>
      </c>
      <c r="AA43" s="321">
        <f>SUM(AA42,AA38,AA32,AA27,AA18)</f>
        <v>46867073.14999041</v>
      </c>
      <c r="AB43" s="323">
        <f>SUM(AB16:AB42)</f>
        <v>1.6024377537396006</v>
      </c>
      <c r="AC43" s="321">
        <f>SUM(AC42,AC38,AC32,AC27,AC18)</f>
        <v>48592796.755545601</v>
      </c>
      <c r="AD43" s="323">
        <f>SUM(AD16:AD42)</f>
        <v>1.6017398667216374</v>
      </c>
      <c r="AE43" s="321">
        <f>SUM(AE42,AE38,AE32,AE27,AE18)</f>
        <v>52044242.966655999</v>
      </c>
      <c r="AF43" s="323">
        <f>SUM(AF16:AF42)</f>
        <v>1.6004836395147495</v>
      </c>
      <c r="AG43" s="321">
        <f>SUM(AG42,AG38,AG32,AG27,AG18)</f>
        <v>69301470.022208005</v>
      </c>
      <c r="AH43" s="323">
        <f>SUM(AH16:AH42)</f>
        <v>1.5960867525669782</v>
      </c>
      <c r="AI43" s="321">
        <f>SUM(AI42,AI38,AI32,AI27,AI18)</f>
        <v>79655806.655539185</v>
      </c>
      <c r="AJ43" s="323">
        <f>SUM(AJ16:AJ42)</f>
        <v>1.594366239563386</v>
      </c>
      <c r="AK43" s="321">
        <f>SUM(AK42,AK38,AK32,AK27,AK18)</f>
        <v>95187311.105535999</v>
      </c>
      <c r="AL43" s="323">
        <f>SUM(AL16:AL42)</f>
        <v>1.5924893079482254</v>
      </c>
      <c r="AM43" s="321">
        <f>SUM(AM42,AM38,AM32,AM27,AM18)</f>
        <v>103815925.133312</v>
      </c>
      <c r="AN43" s="323">
        <f>SUM(AN16:AN42)</f>
        <v>1.5916898809064837</v>
      </c>
      <c r="AO43" s="321">
        <f>SUM(AO42,AO38,AO32,AO27,AO18)</f>
        <v>115895984.3721984</v>
      </c>
      <c r="AP43" s="323">
        <f>SUM(AP16:AP42)</f>
        <v>1.5907711309197865</v>
      </c>
      <c r="AQ43" s="321">
        <f>SUM(AQ42,AQ38,AQ32,AQ27,AQ18)</f>
        <v>145233269.66663682</v>
      </c>
      <c r="AR43" s="323">
        <f>SUM(AR16:AR42)</f>
        <v>1.5891773653435988</v>
      </c>
    </row>
    <row r="44" spans="1:45" s="324" customFormat="1">
      <c r="A44" s="319" t="s">
        <v>228</v>
      </c>
      <c r="B44" s="320"/>
      <c r="C44" s="321">
        <f>+D43</f>
        <v>1.7877101871382877</v>
      </c>
      <c r="D44" s="322"/>
      <c r="E44" s="321">
        <f>+F43</f>
        <v>1.7404453747217594</v>
      </c>
      <c r="F44" s="323"/>
      <c r="G44" s="321">
        <f>+H43</f>
        <v>1.7194387914255254</v>
      </c>
      <c r="H44" s="323"/>
      <c r="I44" s="321">
        <f>+J43</f>
        <v>1.6853030935691435</v>
      </c>
      <c r="J44" s="323"/>
      <c r="K44" s="321">
        <f>+L43</f>
        <v>1.6031114316009973</v>
      </c>
      <c r="L44" s="323"/>
      <c r="M44" s="321">
        <f t="shared" ref="M44" si="487">+N43</f>
        <v>1.5968174449811616</v>
      </c>
      <c r="N44" s="323"/>
      <c r="O44" s="321">
        <f t="shared" ref="O44" si="488">+P43</f>
        <v>1.594194132008266</v>
      </c>
      <c r="P44" s="323"/>
      <c r="Q44" s="321">
        <f t="shared" ref="Q44" si="489">+R43</f>
        <v>1.7384466733724335</v>
      </c>
      <c r="R44" s="323"/>
      <c r="S44" s="321">
        <f t="shared" ref="S44" si="490">+T43</f>
        <v>1.7051144517381003</v>
      </c>
      <c r="T44" s="323"/>
      <c r="U44" s="321">
        <f t="shared" ref="U44" si="491">+V43</f>
        <v>1.6779548467538912</v>
      </c>
      <c r="V44" s="323"/>
      <c r="W44" s="321">
        <f t="shared" ref="W44" si="492">+X43</f>
        <v>1.6058362398476496</v>
      </c>
      <c r="X44" s="323"/>
      <c r="Y44" s="321">
        <f t="shared" ref="Y44" si="493">+Z43</f>
        <v>1.6024377197678734</v>
      </c>
      <c r="Z44" s="323"/>
      <c r="AA44" s="321">
        <f t="shared" ref="AA44" si="494">+AB43</f>
        <v>1.6024377537396006</v>
      </c>
      <c r="AB44" s="323"/>
      <c r="AC44" s="321">
        <f t="shared" ref="AC44" si="495">+AD43</f>
        <v>1.6017398667216374</v>
      </c>
      <c r="AD44" s="323"/>
      <c r="AE44" s="321">
        <f t="shared" ref="AE44" si="496">+AF43</f>
        <v>1.6004836395147495</v>
      </c>
      <c r="AF44" s="323"/>
      <c r="AG44" s="321">
        <f t="shared" ref="AG44" si="497">+AH43</f>
        <v>1.5960867525669782</v>
      </c>
      <c r="AH44" s="323"/>
      <c r="AI44" s="321">
        <f t="shared" ref="AI44" si="498">+AJ43</f>
        <v>1.594366239563386</v>
      </c>
      <c r="AJ44" s="323"/>
      <c r="AK44" s="321">
        <f t="shared" ref="AK44" si="499">+AL43</f>
        <v>1.5924893079482254</v>
      </c>
      <c r="AL44" s="323"/>
      <c r="AM44" s="321">
        <f t="shared" ref="AM44" si="500">+AN43</f>
        <v>1.5916898809064837</v>
      </c>
      <c r="AN44" s="323"/>
      <c r="AO44" s="321">
        <f t="shared" ref="AO44" si="501">+AP43</f>
        <v>1.5907711309197865</v>
      </c>
      <c r="AP44" s="323"/>
      <c r="AQ44" s="321">
        <f t="shared" ref="AQ44" si="502">+AR43</f>
        <v>1.5891773653435988</v>
      </c>
      <c r="AR44" s="323"/>
    </row>
    <row r="46" spans="1:45">
      <c r="B46" s="290"/>
      <c r="C46" s="296"/>
      <c r="D46" s="325"/>
      <c r="E46" s="325"/>
      <c r="F46" s="325"/>
      <c r="G46" s="325"/>
      <c r="H46" s="325"/>
      <c r="I46" s="325"/>
      <c r="J46" s="325"/>
      <c r="K46" s="325"/>
      <c r="L46" s="325"/>
      <c r="M46" s="325"/>
      <c r="N46" s="325"/>
      <c r="O46" s="325"/>
      <c r="P46" s="325"/>
      <c r="Q46" s="326"/>
      <c r="R46" s="327"/>
      <c r="S46" s="327"/>
      <c r="T46" s="327"/>
      <c r="U46" s="327"/>
      <c r="V46" s="327"/>
      <c r="W46" s="327"/>
      <c r="X46" s="327"/>
      <c r="Y46" s="327"/>
      <c r="Z46" s="327"/>
      <c r="AA46" s="327"/>
      <c r="AB46" s="327"/>
      <c r="AC46" s="327"/>
      <c r="AD46" s="327"/>
      <c r="AE46" s="327"/>
      <c r="AF46" s="327"/>
      <c r="AG46" s="327"/>
      <c r="AH46" s="327"/>
      <c r="AI46" s="327"/>
      <c r="AJ46" s="327"/>
      <c r="AK46" s="327"/>
      <c r="AL46" s="327"/>
      <c r="AM46" s="327"/>
      <c r="AN46" s="327"/>
      <c r="AO46" s="327"/>
      <c r="AP46" s="327"/>
      <c r="AQ46" s="327"/>
      <c r="AR46" s="327"/>
    </row>
    <row r="47" spans="1:45">
      <c r="A47" s="564" t="s">
        <v>229</v>
      </c>
      <c r="B47" s="565"/>
      <c r="C47" s="292">
        <v>1</v>
      </c>
      <c r="D47" s="293" t="s">
        <v>194</v>
      </c>
      <c r="E47" s="292">
        <v>1.3</v>
      </c>
      <c r="F47" s="293" t="s">
        <v>194</v>
      </c>
      <c r="G47" s="292">
        <v>1.3</v>
      </c>
      <c r="H47" s="293" t="s">
        <v>194</v>
      </c>
      <c r="I47" s="292">
        <v>2</v>
      </c>
      <c r="J47" s="293" t="s">
        <v>194</v>
      </c>
      <c r="K47" s="292">
        <v>2.61</v>
      </c>
      <c r="L47" s="293" t="s">
        <v>194</v>
      </c>
      <c r="M47" s="292">
        <v>3.79</v>
      </c>
      <c r="N47" s="293" t="s">
        <v>194</v>
      </c>
      <c r="O47" s="292">
        <v>4.67</v>
      </c>
      <c r="P47" s="293" t="s">
        <v>194</v>
      </c>
      <c r="Q47" s="328">
        <f>+Q10</f>
        <v>1.1000000000000001</v>
      </c>
      <c r="R47" s="329" t="s">
        <v>194</v>
      </c>
      <c r="S47" s="328">
        <f>+S10</f>
        <v>1.4</v>
      </c>
      <c r="T47" s="329" t="s">
        <v>194</v>
      </c>
      <c r="U47" s="328">
        <f>+U10</f>
        <v>1.8</v>
      </c>
      <c r="V47" s="329" t="s">
        <v>194</v>
      </c>
      <c r="W47" s="328">
        <f>+W10</f>
        <v>2.2999999999999998</v>
      </c>
      <c r="X47" s="329" t="s">
        <v>194</v>
      </c>
      <c r="Y47" s="328">
        <f>+Y10</f>
        <v>2.7</v>
      </c>
      <c r="Z47" s="329" t="s">
        <v>194</v>
      </c>
      <c r="AA47" s="328">
        <f>+AA10</f>
        <v>2.7</v>
      </c>
      <c r="AB47" s="329" t="s">
        <v>194</v>
      </c>
      <c r="AC47" s="328">
        <f>+AC10</f>
        <v>2.8</v>
      </c>
      <c r="AD47" s="329" t="s">
        <v>194</v>
      </c>
      <c r="AE47" s="328">
        <f>+AE10</f>
        <v>3</v>
      </c>
      <c r="AF47" s="329" t="s">
        <v>194</v>
      </c>
      <c r="AG47" s="328">
        <f>+AG10</f>
        <v>4</v>
      </c>
      <c r="AH47" s="329" t="s">
        <v>194</v>
      </c>
      <c r="AI47" s="328">
        <f>+AI10</f>
        <v>4.5999999999999996</v>
      </c>
      <c r="AJ47" s="329" t="s">
        <v>194</v>
      </c>
      <c r="AK47" s="328">
        <f>+AK10</f>
        <v>5.5</v>
      </c>
      <c r="AL47" s="329" t="s">
        <v>194</v>
      </c>
      <c r="AM47" s="328">
        <f>+AM10</f>
        <v>6</v>
      </c>
      <c r="AN47" s="329" t="s">
        <v>194</v>
      </c>
      <c r="AO47" s="328">
        <f>+AO10</f>
        <v>6.7</v>
      </c>
      <c r="AP47" s="329" t="s">
        <v>194</v>
      </c>
      <c r="AQ47" s="328">
        <f>+AQ10</f>
        <v>8.4</v>
      </c>
      <c r="AR47" s="329" t="s">
        <v>194</v>
      </c>
    </row>
    <row r="48" spans="1:45">
      <c r="A48" s="570" t="s">
        <v>230</v>
      </c>
      <c r="B48" s="571"/>
      <c r="C48" s="568">
        <f>365*8-($C$62*8)</f>
        <v>2336</v>
      </c>
      <c r="D48" s="569"/>
      <c r="E48" s="568">
        <f>365*8-($C$62*8)</f>
        <v>2336</v>
      </c>
      <c r="F48" s="569"/>
      <c r="G48" s="568">
        <f>365*8-($C$62*8)</f>
        <v>2336</v>
      </c>
      <c r="H48" s="569"/>
      <c r="I48" s="568">
        <f>365*8-($C$62*8)</f>
        <v>2336</v>
      </c>
      <c r="J48" s="569"/>
      <c r="K48" s="568">
        <f t="shared" ref="K48" si="503">365*8-($C$62*8)</f>
        <v>2336</v>
      </c>
      <c r="L48" s="569"/>
      <c r="M48" s="568">
        <f t="shared" ref="M48" si="504">365*8-($C$62*8)</f>
        <v>2336</v>
      </c>
      <c r="N48" s="569"/>
      <c r="O48" s="568">
        <f t="shared" ref="O48:AQ48" si="505">365*8-($C$62*8)</f>
        <v>2336</v>
      </c>
      <c r="P48" s="569"/>
      <c r="Q48" s="572">
        <f t="shared" si="505"/>
        <v>2336</v>
      </c>
      <c r="R48" s="573"/>
      <c r="S48" s="572">
        <f t="shared" si="505"/>
        <v>2336</v>
      </c>
      <c r="T48" s="573"/>
      <c r="U48" s="572">
        <f t="shared" si="505"/>
        <v>2336</v>
      </c>
      <c r="V48" s="573"/>
      <c r="W48" s="572">
        <f t="shared" si="505"/>
        <v>2336</v>
      </c>
      <c r="X48" s="573"/>
      <c r="Y48" s="572">
        <f t="shared" si="505"/>
        <v>2336</v>
      </c>
      <c r="Z48" s="573"/>
      <c r="AA48" s="572">
        <f t="shared" si="505"/>
        <v>2336</v>
      </c>
      <c r="AB48" s="573"/>
      <c r="AC48" s="572">
        <f t="shared" si="505"/>
        <v>2336</v>
      </c>
      <c r="AD48" s="573"/>
      <c r="AE48" s="572">
        <f t="shared" si="505"/>
        <v>2336</v>
      </c>
      <c r="AF48" s="573"/>
      <c r="AG48" s="572">
        <f t="shared" si="505"/>
        <v>2336</v>
      </c>
      <c r="AH48" s="573"/>
      <c r="AI48" s="572">
        <f t="shared" si="505"/>
        <v>2336</v>
      </c>
      <c r="AJ48" s="573"/>
      <c r="AK48" s="572">
        <f t="shared" si="505"/>
        <v>2336</v>
      </c>
      <c r="AL48" s="573"/>
      <c r="AM48" s="572">
        <f t="shared" si="505"/>
        <v>2336</v>
      </c>
      <c r="AN48" s="573"/>
      <c r="AO48" s="572">
        <f t="shared" si="505"/>
        <v>2336</v>
      </c>
      <c r="AP48" s="573"/>
      <c r="AQ48" s="572">
        <f t="shared" si="505"/>
        <v>2336</v>
      </c>
      <c r="AR48" s="573"/>
    </row>
    <row r="49" spans="1:44">
      <c r="A49" s="296" t="s">
        <v>231</v>
      </c>
      <c r="B49" s="325"/>
      <c r="C49" s="325"/>
      <c r="D49" s="325"/>
      <c r="E49" s="325"/>
      <c r="F49" s="325"/>
      <c r="G49" s="325"/>
      <c r="H49" s="325"/>
      <c r="I49" s="325"/>
      <c r="J49" s="325"/>
      <c r="K49" s="325"/>
      <c r="L49" s="325"/>
      <c r="M49" s="325"/>
      <c r="N49" s="325"/>
      <c r="O49" s="325"/>
      <c r="P49" s="325"/>
      <c r="Q49" s="326"/>
      <c r="R49" s="327"/>
      <c r="S49" s="327"/>
      <c r="T49" s="327"/>
      <c r="U49" s="327"/>
      <c r="V49" s="327"/>
      <c r="W49" s="327"/>
      <c r="X49" s="327"/>
      <c r="Y49" s="327"/>
      <c r="Z49" s="327"/>
      <c r="AA49" s="327"/>
      <c r="AB49" s="327"/>
      <c r="AC49" s="327"/>
      <c r="AD49" s="327"/>
      <c r="AE49" s="327"/>
      <c r="AF49" s="327"/>
      <c r="AG49" s="330"/>
      <c r="AH49" s="330"/>
      <c r="AI49" s="330"/>
      <c r="AJ49" s="330"/>
      <c r="AK49" s="330"/>
      <c r="AL49" s="330"/>
      <c r="AM49" s="330"/>
      <c r="AN49" s="330"/>
      <c r="AO49" s="330"/>
      <c r="AP49" s="330"/>
      <c r="AQ49" s="330"/>
      <c r="AR49" s="330"/>
    </row>
    <row r="50" spans="1:44">
      <c r="A50" s="570" t="s">
        <v>232</v>
      </c>
      <c r="B50" s="571"/>
      <c r="C50" s="568">
        <f>C43/C48</f>
        <v>8388.9493339726014</v>
      </c>
      <c r="D50" s="569"/>
      <c r="E50" s="568">
        <f>E43/E48</f>
        <v>10605.202680147946</v>
      </c>
      <c r="F50" s="569"/>
      <c r="G50" s="568">
        <f>G43/G48</f>
        <v>12082.704910931507</v>
      </c>
      <c r="H50" s="569"/>
      <c r="I50" s="568">
        <f>I43/I48</f>
        <v>15776.460487890412</v>
      </c>
      <c r="J50" s="569"/>
      <c r="K50" s="568">
        <f>K43/K48</f>
        <v>19527.650173369315</v>
      </c>
      <c r="L50" s="569"/>
      <c r="M50" s="568">
        <f>M43/M48</f>
        <v>28115.344413759456</v>
      </c>
      <c r="N50" s="569"/>
      <c r="O50" s="568">
        <f>O43/O48</f>
        <v>34616.354229207122</v>
      </c>
      <c r="P50" s="569"/>
      <c r="Q50" s="574">
        <f>Q43/Q48</f>
        <v>8840.8113226520563</v>
      </c>
      <c r="R50" s="575"/>
      <c r="S50" s="574">
        <f>S43/S48</f>
        <v>11057.065096909588</v>
      </c>
      <c r="T50" s="575"/>
      <c r="U50" s="574">
        <f>U43/U48</f>
        <v>14012.069986558905</v>
      </c>
      <c r="V50" s="575"/>
      <c r="W50" s="574">
        <f>W43/W48</f>
        <v>17107.954078668492</v>
      </c>
      <c r="X50" s="575"/>
      <c r="Y50" s="574">
        <f>Y43/Y48</f>
        <v>20062.958968317813</v>
      </c>
      <c r="Z50" s="575"/>
      <c r="AA50" s="574">
        <f>AA43/AA48</f>
        <v>20062.959396400005</v>
      </c>
      <c r="AB50" s="575"/>
      <c r="AC50" s="574">
        <f>AC43/AC48</f>
        <v>20801.710939873974</v>
      </c>
      <c r="AD50" s="575"/>
      <c r="AE50" s="574">
        <f>AE43/AE48</f>
        <v>22279.213598739727</v>
      </c>
      <c r="AF50" s="575"/>
      <c r="AG50" s="574">
        <f t="shared" ref="AG50" si="506">AG43/AG48</f>
        <v>29666.72518073973</v>
      </c>
      <c r="AH50" s="575"/>
      <c r="AI50" s="574">
        <f t="shared" ref="AI50" si="507">AI43/AI48</f>
        <v>34099.232301172597</v>
      </c>
      <c r="AJ50" s="575"/>
      <c r="AK50" s="574">
        <f t="shared" ref="AK50" si="508">AK43/AK48</f>
        <v>40747.992767780823</v>
      </c>
      <c r="AL50" s="575"/>
      <c r="AM50" s="574">
        <f t="shared" ref="AM50" si="509">AM43/AM48</f>
        <v>44441.74877282192</v>
      </c>
      <c r="AN50" s="575"/>
      <c r="AO50" s="574">
        <f t="shared" ref="AO50" si="510">AO43/AO48</f>
        <v>49613.007008646578</v>
      </c>
      <c r="AP50" s="575"/>
      <c r="AQ50" s="574">
        <f t="shared" ref="AQ50" si="511">AQ43/AQ48</f>
        <v>62171.776398389055</v>
      </c>
      <c r="AR50" s="575"/>
    </row>
    <row r="51" spans="1:44">
      <c r="A51" s="570" t="s">
        <v>233</v>
      </c>
      <c r="B51" s="571"/>
      <c r="C51" s="568">
        <f>C50*8*30</f>
        <v>2013347.8401534243</v>
      </c>
      <c r="D51" s="569"/>
      <c r="E51" s="568">
        <f>E50*8*30</f>
        <v>2545248.643235507</v>
      </c>
      <c r="F51" s="569"/>
      <c r="G51" s="568">
        <f>G50*8*30</f>
        <v>2899849.1786235617</v>
      </c>
      <c r="H51" s="569"/>
      <c r="I51" s="568">
        <f>I50*8*30</f>
        <v>3786350.517093699</v>
      </c>
      <c r="J51" s="569"/>
      <c r="K51" s="568">
        <f>K50*8*30</f>
        <v>4686636.0416086353</v>
      </c>
      <c r="L51" s="569"/>
      <c r="M51" s="568">
        <f>M50*8*30</f>
        <v>6747682.6593022691</v>
      </c>
      <c r="N51" s="569"/>
      <c r="O51" s="568">
        <f>O50*8*30</f>
        <v>8307925.0150097087</v>
      </c>
      <c r="P51" s="569"/>
      <c r="Q51" s="568">
        <f>Q50*8*30</f>
        <v>2121794.7174364934</v>
      </c>
      <c r="R51" s="569"/>
      <c r="S51" s="568">
        <f>S50*8*30</f>
        <v>2653695.6232583011</v>
      </c>
      <c r="T51" s="569"/>
      <c r="U51" s="568">
        <f>U50*8*30</f>
        <v>3362896.7967741373</v>
      </c>
      <c r="V51" s="569"/>
      <c r="W51" s="568">
        <f>W50*8*30</f>
        <v>4105908.978880438</v>
      </c>
      <c r="X51" s="569"/>
      <c r="Y51" s="568">
        <f>Y50*8*30</f>
        <v>4815110.1523962747</v>
      </c>
      <c r="Z51" s="569"/>
      <c r="AA51" s="568">
        <f>AA50*8*30</f>
        <v>4815110.2551360009</v>
      </c>
      <c r="AB51" s="569"/>
      <c r="AC51" s="568">
        <f>AC50*8*30</f>
        <v>4992410.6255697533</v>
      </c>
      <c r="AD51" s="569"/>
      <c r="AE51" s="568">
        <f>AE50*8*30</f>
        <v>5347011.2636975348</v>
      </c>
      <c r="AF51" s="569"/>
      <c r="AG51" s="568">
        <f t="shared" ref="AG51" si="512">AG50*8*30</f>
        <v>7120014.0433775354</v>
      </c>
      <c r="AH51" s="569"/>
      <c r="AI51" s="568">
        <f t="shared" ref="AI51" si="513">AI50*8*30</f>
        <v>8183815.7522814237</v>
      </c>
      <c r="AJ51" s="569"/>
      <c r="AK51" s="568">
        <f t="shared" ref="AK51" si="514">AK50*8*30</f>
        <v>9779518.264267398</v>
      </c>
      <c r="AL51" s="569"/>
      <c r="AM51" s="568">
        <f t="shared" ref="AM51" si="515">AM50*8*30</f>
        <v>10666019.70547726</v>
      </c>
      <c r="AN51" s="569"/>
      <c r="AO51" s="568">
        <f t="shared" ref="AO51" si="516">AO50*8*30</f>
        <v>11907121.682075178</v>
      </c>
      <c r="AP51" s="569"/>
      <c r="AQ51" s="568">
        <f t="shared" ref="AQ51" si="517">AQ50*8*30</f>
        <v>14921226.335613374</v>
      </c>
      <c r="AR51" s="569"/>
    </row>
    <row r="52" spans="1:44">
      <c r="A52" s="576" t="s">
        <v>234</v>
      </c>
      <c r="B52" s="577"/>
      <c r="C52" s="578">
        <f>ROUND(((C51-C14)/C14)+1,2)</f>
        <v>1.98</v>
      </c>
      <c r="D52" s="579"/>
      <c r="E52" s="578">
        <f>ROUND(((E51-E14)/E14)+1,2)</f>
        <v>1.98</v>
      </c>
      <c r="F52" s="579"/>
      <c r="G52" s="578">
        <f>ROUND(((G51-G14)/G14)+1,2)</f>
        <v>1.97</v>
      </c>
      <c r="H52" s="579"/>
      <c r="I52" s="578">
        <f t="shared" ref="I52" si="518">ROUND(((I51-I14)/I14)+1,2)</f>
        <v>1.97</v>
      </c>
      <c r="J52" s="579"/>
      <c r="K52" s="578">
        <f t="shared" ref="K52" si="519">ROUND(((K51-K14)/K14)+1,2)</f>
        <v>1.98</v>
      </c>
      <c r="L52" s="579"/>
      <c r="M52" s="578">
        <f t="shared" ref="M52" si="520">ROUND(((M51-M14)/M14)+1,2)</f>
        <v>1.96</v>
      </c>
      <c r="N52" s="579"/>
      <c r="O52" s="578">
        <f t="shared" ref="O52:Q52" si="521">ROUND(((O51-O14)/O14)+1,2)</f>
        <v>1.96</v>
      </c>
      <c r="P52" s="579"/>
      <c r="Q52" s="578">
        <f t="shared" si="521"/>
        <v>1.92</v>
      </c>
      <c r="R52" s="579"/>
      <c r="S52" s="578">
        <f t="shared" ref="S52" si="522">ROUND(((S51-S14)/S14)+1,2)</f>
        <v>1.93</v>
      </c>
      <c r="T52" s="579"/>
      <c r="U52" s="578">
        <f t="shared" ref="U52" si="523">ROUND(((U51-U14)/U14)+1,2)</f>
        <v>1.93</v>
      </c>
      <c r="V52" s="579"/>
      <c r="W52" s="578">
        <f t="shared" ref="W52" si="524">ROUND(((W51-W14)/W14)+1,2)</f>
        <v>1.96</v>
      </c>
      <c r="X52" s="579"/>
      <c r="Y52" s="578">
        <f t="shared" ref="Y52" si="525">ROUND(((Y51-Y14)/Y14)+1,2)</f>
        <v>1.96</v>
      </c>
      <c r="Z52" s="579"/>
      <c r="AA52" s="578">
        <f t="shared" ref="AA52" si="526">ROUND(((AA51-AA14)/AA14)+1,2)</f>
        <v>1.96</v>
      </c>
      <c r="AB52" s="579"/>
      <c r="AC52" s="578">
        <f t="shared" ref="AC52" si="527">ROUND(((AC51-AC14)/AC14)+1,2)</f>
        <v>1.96</v>
      </c>
      <c r="AD52" s="579"/>
      <c r="AE52" s="578">
        <f t="shared" ref="AE52" si="528">ROUND(((AE51-AE14)/AE14)+1,2)</f>
        <v>1.96</v>
      </c>
      <c r="AF52" s="579"/>
      <c r="AG52" s="578">
        <f t="shared" ref="AG52" si="529">ROUND(((AG51-AG14)/AG14)+1,2)</f>
        <v>1.96</v>
      </c>
      <c r="AH52" s="579"/>
      <c r="AI52" s="578">
        <f t="shared" ref="AI52" si="530">ROUND(((AI51-AI14)/AI14)+1,2)</f>
        <v>1.96</v>
      </c>
      <c r="AJ52" s="579"/>
      <c r="AK52" s="578">
        <f t="shared" ref="AK52" si="531">ROUND(((AK51-AK14)/AK14)+1,2)</f>
        <v>1.96</v>
      </c>
      <c r="AL52" s="579"/>
      <c r="AM52" s="578">
        <f t="shared" ref="AM52" si="532">ROUND(((AM51-AM14)/AM14)+1,2)</f>
        <v>1.96</v>
      </c>
      <c r="AN52" s="579"/>
      <c r="AO52" s="578">
        <f t="shared" ref="AO52" si="533">ROUND(((AO51-AO14)/AO14)+1,2)</f>
        <v>1.96</v>
      </c>
      <c r="AP52" s="579"/>
      <c r="AQ52" s="578">
        <f t="shared" ref="AQ52" si="534">ROUND(((AQ51-AQ14)/AQ14)+1,2)</f>
        <v>1.96</v>
      </c>
      <c r="AR52" s="579"/>
    </row>
    <row r="53" spans="1:44">
      <c r="C53" s="331"/>
    </row>
    <row r="54" spans="1:44" ht="38.25" customHeight="1">
      <c r="A54" s="582"/>
      <c r="B54" s="582"/>
      <c r="C54" s="582"/>
      <c r="D54" s="582"/>
      <c r="E54" s="582"/>
      <c r="F54" s="582"/>
      <c r="G54" s="582"/>
      <c r="H54" s="582"/>
      <c r="I54" s="582"/>
      <c r="J54" s="582"/>
      <c r="K54" s="582"/>
      <c r="L54" s="582"/>
      <c r="M54" s="582"/>
      <c r="N54" s="582"/>
      <c r="O54" s="582"/>
      <c r="P54" s="582"/>
      <c r="Q54" s="332"/>
      <c r="R54" s="332"/>
      <c r="S54" s="332"/>
      <c r="T54" s="332"/>
      <c r="U54" s="332"/>
      <c r="V54" s="332"/>
      <c r="W54" s="332"/>
      <c r="X54" s="332"/>
      <c r="Y54" s="332"/>
      <c r="Z54" s="332"/>
      <c r="AA54" s="332"/>
      <c r="AB54" s="332"/>
      <c r="AC54" s="332"/>
      <c r="AD54" s="332"/>
      <c r="AE54" s="332"/>
      <c r="AF54" s="332"/>
      <c r="AG54" s="332"/>
      <c r="AH54" s="332"/>
      <c r="AI54" s="332"/>
      <c r="AJ54" s="332"/>
      <c r="AK54" s="332"/>
      <c r="AL54" s="332"/>
      <c r="AM54" s="332"/>
      <c r="AN54" s="332"/>
      <c r="AO54" s="332"/>
      <c r="AP54" s="332"/>
      <c r="AQ54" s="332"/>
      <c r="AR54" s="332"/>
    </row>
    <row r="55" spans="1:44">
      <c r="A55" s="582"/>
      <c r="B55" s="582"/>
      <c r="C55" s="582"/>
      <c r="D55" s="582"/>
      <c r="E55" s="582"/>
      <c r="F55" s="582"/>
      <c r="G55" s="582"/>
      <c r="H55" s="582"/>
      <c r="I55" s="582"/>
      <c r="J55" s="582"/>
      <c r="K55" s="582"/>
      <c r="L55" s="582"/>
      <c r="M55" s="582"/>
      <c r="N55" s="582"/>
      <c r="O55" s="582"/>
      <c r="P55" s="582"/>
      <c r="Q55" s="332"/>
      <c r="R55" s="332"/>
      <c r="S55" s="332"/>
      <c r="T55" s="332"/>
      <c r="U55" s="332"/>
      <c r="V55" s="332"/>
      <c r="W55" s="332"/>
      <c r="X55" s="332"/>
      <c r="Y55" s="332"/>
      <c r="Z55" s="332"/>
      <c r="AA55" s="332"/>
      <c r="AB55" s="332"/>
      <c r="AC55" s="332"/>
      <c r="AD55" s="332"/>
      <c r="AE55" s="332"/>
      <c r="AF55" s="332"/>
      <c r="AG55" s="332"/>
      <c r="AH55" s="332"/>
      <c r="AI55" s="332"/>
      <c r="AJ55" s="332"/>
      <c r="AK55" s="332"/>
      <c r="AL55" s="332"/>
      <c r="AM55" s="332"/>
      <c r="AN55" s="332"/>
      <c r="AO55" s="332"/>
      <c r="AP55" s="332"/>
      <c r="AQ55" s="332"/>
      <c r="AR55" s="332"/>
    </row>
    <row r="56" spans="1:44" ht="15.75" customHeight="1">
      <c r="A56" s="583" t="s">
        <v>235</v>
      </c>
      <c r="B56" s="584"/>
      <c r="C56" s="584"/>
      <c r="D56" s="584"/>
      <c r="E56" s="584"/>
      <c r="F56" s="584"/>
      <c r="G56" s="584"/>
      <c r="H56" s="584"/>
      <c r="I56" s="584"/>
      <c r="J56" s="584"/>
      <c r="K56" s="584"/>
      <c r="L56" s="584"/>
      <c r="M56" s="584"/>
      <c r="N56" s="584"/>
      <c r="O56" s="584"/>
      <c r="P56" s="584"/>
      <c r="Q56" s="332"/>
      <c r="R56" s="332"/>
      <c r="S56" s="332"/>
      <c r="T56" s="332"/>
      <c r="U56" s="332"/>
      <c r="V56" s="332"/>
      <c r="W56" s="332"/>
      <c r="X56" s="332"/>
      <c r="Y56" s="332"/>
      <c r="Z56" s="332"/>
      <c r="AA56" s="332"/>
      <c r="AB56" s="332"/>
      <c r="AC56" s="332"/>
      <c r="AD56" s="332"/>
      <c r="AE56" s="332"/>
      <c r="AF56" s="332"/>
      <c r="AG56" s="332"/>
      <c r="AH56" s="332"/>
      <c r="AI56" s="332"/>
      <c r="AJ56" s="332"/>
      <c r="AK56" s="332"/>
      <c r="AL56" s="332"/>
      <c r="AM56" s="332"/>
      <c r="AN56" s="332"/>
      <c r="AO56" s="332"/>
      <c r="AP56" s="332"/>
      <c r="AQ56" s="332"/>
      <c r="AR56" s="332"/>
    </row>
    <row r="59" spans="1:44">
      <c r="A59" s="570" t="s">
        <v>236</v>
      </c>
      <c r="B59" s="571"/>
      <c r="C59" s="580">
        <v>52</v>
      </c>
      <c r="D59" s="581"/>
      <c r="I59" s="333"/>
    </row>
    <row r="60" spans="1:44">
      <c r="A60" s="570" t="s">
        <v>237</v>
      </c>
      <c r="B60" s="571"/>
      <c r="C60" s="580">
        <v>18</v>
      </c>
      <c r="D60" s="581"/>
    </row>
    <row r="61" spans="1:44">
      <c r="A61" s="570" t="s">
        <v>238</v>
      </c>
      <c r="B61" s="571"/>
      <c r="C61" s="580">
        <v>3</v>
      </c>
      <c r="D61" s="581"/>
    </row>
    <row r="62" spans="1:44">
      <c r="A62" s="570" t="s">
        <v>239</v>
      </c>
      <c r="B62" s="571"/>
      <c r="C62" s="580">
        <f>+SUM(C59:D61)</f>
        <v>73</v>
      </c>
      <c r="D62" s="581"/>
      <c r="E62" s="281">
        <f>+C62*8</f>
        <v>584</v>
      </c>
    </row>
  </sheetData>
  <mergeCells count="154">
    <mergeCell ref="A62:B62"/>
    <mergeCell ref="C62:D62"/>
    <mergeCell ref="A59:B59"/>
    <mergeCell ref="C59:D59"/>
    <mergeCell ref="A60:B60"/>
    <mergeCell ref="C60:D60"/>
    <mergeCell ref="A61:B61"/>
    <mergeCell ref="C61:D61"/>
    <mergeCell ref="AM52:AN52"/>
    <mergeCell ref="A54:P54"/>
    <mergeCell ref="A55:P55"/>
    <mergeCell ref="A56:P56"/>
    <mergeCell ref="AA52:AB52"/>
    <mergeCell ref="AC52:AD52"/>
    <mergeCell ref="AE52:AF52"/>
    <mergeCell ref="AG52:AH52"/>
    <mergeCell ref="AI52:AJ52"/>
    <mergeCell ref="AK52:AL52"/>
    <mergeCell ref="O52:P52"/>
    <mergeCell ref="Q52:R52"/>
    <mergeCell ref="S52:T52"/>
    <mergeCell ref="U52:V52"/>
    <mergeCell ref="W52:X52"/>
    <mergeCell ref="Y52:Z52"/>
    <mergeCell ref="AQ51:AR51"/>
    <mergeCell ref="A52:B52"/>
    <mergeCell ref="C52:D52"/>
    <mergeCell ref="E52:F52"/>
    <mergeCell ref="G52:H52"/>
    <mergeCell ref="I52:J52"/>
    <mergeCell ref="K52:L52"/>
    <mergeCell ref="M52:N52"/>
    <mergeCell ref="AA51:AB51"/>
    <mergeCell ref="AC51:AD51"/>
    <mergeCell ref="AE51:AF51"/>
    <mergeCell ref="AG51:AH51"/>
    <mergeCell ref="AI51:AJ51"/>
    <mergeCell ref="AK51:AL51"/>
    <mergeCell ref="O51:P51"/>
    <mergeCell ref="Q51:R51"/>
    <mergeCell ref="S51:T51"/>
    <mergeCell ref="U51:V51"/>
    <mergeCell ref="W51:X51"/>
    <mergeCell ref="Y51:Z51"/>
    <mergeCell ref="AO52:AP52"/>
    <mergeCell ref="AQ52:AR52"/>
    <mergeCell ref="AM50:AN50"/>
    <mergeCell ref="AO50:AP50"/>
    <mergeCell ref="AQ50:AR50"/>
    <mergeCell ref="A51:B51"/>
    <mergeCell ref="C51:D51"/>
    <mergeCell ref="E51:F51"/>
    <mergeCell ref="G51:H51"/>
    <mergeCell ref="I51:J51"/>
    <mergeCell ref="K51:L51"/>
    <mergeCell ref="M51:N51"/>
    <mergeCell ref="AA50:AB50"/>
    <mergeCell ref="AC50:AD50"/>
    <mergeCell ref="AE50:AF50"/>
    <mergeCell ref="AG50:AH50"/>
    <mergeCell ref="AI50:AJ50"/>
    <mergeCell ref="AK50:AL50"/>
    <mergeCell ref="O50:P50"/>
    <mergeCell ref="Q50:R50"/>
    <mergeCell ref="S50:T50"/>
    <mergeCell ref="U50:V50"/>
    <mergeCell ref="W50:X50"/>
    <mergeCell ref="Y50:Z50"/>
    <mergeCell ref="AM51:AN51"/>
    <mergeCell ref="AO51:AP51"/>
    <mergeCell ref="A50:B50"/>
    <mergeCell ref="C50:D50"/>
    <mergeCell ref="E50:F50"/>
    <mergeCell ref="G50:H50"/>
    <mergeCell ref="I50:J50"/>
    <mergeCell ref="K50:L50"/>
    <mergeCell ref="M50:N50"/>
    <mergeCell ref="AA48:AB48"/>
    <mergeCell ref="AC48:AD48"/>
    <mergeCell ref="O48:P48"/>
    <mergeCell ref="Q48:R48"/>
    <mergeCell ref="S48:T48"/>
    <mergeCell ref="U48:V48"/>
    <mergeCell ref="W48:X48"/>
    <mergeCell ref="Y48:Z48"/>
    <mergeCell ref="C48:D48"/>
    <mergeCell ref="E48:F48"/>
    <mergeCell ref="A33:B33"/>
    <mergeCell ref="A38:B38"/>
    <mergeCell ref="A39:B39"/>
    <mergeCell ref="A42:B42"/>
    <mergeCell ref="A47:B47"/>
    <mergeCell ref="A48:B48"/>
    <mergeCell ref="AM48:AN48"/>
    <mergeCell ref="AO48:AP48"/>
    <mergeCell ref="AQ48:AR48"/>
    <mergeCell ref="AE48:AF48"/>
    <mergeCell ref="AG48:AH48"/>
    <mergeCell ref="AI48:AJ48"/>
    <mergeCell ref="AK48:AL48"/>
    <mergeCell ref="AM9:AN9"/>
    <mergeCell ref="Q9:R9"/>
    <mergeCell ref="S9:T9"/>
    <mergeCell ref="U9:V9"/>
    <mergeCell ref="W9:X9"/>
    <mergeCell ref="Y9:Z9"/>
    <mergeCell ref="AA9:AB9"/>
    <mergeCell ref="G48:H48"/>
    <mergeCell ref="I48:J48"/>
    <mergeCell ref="K48:L48"/>
    <mergeCell ref="M48:N48"/>
    <mergeCell ref="A22:B22"/>
    <mergeCell ref="A27:B27"/>
    <mergeCell ref="A28:B28"/>
    <mergeCell ref="A32:B32"/>
    <mergeCell ref="AC9:AD9"/>
    <mergeCell ref="AE9:AF9"/>
    <mergeCell ref="AG9:AH9"/>
    <mergeCell ref="AI9:AJ9"/>
    <mergeCell ref="AK9:AL9"/>
    <mergeCell ref="AO8:AP8"/>
    <mergeCell ref="AQ8:AR8"/>
    <mergeCell ref="A9:B9"/>
    <mergeCell ref="C9:D9"/>
    <mergeCell ref="E9:F9"/>
    <mergeCell ref="G9:H9"/>
    <mergeCell ref="I9:J9"/>
    <mergeCell ref="K9:L9"/>
    <mergeCell ref="M9:N9"/>
    <mergeCell ref="O9:P9"/>
    <mergeCell ref="AC8:AD8"/>
    <mergeCell ref="AE8:AF8"/>
    <mergeCell ref="AG8:AH8"/>
    <mergeCell ref="AI8:AJ8"/>
    <mergeCell ref="AK8:AL8"/>
    <mergeCell ref="AM8:AN8"/>
    <mergeCell ref="Q8:R8"/>
    <mergeCell ref="S8:T8"/>
    <mergeCell ref="U8:V8"/>
    <mergeCell ref="W8:X8"/>
    <mergeCell ref="Y8:Z8"/>
    <mergeCell ref="AA8:AB8"/>
    <mergeCell ref="AO9:AP9"/>
    <mergeCell ref="AQ9:AR9"/>
    <mergeCell ref="C6:AF6"/>
    <mergeCell ref="C7:P7"/>
    <mergeCell ref="Q7:AF7"/>
    <mergeCell ref="C8:D8"/>
    <mergeCell ref="E8:F8"/>
    <mergeCell ref="G8:H8"/>
    <mergeCell ref="I8:J8"/>
    <mergeCell ref="K8:L8"/>
    <mergeCell ref="M8:N8"/>
    <mergeCell ref="O8:P8"/>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S78"/>
  <sheetViews>
    <sheetView view="pageBreakPreview" zoomScale="86" zoomScaleNormal="85" zoomScaleSheetLayoutView="86" workbookViewId="0">
      <selection activeCell="C44" sqref="C44"/>
    </sheetView>
  </sheetViews>
  <sheetFormatPr baseColWidth="10" defaultRowHeight="14.4"/>
  <cols>
    <col min="1" max="1" width="3.44140625" style="8" bestFit="1" customWidth="1"/>
    <col min="2" max="2" width="51.88671875" style="8" customWidth="1"/>
    <col min="3" max="3" width="20.5546875" style="51" customWidth="1"/>
    <col min="4" max="4" width="19.33203125" style="8" customWidth="1"/>
    <col min="5" max="5" width="44.88671875" style="8" customWidth="1"/>
    <col min="6" max="6" width="15" style="7" customWidth="1"/>
    <col min="7" max="7" width="20.109375" style="8" customWidth="1"/>
    <col min="8" max="8" width="20.44140625" style="5" customWidth="1"/>
    <col min="9" max="9" width="27" style="5" customWidth="1"/>
    <col min="10" max="10" width="25.6640625" style="5" customWidth="1"/>
    <col min="11" max="11" width="25.109375" style="5" customWidth="1"/>
    <col min="12" max="13" width="18.44140625" style="5" customWidth="1"/>
    <col min="14" max="14" width="20.33203125" style="5" customWidth="1"/>
    <col min="15" max="15" width="39.33203125" style="5" customWidth="1"/>
    <col min="16" max="16" width="44.33203125" style="5" customWidth="1"/>
    <col min="17" max="17" width="25.109375" style="5" customWidth="1"/>
    <col min="18" max="18" width="20.44140625" style="5" customWidth="1"/>
    <col min="19" max="19" width="11.44140625" style="5"/>
    <col min="20" max="20" width="17.109375" style="5" customWidth="1"/>
    <col min="21" max="21" width="17.88671875" style="5" customWidth="1"/>
    <col min="22" max="22" width="14.88671875" style="5" customWidth="1"/>
    <col min="23" max="23" width="11.44140625" style="5"/>
    <col min="24" max="24" width="14.88671875" style="5" customWidth="1"/>
    <col min="25" max="256" width="11.44140625" style="5"/>
    <col min="257" max="257" width="3.44140625" style="5" bestFit="1" customWidth="1"/>
    <col min="258" max="258" width="79.6640625" style="5" customWidth="1"/>
    <col min="259" max="259" width="17.44140625" style="5" customWidth="1"/>
    <col min="260" max="260" width="15.88671875" style="5" customWidth="1"/>
    <col min="261" max="261" width="19.44140625" style="5" customWidth="1"/>
    <col min="262" max="262" width="15" style="5" customWidth="1"/>
    <col min="263" max="263" width="15.109375" style="5" customWidth="1"/>
    <col min="264" max="264" width="14.33203125" style="5" customWidth="1"/>
    <col min="265" max="265" width="12.88671875" style="5" customWidth="1"/>
    <col min="266" max="512" width="11.44140625" style="5"/>
    <col min="513" max="513" width="3.44140625" style="5" bestFit="1" customWidth="1"/>
    <col min="514" max="514" width="79.6640625" style="5" customWidth="1"/>
    <col min="515" max="515" width="17.44140625" style="5" customWidth="1"/>
    <col min="516" max="516" width="15.88671875" style="5" customWidth="1"/>
    <col min="517" max="517" width="19.44140625" style="5" customWidth="1"/>
    <col min="518" max="518" width="15" style="5" customWidth="1"/>
    <col min="519" max="519" width="15.109375" style="5" customWidth="1"/>
    <col min="520" max="520" width="14.33203125" style="5" customWidth="1"/>
    <col min="521" max="521" width="12.88671875" style="5" customWidth="1"/>
    <col min="522" max="768" width="11.44140625" style="5"/>
    <col min="769" max="769" width="3.44140625" style="5" bestFit="1" customWidth="1"/>
    <col min="770" max="770" width="79.6640625" style="5" customWidth="1"/>
    <col min="771" max="771" width="17.44140625" style="5" customWidth="1"/>
    <col min="772" max="772" width="15.88671875" style="5" customWidth="1"/>
    <col min="773" max="773" width="19.44140625" style="5" customWidth="1"/>
    <col min="774" max="774" width="15" style="5" customWidth="1"/>
    <col min="775" max="775" width="15.109375" style="5" customWidth="1"/>
    <col min="776" max="776" width="14.33203125" style="5" customWidth="1"/>
    <col min="777" max="777" width="12.88671875" style="5" customWidth="1"/>
    <col min="778" max="1024" width="11.44140625" style="5"/>
    <col min="1025" max="1025" width="3.44140625" style="5" bestFit="1" customWidth="1"/>
    <col min="1026" max="1026" width="79.6640625" style="5" customWidth="1"/>
    <col min="1027" max="1027" width="17.44140625" style="5" customWidth="1"/>
    <col min="1028" max="1028" width="15.88671875" style="5" customWidth="1"/>
    <col min="1029" max="1029" width="19.44140625" style="5" customWidth="1"/>
    <col min="1030" max="1030" width="15" style="5" customWidth="1"/>
    <col min="1031" max="1031" width="15.109375" style="5" customWidth="1"/>
    <col min="1032" max="1032" width="14.33203125" style="5" customWidth="1"/>
    <col min="1033" max="1033" width="12.88671875" style="5" customWidth="1"/>
    <col min="1034" max="1280" width="11.44140625" style="5"/>
    <col min="1281" max="1281" width="3.44140625" style="5" bestFit="1" customWidth="1"/>
    <col min="1282" max="1282" width="79.6640625" style="5" customWidth="1"/>
    <col min="1283" max="1283" width="17.44140625" style="5" customWidth="1"/>
    <col min="1284" max="1284" width="15.88671875" style="5" customWidth="1"/>
    <col min="1285" max="1285" width="19.44140625" style="5" customWidth="1"/>
    <col min="1286" max="1286" width="15" style="5" customWidth="1"/>
    <col min="1287" max="1287" width="15.109375" style="5" customWidth="1"/>
    <col min="1288" max="1288" width="14.33203125" style="5" customWidth="1"/>
    <col min="1289" max="1289" width="12.88671875" style="5" customWidth="1"/>
    <col min="1290" max="1536" width="11.44140625" style="5"/>
    <col min="1537" max="1537" width="3.44140625" style="5" bestFit="1" customWidth="1"/>
    <col min="1538" max="1538" width="79.6640625" style="5" customWidth="1"/>
    <col min="1539" max="1539" width="17.44140625" style="5" customWidth="1"/>
    <col min="1540" max="1540" width="15.88671875" style="5" customWidth="1"/>
    <col min="1541" max="1541" width="19.44140625" style="5" customWidth="1"/>
    <col min="1542" max="1542" width="15" style="5" customWidth="1"/>
    <col min="1543" max="1543" width="15.109375" style="5" customWidth="1"/>
    <col min="1544" max="1544" width="14.33203125" style="5" customWidth="1"/>
    <col min="1545" max="1545" width="12.88671875" style="5" customWidth="1"/>
    <col min="1546" max="1792" width="11.44140625" style="5"/>
    <col min="1793" max="1793" width="3.44140625" style="5" bestFit="1" customWidth="1"/>
    <col min="1794" max="1794" width="79.6640625" style="5" customWidth="1"/>
    <col min="1795" max="1795" width="17.44140625" style="5" customWidth="1"/>
    <col min="1796" max="1796" width="15.88671875" style="5" customWidth="1"/>
    <col min="1797" max="1797" width="19.44140625" style="5" customWidth="1"/>
    <col min="1798" max="1798" width="15" style="5" customWidth="1"/>
    <col min="1799" max="1799" width="15.109375" style="5" customWidth="1"/>
    <col min="1800" max="1800" width="14.33203125" style="5" customWidth="1"/>
    <col min="1801" max="1801" width="12.88671875" style="5" customWidth="1"/>
    <col min="1802" max="2048" width="11.44140625" style="5"/>
    <col min="2049" max="2049" width="3.44140625" style="5" bestFit="1" customWidth="1"/>
    <col min="2050" max="2050" width="79.6640625" style="5" customWidth="1"/>
    <col min="2051" max="2051" width="17.44140625" style="5" customWidth="1"/>
    <col min="2052" max="2052" width="15.88671875" style="5" customWidth="1"/>
    <col min="2053" max="2053" width="19.44140625" style="5" customWidth="1"/>
    <col min="2054" max="2054" width="15" style="5" customWidth="1"/>
    <col min="2055" max="2055" width="15.109375" style="5" customWidth="1"/>
    <col min="2056" max="2056" width="14.33203125" style="5" customWidth="1"/>
    <col min="2057" max="2057" width="12.88671875" style="5" customWidth="1"/>
    <col min="2058" max="2304" width="11.44140625" style="5"/>
    <col min="2305" max="2305" width="3.44140625" style="5" bestFit="1" customWidth="1"/>
    <col min="2306" max="2306" width="79.6640625" style="5" customWidth="1"/>
    <col min="2307" max="2307" width="17.44140625" style="5" customWidth="1"/>
    <col min="2308" max="2308" width="15.88671875" style="5" customWidth="1"/>
    <col min="2309" max="2309" width="19.44140625" style="5" customWidth="1"/>
    <col min="2310" max="2310" width="15" style="5" customWidth="1"/>
    <col min="2311" max="2311" width="15.109375" style="5" customWidth="1"/>
    <col min="2312" max="2312" width="14.33203125" style="5" customWidth="1"/>
    <col min="2313" max="2313" width="12.88671875" style="5" customWidth="1"/>
    <col min="2314" max="2560" width="11.44140625" style="5"/>
    <col min="2561" max="2561" width="3.44140625" style="5" bestFit="1" customWidth="1"/>
    <col min="2562" max="2562" width="79.6640625" style="5" customWidth="1"/>
    <col min="2563" max="2563" width="17.44140625" style="5" customWidth="1"/>
    <col min="2564" max="2564" width="15.88671875" style="5" customWidth="1"/>
    <col min="2565" max="2565" width="19.44140625" style="5" customWidth="1"/>
    <col min="2566" max="2566" width="15" style="5" customWidth="1"/>
    <col min="2567" max="2567" width="15.109375" style="5" customWidth="1"/>
    <col min="2568" max="2568" width="14.33203125" style="5" customWidth="1"/>
    <col min="2569" max="2569" width="12.88671875" style="5" customWidth="1"/>
    <col min="2570" max="2816" width="11.44140625" style="5"/>
    <col min="2817" max="2817" width="3.44140625" style="5" bestFit="1" customWidth="1"/>
    <col min="2818" max="2818" width="79.6640625" style="5" customWidth="1"/>
    <col min="2819" max="2819" width="17.44140625" style="5" customWidth="1"/>
    <col min="2820" max="2820" width="15.88671875" style="5" customWidth="1"/>
    <col min="2821" max="2821" width="19.44140625" style="5" customWidth="1"/>
    <col min="2822" max="2822" width="15" style="5" customWidth="1"/>
    <col min="2823" max="2823" width="15.109375" style="5" customWidth="1"/>
    <col min="2824" max="2824" width="14.33203125" style="5" customWidth="1"/>
    <col min="2825" max="2825" width="12.88671875" style="5" customWidth="1"/>
    <col min="2826" max="3072" width="11.44140625" style="5"/>
    <col min="3073" max="3073" width="3.44140625" style="5" bestFit="1" customWidth="1"/>
    <col min="3074" max="3074" width="79.6640625" style="5" customWidth="1"/>
    <col min="3075" max="3075" width="17.44140625" style="5" customWidth="1"/>
    <col min="3076" max="3076" width="15.88671875" style="5" customWidth="1"/>
    <col min="3077" max="3077" width="19.44140625" style="5" customWidth="1"/>
    <col min="3078" max="3078" width="15" style="5" customWidth="1"/>
    <col min="3079" max="3079" width="15.109375" style="5" customWidth="1"/>
    <col min="3080" max="3080" width="14.33203125" style="5" customWidth="1"/>
    <col min="3081" max="3081" width="12.88671875" style="5" customWidth="1"/>
    <col min="3082" max="3328" width="11.44140625" style="5"/>
    <col min="3329" max="3329" width="3.44140625" style="5" bestFit="1" customWidth="1"/>
    <col min="3330" max="3330" width="79.6640625" style="5" customWidth="1"/>
    <col min="3331" max="3331" width="17.44140625" style="5" customWidth="1"/>
    <col min="3332" max="3332" width="15.88671875" style="5" customWidth="1"/>
    <col min="3333" max="3333" width="19.44140625" style="5" customWidth="1"/>
    <col min="3334" max="3334" width="15" style="5" customWidth="1"/>
    <col min="3335" max="3335" width="15.109375" style="5" customWidth="1"/>
    <col min="3336" max="3336" width="14.33203125" style="5" customWidth="1"/>
    <col min="3337" max="3337" width="12.88671875" style="5" customWidth="1"/>
    <col min="3338" max="3584" width="11.44140625" style="5"/>
    <col min="3585" max="3585" width="3.44140625" style="5" bestFit="1" customWidth="1"/>
    <col min="3586" max="3586" width="79.6640625" style="5" customWidth="1"/>
    <col min="3587" max="3587" width="17.44140625" style="5" customWidth="1"/>
    <col min="3588" max="3588" width="15.88671875" style="5" customWidth="1"/>
    <col min="3589" max="3589" width="19.44140625" style="5" customWidth="1"/>
    <col min="3590" max="3590" width="15" style="5" customWidth="1"/>
    <col min="3591" max="3591" width="15.109375" style="5" customWidth="1"/>
    <col min="3592" max="3592" width="14.33203125" style="5" customWidth="1"/>
    <col min="3593" max="3593" width="12.88671875" style="5" customWidth="1"/>
    <col min="3594" max="3840" width="11.44140625" style="5"/>
    <col min="3841" max="3841" width="3.44140625" style="5" bestFit="1" customWidth="1"/>
    <col min="3842" max="3842" width="79.6640625" style="5" customWidth="1"/>
    <col min="3843" max="3843" width="17.44140625" style="5" customWidth="1"/>
    <col min="3844" max="3844" width="15.88671875" style="5" customWidth="1"/>
    <col min="3845" max="3845" width="19.44140625" style="5" customWidth="1"/>
    <col min="3846" max="3846" width="15" style="5" customWidth="1"/>
    <col min="3847" max="3847" width="15.109375" style="5" customWidth="1"/>
    <col min="3848" max="3848" width="14.33203125" style="5" customWidth="1"/>
    <col min="3849" max="3849" width="12.88671875" style="5" customWidth="1"/>
    <col min="3850" max="4096" width="11.44140625" style="5"/>
    <col min="4097" max="4097" width="3.44140625" style="5" bestFit="1" customWidth="1"/>
    <col min="4098" max="4098" width="79.6640625" style="5" customWidth="1"/>
    <col min="4099" max="4099" width="17.44140625" style="5" customWidth="1"/>
    <col min="4100" max="4100" width="15.88671875" style="5" customWidth="1"/>
    <col min="4101" max="4101" width="19.44140625" style="5" customWidth="1"/>
    <col min="4102" max="4102" width="15" style="5" customWidth="1"/>
    <col min="4103" max="4103" width="15.109375" style="5" customWidth="1"/>
    <col min="4104" max="4104" width="14.33203125" style="5" customWidth="1"/>
    <col min="4105" max="4105" width="12.88671875" style="5" customWidth="1"/>
    <col min="4106" max="4352" width="11.44140625" style="5"/>
    <col min="4353" max="4353" width="3.44140625" style="5" bestFit="1" customWidth="1"/>
    <col min="4354" max="4354" width="79.6640625" style="5" customWidth="1"/>
    <col min="4355" max="4355" width="17.44140625" style="5" customWidth="1"/>
    <col min="4356" max="4356" width="15.88671875" style="5" customWidth="1"/>
    <col min="4357" max="4357" width="19.44140625" style="5" customWidth="1"/>
    <col min="4358" max="4358" width="15" style="5" customWidth="1"/>
    <col min="4359" max="4359" width="15.109375" style="5" customWidth="1"/>
    <col min="4360" max="4360" width="14.33203125" style="5" customWidth="1"/>
    <col min="4361" max="4361" width="12.88671875" style="5" customWidth="1"/>
    <col min="4362" max="4608" width="11.44140625" style="5"/>
    <col min="4609" max="4609" width="3.44140625" style="5" bestFit="1" customWidth="1"/>
    <col min="4610" max="4610" width="79.6640625" style="5" customWidth="1"/>
    <col min="4611" max="4611" width="17.44140625" style="5" customWidth="1"/>
    <col min="4612" max="4612" width="15.88671875" style="5" customWidth="1"/>
    <col min="4613" max="4613" width="19.44140625" style="5" customWidth="1"/>
    <col min="4614" max="4614" width="15" style="5" customWidth="1"/>
    <col min="4615" max="4615" width="15.109375" style="5" customWidth="1"/>
    <col min="4616" max="4616" width="14.33203125" style="5" customWidth="1"/>
    <col min="4617" max="4617" width="12.88671875" style="5" customWidth="1"/>
    <col min="4618" max="4864" width="11.44140625" style="5"/>
    <col min="4865" max="4865" width="3.44140625" style="5" bestFit="1" customWidth="1"/>
    <col min="4866" max="4866" width="79.6640625" style="5" customWidth="1"/>
    <col min="4867" max="4867" width="17.44140625" style="5" customWidth="1"/>
    <col min="4868" max="4868" width="15.88671875" style="5" customWidth="1"/>
    <col min="4869" max="4869" width="19.44140625" style="5" customWidth="1"/>
    <col min="4870" max="4870" width="15" style="5" customWidth="1"/>
    <col min="4871" max="4871" width="15.109375" style="5" customWidth="1"/>
    <col min="4872" max="4872" width="14.33203125" style="5" customWidth="1"/>
    <col min="4873" max="4873" width="12.88671875" style="5" customWidth="1"/>
    <col min="4874" max="5120" width="11.44140625" style="5"/>
    <col min="5121" max="5121" width="3.44140625" style="5" bestFit="1" customWidth="1"/>
    <col min="5122" max="5122" width="79.6640625" style="5" customWidth="1"/>
    <col min="5123" max="5123" width="17.44140625" style="5" customWidth="1"/>
    <col min="5124" max="5124" width="15.88671875" style="5" customWidth="1"/>
    <col min="5125" max="5125" width="19.44140625" style="5" customWidth="1"/>
    <col min="5126" max="5126" width="15" style="5" customWidth="1"/>
    <col min="5127" max="5127" width="15.109375" style="5" customWidth="1"/>
    <col min="5128" max="5128" width="14.33203125" style="5" customWidth="1"/>
    <col min="5129" max="5129" width="12.88671875" style="5" customWidth="1"/>
    <col min="5130" max="5376" width="11.44140625" style="5"/>
    <col min="5377" max="5377" width="3.44140625" style="5" bestFit="1" customWidth="1"/>
    <col min="5378" max="5378" width="79.6640625" style="5" customWidth="1"/>
    <col min="5379" max="5379" width="17.44140625" style="5" customWidth="1"/>
    <col min="5380" max="5380" width="15.88671875" style="5" customWidth="1"/>
    <col min="5381" max="5381" width="19.44140625" style="5" customWidth="1"/>
    <col min="5382" max="5382" width="15" style="5" customWidth="1"/>
    <col min="5383" max="5383" width="15.109375" style="5" customWidth="1"/>
    <col min="5384" max="5384" width="14.33203125" style="5" customWidth="1"/>
    <col min="5385" max="5385" width="12.88671875" style="5" customWidth="1"/>
    <col min="5386" max="5632" width="11.44140625" style="5"/>
    <col min="5633" max="5633" width="3.44140625" style="5" bestFit="1" customWidth="1"/>
    <col min="5634" max="5634" width="79.6640625" style="5" customWidth="1"/>
    <col min="5635" max="5635" width="17.44140625" style="5" customWidth="1"/>
    <col min="5636" max="5636" width="15.88671875" style="5" customWidth="1"/>
    <col min="5637" max="5637" width="19.44140625" style="5" customWidth="1"/>
    <col min="5638" max="5638" width="15" style="5" customWidth="1"/>
    <col min="5639" max="5639" width="15.109375" style="5" customWidth="1"/>
    <col min="5640" max="5640" width="14.33203125" style="5" customWidth="1"/>
    <col min="5641" max="5641" width="12.88671875" style="5" customWidth="1"/>
    <col min="5642" max="5888" width="11.44140625" style="5"/>
    <col min="5889" max="5889" width="3.44140625" style="5" bestFit="1" customWidth="1"/>
    <col min="5890" max="5890" width="79.6640625" style="5" customWidth="1"/>
    <col min="5891" max="5891" width="17.44140625" style="5" customWidth="1"/>
    <col min="5892" max="5892" width="15.88671875" style="5" customWidth="1"/>
    <col min="5893" max="5893" width="19.44140625" style="5" customWidth="1"/>
    <col min="5894" max="5894" width="15" style="5" customWidth="1"/>
    <col min="5895" max="5895" width="15.109375" style="5" customWidth="1"/>
    <col min="5896" max="5896" width="14.33203125" style="5" customWidth="1"/>
    <col min="5897" max="5897" width="12.88671875" style="5" customWidth="1"/>
    <col min="5898" max="6144" width="11.44140625" style="5"/>
    <col min="6145" max="6145" width="3.44140625" style="5" bestFit="1" customWidth="1"/>
    <col min="6146" max="6146" width="79.6640625" style="5" customWidth="1"/>
    <col min="6147" max="6147" width="17.44140625" style="5" customWidth="1"/>
    <col min="6148" max="6148" width="15.88671875" style="5" customWidth="1"/>
    <col min="6149" max="6149" width="19.44140625" style="5" customWidth="1"/>
    <col min="6150" max="6150" width="15" style="5" customWidth="1"/>
    <col min="6151" max="6151" width="15.109375" style="5" customWidth="1"/>
    <col min="6152" max="6152" width="14.33203125" style="5" customWidth="1"/>
    <col min="6153" max="6153" width="12.88671875" style="5" customWidth="1"/>
    <col min="6154" max="6400" width="11.44140625" style="5"/>
    <col min="6401" max="6401" width="3.44140625" style="5" bestFit="1" customWidth="1"/>
    <col min="6402" max="6402" width="79.6640625" style="5" customWidth="1"/>
    <col min="6403" max="6403" width="17.44140625" style="5" customWidth="1"/>
    <col min="6404" max="6404" width="15.88671875" style="5" customWidth="1"/>
    <col min="6405" max="6405" width="19.44140625" style="5" customWidth="1"/>
    <col min="6406" max="6406" width="15" style="5" customWidth="1"/>
    <col min="6407" max="6407" width="15.109375" style="5" customWidth="1"/>
    <col min="6408" max="6408" width="14.33203125" style="5" customWidth="1"/>
    <col min="6409" max="6409" width="12.88671875" style="5" customWidth="1"/>
    <col min="6410" max="6656" width="11.44140625" style="5"/>
    <col min="6657" max="6657" width="3.44140625" style="5" bestFit="1" customWidth="1"/>
    <col min="6658" max="6658" width="79.6640625" style="5" customWidth="1"/>
    <col min="6659" max="6659" width="17.44140625" style="5" customWidth="1"/>
    <col min="6660" max="6660" width="15.88671875" style="5" customWidth="1"/>
    <col min="6661" max="6661" width="19.44140625" style="5" customWidth="1"/>
    <col min="6662" max="6662" width="15" style="5" customWidth="1"/>
    <col min="6663" max="6663" width="15.109375" style="5" customWidth="1"/>
    <col min="6664" max="6664" width="14.33203125" style="5" customWidth="1"/>
    <col min="6665" max="6665" width="12.88671875" style="5" customWidth="1"/>
    <col min="6666" max="6912" width="11.44140625" style="5"/>
    <col min="6913" max="6913" width="3.44140625" style="5" bestFit="1" customWidth="1"/>
    <col min="6914" max="6914" width="79.6640625" style="5" customWidth="1"/>
    <col min="6915" max="6915" width="17.44140625" style="5" customWidth="1"/>
    <col min="6916" max="6916" width="15.88671875" style="5" customWidth="1"/>
    <col min="6917" max="6917" width="19.44140625" style="5" customWidth="1"/>
    <col min="6918" max="6918" width="15" style="5" customWidth="1"/>
    <col min="6919" max="6919" width="15.109375" style="5" customWidth="1"/>
    <col min="6920" max="6920" width="14.33203125" style="5" customWidth="1"/>
    <col min="6921" max="6921" width="12.88671875" style="5" customWidth="1"/>
    <col min="6922" max="7168" width="11.44140625" style="5"/>
    <col min="7169" max="7169" width="3.44140625" style="5" bestFit="1" customWidth="1"/>
    <col min="7170" max="7170" width="79.6640625" style="5" customWidth="1"/>
    <col min="7171" max="7171" width="17.44140625" style="5" customWidth="1"/>
    <col min="7172" max="7172" width="15.88671875" style="5" customWidth="1"/>
    <col min="7173" max="7173" width="19.44140625" style="5" customWidth="1"/>
    <col min="7174" max="7174" width="15" style="5" customWidth="1"/>
    <col min="7175" max="7175" width="15.109375" style="5" customWidth="1"/>
    <col min="7176" max="7176" width="14.33203125" style="5" customWidth="1"/>
    <col min="7177" max="7177" width="12.88671875" style="5" customWidth="1"/>
    <col min="7178" max="7424" width="11.44140625" style="5"/>
    <col min="7425" max="7425" width="3.44140625" style="5" bestFit="1" customWidth="1"/>
    <col min="7426" max="7426" width="79.6640625" style="5" customWidth="1"/>
    <col min="7427" max="7427" width="17.44140625" style="5" customWidth="1"/>
    <col min="7428" max="7428" width="15.88671875" style="5" customWidth="1"/>
    <col min="7429" max="7429" width="19.44140625" style="5" customWidth="1"/>
    <col min="7430" max="7430" width="15" style="5" customWidth="1"/>
    <col min="7431" max="7431" width="15.109375" style="5" customWidth="1"/>
    <col min="7432" max="7432" width="14.33203125" style="5" customWidth="1"/>
    <col min="7433" max="7433" width="12.88671875" style="5" customWidth="1"/>
    <col min="7434" max="7680" width="11.44140625" style="5"/>
    <col min="7681" max="7681" width="3.44140625" style="5" bestFit="1" customWidth="1"/>
    <col min="7682" max="7682" width="79.6640625" style="5" customWidth="1"/>
    <col min="7683" max="7683" width="17.44140625" style="5" customWidth="1"/>
    <col min="7684" max="7684" width="15.88671875" style="5" customWidth="1"/>
    <col min="7685" max="7685" width="19.44140625" style="5" customWidth="1"/>
    <col min="7686" max="7686" width="15" style="5" customWidth="1"/>
    <col min="7687" max="7687" width="15.109375" style="5" customWidth="1"/>
    <col min="7688" max="7688" width="14.33203125" style="5" customWidth="1"/>
    <col min="7689" max="7689" width="12.88671875" style="5" customWidth="1"/>
    <col min="7690" max="7936" width="11.44140625" style="5"/>
    <col min="7937" max="7937" width="3.44140625" style="5" bestFit="1" customWidth="1"/>
    <col min="7938" max="7938" width="79.6640625" style="5" customWidth="1"/>
    <col min="7939" max="7939" width="17.44140625" style="5" customWidth="1"/>
    <col min="7940" max="7940" width="15.88671875" style="5" customWidth="1"/>
    <col min="7941" max="7941" width="19.44140625" style="5" customWidth="1"/>
    <col min="7942" max="7942" width="15" style="5" customWidth="1"/>
    <col min="7943" max="7943" width="15.109375" style="5" customWidth="1"/>
    <col min="7944" max="7944" width="14.33203125" style="5" customWidth="1"/>
    <col min="7945" max="7945" width="12.88671875" style="5" customWidth="1"/>
    <col min="7946" max="8192" width="11.44140625" style="5"/>
    <col min="8193" max="8193" width="3.44140625" style="5" bestFit="1" customWidth="1"/>
    <col min="8194" max="8194" width="79.6640625" style="5" customWidth="1"/>
    <col min="8195" max="8195" width="17.44140625" style="5" customWidth="1"/>
    <col min="8196" max="8196" width="15.88671875" style="5" customWidth="1"/>
    <col min="8197" max="8197" width="19.44140625" style="5" customWidth="1"/>
    <col min="8198" max="8198" width="15" style="5" customWidth="1"/>
    <col min="8199" max="8199" width="15.109375" style="5" customWidth="1"/>
    <col min="8200" max="8200" width="14.33203125" style="5" customWidth="1"/>
    <col min="8201" max="8201" width="12.88671875" style="5" customWidth="1"/>
    <col min="8202" max="8448" width="11.44140625" style="5"/>
    <col min="8449" max="8449" width="3.44140625" style="5" bestFit="1" customWidth="1"/>
    <col min="8450" max="8450" width="79.6640625" style="5" customWidth="1"/>
    <col min="8451" max="8451" width="17.44140625" style="5" customWidth="1"/>
    <col min="8452" max="8452" width="15.88671875" style="5" customWidth="1"/>
    <col min="8453" max="8453" width="19.44140625" style="5" customWidth="1"/>
    <col min="8454" max="8454" width="15" style="5" customWidth="1"/>
    <col min="8455" max="8455" width="15.109375" style="5" customWidth="1"/>
    <col min="8456" max="8456" width="14.33203125" style="5" customWidth="1"/>
    <col min="8457" max="8457" width="12.88671875" style="5" customWidth="1"/>
    <col min="8458" max="8704" width="11.44140625" style="5"/>
    <col min="8705" max="8705" width="3.44140625" style="5" bestFit="1" customWidth="1"/>
    <col min="8706" max="8706" width="79.6640625" style="5" customWidth="1"/>
    <col min="8707" max="8707" width="17.44140625" style="5" customWidth="1"/>
    <col min="8708" max="8708" width="15.88671875" style="5" customWidth="1"/>
    <col min="8709" max="8709" width="19.44140625" style="5" customWidth="1"/>
    <col min="8710" max="8710" width="15" style="5" customWidth="1"/>
    <col min="8711" max="8711" width="15.109375" style="5" customWidth="1"/>
    <col min="8712" max="8712" width="14.33203125" style="5" customWidth="1"/>
    <col min="8713" max="8713" width="12.88671875" style="5" customWidth="1"/>
    <col min="8714" max="8960" width="11.44140625" style="5"/>
    <col min="8961" max="8961" width="3.44140625" style="5" bestFit="1" customWidth="1"/>
    <col min="8962" max="8962" width="79.6640625" style="5" customWidth="1"/>
    <col min="8963" max="8963" width="17.44140625" style="5" customWidth="1"/>
    <col min="8964" max="8964" width="15.88671875" style="5" customWidth="1"/>
    <col min="8965" max="8965" width="19.44140625" style="5" customWidth="1"/>
    <col min="8966" max="8966" width="15" style="5" customWidth="1"/>
    <col min="8967" max="8967" width="15.109375" style="5" customWidth="1"/>
    <col min="8968" max="8968" width="14.33203125" style="5" customWidth="1"/>
    <col min="8969" max="8969" width="12.88671875" style="5" customWidth="1"/>
    <col min="8970" max="9216" width="11.44140625" style="5"/>
    <col min="9217" max="9217" width="3.44140625" style="5" bestFit="1" customWidth="1"/>
    <col min="9218" max="9218" width="79.6640625" style="5" customWidth="1"/>
    <col min="9219" max="9219" width="17.44140625" style="5" customWidth="1"/>
    <col min="9220" max="9220" width="15.88671875" style="5" customWidth="1"/>
    <col min="9221" max="9221" width="19.44140625" style="5" customWidth="1"/>
    <col min="9222" max="9222" width="15" style="5" customWidth="1"/>
    <col min="9223" max="9223" width="15.109375" style="5" customWidth="1"/>
    <col min="9224" max="9224" width="14.33203125" style="5" customWidth="1"/>
    <col min="9225" max="9225" width="12.88671875" style="5" customWidth="1"/>
    <col min="9226" max="9472" width="11.44140625" style="5"/>
    <col min="9473" max="9473" width="3.44140625" style="5" bestFit="1" customWidth="1"/>
    <col min="9474" max="9474" width="79.6640625" style="5" customWidth="1"/>
    <col min="9475" max="9475" width="17.44140625" style="5" customWidth="1"/>
    <col min="9476" max="9476" width="15.88671875" style="5" customWidth="1"/>
    <col min="9477" max="9477" width="19.44140625" style="5" customWidth="1"/>
    <col min="9478" max="9478" width="15" style="5" customWidth="1"/>
    <col min="9479" max="9479" width="15.109375" style="5" customWidth="1"/>
    <col min="9480" max="9480" width="14.33203125" style="5" customWidth="1"/>
    <col min="9481" max="9481" width="12.88671875" style="5" customWidth="1"/>
    <col min="9482" max="9728" width="11.44140625" style="5"/>
    <col min="9729" max="9729" width="3.44140625" style="5" bestFit="1" customWidth="1"/>
    <col min="9730" max="9730" width="79.6640625" style="5" customWidth="1"/>
    <col min="9731" max="9731" width="17.44140625" style="5" customWidth="1"/>
    <col min="9732" max="9732" width="15.88671875" style="5" customWidth="1"/>
    <col min="9733" max="9733" width="19.44140625" style="5" customWidth="1"/>
    <col min="9734" max="9734" width="15" style="5" customWidth="1"/>
    <col min="9735" max="9735" width="15.109375" style="5" customWidth="1"/>
    <col min="9736" max="9736" width="14.33203125" style="5" customWidth="1"/>
    <col min="9737" max="9737" width="12.88671875" style="5" customWidth="1"/>
    <col min="9738" max="9984" width="11.44140625" style="5"/>
    <col min="9985" max="9985" width="3.44140625" style="5" bestFit="1" customWidth="1"/>
    <col min="9986" max="9986" width="79.6640625" style="5" customWidth="1"/>
    <col min="9987" max="9987" width="17.44140625" style="5" customWidth="1"/>
    <col min="9988" max="9988" width="15.88671875" style="5" customWidth="1"/>
    <col min="9989" max="9989" width="19.44140625" style="5" customWidth="1"/>
    <col min="9990" max="9990" width="15" style="5" customWidth="1"/>
    <col min="9991" max="9991" width="15.109375" style="5" customWidth="1"/>
    <col min="9992" max="9992" width="14.33203125" style="5" customWidth="1"/>
    <col min="9993" max="9993" width="12.88671875" style="5" customWidth="1"/>
    <col min="9994" max="10240" width="11.44140625" style="5"/>
    <col min="10241" max="10241" width="3.44140625" style="5" bestFit="1" customWidth="1"/>
    <col min="10242" max="10242" width="79.6640625" style="5" customWidth="1"/>
    <col min="10243" max="10243" width="17.44140625" style="5" customWidth="1"/>
    <col min="10244" max="10244" width="15.88671875" style="5" customWidth="1"/>
    <col min="10245" max="10245" width="19.44140625" style="5" customWidth="1"/>
    <col min="10246" max="10246" width="15" style="5" customWidth="1"/>
    <col min="10247" max="10247" width="15.109375" style="5" customWidth="1"/>
    <col min="10248" max="10248" width="14.33203125" style="5" customWidth="1"/>
    <col min="10249" max="10249" width="12.88671875" style="5" customWidth="1"/>
    <col min="10250" max="10496" width="11.44140625" style="5"/>
    <col min="10497" max="10497" width="3.44140625" style="5" bestFit="1" customWidth="1"/>
    <col min="10498" max="10498" width="79.6640625" style="5" customWidth="1"/>
    <col min="10499" max="10499" width="17.44140625" style="5" customWidth="1"/>
    <col min="10500" max="10500" width="15.88671875" style="5" customWidth="1"/>
    <col min="10501" max="10501" width="19.44140625" style="5" customWidth="1"/>
    <col min="10502" max="10502" width="15" style="5" customWidth="1"/>
    <col min="10503" max="10503" width="15.109375" style="5" customWidth="1"/>
    <col min="10504" max="10504" width="14.33203125" style="5" customWidth="1"/>
    <col min="10505" max="10505" width="12.88671875" style="5" customWidth="1"/>
    <col min="10506" max="10752" width="11.44140625" style="5"/>
    <col min="10753" max="10753" width="3.44140625" style="5" bestFit="1" customWidth="1"/>
    <col min="10754" max="10754" width="79.6640625" style="5" customWidth="1"/>
    <col min="10755" max="10755" width="17.44140625" style="5" customWidth="1"/>
    <col min="10756" max="10756" width="15.88671875" style="5" customWidth="1"/>
    <col min="10757" max="10757" width="19.44140625" style="5" customWidth="1"/>
    <col min="10758" max="10758" width="15" style="5" customWidth="1"/>
    <col min="10759" max="10759" width="15.109375" style="5" customWidth="1"/>
    <col min="10760" max="10760" width="14.33203125" style="5" customWidth="1"/>
    <col min="10761" max="10761" width="12.88671875" style="5" customWidth="1"/>
    <col min="10762" max="11008" width="11.44140625" style="5"/>
    <col min="11009" max="11009" width="3.44140625" style="5" bestFit="1" customWidth="1"/>
    <col min="11010" max="11010" width="79.6640625" style="5" customWidth="1"/>
    <col min="11011" max="11011" width="17.44140625" style="5" customWidth="1"/>
    <col min="11012" max="11012" width="15.88671875" style="5" customWidth="1"/>
    <col min="11013" max="11013" width="19.44140625" style="5" customWidth="1"/>
    <col min="11014" max="11014" width="15" style="5" customWidth="1"/>
    <col min="11015" max="11015" width="15.109375" style="5" customWidth="1"/>
    <col min="11016" max="11016" width="14.33203125" style="5" customWidth="1"/>
    <col min="11017" max="11017" width="12.88671875" style="5" customWidth="1"/>
    <col min="11018" max="11264" width="11.44140625" style="5"/>
    <col min="11265" max="11265" width="3.44140625" style="5" bestFit="1" customWidth="1"/>
    <col min="11266" max="11266" width="79.6640625" style="5" customWidth="1"/>
    <col min="11267" max="11267" width="17.44140625" style="5" customWidth="1"/>
    <col min="11268" max="11268" width="15.88671875" style="5" customWidth="1"/>
    <col min="11269" max="11269" width="19.44140625" style="5" customWidth="1"/>
    <col min="11270" max="11270" width="15" style="5" customWidth="1"/>
    <col min="11271" max="11271" width="15.109375" style="5" customWidth="1"/>
    <col min="11272" max="11272" width="14.33203125" style="5" customWidth="1"/>
    <col min="11273" max="11273" width="12.88671875" style="5" customWidth="1"/>
    <col min="11274" max="11520" width="11.44140625" style="5"/>
    <col min="11521" max="11521" width="3.44140625" style="5" bestFit="1" customWidth="1"/>
    <col min="11522" max="11522" width="79.6640625" style="5" customWidth="1"/>
    <col min="11523" max="11523" width="17.44140625" style="5" customWidth="1"/>
    <col min="11524" max="11524" width="15.88671875" style="5" customWidth="1"/>
    <col min="11525" max="11525" width="19.44140625" style="5" customWidth="1"/>
    <col min="11526" max="11526" width="15" style="5" customWidth="1"/>
    <col min="11527" max="11527" width="15.109375" style="5" customWidth="1"/>
    <col min="11528" max="11528" width="14.33203125" style="5" customWidth="1"/>
    <col min="11529" max="11529" width="12.88671875" style="5" customWidth="1"/>
    <col min="11530" max="11776" width="11.44140625" style="5"/>
    <col min="11777" max="11777" width="3.44140625" style="5" bestFit="1" customWidth="1"/>
    <col min="11778" max="11778" width="79.6640625" style="5" customWidth="1"/>
    <col min="11779" max="11779" width="17.44140625" style="5" customWidth="1"/>
    <col min="11780" max="11780" width="15.88671875" style="5" customWidth="1"/>
    <col min="11781" max="11781" width="19.44140625" style="5" customWidth="1"/>
    <col min="11782" max="11782" width="15" style="5" customWidth="1"/>
    <col min="11783" max="11783" width="15.109375" style="5" customWidth="1"/>
    <col min="11784" max="11784" width="14.33203125" style="5" customWidth="1"/>
    <col min="11785" max="11785" width="12.88671875" style="5" customWidth="1"/>
    <col min="11786" max="12032" width="11.44140625" style="5"/>
    <col min="12033" max="12033" width="3.44140625" style="5" bestFit="1" customWidth="1"/>
    <col min="12034" max="12034" width="79.6640625" style="5" customWidth="1"/>
    <col min="12035" max="12035" width="17.44140625" style="5" customWidth="1"/>
    <col min="12036" max="12036" width="15.88671875" style="5" customWidth="1"/>
    <col min="12037" max="12037" width="19.44140625" style="5" customWidth="1"/>
    <col min="12038" max="12038" width="15" style="5" customWidth="1"/>
    <col min="12039" max="12039" width="15.109375" style="5" customWidth="1"/>
    <col min="12040" max="12040" width="14.33203125" style="5" customWidth="1"/>
    <col min="12041" max="12041" width="12.88671875" style="5" customWidth="1"/>
    <col min="12042" max="12288" width="11.44140625" style="5"/>
    <col min="12289" max="12289" width="3.44140625" style="5" bestFit="1" customWidth="1"/>
    <col min="12290" max="12290" width="79.6640625" style="5" customWidth="1"/>
    <col min="12291" max="12291" width="17.44140625" style="5" customWidth="1"/>
    <col min="12292" max="12292" width="15.88671875" style="5" customWidth="1"/>
    <col min="12293" max="12293" width="19.44140625" style="5" customWidth="1"/>
    <col min="12294" max="12294" width="15" style="5" customWidth="1"/>
    <col min="12295" max="12295" width="15.109375" style="5" customWidth="1"/>
    <col min="12296" max="12296" width="14.33203125" style="5" customWidth="1"/>
    <col min="12297" max="12297" width="12.88671875" style="5" customWidth="1"/>
    <col min="12298" max="12544" width="11.44140625" style="5"/>
    <col min="12545" max="12545" width="3.44140625" style="5" bestFit="1" customWidth="1"/>
    <col min="12546" max="12546" width="79.6640625" style="5" customWidth="1"/>
    <col min="12547" max="12547" width="17.44140625" style="5" customWidth="1"/>
    <col min="12548" max="12548" width="15.88671875" style="5" customWidth="1"/>
    <col min="12549" max="12549" width="19.44140625" style="5" customWidth="1"/>
    <col min="12550" max="12550" width="15" style="5" customWidth="1"/>
    <col min="12551" max="12551" width="15.109375" style="5" customWidth="1"/>
    <col min="12552" max="12552" width="14.33203125" style="5" customWidth="1"/>
    <col min="12553" max="12553" width="12.88671875" style="5" customWidth="1"/>
    <col min="12554" max="12800" width="11.44140625" style="5"/>
    <col min="12801" max="12801" width="3.44140625" style="5" bestFit="1" customWidth="1"/>
    <col min="12802" max="12802" width="79.6640625" style="5" customWidth="1"/>
    <col min="12803" max="12803" width="17.44140625" style="5" customWidth="1"/>
    <col min="12804" max="12804" width="15.88671875" style="5" customWidth="1"/>
    <col min="12805" max="12805" width="19.44140625" style="5" customWidth="1"/>
    <col min="12806" max="12806" width="15" style="5" customWidth="1"/>
    <col min="12807" max="12807" width="15.109375" style="5" customWidth="1"/>
    <col min="12808" max="12808" width="14.33203125" style="5" customWidth="1"/>
    <col min="12809" max="12809" width="12.88671875" style="5" customWidth="1"/>
    <col min="12810" max="13056" width="11.44140625" style="5"/>
    <col min="13057" max="13057" width="3.44140625" style="5" bestFit="1" customWidth="1"/>
    <col min="13058" max="13058" width="79.6640625" style="5" customWidth="1"/>
    <col min="13059" max="13059" width="17.44140625" style="5" customWidth="1"/>
    <col min="13060" max="13060" width="15.88671875" style="5" customWidth="1"/>
    <col min="13061" max="13061" width="19.44140625" style="5" customWidth="1"/>
    <col min="13062" max="13062" width="15" style="5" customWidth="1"/>
    <col min="13063" max="13063" width="15.109375" style="5" customWidth="1"/>
    <col min="13064" max="13064" width="14.33203125" style="5" customWidth="1"/>
    <col min="13065" max="13065" width="12.88671875" style="5" customWidth="1"/>
    <col min="13066" max="13312" width="11.44140625" style="5"/>
    <col min="13313" max="13313" width="3.44140625" style="5" bestFit="1" customWidth="1"/>
    <col min="13314" max="13314" width="79.6640625" style="5" customWidth="1"/>
    <col min="13315" max="13315" width="17.44140625" style="5" customWidth="1"/>
    <col min="13316" max="13316" width="15.88671875" style="5" customWidth="1"/>
    <col min="13317" max="13317" width="19.44140625" style="5" customWidth="1"/>
    <col min="13318" max="13318" width="15" style="5" customWidth="1"/>
    <col min="13319" max="13319" width="15.109375" style="5" customWidth="1"/>
    <col min="13320" max="13320" width="14.33203125" style="5" customWidth="1"/>
    <col min="13321" max="13321" width="12.88671875" style="5" customWidth="1"/>
    <col min="13322" max="13568" width="11.44140625" style="5"/>
    <col min="13569" max="13569" width="3.44140625" style="5" bestFit="1" customWidth="1"/>
    <col min="13570" max="13570" width="79.6640625" style="5" customWidth="1"/>
    <col min="13571" max="13571" width="17.44140625" style="5" customWidth="1"/>
    <col min="13572" max="13572" width="15.88671875" style="5" customWidth="1"/>
    <col min="13573" max="13573" width="19.44140625" style="5" customWidth="1"/>
    <col min="13574" max="13574" width="15" style="5" customWidth="1"/>
    <col min="13575" max="13575" width="15.109375" style="5" customWidth="1"/>
    <col min="13576" max="13576" width="14.33203125" style="5" customWidth="1"/>
    <col min="13577" max="13577" width="12.88671875" style="5" customWidth="1"/>
    <col min="13578" max="13824" width="11.44140625" style="5"/>
    <col min="13825" max="13825" width="3.44140625" style="5" bestFit="1" customWidth="1"/>
    <col min="13826" max="13826" width="79.6640625" style="5" customWidth="1"/>
    <col min="13827" max="13827" width="17.44140625" style="5" customWidth="1"/>
    <col min="13828" max="13828" width="15.88671875" style="5" customWidth="1"/>
    <col min="13829" max="13829" width="19.44140625" style="5" customWidth="1"/>
    <col min="13830" max="13830" width="15" style="5" customWidth="1"/>
    <col min="13831" max="13831" width="15.109375" style="5" customWidth="1"/>
    <col min="13832" max="13832" width="14.33203125" style="5" customWidth="1"/>
    <col min="13833" max="13833" width="12.88671875" style="5" customWidth="1"/>
    <col min="13834" max="14080" width="11.44140625" style="5"/>
    <col min="14081" max="14081" width="3.44140625" style="5" bestFit="1" customWidth="1"/>
    <col min="14082" max="14082" width="79.6640625" style="5" customWidth="1"/>
    <col min="14083" max="14083" width="17.44140625" style="5" customWidth="1"/>
    <col min="14084" max="14084" width="15.88671875" style="5" customWidth="1"/>
    <col min="14085" max="14085" width="19.44140625" style="5" customWidth="1"/>
    <col min="14086" max="14086" width="15" style="5" customWidth="1"/>
    <col min="14087" max="14087" width="15.109375" style="5" customWidth="1"/>
    <col min="14088" max="14088" width="14.33203125" style="5" customWidth="1"/>
    <col min="14089" max="14089" width="12.88671875" style="5" customWidth="1"/>
    <col min="14090" max="14336" width="11.44140625" style="5"/>
    <col min="14337" max="14337" width="3.44140625" style="5" bestFit="1" customWidth="1"/>
    <col min="14338" max="14338" width="79.6640625" style="5" customWidth="1"/>
    <col min="14339" max="14339" width="17.44140625" style="5" customWidth="1"/>
    <col min="14340" max="14340" width="15.88671875" style="5" customWidth="1"/>
    <col min="14341" max="14341" width="19.44140625" style="5" customWidth="1"/>
    <col min="14342" max="14342" width="15" style="5" customWidth="1"/>
    <col min="14343" max="14343" width="15.109375" style="5" customWidth="1"/>
    <col min="14344" max="14344" width="14.33203125" style="5" customWidth="1"/>
    <col min="14345" max="14345" width="12.88671875" style="5" customWidth="1"/>
    <col min="14346" max="14592" width="11.44140625" style="5"/>
    <col min="14593" max="14593" width="3.44140625" style="5" bestFit="1" customWidth="1"/>
    <col min="14594" max="14594" width="79.6640625" style="5" customWidth="1"/>
    <col min="14595" max="14595" width="17.44140625" style="5" customWidth="1"/>
    <col min="14596" max="14596" width="15.88671875" style="5" customWidth="1"/>
    <col min="14597" max="14597" width="19.44140625" style="5" customWidth="1"/>
    <col min="14598" max="14598" width="15" style="5" customWidth="1"/>
    <col min="14599" max="14599" width="15.109375" style="5" customWidth="1"/>
    <col min="14600" max="14600" width="14.33203125" style="5" customWidth="1"/>
    <col min="14601" max="14601" width="12.88671875" style="5" customWidth="1"/>
    <col min="14602" max="14848" width="11.44140625" style="5"/>
    <col min="14849" max="14849" width="3.44140625" style="5" bestFit="1" customWidth="1"/>
    <col min="14850" max="14850" width="79.6640625" style="5" customWidth="1"/>
    <col min="14851" max="14851" width="17.44140625" style="5" customWidth="1"/>
    <col min="14852" max="14852" width="15.88671875" style="5" customWidth="1"/>
    <col min="14853" max="14853" width="19.44140625" style="5" customWidth="1"/>
    <col min="14854" max="14854" width="15" style="5" customWidth="1"/>
    <col min="14855" max="14855" width="15.109375" style="5" customWidth="1"/>
    <col min="14856" max="14856" width="14.33203125" style="5" customWidth="1"/>
    <col min="14857" max="14857" width="12.88671875" style="5" customWidth="1"/>
    <col min="14858" max="15104" width="11.44140625" style="5"/>
    <col min="15105" max="15105" width="3.44140625" style="5" bestFit="1" customWidth="1"/>
    <col min="15106" max="15106" width="79.6640625" style="5" customWidth="1"/>
    <col min="15107" max="15107" width="17.44140625" style="5" customWidth="1"/>
    <col min="15108" max="15108" width="15.88671875" style="5" customWidth="1"/>
    <col min="15109" max="15109" width="19.44140625" style="5" customWidth="1"/>
    <col min="15110" max="15110" width="15" style="5" customWidth="1"/>
    <col min="15111" max="15111" width="15.109375" style="5" customWidth="1"/>
    <col min="15112" max="15112" width="14.33203125" style="5" customWidth="1"/>
    <col min="15113" max="15113" width="12.88671875" style="5" customWidth="1"/>
    <col min="15114" max="15360" width="11.44140625" style="5"/>
    <col min="15361" max="15361" width="3.44140625" style="5" bestFit="1" customWidth="1"/>
    <col min="15362" max="15362" width="79.6640625" style="5" customWidth="1"/>
    <col min="15363" max="15363" width="17.44140625" style="5" customWidth="1"/>
    <col min="15364" max="15364" width="15.88671875" style="5" customWidth="1"/>
    <col min="15365" max="15365" width="19.44140625" style="5" customWidth="1"/>
    <col min="15366" max="15366" width="15" style="5" customWidth="1"/>
    <col min="15367" max="15367" width="15.109375" style="5" customWidth="1"/>
    <col min="15368" max="15368" width="14.33203125" style="5" customWidth="1"/>
    <col min="15369" max="15369" width="12.88671875" style="5" customWidth="1"/>
    <col min="15370" max="15616" width="11.44140625" style="5"/>
    <col min="15617" max="15617" width="3.44140625" style="5" bestFit="1" customWidth="1"/>
    <col min="15618" max="15618" width="79.6640625" style="5" customWidth="1"/>
    <col min="15619" max="15619" width="17.44140625" style="5" customWidth="1"/>
    <col min="15620" max="15620" width="15.88671875" style="5" customWidth="1"/>
    <col min="15621" max="15621" width="19.44140625" style="5" customWidth="1"/>
    <col min="15622" max="15622" width="15" style="5" customWidth="1"/>
    <col min="15623" max="15623" width="15.109375" style="5" customWidth="1"/>
    <col min="15624" max="15624" width="14.33203125" style="5" customWidth="1"/>
    <col min="15625" max="15625" width="12.88671875" style="5" customWidth="1"/>
    <col min="15626" max="15872" width="11.44140625" style="5"/>
    <col min="15873" max="15873" width="3.44140625" style="5" bestFit="1" customWidth="1"/>
    <col min="15874" max="15874" width="79.6640625" style="5" customWidth="1"/>
    <col min="15875" max="15875" width="17.44140625" style="5" customWidth="1"/>
    <col min="15876" max="15876" width="15.88671875" style="5" customWidth="1"/>
    <col min="15877" max="15877" width="19.44140625" style="5" customWidth="1"/>
    <col min="15878" max="15878" width="15" style="5" customWidth="1"/>
    <col min="15879" max="15879" width="15.109375" style="5" customWidth="1"/>
    <col min="15880" max="15880" width="14.33203125" style="5" customWidth="1"/>
    <col min="15881" max="15881" width="12.88671875" style="5" customWidth="1"/>
    <col min="15882" max="16128" width="11.44140625" style="5"/>
    <col min="16129" max="16129" width="3.44140625" style="5" bestFit="1" customWidth="1"/>
    <col min="16130" max="16130" width="79.6640625" style="5" customWidth="1"/>
    <col min="16131" max="16131" width="17.44140625" style="5" customWidth="1"/>
    <col min="16132" max="16132" width="15.88671875" style="5" customWidth="1"/>
    <col min="16133" max="16133" width="19.44140625" style="5" customWidth="1"/>
    <col min="16134" max="16134" width="15" style="5" customWidth="1"/>
    <col min="16135" max="16135" width="15.109375" style="5" customWidth="1"/>
    <col min="16136" max="16136" width="14.33203125" style="5" customWidth="1"/>
    <col min="16137" max="16137" width="12.88671875" style="5" customWidth="1"/>
    <col min="16138" max="16384" width="11.44140625" style="5"/>
  </cols>
  <sheetData>
    <row r="1" spans="1:16" ht="13.5" customHeight="1">
      <c r="A1" s="585" t="s">
        <v>0</v>
      </c>
      <c r="B1" s="586"/>
      <c r="C1" s="587"/>
      <c r="D1" s="3"/>
      <c r="E1" s="3"/>
      <c r="F1" s="4"/>
      <c r="G1" s="3"/>
    </row>
    <row r="2" spans="1:16" ht="15.75" customHeight="1">
      <c r="A2" s="588" t="s">
        <v>57</v>
      </c>
      <c r="B2" s="589"/>
      <c r="C2" s="590"/>
      <c r="D2" s="3"/>
      <c r="E2" s="3"/>
      <c r="F2" s="4"/>
      <c r="G2" s="3"/>
    </row>
    <row r="3" spans="1:16" ht="15.75" customHeight="1">
      <c r="A3" s="588" t="str">
        <f>+PRESUP!A3:H3</f>
        <v xml:space="preserve">CONCURSO DE MERITOS No. </v>
      </c>
      <c r="B3" s="589"/>
      <c r="C3" s="590"/>
      <c r="D3" s="3"/>
      <c r="E3" s="3"/>
      <c r="F3" s="4"/>
      <c r="G3" s="3"/>
    </row>
    <row r="4" spans="1:16" ht="45" customHeight="1" thickBot="1">
      <c r="A4" s="591" t="str">
        <f>+PRESUP!A4:H4</f>
        <v xml:space="preserve">PROYECTO "OPTIMIZACION DEL ACUEDUCTO RURAL DEL BARRIO CEFERINO EN ZONA RURAL DEL MUNICIPIO DE HELICONIA-ANTIOQUIA"     </v>
      </c>
      <c r="B4" s="592"/>
      <c r="C4" s="593"/>
      <c r="D4" s="6"/>
      <c r="E4" s="8" t="s">
        <v>138</v>
      </c>
      <c r="F4" s="58"/>
      <c r="G4" s="57"/>
      <c r="H4" s="57"/>
      <c r="I4" s="57"/>
      <c r="J4" s="57"/>
      <c r="K4" s="57"/>
    </row>
    <row r="5" spans="1:16" ht="20.25" customHeight="1">
      <c r="A5" s="594" t="s">
        <v>108</v>
      </c>
      <c r="B5" s="595"/>
      <c r="C5" s="596"/>
      <c r="E5" s="237" t="s">
        <v>66</v>
      </c>
      <c r="F5" s="238" t="s">
        <v>67</v>
      </c>
      <c r="G5" s="238" t="s">
        <v>68</v>
      </c>
      <c r="H5" s="239" t="s">
        <v>69</v>
      </c>
      <c r="I5" s="240" t="s">
        <v>70</v>
      </c>
      <c r="J5" s="239" t="s">
        <v>71</v>
      </c>
      <c r="K5" s="241" t="s">
        <v>17</v>
      </c>
      <c r="M5" s="215" t="s">
        <v>148</v>
      </c>
    </row>
    <row r="6" spans="1:16" ht="16.5" customHeight="1" thickBot="1">
      <c r="A6" s="81">
        <v>1</v>
      </c>
      <c r="B6" s="82" t="s">
        <v>2</v>
      </c>
      <c r="C6" s="83">
        <v>1</v>
      </c>
      <c r="E6" s="52" t="s">
        <v>72</v>
      </c>
      <c r="F6" s="53">
        <v>1</v>
      </c>
      <c r="G6" s="268">
        <v>7500000</v>
      </c>
      <c r="H6" s="242">
        <f>+C10+C11+C12+C13+C14+C15+C16+C17+C18</f>
        <v>0.51360000000000006</v>
      </c>
      <c r="I6" s="235">
        <v>5.2199999999999998E-3</v>
      </c>
      <c r="J6" s="54">
        <f>+H6+I6</f>
        <v>0.51882000000000006</v>
      </c>
      <c r="K6" s="55">
        <f t="shared" ref="K6:K15" si="0">+G6*(1+J6)*F6</f>
        <v>11391150</v>
      </c>
      <c r="L6" s="7"/>
    </row>
    <row r="7" spans="1:16" ht="28.2" thickBot="1">
      <c r="A7" s="16"/>
      <c r="B7" s="10" t="s">
        <v>12</v>
      </c>
      <c r="C7" s="41">
        <f>+C6</f>
        <v>1</v>
      </c>
      <c r="E7" s="52" t="s">
        <v>80</v>
      </c>
      <c r="F7" s="53"/>
      <c r="G7" s="268">
        <v>6500000</v>
      </c>
      <c r="H7" s="242">
        <f>51.36%-5%-8.5%</f>
        <v>0.37859999999999994</v>
      </c>
      <c r="I7" s="235">
        <v>6.9599999999999995E-2</v>
      </c>
      <c r="J7" s="54">
        <f t="shared" ref="J7:J15" si="1">+H7+I7</f>
        <v>0.44819999999999993</v>
      </c>
      <c r="K7" s="55">
        <f t="shared" si="0"/>
        <v>0</v>
      </c>
      <c r="L7" s="7"/>
      <c r="M7" s="247" t="s">
        <v>139</v>
      </c>
      <c r="N7" s="247" t="s">
        <v>140</v>
      </c>
      <c r="O7" s="247"/>
    </row>
    <row r="8" spans="1:16" ht="30" customHeight="1" thickBot="1">
      <c r="A8" s="12"/>
      <c r="B8" s="13"/>
      <c r="C8" s="14"/>
      <c r="E8" s="52" t="s">
        <v>81</v>
      </c>
      <c r="F8" s="53"/>
      <c r="G8" s="268">
        <f>+G7</f>
        <v>6500000</v>
      </c>
      <c r="H8" s="242">
        <f>51.36%-5%-8.5%</f>
        <v>0.37859999999999994</v>
      </c>
      <c r="I8" s="235">
        <v>5.2199999999999998E-3</v>
      </c>
      <c r="J8" s="54">
        <f t="shared" si="1"/>
        <v>0.38381999999999994</v>
      </c>
      <c r="K8" s="55">
        <f t="shared" si="0"/>
        <v>0</v>
      </c>
      <c r="M8" s="243" t="s">
        <v>141</v>
      </c>
      <c r="N8" s="243" t="s">
        <v>142</v>
      </c>
      <c r="O8" s="248" t="s">
        <v>149</v>
      </c>
    </row>
    <row r="9" spans="1:16" ht="15" thickBot="1">
      <c r="A9" s="16">
        <v>2</v>
      </c>
      <c r="B9" s="10" t="s">
        <v>3</v>
      </c>
      <c r="C9" s="17"/>
      <c r="E9" s="52" t="s">
        <v>73</v>
      </c>
      <c r="F9" s="53"/>
      <c r="G9" s="268">
        <v>6000000</v>
      </c>
      <c r="H9" s="242">
        <f>51.36%-5%-8.5%</f>
        <v>0.37859999999999994</v>
      </c>
      <c r="I9" s="235">
        <v>6.9599999999999995E-2</v>
      </c>
      <c r="J9" s="54">
        <f t="shared" si="1"/>
        <v>0.44819999999999993</v>
      </c>
      <c r="K9" s="55">
        <f t="shared" si="0"/>
        <v>0</v>
      </c>
      <c r="M9" s="245" t="s">
        <v>143</v>
      </c>
      <c r="N9" s="249">
        <v>1.044E-2</v>
      </c>
      <c r="O9" s="246"/>
    </row>
    <row r="10" spans="1:16" ht="15" thickBot="1">
      <c r="A10" s="16"/>
      <c r="B10" s="18" t="s">
        <v>4</v>
      </c>
      <c r="C10" s="19">
        <v>8.3299999999999999E-2</v>
      </c>
      <c r="E10" s="233" t="s">
        <v>74</v>
      </c>
      <c r="F10" s="234">
        <v>1</v>
      </c>
      <c r="G10" s="268">
        <v>2500000</v>
      </c>
      <c r="H10" s="242">
        <f t="shared" ref="H10:H15" si="2">51.36%-5%-8.5%</f>
        <v>0.37859999999999994</v>
      </c>
      <c r="I10" s="235">
        <v>5.2199999999999998E-3</v>
      </c>
      <c r="J10" s="235">
        <f t="shared" si="1"/>
        <v>0.38381999999999994</v>
      </c>
      <c r="K10" s="236">
        <f t="shared" si="0"/>
        <v>3459550</v>
      </c>
      <c r="M10" s="243" t="s">
        <v>144</v>
      </c>
      <c r="N10" s="249">
        <v>2.436E-2</v>
      </c>
      <c r="O10" s="244"/>
    </row>
    <row r="11" spans="1:16" ht="15" thickBot="1">
      <c r="A11" s="16"/>
      <c r="B11" s="18" t="s">
        <v>59</v>
      </c>
      <c r="C11" s="19">
        <v>8.3299999999999999E-2</v>
      </c>
      <c r="E11" s="233" t="s">
        <v>75</v>
      </c>
      <c r="F11" s="234">
        <v>1</v>
      </c>
      <c r="G11" s="268">
        <v>1300000</v>
      </c>
      <c r="H11" s="242">
        <f t="shared" si="2"/>
        <v>0.37859999999999994</v>
      </c>
      <c r="I11" s="235">
        <v>4.3499999999999997E-2</v>
      </c>
      <c r="J11" s="235">
        <f t="shared" si="1"/>
        <v>0.42209999999999992</v>
      </c>
      <c r="K11" s="236">
        <f t="shared" si="0"/>
        <v>1848730</v>
      </c>
      <c r="M11" s="245" t="s">
        <v>145</v>
      </c>
      <c r="N11" s="276">
        <v>4.3499999999999997E-2</v>
      </c>
      <c r="O11" s="246"/>
    </row>
    <row r="12" spans="1:16" ht="15" thickBot="1">
      <c r="A12" s="16"/>
      <c r="B12" s="18" t="s">
        <v>5</v>
      </c>
      <c r="C12" s="19">
        <v>0.01</v>
      </c>
      <c r="E12" s="52" t="s">
        <v>82</v>
      </c>
      <c r="F12" s="53">
        <v>1</v>
      </c>
      <c r="G12" s="268">
        <f>+G10</f>
        <v>2500000</v>
      </c>
      <c r="H12" s="242">
        <f t="shared" si="2"/>
        <v>0.37859999999999994</v>
      </c>
      <c r="I12" s="235">
        <v>5.2199999999999998E-3</v>
      </c>
      <c r="J12" s="54">
        <f t="shared" si="1"/>
        <v>0.38381999999999994</v>
      </c>
      <c r="K12" s="55">
        <f t="shared" si="0"/>
        <v>3459550</v>
      </c>
      <c r="M12" s="243" t="s">
        <v>146</v>
      </c>
      <c r="N12" s="275">
        <v>6.9599999999999995E-2</v>
      </c>
      <c r="O12" s="250" t="s">
        <v>150</v>
      </c>
    </row>
    <row r="13" spans="1:16">
      <c r="A13" s="16"/>
      <c r="B13" s="18" t="s">
        <v>6</v>
      </c>
      <c r="C13" s="105">
        <v>4.2000000000000003E-2</v>
      </c>
      <c r="E13" s="52" t="s">
        <v>76</v>
      </c>
      <c r="F13" s="53">
        <v>1</v>
      </c>
      <c r="G13" s="268">
        <v>4500000</v>
      </c>
      <c r="H13" s="242">
        <f t="shared" si="2"/>
        <v>0.37859999999999994</v>
      </c>
      <c r="I13" s="235">
        <v>5.2199999999999998E-3</v>
      </c>
      <c r="J13" s="54">
        <f t="shared" si="1"/>
        <v>0.38381999999999994</v>
      </c>
      <c r="K13" s="55">
        <f t="shared" si="0"/>
        <v>6227190</v>
      </c>
      <c r="M13" s="214"/>
    </row>
    <row r="14" spans="1:16" ht="13.5" customHeight="1">
      <c r="A14" s="16"/>
      <c r="B14" s="18" t="s">
        <v>7</v>
      </c>
      <c r="C14" s="105">
        <v>8.5000000000000006E-2</v>
      </c>
      <c r="D14" s="7"/>
      <c r="E14" s="455" t="s">
        <v>380</v>
      </c>
      <c r="F14" s="456">
        <v>1</v>
      </c>
      <c r="G14" s="457">
        <v>6000000</v>
      </c>
      <c r="H14" s="458">
        <f t="shared" si="2"/>
        <v>0.37859999999999994</v>
      </c>
      <c r="I14" s="459">
        <v>5.2199999999999998E-3</v>
      </c>
      <c r="J14" s="460">
        <f t="shared" si="1"/>
        <v>0.38381999999999994</v>
      </c>
      <c r="K14" s="461">
        <f t="shared" si="0"/>
        <v>8302920</v>
      </c>
      <c r="M14" s="274" t="s">
        <v>162</v>
      </c>
    </row>
    <row r="15" spans="1:16" ht="15.75" customHeight="1" thickBot="1">
      <c r="A15" s="16"/>
      <c r="B15" s="18" t="s">
        <v>8</v>
      </c>
      <c r="C15" s="105">
        <v>0.12</v>
      </c>
      <c r="D15" s="7"/>
      <c r="E15" s="52" t="s">
        <v>77</v>
      </c>
      <c r="F15" s="53">
        <v>1</v>
      </c>
      <c r="G15" s="268">
        <v>8700000</v>
      </c>
      <c r="H15" s="242">
        <f t="shared" si="2"/>
        <v>0.37859999999999994</v>
      </c>
      <c r="I15" s="235">
        <v>5.2199999999999998E-3</v>
      </c>
      <c r="J15" s="54">
        <f t="shared" si="1"/>
        <v>0.38381999999999994</v>
      </c>
      <c r="K15" s="55">
        <f t="shared" si="0"/>
        <v>12039234</v>
      </c>
      <c r="M15" s="274" t="s">
        <v>163</v>
      </c>
      <c r="N15" s="214"/>
      <c r="O15" s="214"/>
      <c r="P15" s="214"/>
    </row>
    <row r="16" spans="1:16" ht="15" thickBot="1">
      <c r="A16" s="16"/>
      <c r="B16" s="18" t="s">
        <v>9</v>
      </c>
      <c r="C16" s="105">
        <v>0.04</v>
      </c>
      <c r="D16" s="7"/>
      <c r="E16" s="255" t="s">
        <v>151</v>
      </c>
      <c r="F16" s="256"/>
      <c r="G16" s="257"/>
      <c r="H16" s="257"/>
      <c r="I16" s="257"/>
      <c r="J16" s="258"/>
      <c r="K16" s="56">
        <f>SUM(K6:K15)</f>
        <v>46728324</v>
      </c>
      <c r="M16" s="274" t="s">
        <v>164</v>
      </c>
      <c r="N16" s="214"/>
      <c r="O16" s="214"/>
      <c r="P16" s="214"/>
    </row>
    <row r="17" spans="1:16" ht="15" thickBot="1">
      <c r="A17" s="16"/>
      <c r="B17" s="18" t="s">
        <v>10</v>
      </c>
      <c r="C17" s="105">
        <v>0.02</v>
      </c>
      <c r="D17" s="7"/>
      <c r="E17" s="251" t="s">
        <v>152</v>
      </c>
      <c r="F17" s="252"/>
      <c r="G17" s="253"/>
      <c r="H17" s="253"/>
      <c r="I17" s="253"/>
      <c r="J17" s="254"/>
      <c r="K17" s="259">
        <v>35</v>
      </c>
      <c r="M17" s="214"/>
      <c r="N17" s="214"/>
      <c r="O17" s="214"/>
      <c r="P17" s="214"/>
    </row>
    <row r="18" spans="1:16" ht="15" thickBot="1">
      <c r="A18" s="16"/>
      <c r="B18" s="18" t="s">
        <v>11</v>
      </c>
      <c r="C18" s="105">
        <v>0.03</v>
      </c>
      <c r="D18" s="7"/>
      <c r="E18" s="251" t="s">
        <v>153</v>
      </c>
      <c r="F18" s="252"/>
      <c r="G18" s="253"/>
      <c r="H18" s="253"/>
      <c r="I18" s="253"/>
      <c r="J18" s="254"/>
      <c r="K18" s="260">
        <v>0.03</v>
      </c>
      <c r="M18" s="214"/>
      <c r="N18" s="214"/>
      <c r="O18" s="214"/>
      <c r="P18" s="214"/>
    </row>
    <row r="19" spans="1:16" ht="15" thickBot="1">
      <c r="A19" s="16"/>
      <c r="B19" s="18" t="s">
        <v>320</v>
      </c>
      <c r="C19" s="106">
        <v>6.9599999999999995E-2</v>
      </c>
      <c r="D19" s="23"/>
      <c r="E19" s="255" t="s">
        <v>154</v>
      </c>
      <c r="F19" s="256"/>
      <c r="G19" s="257"/>
      <c r="H19" s="257"/>
      <c r="I19" s="257"/>
      <c r="J19" s="258"/>
      <c r="K19" s="56">
        <f>K18*K16</f>
        <v>1401849.72</v>
      </c>
      <c r="M19" s="214"/>
      <c r="N19" s="214"/>
      <c r="O19" s="214"/>
      <c r="P19" s="214"/>
    </row>
    <row r="20" spans="1:16" ht="28.5" customHeight="1" thickBot="1">
      <c r="A20" s="16"/>
      <c r="B20" s="25" t="s">
        <v>16</v>
      </c>
      <c r="C20" s="427">
        <f>SUM(C10:C19)</f>
        <v>0.58320000000000005</v>
      </c>
    </row>
    <row r="21" spans="1:16" ht="33" customHeight="1">
      <c r="A21" s="27"/>
      <c r="B21" s="28"/>
      <c r="C21" s="14"/>
      <c r="H21" s="263"/>
    </row>
    <row r="22" spans="1:16" s="439" customFormat="1" ht="24">
      <c r="A22" s="432">
        <v>3</v>
      </c>
      <c r="B22" s="10" t="s">
        <v>13</v>
      </c>
      <c r="C22" s="433"/>
      <c r="D22" s="176"/>
      <c r="E22" s="262" t="s">
        <v>78</v>
      </c>
      <c r="F22" s="434" t="s">
        <v>155</v>
      </c>
      <c r="G22" s="435" t="s">
        <v>156</v>
      </c>
      <c r="H22" s="436"/>
      <c r="I22" s="437" t="s">
        <v>157</v>
      </c>
      <c r="J22" s="438">
        <f>PRESUP!H15</f>
        <v>62790077.25</v>
      </c>
      <c r="K22" s="5"/>
      <c r="M22" s="440"/>
    </row>
    <row r="23" spans="1:16" ht="26.4">
      <c r="A23" s="16"/>
      <c r="B23" s="224" t="str">
        <f>+E23</f>
        <v>Costos oficina central (arrendamiento oficina central, administración y servicios públicos)</v>
      </c>
      <c r="C23" s="128">
        <f>G23/$J$22</f>
        <v>2.5083581180018376E-2</v>
      </c>
      <c r="D23" s="5"/>
      <c r="E23" s="454" t="s">
        <v>379</v>
      </c>
      <c r="F23" s="49">
        <v>0.35</v>
      </c>
      <c r="G23" s="261">
        <f>F23*J25*J24</f>
        <v>1575000</v>
      </c>
      <c r="H23" s="264"/>
      <c r="I23" s="277" t="s">
        <v>58</v>
      </c>
      <c r="J23" s="267">
        <f>+PRESUP!I35</f>
        <v>185330688</v>
      </c>
      <c r="K23" s="439"/>
    </row>
    <row r="24" spans="1:16" ht="38.25" customHeight="1">
      <c r="A24" s="16"/>
      <c r="B24" s="29" t="s">
        <v>318</v>
      </c>
      <c r="C24" s="128">
        <f>G24/$J$22</f>
        <v>2.8666949920021001E-2</v>
      </c>
      <c r="D24" s="5"/>
      <c r="E24" s="48" t="s">
        <v>147</v>
      </c>
      <c r="F24" s="49">
        <v>0.4</v>
      </c>
      <c r="G24" s="261">
        <f>F24*J25*J24</f>
        <v>1800000</v>
      </c>
      <c r="H24" s="264"/>
      <c r="I24" s="278" t="s">
        <v>1</v>
      </c>
      <c r="J24" s="514">
        <f>+PRESUP!G9</f>
        <v>4.5</v>
      </c>
    </row>
    <row r="25" spans="1:16">
      <c r="A25" s="16"/>
      <c r="B25" s="29" t="s">
        <v>60</v>
      </c>
      <c r="C25" s="128">
        <f>G25/$J$22</f>
        <v>4.0186755718635468E-2</v>
      </c>
      <c r="D25" s="5"/>
      <c r="E25" s="50" t="s">
        <v>60</v>
      </c>
      <c r="F25" s="49">
        <v>0.4</v>
      </c>
      <c r="G25" s="261">
        <f>+K19*J24*F25</f>
        <v>2523329.4960000003</v>
      </c>
      <c r="H25" s="264"/>
      <c r="I25" s="278" t="s">
        <v>399</v>
      </c>
      <c r="J25" s="267">
        <v>1000000</v>
      </c>
      <c r="K25" s="7"/>
      <c r="P25" s="15"/>
    </row>
    <row r="26" spans="1:16" ht="15" thickBot="1">
      <c r="A26" s="16"/>
      <c r="B26" s="18" t="s">
        <v>61</v>
      </c>
      <c r="C26" s="129">
        <f>G26/$J$22</f>
        <v>1.2095111732005394E-2</v>
      </c>
      <c r="D26" s="5"/>
      <c r="E26" s="48" t="s">
        <v>61</v>
      </c>
      <c r="F26" s="49">
        <v>1</v>
      </c>
      <c r="G26" s="261">
        <f>+POLIZAS!H16</f>
        <v>759453</v>
      </c>
      <c r="H26" s="264"/>
      <c r="I26" s="278" t="s">
        <v>160</v>
      </c>
      <c r="J26" s="267">
        <f>PRESUP!H33</f>
        <v>156717482.66</v>
      </c>
      <c r="K26" s="7"/>
      <c r="L26" s="7"/>
      <c r="P26" s="15"/>
    </row>
    <row r="27" spans="1:16" ht="15" thickBot="1">
      <c r="A27" s="16"/>
      <c r="B27" s="34" t="s">
        <v>62</v>
      </c>
      <c r="C27" s="35">
        <f>SUM(C23:C26)</f>
        <v>0.10603239855068024</v>
      </c>
      <c r="D27" s="5"/>
      <c r="E27" s="5"/>
      <c r="F27" s="5"/>
      <c r="G27" s="5"/>
      <c r="K27" s="7"/>
      <c r="L27" s="7"/>
      <c r="P27" s="20"/>
    </row>
    <row r="28" spans="1:16">
      <c r="A28" s="27"/>
      <c r="B28" s="28"/>
      <c r="C28" s="14"/>
      <c r="D28" s="5"/>
      <c r="H28" s="264"/>
      <c r="I28" s="266"/>
      <c r="J28" s="265"/>
      <c r="K28" s="7"/>
      <c r="L28" s="7"/>
      <c r="P28" s="20"/>
    </row>
    <row r="29" spans="1:16">
      <c r="A29" s="16">
        <v>4</v>
      </c>
      <c r="B29" s="36" t="s">
        <v>159</v>
      </c>
      <c r="C29" s="37"/>
      <c r="E29" s="5"/>
      <c r="F29" s="5"/>
      <c r="G29" s="5"/>
      <c r="H29" s="264"/>
      <c r="I29" s="265"/>
      <c r="J29" s="265"/>
      <c r="K29" s="265"/>
      <c r="L29" s="7"/>
      <c r="P29" s="20"/>
    </row>
    <row r="30" spans="1:16">
      <c r="A30" s="523"/>
      <c r="B30" s="524"/>
      <c r="C30" s="37"/>
      <c r="E30" s="5"/>
      <c r="F30" s="5"/>
      <c r="G30" s="5"/>
      <c r="H30" s="264"/>
      <c r="I30" s="265"/>
      <c r="J30" s="265"/>
      <c r="K30" s="265"/>
      <c r="L30" s="7"/>
      <c r="P30" s="20"/>
    </row>
    <row r="31" spans="1:16">
      <c r="A31" s="16"/>
      <c r="B31" s="528" t="s">
        <v>109</v>
      </c>
      <c r="C31" s="531">
        <f>(G31/$J$22)/2</f>
        <v>2.4958956816699888E-3</v>
      </c>
      <c r="D31" s="5"/>
      <c r="E31" s="210" t="s">
        <v>109</v>
      </c>
      <c r="F31" s="271">
        <f>4/1000*0.5</f>
        <v>2E-3</v>
      </c>
      <c r="G31" s="272">
        <f t="shared" ref="G31:G37" si="3">$J$26*F31</f>
        <v>313434.96532000002</v>
      </c>
      <c r="H31" s="22"/>
      <c r="I31" s="441" t="s">
        <v>335</v>
      </c>
      <c r="J31" s="441" t="s">
        <v>384</v>
      </c>
      <c r="K31" s="441" t="s">
        <v>383</v>
      </c>
      <c r="L31" s="265"/>
      <c r="O31" s="9"/>
      <c r="P31" s="21"/>
    </row>
    <row r="32" spans="1:16" ht="18.75" customHeight="1">
      <c r="A32" s="16"/>
      <c r="B32" s="528" t="s">
        <v>408</v>
      </c>
      <c r="C32" s="532">
        <v>0.04</v>
      </c>
      <c r="D32" s="5"/>
      <c r="E32" s="18" t="s">
        <v>405</v>
      </c>
      <c r="F32" s="271">
        <v>0.02</v>
      </c>
      <c r="G32" s="272">
        <f t="shared" si="3"/>
        <v>3134349.6532000001</v>
      </c>
      <c r="I32" s="441" t="s">
        <v>336</v>
      </c>
      <c r="J32" s="441">
        <f>+J36*J24*2</f>
        <v>315000</v>
      </c>
      <c r="K32" s="441">
        <f>4*2*K36</f>
        <v>280000</v>
      </c>
      <c r="L32" s="265"/>
      <c r="O32" s="11"/>
    </row>
    <row r="33" spans="1:14" ht="24" customHeight="1">
      <c r="A33" s="16"/>
      <c r="B33" s="528" t="s">
        <v>409</v>
      </c>
      <c r="C33" s="532">
        <v>0.02</v>
      </c>
      <c r="D33" s="5"/>
      <c r="E33" s="18" t="s">
        <v>406</v>
      </c>
      <c r="F33" s="271">
        <v>0.04</v>
      </c>
      <c r="G33" s="272">
        <f t="shared" si="3"/>
        <v>6268699.3064000001</v>
      </c>
      <c r="H33" s="26"/>
      <c r="I33" s="441" t="s">
        <v>337</v>
      </c>
      <c r="J33" s="441">
        <f>+J37*6</f>
        <v>1776600</v>
      </c>
      <c r="K33" s="441">
        <f>+K37*6</f>
        <v>1463400</v>
      </c>
      <c r="L33" s="265"/>
    </row>
    <row r="34" spans="1:14">
      <c r="A34" s="16"/>
      <c r="B34" s="528" t="s">
        <v>410</v>
      </c>
      <c r="C34" s="532">
        <v>0.01</v>
      </c>
      <c r="D34" s="5"/>
      <c r="E34" s="18" t="s">
        <v>14</v>
      </c>
      <c r="F34" s="271">
        <v>0</v>
      </c>
      <c r="G34" s="272">
        <f t="shared" si="3"/>
        <v>0</v>
      </c>
      <c r="H34" s="30"/>
      <c r="I34" s="442"/>
      <c r="J34" s="443">
        <f>+J33+J32</f>
        <v>2091600</v>
      </c>
      <c r="K34" s="443">
        <f>+K33+K32</f>
        <v>1743400</v>
      </c>
      <c r="L34" s="265"/>
      <c r="M34" s="5">
        <v>162600</v>
      </c>
    </row>
    <row r="35" spans="1:14" ht="26.4">
      <c r="A35" s="16"/>
      <c r="B35" s="528" t="s">
        <v>411</v>
      </c>
      <c r="C35" s="532">
        <v>2.5000000000000001E-2</v>
      </c>
      <c r="D35" s="5"/>
      <c r="E35" s="18" t="s">
        <v>15</v>
      </c>
      <c r="F35" s="271">
        <v>0</v>
      </c>
      <c r="G35" s="272">
        <f t="shared" si="3"/>
        <v>0</v>
      </c>
      <c r="H35" s="30"/>
      <c r="J35" s="33"/>
      <c r="L35" s="265"/>
      <c r="M35" s="5">
        <v>197400</v>
      </c>
    </row>
    <row r="36" spans="1:14" ht="26.4">
      <c r="A36" s="16"/>
      <c r="B36" s="530"/>
      <c r="C36" s="529"/>
      <c r="D36" s="5"/>
      <c r="E36" s="18" t="s">
        <v>107</v>
      </c>
      <c r="F36" s="271">
        <v>0</v>
      </c>
      <c r="G36" s="272">
        <f t="shared" si="3"/>
        <v>0</v>
      </c>
      <c r="H36" s="30"/>
      <c r="I36" s="442" t="s">
        <v>338</v>
      </c>
      <c r="J36" s="451">
        <v>35000</v>
      </c>
      <c r="K36" s="451">
        <v>35000</v>
      </c>
      <c r="N36" s="30"/>
    </row>
    <row r="37" spans="1:14" ht="27.75" customHeight="1" thickBot="1">
      <c r="A37" s="16"/>
      <c r="B37" s="5"/>
      <c r="C37" s="5"/>
      <c r="D37" s="5"/>
      <c r="E37" s="18" t="s">
        <v>123</v>
      </c>
      <c r="F37" s="271">
        <v>0.02</v>
      </c>
      <c r="G37" s="272">
        <f t="shared" si="3"/>
        <v>3134349.6532000001</v>
      </c>
      <c r="H37" s="30"/>
      <c r="I37" s="444" t="s">
        <v>339</v>
      </c>
      <c r="J37" s="452">
        <f>+Viáticos!F8</f>
        <v>296100</v>
      </c>
      <c r="K37" s="451">
        <v>243900</v>
      </c>
      <c r="L37" s="32"/>
      <c r="N37" s="30"/>
    </row>
    <row r="38" spans="1:14" ht="15" thickBot="1">
      <c r="A38" s="16"/>
      <c r="B38" s="25" t="s">
        <v>63</v>
      </c>
      <c r="C38" s="35">
        <f>SUM(C30:C36)</f>
        <v>9.7495895681669997E-2</v>
      </c>
      <c r="E38" s="269" t="s">
        <v>158</v>
      </c>
      <c r="F38" s="23">
        <f>SUM(F31:F37)</f>
        <v>8.2000000000000003E-2</v>
      </c>
      <c r="G38" s="270">
        <f>SUM(G31:G37)</f>
        <v>12850833.578120001</v>
      </c>
      <c r="H38" s="30"/>
      <c r="J38" s="33"/>
      <c r="L38" s="32"/>
      <c r="N38" s="30"/>
    </row>
    <row r="39" spans="1:14">
      <c r="A39" s="27"/>
      <c r="B39" s="28"/>
      <c r="C39" s="40"/>
      <c r="E39" s="5"/>
      <c r="F39" s="5"/>
      <c r="G39" s="5"/>
      <c r="L39" s="32"/>
      <c r="N39" s="30"/>
    </row>
    <row r="40" spans="1:14">
      <c r="A40" s="16">
        <v>5</v>
      </c>
      <c r="B40" s="10" t="s">
        <v>112</v>
      </c>
      <c r="C40" s="41">
        <f>(C7+C20+C27+C38)*0.1</f>
        <v>0.17867282942323504</v>
      </c>
      <c r="H40" s="30"/>
      <c r="I40" s="30"/>
      <c r="J40" s="33"/>
      <c r="N40" s="30"/>
    </row>
    <row r="41" spans="1:14">
      <c r="A41" s="27"/>
      <c r="B41" s="28"/>
      <c r="C41" s="40"/>
      <c r="H41" s="30"/>
      <c r="I41" s="30"/>
      <c r="J41" s="33"/>
      <c r="N41" s="30"/>
    </row>
    <row r="42" spans="1:14">
      <c r="A42" s="16"/>
      <c r="B42" s="25" t="s">
        <v>64</v>
      </c>
      <c r="C42" s="232">
        <f>ROUND(SUM(C40+C20+C38+C27+C7),4)</f>
        <v>1.9654</v>
      </c>
      <c r="H42" s="30"/>
      <c r="I42" s="30"/>
      <c r="J42" s="31"/>
      <c r="N42" s="30"/>
    </row>
    <row r="43" spans="1:14" ht="15" thickBot="1">
      <c r="A43" s="43"/>
      <c r="B43" s="44" t="s">
        <v>65</v>
      </c>
      <c r="C43" s="425">
        <f>ROUND((C42),2)</f>
        <v>1.97</v>
      </c>
      <c r="D43" s="426"/>
      <c r="E43" s="210" t="s">
        <v>161</v>
      </c>
      <c r="F43" s="273">
        <f>ROUND(C43-C38,8)</f>
        <v>1.8725041</v>
      </c>
      <c r="H43" s="30"/>
      <c r="I43" s="30"/>
      <c r="J43" s="24"/>
      <c r="K43" s="22"/>
      <c r="L43" s="39"/>
      <c r="N43" s="38"/>
    </row>
    <row r="44" spans="1:14">
      <c r="A44" s="46"/>
      <c r="G44" s="51"/>
      <c r="H44" s="30"/>
      <c r="I44" s="30"/>
      <c r="J44" s="24"/>
      <c r="K44" s="22"/>
      <c r="L44" s="7"/>
      <c r="N44" s="38"/>
    </row>
    <row r="45" spans="1:14">
      <c r="A45" s="64"/>
      <c r="B45" s="65" t="s">
        <v>98</v>
      </c>
      <c r="C45" s="66"/>
      <c r="H45" s="30"/>
      <c r="I45" s="30"/>
      <c r="J45" s="24"/>
      <c r="K45" s="39"/>
      <c r="L45" s="42"/>
      <c r="N45" s="38"/>
    </row>
    <row r="46" spans="1:14">
      <c r="A46" s="64"/>
      <c r="C46" s="68"/>
      <c r="D46" s="231"/>
      <c r="H46" s="30"/>
      <c r="I46" s="30"/>
      <c r="L46" s="38"/>
      <c r="N46" s="7"/>
    </row>
    <row r="47" spans="1:14">
      <c r="A47" s="64"/>
      <c r="B47" s="127"/>
      <c r="C47" s="68"/>
      <c r="H47" s="30"/>
      <c r="I47" s="30"/>
      <c r="M47" s="26"/>
      <c r="N47" s="38"/>
    </row>
    <row r="48" spans="1:14" ht="30" customHeight="1">
      <c r="A48" s="64"/>
      <c r="B48" s="65" t="s">
        <v>128</v>
      </c>
      <c r="C48" s="70"/>
      <c r="E48" s="75"/>
      <c r="F48" s="75"/>
      <c r="G48" s="47"/>
    </row>
    <row r="49" spans="1:19">
      <c r="A49" s="64"/>
      <c r="B49" s="72" t="s">
        <v>113</v>
      </c>
      <c r="C49" s="73"/>
      <c r="D49" s="74"/>
      <c r="E49" s="75"/>
      <c r="F49" s="75"/>
      <c r="G49" s="47"/>
    </row>
    <row r="50" spans="1:19">
      <c r="A50" s="64"/>
      <c r="C50" s="76"/>
      <c r="D50" s="74"/>
      <c r="E50" s="75"/>
      <c r="F50" s="75"/>
      <c r="G50" s="47"/>
    </row>
    <row r="51" spans="1:19">
      <c r="A51" s="64"/>
      <c r="B51" s="72" t="s">
        <v>129</v>
      </c>
      <c r="C51" s="76"/>
      <c r="D51" s="74"/>
      <c r="E51" s="75"/>
      <c r="F51" s="75"/>
      <c r="G51" s="47"/>
    </row>
    <row r="52" spans="1:19">
      <c r="A52" s="64"/>
      <c r="C52" s="76"/>
      <c r="D52" s="74"/>
      <c r="E52" s="75"/>
      <c r="F52" s="75"/>
      <c r="G52" s="47"/>
    </row>
    <row r="53" spans="1:19">
      <c r="A53" s="64"/>
      <c r="C53" s="76"/>
      <c r="D53" s="74"/>
      <c r="E53" s="77"/>
      <c r="F53" s="77"/>
      <c r="G53" s="47"/>
      <c r="I53" s="7"/>
    </row>
    <row r="54" spans="1:19">
      <c r="A54" s="64"/>
      <c r="B54" s="127"/>
      <c r="C54" s="73"/>
      <c r="D54" s="74"/>
      <c r="E54" s="69"/>
      <c r="F54" s="77"/>
      <c r="G54" s="7"/>
      <c r="I54" s="7"/>
    </row>
    <row r="55" spans="1:19" ht="14.25" customHeight="1">
      <c r="A55" s="64"/>
      <c r="B55" s="72"/>
      <c r="C55" s="73"/>
      <c r="D55" s="74"/>
      <c r="E55" s="69"/>
      <c r="F55" s="77"/>
      <c r="G55" s="7"/>
      <c r="I55" s="7"/>
    </row>
    <row r="56" spans="1:19" ht="14.25" customHeight="1">
      <c r="A56" s="64"/>
      <c r="B56" s="72"/>
      <c r="C56" s="73"/>
      <c r="D56" s="74"/>
      <c r="E56" s="69"/>
      <c r="F56" s="77"/>
      <c r="G56" s="7"/>
      <c r="I56" s="7"/>
      <c r="R56" s="45"/>
      <c r="S56" s="7"/>
    </row>
    <row r="57" spans="1:19" ht="14.25" customHeight="1">
      <c r="A57" s="64"/>
      <c r="B57" s="72"/>
      <c r="C57" s="73"/>
      <c r="D57" s="74"/>
      <c r="I57" s="7"/>
      <c r="O57" s="45"/>
      <c r="P57" s="7"/>
      <c r="Q57" s="47"/>
      <c r="S57" s="7"/>
    </row>
    <row r="58" spans="1:19" ht="14.25" customHeight="1">
      <c r="A58" s="7"/>
      <c r="I58" s="7"/>
      <c r="N58" s="67"/>
      <c r="O58" s="65"/>
      <c r="P58" s="78"/>
      <c r="Q58" s="47"/>
      <c r="S58" s="7"/>
    </row>
    <row r="59" spans="1:19">
      <c r="A59" s="7"/>
      <c r="I59" s="7"/>
      <c r="N59" s="8"/>
      <c r="O59" s="79"/>
      <c r="P59" s="69"/>
      <c r="Q59" s="47"/>
      <c r="S59" s="7"/>
    </row>
    <row r="60" spans="1:19" ht="15" customHeight="1">
      <c r="A60" s="7"/>
      <c r="I60" s="7"/>
      <c r="O60" s="79"/>
      <c r="P60" s="69"/>
      <c r="Q60" s="47"/>
      <c r="S60" s="7"/>
    </row>
    <row r="61" spans="1:19" ht="11.25" customHeight="1">
      <c r="A61" s="7"/>
      <c r="I61" s="7"/>
      <c r="N61" s="71"/>
      <c r="O61" s="80"/>
      <c r="P61" s="69"/>
      <c r="Q61" s="47"/>
      <c r="S61" s="7"/>
    </row>
    <row r="62" spans="1:19" ht="23.25" customHeight="1">
      <c r="A62" s="7"/>
    </row>
    <row r="63" spans="1:19" ht="18" customHeight="1">
      <c r="A63" s="7"/>
    </row>
    <row r="64" spans="1:19">
      <c r="A64" s="7"/>
    </row>
    <row r="77" spans="8:8">
      <c r="H77" s="102"/>
    </row>
    <row r="78" spans="8:8" ht="32.25" customHeight="1"/>
  </sheetData>
  <mergeCells count="5">
    <mergeCell ref="A1:C1"/>
    <mergeCell ref="A2:C2"/>
    <mergeCell ref="A4:C4"/>
    <mergeCell ref="A5:C5"/>
    <mergeCell ref="A3:C3"/>
  </mergeCells>
  <printOptions horizontalCentered="1"/>
  <pageMargins left="0.55118110236220474" right="0.51181102362204722" top="0.78740157480314965" bottom="0.78740157480314965" header="0.31496062992125984" footer="0.19685039370078741"/>
  <pageSetup scale="76" orientation="portrait" horizontalDpi="4294967295" verticalDpi="4294967295" r:id="rId1"/>
  <headerFooter>
    <oddFooter>&amp;CPágina &amp;P de &amp;N</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23"/>
  <sheetViews>
    <sheetView topLeftCell="A12" zoomScale="70" zoomScaleNormal="70" workbookViewId="0">
      <selection activeCell="D20" sqref="D20"/>
    </sheetView>
  </sheetViews>
  <sheetFormatPr baseColWidth="10" defaultRowHeight="14.4"/>
  <cols>
    <col min="1" max="1" width="26.88671875" style="341" customWidth="1"/>
    <col min="2" max="2" width="15.88671875" style="341" customWidth="1"/>
    <col min="3" max="3" width="12.44140625" style="341" customWidth="1"/>
    <col min="4" max="4" width="16.44140625" style="341" customWidth="1"/>
    <col min="5" max="7" width="11.44140625" style="341"/>
    <col min="8" max="8" width="17.109375" style="341" bestFit="1" customWidth="1"/>
    <col min="9" max="9" width="9.33203125" style="341" customWidth="1"/>
    <col min="10" max="10" width="59.44140625" style="341" customWidth="1"/>
    <col min="11" max="11" width="11.44140625" style="341"/>
    <col min="12" max="12" width="13" style="341" bestFit="1" customWidth="1"/>
    <col min="13" max="256" width="11.44140625" style="341"/>
    <col min="257" max="257" width="26.88671875" style="341" customWidth="1"/>
    <col min="258" max="258" width="15.88671875" style="341" customWidth="1"/>
    <col min="259" max="259" width="11.44140625" style="341"/>
    <col min="260" max="260" width="18.44140625" style="341" customWidth="1"/>
    <col min="261" max="263" width="11.44140625" style="341"/>
    <col min="264" max="264" width="12.44140625" style="341" bestFit="1" customWidth="1"/>
    <col min="265" max="265" width="11.44140625" style="341"/>
    <col min="266" max="266" width="18.44140625" style="341" customWidth="1"/>
    <col min="267" max="512" width="11.44140625" style="341"/>
    <col min="513" max="513" width="26.88671875" style="341" customWidth="1"/>
    <col min="514" max="514" width="15.88671875" style="341" customWidth="1"/>
    <col min="515" max="515" width="11.44140625" style="341"/>
    <col min="516" max="516" width="18.44140625" style="341" customWidth="1"/>
    <col min="517" max="519" width="11.44140625" style="341"/>
    <col min="520" max="520" width="12.44140625" style="341" bestFit="1" customWidth="1"/>
    <col min="521" max="521" width="11.44140625" style="341"/>
    <col min="522" max="522" width="18.44140625" style="341" customWidth="1"/>
    <col min="523" max="768" width="11.44140625" style="341"/>
    <col min="769" max="769" width="26.88671875" style="341" customWidth="1"/>
    <col min="770" max="770" width="15.88671875" style="341" customWidth="1"/>
    <col min="771" max="771" width="11.44140625" style="341"/>
    <col min="772" max="772" width="18.44140625" style="341" customWidth="1"/>
    <col min="773" max="775" width="11.44140625" style="341"/>
    <col min="776" max="776" width="12.44140625" style="341" bestFit="1" customWidth="1"/>
    <col min="777" max="777" width="11.44140625" style="341"/>
    <col min="778" max="778" width="18.44140625" style="341" customWidth="1"/>
    <col min="779" max="1024" width="11.44140625" style="341"/>
    <col min="1025" max="1025" width="26.88671875" style="341" customWidth="1"/>
    <col min="1026" max="1026" width="15.88671875" style="341" customWidth="1"/>
    <col min="1027" max="1027" width="11.44140625" style="341"/>
    <col min="1028" max="1028" width="18.44140625" style="341" customWidth="1"/>
    <col min="1029" max="1031" width="11.44140625" style="341"/>
    <col min="1032" max="1032" width="12.44140625" style="341" bestFit="1" customWidth="1"/>
    <col min="1033" max="1033" width="11.44140625" style="341"/>
    <col min="1034" max="1034" width="18.44140625" style="341" customWidth="1"/>
    <col min="1035" max="1280" width="11.44140625" style="341"/>
    <col min="1281" max="1281" width="26.88671875" style="341" customWidth="1"/>
    <col min="1282" max="1282" width="15.88671875" style="341" customWidth="1"/>
    <col min="1283" max="1283" width="11.44140625" style="341"/>
    <col min="1284" max="1284" width="18.44140625" style="341" customWidth="1"/>
    <col min="1285" max="1287" width="11.44140625" style="341"/>
    <col min="1288" max="1288" width="12.44140625" style="341" bestFit="1" customWidth="1"/>
    <col min="1289" max="1289" width="11.44140625" style="341"/>
    <col min="1290" max="1290" width="18.44140625" style="341" customWidth="1"/>
    <col min="1291" max="1536" width="11.44140625" style="341"/>
    <col min="1537" max="1537" width="26.88671875" style="341" customWidth="1"/>
    <col min="1538" max="1538" width="15.88671875" style="341" customWidth="1"/>
    <col min="1539" max="1539" width="11.44140625" style="341"/>
    <col min="1540" max="1540" width="18.44140625" style="341" customWidth="1"/>
    <col min="1541" max="1543" width="11.44140625" style="341"/>
    <col min="1544" max="1544" width="12.44140625" style="341" bestFit="1" customWidth="1"/>
    <col min="1545" max="1545" width="11.44140625" style="341"/>
    <col min="1546" max="1546" width="18.44140625" style="341" customWidth="1"/>
    <col min="1547" max="1792" width="11.44140625" style="341"/>
    <col min="1793" max="1793" width="26.88671875" style="341" customWidth="1"/>
    <col min="1794" max="1794" width="15.88671875" style="341" customWidth="1"/>
    <col min="1795" max="1795" width="11.44140625" style="341"/>
    <col min="1796" max="1796" width="18.44140625" style="341" customWidth="1"/>
    <col min="1797" max="1799" width="11.44140625" style="341"/>
    <col min="1800" max="1800" width="12.44140625" style="341" bestFit="1" customWidth="1"/>
    <col min="1801" max="1801" width="11.44140625" style="341"/>
    <col min="1802" max="1802" width="18.44140625" style="341" customWidth="1"/>
    <col min="1803" max="2048" width="11.44140625" style="341"/>
    <col min="2049" max="2049" width="26.88671875" style="341" customWidth="1"/>
    <col min="2050" max="2050" width="15.88671875" style="341" customWidth="1"/>
    <col min="2051" max="2051" width="11.44140625" style="341"/>
    <col min="2052" max="2052" width="18.44140625" style="341" customWidth="1"/>
    <col min="2053" max="2055" width="11.44140625" style="341"/>
    <col min="2056" max="2056" width="12.44140625" style="341" bestFit="1" customWidth="1"/>
    <col min="2057" max="2057" width="11.44140625" style="341"/>
    <col min="2058" max="2058" width="18.44140625" style="341" customWidth="1"/>
    <col min="2059" max="2304" width="11.44140625" style="341"/>
    <col min="2305" max="2305" width="26.88671875" style="341" customWidth="1"/>
    <col min="2306" max="2306" width="15.88671875" style="341" customWidth="1"/>
    <col min="2307" max="2307" width="11.44140625" style="341"/>
    <col min="2308" max="2308" width="18.44140625" style="341" customWidth="1"/>
    <col min="2309" max="2311" width="11.44140625" style="341"/>
    <col min="2312" max="2312" width="12.44140625" style="341" bestFit="1" customWidth="1"/>
    <col min="2313" max="2313" width="11.44140625" style="341"/>
    <col min="2314" max="2314" width="18.44140625" style="341" customWidth="1"/>
    <col min="2315" max="2560" width="11.44140625" style="341"/>
    <col min="2561" max="2561" width="26.88671875" style="341" customWidth="1"/>
    <col min="2562" max="2562" width="15.88671875" style="341" customWidth="1"/>
    <col min="2563" max="2563" width="11.44140625" style="341"/>
    <col min="2564" max="2564" width="18.44140625" style="341" customWidth="1"/>
    <col min="2565" max="2567" width="11.44140625" style="341"/>
    <col min="2568" max="2568" width="12.44140625" style="341" bestFit="1" customWidth="1"/>
    <col min="2569" max="2569" width="11.44140625" style="341"/>
    <col min="2570" max="2570" width="18.44140625" style="341" customWidth="1"/>
    <col min="2571" max="2816" width="11.44140625" style="341"/>
    <col min="2817" max="2817" width="26.88671875" style="341" customWidth="1"/>
    <col min="2818" max="2818" width="15.88671875" style="341" customWidth="1"/>
    <col min="2819" max="2819" width="11.44140625" style="341"/>
    <col min="2820" max="2820" width="18.44140625" style="341" customWidth="1"/>
    <col min="2821" max="2823" width="11.44140625" style="341"/>
    <col min="2824" max="2824" width="12.44140625" style="341" bestFit="1" customWidth="1"/>
    <col min="2825" max="2825" width="11.44140625" style="341"/>
    <col min="2826" max="2826" width="18.44140625" style="341" customWidth="1"/>
    <col min="2827" max="3072" width="11.44140625" style="341"/>
    <col min="3073" max="3073" width="26.88671875" style="341" customWidth="1"/>
    <col min="3074" max="3074" width="15.88671875" style="341" customWidth="1"/>
    <col min="3075" max="3075" width="11.44140625" style="341"/>
    <col min="3076" max="3076" width="18.44140625" style="341" customWidth="1"/>
    <col min="3077" max="3079" width="11.44140625" style="341"/>
    <col min="3080" max="3080" width="12.44140625" style="341" bestFit="1" customWidth="1"/>
    <col min="3081" max="3081" width="11.44140625" style="341"/>
    <col min="3082" max="3082" width="18.44140625" style="341" customWidth="1"/>
    <col min="3083" max="3328" width="11.44140625" style="341"/>
    <col min="3329" max="3329" width="26.88671875" style="341" customWidth="1"/>
    <col min="3330" max="3330" width="15.88671875" style="341" customWidth="1"/>
    <col min="3331" max="3331" width="11.44140625" style="341"/>
    <col min="3332" max="3332" width="18.44140625" style="341" customWidth="1"/>
    <col min="3333" max="3335" width="11.44140625" style="341"/>
    <col min="3336" max="3336" width="12.44140625" style="341" bestFit="1" customWidth="1"/>
    <col min="3337" max="3337" width="11.44140625" style="341"/>
    <col min="3338" max="3338" width="18.44140625" style="341" customWidth="1"/>
    <col min="3339" max="3584" width="11.44140625" style="341"/>
    <col min="3585" max="3585" width="26.88671875" style="341" customWidth="1"/>
    <col min="3586" max="3586" width="15.88671875" style="341" customWidth="1"/>
    <col min="3587" max="3587" width="11.44140625" style="341"/>
    <col min="3588" max="3588" width="18.44140625" style="341" customWidth="1"/>
    <col min="3589" max="3591" width="11.44140625" style="341"/>
    <col min="3592" max="3592" width="12.44140625" style="341" bestFit="1" customWidth="1"/>
    <col min="3593" max="3593" width="11.44140625" style="341"/>
    <col min="3594" max="3594" width="18.44140625" style="341" customWidth="1"/>
    <col min="3595" max="3840" width="11.44140625" style="341"/>
    <col min="3841" max="3841" width="26.88671875" style="341" customWidth="1"/>
    <col min="3842" max="3842" width="15.88671875" style="341" customWidth="1"/>
    <col min="3843" max="3843" width="11.44140625" style="341"/>
    <col min="3844" max="3844" width="18.44140625" style="341" customWidth="1"/>
    <col min="3845" max="3847" width="11.44140625" style="341"/>
    <col min="3848" max="3848" width="12.44140625" style="341" bestFit="1" customWidth="1"/>
    <col min="3849" max="3849" width="11.44140625" style="341"/>
    <col min="3850" max="3850" width="18.44140625" style="341" customWidth="1"/>
    <col min="3851" max="4096" width="11.44140625" style="341"/>
    <col min="4097" max="4097" width="26.88671875" style="341" customWidth="1"/>
    <col min="4098" max="4098" width="15.88671875" style="341" customWidth="1"/>
    <col min="4099" max="4099" width="11.44140625" style="341"/>
    <col min="4100" max="4100" width="18.44140625" style="341" customWidth="1"/>
    <col min="4101" max="4103" width="11.44140625" style="341"/>
    <col min="4104" max="4104" width="12.44140625" style="341" bestFit="1" customWidth="1"/>
    <col min="4105" max="4105" width="11.44140625" style="341"/>
    <col min="4106" max="4106" width="18.44140625" style="341" customWidth="1"/>
    <col min="4107" max="4352" width="11.44140625" style="341"/>
    <col min="4353" max="4353" width="26.88671875" style="341" customWidth="1"/>
    <col min="4354" max="4354" width="15.88671875" style="341" customWidth="1"/>
    <col min="4355" max="4355" width="11.44140625" style="341"/>
    <col min="4356" max="4356" width="18.44140625" style="341" customWidth="1"/>
    <col min="4357" max="4359" width="11.44140625" style="341"/>
    <col min="4360" max="4360" width="12.44140625" style="341" bestFit="1" customWidth="1"/>
    <col min="4361" max="4361" width="11.44140625" style="341"/>
    <col min="4362" max="4362" width="18.44140625" style="341" customWidth="1"/>
    <col min="4363" max="4608" width="11.44140625" style="341"/>
    <col min="4609" max="4609" width="26.88671875" style="341" customWidth="1"/>
    <col min="4610" max="4610" width="15.88671875" style="341" customWidth="1"/>
    <col min="4611" max="4611" width="11.44140625" style="341"/>
    <col min="4612" max="4612" width="18.44140625" style="341" customWidth="1"/>
    <col min="4613" max="4615" width="11.44140625" style="341"/>
    <col min="4616" max="4616" width="12.44140625" style="341" bestFit="1" customWidth="1"/>
    <col min="4617" max="4617" width="11.44140625" style="341"/>
    <col min="4618" max="4618" width="18.44140625" style="341" customWidth="1"/>
    <col min="4619" max="4864" width="11.44140625" style="341"/>
    <col min="4865" max="4865" width="26.88671875" style="341" customWidth="1"/>
    <col min="4866" max="4866" width="15.88671875" style="341" customWidth="1"/>
    <col min="4867" max="4867" width="11.44140625" style="341"/>
    <col min="4868" max="4868" width="18.44140625" style="341" customWidth="1"/>
    <col min="4869" max="4871" width="11.44140625" style="341"/>
    <col min="4872" max="4872" width="12.44140625" style="341" bestFit="1" customWidth="1"/>
    <col min="4873" max="4873" width="11.44140625" style="341"/>
    <col min="4874" max="4874" width="18.44140625" style="341" customWidth="1"/>
    <col min="4875" max="5120" width="11.44140625" style="341"/>
    <col min="5121" max="5121" width="26.88671875" style="341" customWidth="1"/>
    <col min="5122" max="5122" width="15.88671875" style="341" customWidth="1"/>
    <col min="5123" max="5123" width="11.44140625" style="341"/>
    <col min="5124" max="5124" width="18.44140625" style="341" customWidth="1"/>
    <col min="5125" max="5127" width="11.44140625" style="341"/>
    <col min="5128" max="5128" width="12.44140625" style="341" bestFit="1" customWidth="1"/>
    <col min="5129" max="5129" width="11.44140625" style="341"/>
    <col min="5130" max="5130" width="18.44140625" style="341" customWidth="1"/>
    <col min="5131" max="5376" width="11.44140625" style="341"/>
    <col min="5377" max="5377" width="26.88671875" style="341" customWidth="1"/>
    <col min="5378" max="5378" width="15.88671875" style="341" customWidth="1"/>
    <col min="5379" max="5379" width="11.44140625" style="341"/>
    <col min="5380" max="5380" width="18.44140625" style="341" customWidth="1"/>
    <col min="5381" max="5383" width="11.44140625" style="341"/>
    <col min="5384" max="5384" width="12.44140625" style="341" bestFit="1" customWidth="1"/>
    <col min="5385" max="5385" width="11.44140625" style="341"/>
    <col min="5386" max="5386" width="18.44140625" style="341" customWidth="1"/>
    <col min="5387" max="5632" width="11.44140625" style="341"/>
    <col min="5633" max="5633" width="26.88671875" style="341" customWidth="1"/>
    <col min="5634" max="5634" width="15.88671875" style="341" customWidth="1"/>
    <col min="5635" max="5635" width="11.44140625" style="341"/>
    <col min="5636" max="5636" width="18.44140625" style="341" customWidth="1"/>
    <col min="5637" max="5639" width="11.44140625" style="341"/>
    <col min="5640" max="5640" width="12.44140625" style="341" bestFit="1" customWidth="1"/>
    <col min="5641" max="5641" width="11.44140625" style="341"/>
    <col min="5642" max="5642" width="18.44140625" style="341" customWidth="1"/>
    <col min="5643" max="5888" width="11.44140625" style="341"/>
    <col min="5889" max="5889" width="26.88671875" style="341" customWidth="1"/>
    <col min="5890" max="5890" width="15.88671875" style="341" customWidth="1"/>
    <col min="5891" max="5891" width="11.44140625" style="341"/>
    <col min="5892" max="5892" width="18.44140625" style="341" customWidth="1"/>
    <col min="5893" max="5895" width="11.44140625" style="341"/>
    <col min="5896" max="5896" width="12.44140625" style="341" bestFit="1" customWidth="1"/>
    <col min="5897" max="5897" width="11.44140625" style="341"/>
    <col min="5898" max="5898" width="18.44140625" style="341" customWidth="1"/>
    <col min="5899" max="6144" width="11.44140625" style="341"/>
    <col min="6145" max="6145" width="26.88671875" style="341" customWidth="1"/>
    <col min="6146" max="6146" width="15.88671875" style="341" customWidth="1"/>
    <col min="6147" max="6147" width="11.44140625" style="341"/>
    <col min="6148" max="6148" width="18.44140625" style="341" customWidth="1"/>
    <col min="6149" max="6151" width="11.44140625" style="341"/>
    <col min="6152" max="6152" width="12.44140625" style="341" bestFit="1" customWidth="1"/>
    <col min="6153" max="6153" width="11.44140625" style="341"/>
    <col min="6154" max="6154" width="18.44140625" style="341" customWidth="1"/>
    <col min="6155" max="6400" width="11.44140625" style="341"/>
    <col min="6401" max="6401" width="26.88671875" style="341" customWidth="1"/>
    <col min="6402" max="6402" width="15.88671875" style="341" customWidth="1"/>
    <col min="6403" max="6403" width="11.44140625" style="341"/>
    <col min="6404" max="6404" width="18.44140625" style="341" customWidth="1"/>
    <col min="6405" max="6407" width="11.44140625" style="341"/>
    <col min="6408" max="6408" width="12.44140625" style="341" bestFit="1" customWidth="1"/>
    <col min="6409" max="6409" width="11.44140625" style="341"/>
    <col min="6410" max="6410" width="18.44140625" style="341" customWidth="1"/>
    <col min="6411" max="6656" width="11.44140625" style="341"/>
    <col min="6657" max="6657" width="26.88671875" style="341" customWidth="1"/>
    <col min="6658" max="6658" width="15.88671875" style="341" customWidth="1"/>
    <col min="6659" max="6659" width="11.44140625" style="341"/>
    <col min="6660" max="6660" width="18.44140625" style="341" customWidth="1"/>
    <col min="6661" max="6663" width="11.44140625" style="341"/>
    <col min="6664" max="6664" width="12.44140625" style="341" bestFit="1" customWidth="1"/>
    <col min="6665" max="6665" width="11.44140625" style="341"/>
    <col min="6666" max="6666" width="18.44140625" style="341" customWidth="1"/>
    <col min="6667" max="6912" width="11.44140625" style="341"/>
    <col min="6913" max="6913" width="26.88671875" style="341" customWidth="1"/>
    <col min="6914" max="6914" width="15.88671875" style="341" customWidth="1"/>
    <col min="6915" max="6915" width="11.44140625" style="341"/>
    <col min="6916" max="6916" width="18.44140625" style="341" customWidth="1"/>
    <col min="6917" max="6919" width="11.44140625" style="341"/>
    <col min="6920" max="6920" width="12.44140625" style="341" bestFit="1" customWidth="1"/>
    <col min="6921" max="6921" width="11.44140625" style="341"/>
    <col min="6922" max="6922" width="18.44140625" style="341" customWidth="1"/>
    <col min="6923" max="7168" width="11.44140625" style="341"/>
    <col min="7169" max="7169" width="26.88671875" style="341" customWidth="1"/>
    <col min="7170" max="7170" width="15.88671875" style="341" customWidth="1"/>
    <col min="7171" max="7171" width="11.44140625" style="341"/>
    <col min="7172" max="7172" width="18.44140625" style="341" customWidth="1"/>
    <col min="7173" max="7175" width="11.44140625" style="341"/>
    <col min="7176" max="7176" width="12.44140625" style="341" bestFit="1" customWidth="1"/>
    <col min="7177" max="7177" width="11.44140625" style="341"/>
    <col min="7178" max="7178" width="18.44140625" style="341" customWidth="1"/>
    <col min="7179" max="7424" width="11.44140625" style="341"/>
    <col min="7425" max="7425" width="26.88671875" style="341" customWidth="1"/>
    <col min="7426" max="7426" width="15.88671875" style="341" customWidth="1"/>
    <col min="7427" max="7427" width="11.44140625" style="341"/>
    <col min="7428" max="7428" width="18.44140625" style="341" customWidth="1"/>
    <col min="7429" max="7431" width="11.44140625" style="341"/>
    <col min="7432" max="7432" width="12.44140625" style="341" bestFit="1" customWidth="1"/>
    <col min="7433" max="7433" width="11.44140625" style="341"/>
    <col min="7434" max="7434" width="18.44140625" style="341" customWidth="1"/>
    <col min="7435" max="7680" width="11.44140625" style="341"/>
    <col min="7681" max="7681" width="26.88671875" style="341" customWidth="1"/>
    <col min="7682" max="7682" width="15.88671875" style="341" customWidth="1"/>
    <col min="7683" max="7683" width="11.44140625" style="341"/>
    <col min="7684" max="7684" width="18.44140625" style="341" customWidth="1"/>
    <col min="7685" max="7687" width="11.44140625" style="341"/>
    <col min="7688" max="7688" width="12.44140625" style="341" bestFit="1" customWidth="1"/>
    <col min="7689" max="7689" width="11.44140625" style="341"/>
    <col min="7690" max="7690" width="18.44140625" style="341" customWidth="1"/>
    <col min="7691" max="7936" width="11.44140625" style="341"/>
    <col min="7937" max="7937" width="26.88671875" style="341" customWidth="1"/>
    <col min="7938" max="7938" width="15.88671875" style="341" customWidth="1"/>
    <col min="7939" max="7939" width="11.44140625" style="341"/>
    <col min="7940" max="7940" width="18.44140625" style="341" customWidth="1"/>
    <col min="7941" max="7943" width="11.44140625" style="341"/>
    <col min="7944" max="7944" width="12.44140625" style="341" bestFit="1" customWidth="1"/>
    <col min="7945" max="7945" width="11.44140625" style="341"/>
    <col min="7946" max="7946" width="18.44140625" style="341" customWidth="1"/>
    <col min="7947" max="8192" width="11.44140625" style="341"/>
    <col min="8193" max="8193" width="26.88671875" style="341" customWidth="1"/>
    <col min="8194" max="8194" width="15.88671875" style="341" customWidth="1"/>
    <col min="8195" max="8195" width="11.44140625" style="341"/>
    <col min="8196" max="8196" width="18.44140625" style="341" customWidth="1"/>
    <col min="8197" max="8199" width="11.44140625" style="341"/>
    <col min="8200" max="8200" width="12.44140625" style="341" bestFit="1" customWidth="1"/>
    <col min="8201" max="8201" width="11.44140625" style="341"/>
    <col min="8202" max="8202" width="18.44140625" style="341" customWidth="1"/>
    <col min="8203" max="8448" width="11.44140625" style="341"/>
    <col min="8449" max="8449" width="26.88671875" style="341" customWidth="1"/>
    <col min="8450" max="8450" width="15.88671875" style="341" customWidth="1"/>
    <col min="8451" max="8451" width="11.44140625" style="341"/>
    <col min="8452" max="8452" width="18.44140625" style="341" customWidth="1"/>
    <col min="8453" max="8455" width="11.44140625" style="341"/>
    <col min="8456" max="8456" width="12.44140625" style="341" bestFit="1" customWidth="1"/>
    <col min="8457" max="8457" width="11.44140625" style="341"/>
    <col min="8458" max="8458" width="18.44140625" style="341" customWidth="1"/>
    <col min="8459" max="8704" width="11.44140625" style="341"/>
    <col min="8705" max="8705" width="26.88671875" style="341" customWidth="1"/>
    <col min="8706" max="8706" width="15.88671875" style="341" customWidth="1"/>
    <col min="8707" max="8707" width="11.44140625" style="341"/>
    <col min="8708" max="8708" width="18.44140625" style="341" customWidth="1"/>
    <col min="8709" max="8711" width="11.44140625" style="341"/>
    <col min="8712" max="8712" width="12.44140625" style="341" bestFit="1" customWidth="1"/>
    <col min="8713" max="8713" width="11.44140625" style="341"/>
    <col min="8714" max="8714" width="18.44140625" style="341" customWidth="1"/>
    <col min="8715" max="8960" width="11.44140625" style="341"/>
    <col min="8961" max="8961" width="26.88671875" style="341" customWidth="1"/>
    <col min="8962" max="8962" width="15.88671875" style="341" customWidth="1"/>
    <col min="8963" max="8963" width="11.44140625" style="341"/>
    <col min="8964" max="8964" width="18.44140625" style="341" customWidth="1"/>
    <col min="8965" max="8967" width="11.44140625" style="341"/>
    <col min="8968" max="8968" width="12.44140625" style="341" bestFit="1" customWidth="1"/>
    <col min="8969" max="8969" width="11.44140625" style="341"/>
    <col min="8970" max="8970" width="18.44140625" style="341" customWidth="1"/>
    <col min="8971" max="9216" width="11.44140625" style="341"/>
    <col min="9217" max="9217" width="26.88671875" style="341" customWidth="1"/>
    <col min="9218" max="9218" width="15.88671875" style="341" customWidth="1"/>
    <col min="9219" max="9219" width="11.44140625" style="341"/>
    <col min="9220" max="9220" width="18.44140625" style="341" customWidth="1"/>
    <col min="9221" max="9223" width="11.44140625" style="341"/>
    <col min="9224" max="9224" width="12.44140625" style="341" bestFit="1" customWidth="1"/>
    <col min="9225" max="9225" width="11.44140625" style="341"/>
    <col min="9226" max="9226" width="18.44140625" style="341" customWidth="1"/>
    <col min="9227" max="9472" width="11.44140625" style="341"/>
    <col min="9473" max="9473" width="26.88671875" style="341" customWidth="1"/>
    <col min="9474" max="9474" width="15.88671875" style="341" customWidth="1"/>
    <col min="9475" max="9475" width="11.44140625" style="341"/>
    <col min="9476" max="9476" width="18.44140625" style="341" customWidth="1"/>
    <col min="9477" max="9479" width="11.44140625" style="341"/>
    <col min="9480" max="9480" width="12.44140625" style="341" bestFit="1" customWidth="1"/>
    <col min="9481" max="9481" width="11.44140625" style="341"/>
    <col min="9482" max="9482" width="18.44140625" style="341" customWidth="1"/>
    <col min="9483" max="9728" width="11.44140625" style="341"/>
    <col min="9729" max="9729" width="26.88671875" style="341" customWidth="1"/>
    <col min="9730" max="9730" width="15.88671875" style="341" customWidth="1"/>
    <col min="9731" max="9731" width="11.44140625" style="341"/>
    <col min="9732" max="9732" width="18.44140625" style="341" customWidth="1"/>
    <col min="9733" max="9735" width="11.44140625" style="341"/>
    <col min="9736" max="9736" width="12.44140625" style="341" bestFit="1" customWidth="1"/>
    <col min="9737" max="9737" width="11.44140625" style="341"/>
    <col min="9738" max="9738" width="18.44140625" style="341" customWidth="1"/>
    <col min="9739" max="9984" width="11.44140625" style="341"/>
    <col min="9985" max="9985" width="26.88671875" style="341" customWidth="1"/>
    <col min="9986" max="9986" width="15.88671875" style="341" customWidth="1"/>
    <col min="9987" max="9987" width="11.44140625" style="341"/>
    <col min="9988" max="9988" width="18.44140625" style="341" customWidth="1"/>
    <col min="9989" max="9991" width="11.44140625" style="341"/>
    <col min="9992" max="9992" width="12.44140625" style="341" bestFit="1" customWidth="1"/>
    <col min="9993" max="9993" width="11.44140625" style="341"/>
    <col min="9994" max="9994" width="18.44140625" style="341" customWidth="1"/>
    <col min="9995" max="10240" width="11.44140625" style="341"/>
    <col min="10241" max="10241" width="26.88671875" style="341" customWidth="1"/>
    <col min="10242" max="10242" width="15.88671875" style="341" customWidth="1"/>
    <col min="10243" max="10243" width="11.44140625" style="341"/>
    <col min="10244" max="10244" width="18.44140625" style="341" customWidth="1"/>
    <col min="10245" max="10247" width="11.44140625" style="341"/>
    <col min="10248" max="10248" width="12.44140625" style="341" bestFit="1" customWidth="1"/>
    <col min="10249" max="10249" width="11.44140625" style="341"/>
    <col min="10250" max="10250" width="18.44140625" style="341" customWidth="1"/>
    <col min="10251" max="10496" width="11.44140625" style="341"/>
    <col min="10497" max="10497" width="26.88671875" style="341" customWidth="1"/>
    <col min="10498" max="10498" width="15.88671875" style="341" customWidth="1"/>
    <col min="10499" max="10499" width="11.44140625" style="341"/>
    <col min="10500" max="10500" width="18.44140625" style="341" customWidth="1"/>
    <col min="10501" max="10503" width="11.44140625" style="341"/>
    <col min="10504" max="10504" width="12.44140625" style="341" bestFit="1" customWidth="1"/>
    <col min="10505" max="10505" width="11.44140625" style="341"/>
    <col min="10506" max="10506" width="18.44140625" style="341" customWidth="1"/>
    <col min="10507" max="10752" width="11.44140625" style="341"/>
    <col min="10753" max="10753" width="26.88671875" style="341" customWidth="1"/>
    <col min="10754" max="10754" width="15.88671875" style="341" customWidth="1"/>
    <col min="10755" max="10755" width="11.44140625" style="341"/>
    <col min="10756" max="10756" width="18.44140625" style="341" customWidth="1"/>
    <col min="10757" max="10759" width="11.44140625" style="341"/>
    <col min="10760" max="10760" width="12.44140625" style="341" bestFit="1" customWidth="1"/>
    <col min="10761" max="10761" width="11.44140625" style="341"/>
    <col min="10762" max="10762" width="18.44140625" style="341" customWidth="1"/>
    <col min="10763" max="11008" width="11.44140625" style="341"/>
    <col min="11009" max="11009" width="26.88671875" style="341" customWidth="1"/>
    <col min="11010" max="11010" width="15.88671875" style="341" customWidth="1"/>
    <col min="11011" max="11011" width="11.44140625" style="341"/>
    <col min="11012" max="11012" width="18.44140625" style="341" customWidth="1"/>
    <col min="11013" max="11015" width="11.44140625" style="341"/>
    <col min="11016" max="11016" width="12.44140625" style="341" bestFit="1" customWidth="1"/>
    <col min="11017" max="11017" width="11.44140625" style="341"/>
    <col min="11018" max="11018" width="18.44140625" style="341" customWidth="1"/>
    <col min="11019" max="11264" width="11.44140625" style="341"/>
    <col min="11265" max="11265" width="26.88671875" style="341" customWidth="1"/>
    <col min="11266" max="11266" width="15.88671875" style="341" customWidth="1"/>
    <col min="11267" max="11267" width="11.44140625" style="341"/>
    <col min="11268" max="11268" width="18.44140625" style="341" customWidth="1"/>
    <col min="11269" max="11271" width="11.44140625" style="341"/>
    <col min="11272" max="11272" width="12.44140625" style="341" bestFit="1" customWidth="1"/>
    <col min="11273" max="11273" width="11.44140625" style="341"/>
    <col min="11274" max="11274" width="18.44140625" style="341" customWidth="1"/>
    <col min="11275" max="11520" width="11.44140625" style="341"/>
    <col min="11521" max="11521" width="26.88671875" style="341" customWidth="1"/>
    <col min="11522" max="11522" width="15.88671875" style="341" customWidth="1"/>
    <col min="11523" max="11523" width="11.44140625" style="341"/>
    <col min="11524" max="11524" width="18.44140625" style="341" customWidth="1"/>
    <col min="11525" max="11527" width="11.44140625" style="341"/>
    <col min="11528" max="11528" width="12.44140625" style="341" bestFit="1" customWidth="1"/>
    <col min="11529" max="11529" width="11.44140625" style="341"/>
    <col min="11530" max="11530" width="18.44140625" style="341" customWidth="1"/>
    <col min="11531" max="11776" width="11.44140625" style="341"/>
    <col min="11777" max="11777" width="26.88671875" style="341" customWidth="1"/>
    <col min="11778" max="11778" width="15.88671875" style="341" customWidth="1"/>
    <col min="11779" max="11779" width="11.44140625" style="341"/>
    <col min="11780" max="11780" width="18.44140625" style="341" customWidth="1"/>
    <col min="11781" max="11783" width="11.44140625" style="341"/>
    <col min="11784" max="11784" width="12.44140625" style="341" bestFit="1" customWidth="1"/>
    <col min="11785" max="11785" width="11.44140625" style="341"/>
    <col min="11786" max="11786" width="18.44140625" style="341" customWidth="1"/>
    <col min="11787" max="12032" width="11.44140625" style="341"/>
    <col min="12033" max="12033" width="26.88671875" style="341" customWidth="1"/>
    <col min="12034" max="12034" width="15.88671875" style="341" customWidth="1"/>
    <col min="12035" max="12035" width="11.44140625" style="341"/>
    <col min="12036" max="12036" width="18.44140625" style="341" customWidth="1"/>
    <col min="12037" max="12039" width="11.44140625" style="341"/>
    <col min="12040" max="12040" width="12.44140625" style="341" bestFit="1" customWidth="1"/>
    <col min="12041" max="12041" width="11.44140625" style="341"/>
    <col min="12042" max="12042" width="18.44140625" style="341" customWidth="1"/>
    <col min="12043" max="12288" width="11.44140625" style="341"/>
    <col min="12289" max="12289" width="26.88671875" style="341" customWidth="1"/>
    <col min="12290" max="12290" width="15.88671875" style="341" customWidth="1"/>
    <col min="12291" max="12291" width="11.44140625" style="341"/>
    <col min="12292" max="12292" width="18.44140625" style="341" customWidth="1"/>
    <col min="12293" max="12295" width="11.44140625" style="341"/>
    <col min="12296" max="12296" width="12.44140625" style="341" bestFit="1" customWidth="1"/>
    <col min="12297" max="12297" width="11.44140625" style="341"/>
    <col min="12298" max="12298" width="18.44140625" style="341" customWidth="1"/>
    <col min="12299" max="12544" width="11.44140625" style="341"/>
    <col min="12545" max="12545" width="26.88671875" style="341" customWidth="1"/>
    <col min="12546" max="12546" width="15.88671875" style="341" customWidth="1"/>
    <col min="12547" max="12547" width="11.44140625" style="341"/>
    <col min="12548" max="12548" width="18.44140625" style="341" customWidth="1"/>
    <col min="12549" max="12551" width="11.44140625" style="341"/>
    <col min="12552" max="12552" width="12.44140625" style="341" bestFit="1" customWidth="1"/>
    <col min="12553" max="12553" width="11.44140625" style="341"/>
    <col min="12554" max="12554" width="18.44140625" style="341" customWidth="1"/>
    <col min="12555" max="12800" width="11.44140625" style="341"/>
    <col min="12801" max="12801" width="26.88671875" style="341" customWidth="1"/>
    <col min="12802" max="12802" width="15.88671875" style="341" customWidth="1"/>
    <col min="12803" max="12803" width="11.44140625" style="341"/>
    <col min="12804" max="12804" width="18.44140625" style="341" customWidth="1"/>
    <col min="12805" max="12807" width="11.44140625" style="341"/>
    <col min="12808" max="12808" width="12.44140625" style="341" bestFit="1" customWidth="1"/>
    <col min="12809" max="12809" width="11.44140625" style="341"/>
    <col min="12810" max="12810" width="18.44140625" style="341" customWidth="1"/>
    <col min="12811" max="13056" width="11.44140625" style="341"/>
    <col min="13057" max="13057" width="26.88671875" style="341" customWidth="1"/>
    <col min="13058" max="13058" width="15.88671875" style="341" customWidth="1"/>
    <col min="13059" max="13059" width="11.44140625" style="341"/>
    <col min="13060" max="13060" width="18.44140625" style="341" customWidth="1"/>
    <col min="13061" max="13063" width="11.44140625" style="341"/>
    <col min="13064" max="13064" width="12.44140625" style="341" bestFit="1" customWidth="1"/>
    <col min="13065" max="13065" width="11.44140625" style="341"/>
    <col min="13066" max="13066" width="18.44140625" style="341" customWidth="1"/>
    <col min="13067" max="13312" width="11.44140625" style="341"/>
    <col min="13313" max="13313" width="26.88671875" style="341" customWidth="1"/>
    <col min="13314" max="13314" width="15.88671875" style="341" customWidth="1"/>
    <col min="13315" max="13315" width="11.44140625" style="341"/>
    <col min="13316" max="13316" width="18.44140625" style="341" customWidth="1"/>
    <col min="13317" max="13319" width="11.44140625" style="341"/>
    <col min="13320" max="13320" width="12.44140625" style="341" bestFit="1" customWidth="1"/>
    <col min="13321" max="13321" width="11.44140625" style="341"/>
    <col min="13322" max="13322" width="18.44140625" style="341" customWidth="1"/>
    <col min="13323" max="13568" width="11.44140625" style="341"/>
    <col min="13569" max="13569" width="26.88671875" style="341" customWidth="1"/>
    <col min="13570" max="13570" width="15.88671875" style="341" customWidth="1"/>
    <col min="13571" max="13571" width="11.44140625" style="341"/>
    <col min="13572" max="13572" width="18.44140625" style="341" customWidth="1"/>
    <col min="13573" max="13575" width="11.44140625" style="341"/>
    <col min="13576" max="13576" width="12.44140625" style="341" bestFit="1" customWidth="1"/>
    <col min="13577" max="13577" width="11.44140625" style="341"/>
    <col min="13578" max="13578" width="18.44140625" style="341" customWidth="1"/>
    <col min="13579" max="13824" width="11.44140625" style="341"/>
    <col min="13825" max="13825" width="26.88671875" style="341" customWidth="1"/>
    <col min="13826" max="13826" width="15.88671875" style="341" customWidth="1"/>
    <col min="13827" max="13827" width="11.44140625" style="341"/>
    <col min="13828" max="13828" width="18.44140625" style="341" customWidth="1"/>
    <col min="13829" max="13831" width="11.44140625" style="341"/>
    <col min="13832" max="13832" width="12.44140625" style="341" bestFit="1" customWidth="1"/>
    <col min="13833" max="13833" width="11.44140625" style="341"/>
    <col min="13834" max="13834" width="18.44140625" style="341" customWidth="1"/>
    <col min="13835" max="14080" width="11.44140625" style="341"/>
    <col min="14081" max="14081" width="26.88671875" style="341" customWidth="1"/>
    <col min="14082" max="14082" width="15.88671875" style="341" customWidth="1"/>
    <col min="14083" max="14083" width="11.44140625" style="341"/>
    <col min="14084" max="14084" width="18.44140625" style="341" customWidth="1"/>
    <col min="14085" max="14087" width="11.44140625" style="341"/>
    <col min="14088" max="14088" width="12.44140625" style="341" bestFit="1" customWidth="1"/>
    <col min="14089" max="14089" width="11.44140625" style="341"/>
    <col min="14090" max="14090" width="18.44140625" style="341" customWidth="1"/>
    <col min="14091" max="14336" width="11.44140625" style="341"/>
    <col min="14337" max="14337" width="26.88671875" style="341" customWidth="1"/>
    <col min="14338" max="14338" width="15.88671875" style="341" customWidth="1"/>
    <col min="14339" max="14339" width="11.44140625" style="341"/>
    <col min="14340" max="14340" width="18.44140625" style="341" customWidth="1"/>
    <col min="14341" max="14343" width="11.44140625" style="341"/>
    <col min="14344" max="14344" width="12.44140625" style="341" bestFit="1" customWidth="1"/>
    <col min="14345" max="14345" width="11.44140625" style="341"/>
    <col min="14346" max="14346" width="18.44140625" style="341" customWidth="1"/>
    <col min="14347" max="14592" width="11.44140625" style="341"/>
    <col min="14593" max="14593" width="26.88671875" style="341" customWidth="1"/>
    <col min="14594" max="14594" width="15.88671875" style="341" customWidth="1"/>
    <col min="14595" max="14595" width="11.44140625" style="341"/>
    <col min="14596" max="14596" width="18.44140625" style="341" customWidth="1"/>
    <col min="14597" max="14599" width="11.44140625" style="341"/>
    <col min="14600" max="14600" width="12.44140625" style="341" bestFit="1" customWidth="1"/>
    <col min="14601" max="14601" width="11.44140625" style="341"/>
    <col min="14602" max="14602" width="18.44140625" style="341" customWidth="1"/>
    <col min="14603" max="14848" width="11.44140625" style="341"/>
    <col min="14849" max="14849" width="26.88671875" style="341" customWidth="1"/>
    <col min="14850" max="14850" width="15.88671875" style="341" customWidth="1"/>
    <col min="14851" max="14851" width="11.44140625" style="341"/>
    <col min="14852" max="14852" width="18.44140625" style="341" customWidth="1"/>
    <col min="14853" max="14855" width="11.44140625" style="341"/>
    <col min="14856" max="14856" width="12.44140625" style="341" bestFit="1" customWidth="1"/>
    <col min="14857" max="14857" width="11.44140625" style="341"/>
    <col min="14858" max="14858" width="18.44140625" style="341" customWidth="1"/>
    <col min="14859" max="15104" width="11.44140625" style="341"/>
    <col min="15105" max="15105" width="26.88671875" style="341" customWidth="1"/>
    <col min="15106" max="15106" width="15.88671875" style="341" customWidth="1"/>
    <col min="15107" max="15107" width="11.44140625" style="341"/>
    <col min="15108" max="15108" width="18.44140625" style="341" customWidth="1"/>
    <col min="15109" max="15111" width="11.44140625" style="341"/>
    <col min="15112" max="15112" width="12.44140625" style="341" bestFit="1" customWidth="1"/>
    <col min="15113" max="15113" width="11.44140625" style="341"/>
    <col min="15114" max="15114" width="18.44140625" style="341" customWidth="1"/>
    <col min="15115" max="15360" width="11.44140625" style="341"/>
    <col min="15361" max="15361" width="26.88671875" style="341" customWidth="1"/>
    <col min="15362" max="15362" width="15.88671875" style="341" customWidth="1"/>
    <col min="15363" max="15363" width="11.44140625" style="341"/>
    <col min="15364" max="15364" width="18.44140625" style="341" customWidth="1"/>
    <col min="15365" max="15367" width="11.44140625" style="341"/>
    <col min="15368" max="15368" width="12.44140625" style="341" bestFit="1" customWidth="1"/>
    <col min="15369" max="15369" width="11.44140625" style="341"/>
    <col min="15370" max="15370" width="18.44140625" style="341" customWidth="1"/>
    <col min="15371" max="15616" width="11.44140625" style="341"/>
    <col min="15617" max="15617" width="26.88671875" style="341" customWidth="1"/>
    <col min="15618" max="15618" width="15.88671875" style="341" customWidth="1"/>
    <col min="15619" max="15619" width="11.44140625" style="341"/>
    <col min="15620" max="15620" width="18.44140625" style="341" customWidth="1"/>
    <col min="15621" max="15623" width="11.44140625" style="341"/>
    <col min="15624" max="15624" width="12.44140625" style="341" bestFit="1" customWidth="1"/>
    <col min="15625" max="15625" width="11.44140625" style="341"/>
    <col min="15626" max="15626" width="18.44140625" style="341" customWidth="1"/>
    <col min="15627" max="15872" width="11.44140625" style="341"/>
    <col min="15873" max="15873" width="26.88671875" style="341" customWidth="1"/>
    <col min="15874" max="15874" width="15.88671875" style="341" customWidth="1"/>
    <col min="15875" max="15875" width="11.44140625" style="341"/>
    <col min="15876" max="15876" width="18.44140625" style="341" customWidth="1"/>
    <col min="15877" max="15879" width="11.44140625" style="341"/>
    <col min="15880" max="15880" width="12.44140625" style="341" bestFit="1" customWidth="1"/>
    <col min="15881" max="15881" width="11.44140625" style="341"/>
    <col min="15882" max="15882" width="18.44140625" style="341" customWidth="1"/>
    <col min="15883" max="16128" width="11.44140625" style="341"/>
    <col min="16129" max="16129" width="26.88671875" style="341" customWidth="1"/>
    <col min="16130" max="16130" width="15.88671875" style="341" customWidth="1"/>
    <col min="16131" max="16131" width="11.44140625" style="341"/>
    <col min="16132" max="16132" width="18.44140625" style="341" customWidth="1"/>
    <col min="16133" max="16135" width="11.44140625" style="341"/>
    <col min="16136" max="16136" width="12.44140625" style="341" bestFit="1" customWidth="1"/>
    <col min="16137" max="16137" width="11.44140625" style="341"/>
    <col min="16138" max="16138" width="18.44140625" style="341" customWidth="1"/>
    <col min="16139" max="16384" width="11.44140625" style="341"/>
  </cols>
  <sheetData>
    <row r="1" spans="1:15" ht="24" customHeight="1" thickBot="1">
      <c r="A1" s="597" t="s">
        <v>32</v>
      </c>
      <c r="B1" s="597"/>
      <c r="C1" s="597"/>
      <c r="D1" s="597"/>
      <c r="E1" s="597"/>
      <c r="F1" s="597"/>
      <c r="G1" s="597"/>
      <c r="H1" s="597"/>
      <c r="I1" s="340"/>
      <c r="J1" s="340"/>
    </row>
    <row r="2" spans="1:15" ht="69.599999999999994" customHeight="1">
      <c r="A2" s="598" t="str">
        <f>+PRESUP!A4</f>
        <v xml:space="preserve">PROYECTO "OPTIMIZACION DEL ACUEDUCTO RURAL DEL BARRIO CEFERINO EN ZONA RURAL DEL MUNICIPIO DE HELICONIA-ANTIOQUIA"     </v>
      </c>
      <c r="B2" s="599"/>
      <c r="C2" s="599"/>
      <c r="D2" s="599"/>
      <c r="E2" s="599"/>
      <c r="F2" s="599"/>
      <c r="G2" s="599"/>
      <c r="H2" s="600"/>
      <c r="I2" s="340"/>
      <c r="J2" s="608"/>
      <c r="K2" s="608"/>
      <c r="L2" s="608"/>
      <c r="M2" s="608"/>
      <c r="N2" s="608"/>
      <c r="O2" s="608"/>
    </row>
    <row r="3" spans="1:15">
      <c r="A3" s="340"/>
      <c r="B3" s="342"/>
      <c r="C3" s="340"/>
      <c r="D3" s="342"/>
      <c r="E3" s="340"/>
      <c r="F3" s="340"/>
      <c r="G3" s="340"/>
      <c r="H3" s="340"/>
      <c r="I3" s="343"/>
      <c r="J3" s="344"/>
    </row>
    <row r="4" spans="1:15">
      <c r="A4" s="345" t="s">
        <v>33</v>
      </c>
      <c r="B4" s="346">
        <f>PRESUP!$I$35</f>
        <v>185330688</v>
      </c>
      <c r="C4" s="340"/>
      <c r="D4" s="340"/>
      <c r="E4" s="340"/>
      <c r="F4" s="340"/>
      <c r="G4" s="340"/>
      <c r="H4" s="340"/>
      <c r="I4" s="340"/>
      <c r="J4" s="340"/>
    </row>
    <row r="5" spans="1:15" ht="27.6">
      <c r="A5" s="345" t="s">
        <v>34</v>
      </c>
      <c r="B5" s="347">
        <f>+FM!J24</f>
        <v>4.5</v>
      </c>
      <c r="C5" s="340"/>
      <c r="D5" s="340"/>
      <c r="E5" s="340"/>
      <c r="F5" s="340"/>
      <c r="G5" s="340"/>
      <c r="H5" s="340"/>
      <c r="I5" s="340"/>
      <c r="J5" s="340"/>
    </row>
    <row r="6" spans="1:15">
      <c r="A6" s="345" t="s">
        <v>35</v>
      </c>
      <c r="B6" s="348">
        <v>0</v>
      </c>
      <c r="C6" s="340"/>
      <c r="D6" s="340"/>
      <c r="E6" s="340"/>
      <c r="F6" s="340"/>
      <c r="G6" s="340"/>
      <c r="H6" s="340"/>
      <c r="I6" s="340"/>
      <c r="J6" s="340"/>
    </row>
    <row r="8" spans="1:15" ht="15" customHeight="1">
      <c r="A8" s="601" t="s">
        <v>36</v>
      </c>
      <c r="B8" s="603" t="s">
        <v>37</v>
      </c>
      <c r="C8" s="604"/>
      <c r="D8" s="605"/>
      <c r="E8" s="603" t="s">
        <v>38</v>
      </c>
      <c r="F8" s="605"/>
      <c r="G8" s="603" t="s">
        <v>39</v>
      </c>
      <c r="H8" s="605"/>
      <c r="I8" s="340"/>
      <c r="J8" s="340"/>
    </row>
    <row r="9" spans="1:15" ht="30" customHeight="1">
      <c r="A9" s="602"/>
      <c r="B9" s="349" t="s">
        <v>40</v>
      </c>
      <c r="C9" s="349" t="s">
        <v>41</v>
      </c>
      <c r="D9" s="349" t="s">
        <v>42</v>
      </c>
      <c r="E9" s="349" t="s">
        <v>43</v>
      </c>
      <c r="F9" s="349" t="s">
        <v>44</v>
      </c>
      <c r="G9" s="349" t="s">
        <v>45</v>
      </c>
      <c r="H9" s="349" t="s">
        <v>46</v>
      </c>
      <c r="I9" s="340"/>
      <c r="J9" s="340"/>
    </row>
    <row r="10" spans="1:15" ht="28.2" customHeight="1">
      <c r="A10" s="350" t="s">
        <v>48</v>
      </c>
      <c r="B10" s="351">
        <v>0.2</v>
      </c>
      <c r="C10" s="352" t="s">
        <v>49</v>
      </c>
      <c r="D10" s="353">
        <f>+$B$4*B10</f>
        <v>37066137.600000001</v>
      </c>
      <c r="E10" s="352" t="s">
        <v>47</v>
      </c>
      <c r="F10" s="347">
        <f>+B5+6</f>
        <v>10.5</v>
      </c>
      <c r="G10" s="354">
        <v>2E-3</v>
      </c>
      <c r="H10" s="355">
        <f>+D10*F10*G10/12</f>
        <v>64865.7408</v>
      </c>
      <c r="I10" s="609" t="s">
        <v>249</v>
      </c>
      <c r="J10" s="610"/>
    </row>
    <row r="11" spans="1:15" ht="27.6">
      <c r="A11" s="350" t="s">
        <v>50</v>
      </c>
      <c r="B11" s="351">
        <v>0.2</v>
      </c>
      <c r="C11" s="352" t="s">
        <v>49</v>
      </c>
      <c r="D11" s="353">
        <f>+$B$4*B11</f>
        <v>37066137.600000001</v>
      </c>
      <c r="E11" s="352" t="s">
        <v>51</v>
      </c>
      <c r="F11" s="347">
        <f>+B5+36</f>
        <v>40.5</v>
      </c>
      <c r="G11" s="356">
        <v>1.5E-3</v>
      </c>
      <c r="H11" s="355">
        <f>+D11*F11*G11/12</f>
        <v>187647.3216</v>
      </c>
      <c r="I11" s="609"/>
      <c r="J11" s="610"/>
    </row>
    <row r="12" spans="1:15" ht="26.4" customHeight="1">
      <c r="A12" s="350" t="s">
        <v>79</v>
      </c>
      <c r="B12" s="351">
        <v>0.2</v>
      </c>
      <c r="C12" s="352" t="s">
        <v>49</v>
      </c>
      <c r="D12" s="353">
        <f>+$B$4*B12</f>
        <v>37066137.600000001</v>
      </c>
      <c r="E12" s="352" t="s">
        <v>250</v>
      </c>
      <c r="F12" s="347">
        <v>60</v>
      </c>
      <c r="G12" s="356">
        <v>2E-3</v>
      </c>
      <c r="H12" s="355">
        <f>+D12*F12*G12/12</f>
        <v>370661.37599999999</v>
      </c>
      <c r="I12" s="609"/>
      <c r="J12" s="610"/>
    </row>
    <row r="13" spans="1:15" ht="27.6">
      <c r="A13" s="350"/>
      <c r="B13" s="357" t="s">
        <v>251</v>
      </c>
      <c r="C13" s="358" t="s">
        <v>252</v>
      </c>
      <c r="D13" s="359" t="s">
        <v>241</v>
      </c>
      <c r="E13" s="611" t="s">
        <v>253</v>
      </c>
      <c r="F13" s="612"/>
      <c r="G13" s="613" t="s">
        <v>242</v>
      </c>
      <c r="H13" s="614"/>
      <c r="I13" s="336"/>
      <c r="J13" s="337"/>
    </row>
    <row r="14" spans="1:15" ht="27.6">
      <c r="A14" s="345" t="s">
        <v>52</v>
      </c>
      <c r="B14" s="338">
        <f>IF(B4=0,"",IF(J16&lt;1500,200,IF(I26&lt;2500,300,IF(I26&lt;5000,400,IF(I26&lt;10000,500,IF(I26&gt;10000,0.05))))))</f>
        <v>200</v>
      </c>
      <c r="C14" s="360">
        <v>908526</v>
      </c>
      <c r="D14" s="335">
        <f>IFERROR(IF(B14&lt;200,B14*C1,C14*B14),0)</f>
        <v>181705200</v>
      </c>
      <c r="E14" s="615">
        <f>+B5</f>
        <v>4.5</v>
      </c>
      <c r="F14" s="616"/>
      <c r="G14" s="356">
        <v>2E-3</v>
      </c>
      <c r="H14" s="361">
        <f>G14*(E14/12)*D14</f>
        <v>136278.9</v>
      </c>
      <c r="I14" s="334" t="s">
        <v>254</v>
      </c>
      <c r="J14" s="340"/>
    </row>
    <row r="15" spans="1:15">
      <c r="B15" s="362"/>
      <c r="C15" s="363"/>
      <c r="D15" s="364"/>
      <c r="E15" s="363"/>
      <c r="F15" s="365"/>
      <c r="G15" s="366"/>
      <c r="H15" s="367"/>
      <c r="I15" s="340"/>
      <c r="J15" s="340"/>
    </row>
    <row r="16" spans="1:15" ht="20.25" customHeight="1">
      <c r="A16" s="617" t="s">
        <v>53</v>
      </c>
      <c r="B16" s="618"/>
      <c r="C16" s="618"/>
      <c r="D16" s="618"/>
      <c r="E16" s="618"/>
      <c r="F16" s="618"/>
      <c r="G16" s="619"/>
      <c r="H16" s="368">
        <f>ROUND(SUM(H10:H15),0)</f>
        <v>759453</v>
      </c>
      <c r="J16" s="339">
        <f>ROUND(B4/C14,0)</f>
        <v>204</v>
      </c>
    </row>
    <row r="18" spans="1:12" ht="22.8">
      <c r="F18" s="606" t="s">
        <v>255</v>
      </c>
      <c r="G18" s="607"/>
      <c r="H18" s="369">
        <v>0</v>
      </c>
      <c r="J18" s="370" t="s">
        <v>243</v>
      </c>
    </row>
    <row r="19" spans="1:12" ht="22.8">
      <c r="H19" s="371"/>
      <c r="J19" s="370" t="s">
        <v>244</v>
      </c>
    </row>
    <row r="20" spans="1:12" ht="22.8">
      <c r="H20" s="372"/>
      <c r="I20" s="342"/>
      <c r="J20" s="370" t="s">
        <v>245</v>
      </c>
      <c r="K20" s="342"/>
    </row>
    <row r="21" spans="1:12" ht="22.8">
      <c r="J21" s="370" t="s">
        <v>246</v>
      </c>
    </row>
    <row r="22" spans="1:12" ht="34.200000000000003">
      <c r="A22" s="373"/>
      <c r="B22" s="340"/>
      <c r="C22" s="340"/>
      <c r="D22" s="340"/>
      <c r="E22" s="340"/>
      <c r="F22" s="340"/>
      <c r="G22" s="340"/>
      <c r="H22" s="340"/>
      <c r="I22" s="340"/>
      <c r="J22" s="370" t="s">
        <v>247</v>
      </c>
      <c r="K22" s="340"/>
      <c r="L22" s="340"/>
    </row>
    <row r="23" spans="1:12" ht="22.8">
      <c r="J23" s="370" t="s">
        <v>248</v>
      </c>
    </row>
  </sheetData>
  <mergeCells count="13">
    <mergeCell ref="F18:G18"/>
    <mergeCell ref="J2:O2"/>
    <mergeCell ref="I10:J12"/>
    <mergeCell ref="E13:F13"/>
    <mergeCell ref="G13:H13"/>
    <mergeCell ref="E14:F14"/>
    <mergeCell ref="A16:G16"/>
    <mergeCell ref="A1:H1"/>
    <mergeCell ref="A2:H2"/>
    <mergeCell ref="A8:A9"/>
    <mergeCell ref="B8:D8"/>
    <mergeCell ref="E8:F8"/>
    <mergeCell ref="G8:H8"/>
  </mergeCells>
  <pageMargins left="0.70866141732283472" right="0.70866141732283472" top="0.74803149606299213" bottom="0.74803149606299213" header="0.31496062992125984" footer="0.31496062992125984"/>
  <pageSetup scale="8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9"/>
  <sheetViews>
    <sheetView workbookViewId="0">
      <selection activeCell="B9" sqref="B9"/>
    </sheetView>
  </sheetViews>
  <sheetFormatPr baseColWidth="10" defaultRowHeight="14.4"/>
  <cols>
    <col min="1" max="1" width="75" customWidth="1"/>
    <col min="2" max="2" width="14.88671875" customWidth="1"/>
    <col min="3" max="4" width="20" customWidth="1"/>
    <col min="5" max="5" width="23.44140625" customWidth="1"/>
    <col min="6" max="6" width="19.109375" customWidth="1"/>
  </cols>
  <sheetData>
    <row r="1" spans="1:6">
      <c r="A1" s="428" t="s">
        <v>322</v>
      </c>
      <c r="B1" s="428" t="s">
        <v>334</v>
      </c>
      <c r="C1" s="428" t="s">
        <v>323</v>
      </c>
      <c r="D1" s="428" t="s">
        <v>326</v>
      </c>
      <c r="E1" s="428" t="s">
        <v>324</v>
      </c>
      <c r="F1" s="428" t="s">
        <v>327</v>
      </c>
    </row>
    <row r="2" spans="1:6">
      <c r="A2" t="s">
        <v>325</v>
      </c>
      <c r="B2">
        <v>1</v>
      </c>
      <c r="C2" s="429">
        <v>49078</v>
      </c>
      <c r="D2" s="429">
        <f>+C2*B2*1.19</f>
        <v>58402.82</v>
      </c>
      <c r="E2" s="429">
        <v>10000</v>
      </c>
      <c r="F2" s="429">
        <f t="shared" ref="F2:F8" si="0">+D2+E2</f>
        <v>68402.820000000007</v>
      </c>
    </row>
    <row r="3" spans="1:6">
      <c r="A3" t="s">
        <v>328</v>
      </c>
      <c r="B3">
        <v>0</v>
      </c>
      <c r="C3" s="429">
        <v>519930</v>
      </c>
      <c r="D3" s="429">
        <f t="shared" ref="D3:D8" si="1">+C3*B3*1.19</f>
        <v>0</v>
      </c>
      <c r="E3" s="429">
        <v>10000</v>
      </c>
      <c r="F3" s="429">
        <f t="shared" si="0"/>
        <v>10000</v>
      </c>
    </row>
    <row r="4" spans="1:6">
      <c r="A4" t="s">
        <v>329</v>
      </c>
      <c r="B4">
        <v>8</v>
      </c>
      <c r="C4" s="429">
        <f>6254</f>
        <v>6254</v>
      </c>
      <c r="D4" s="429">
        <f t="shared" si="1"/>
        <v>59538.079999999994</v>
      </c>
      <c r="E4" s="429">
        <v>8000</v>
      </c>
      <c r="F4" s="429">
        <f t="shared" si="0"/>
        <v>67538.079999999987</v>
      </c>
    </row>
    <row r="5" spans="1:6">
      <c r="A5" t="s">
        <v>330</v>
      </c>
      <c r="B5">
        <v>8</v>
      </c>
      <c r="C5" s="429">
        <f>42930</f>
        <v>42930</v>
      </c>
      <c r="D5" s="429">
        <f t="shared" si="1"/>
        <v>408693.6</v>
      </c>
      <c r="E5" s="429">
        <v>0</v>
      </c>
      <c r="F5" s="429">
        <f t="shared" si="0"/>
        <v>408693.6</v>
      </c>
    </row>
    <row r="6" spans="1:6">
      <c r="A6" t="s">
        <v>331</v>
      </c>
      <c r="B6">
        <v>0</v>
      </c>
      <c r="C6">
        <v>636000</v>
      </c>
      <c r="D6" s="429">
        <f t="shared" si="1"/>
        <v>0</v>
      </c>
      <c r="E6" s="429">
        <v>0</v>
      </c>
      <c r="F6" s="429">
        <f t="shared" si="0"/>
        <v>0</v>
      </c>
    </row>
    <row r="7" spans="1:6">
      <c r="A7" t="s">
        <v>332</v>
      </c>
      <c r="B7">
        <v>8</v>
      </c>
      <c r="C7" s="429">
        <f>53848</f>
        <v>53848</v>
      </c>
      <c r="D7" s="429">
        <f t="shared" si="1"/>
        <v>512632.95999999996</v>
      </c>
      <c r="E7" s="429">
        <v>10000</v>
      </c>
      <c r="F7" s="429">
        <f t="shared" si="0"/>
        <v>522632.95999999996</v>
      </c>
    </row>
    <row r="8" spans="1:6">
      <c r="A8" t="s">
        <v>333</v>
      </c>
      <c r="B8">
        <v>8</v>
      </c>
      <c r="C8" s="429">
        <v>130910</v>
      </c>
      <c r="D8" s="429">
        <f t="shared" si="1"/>
        <v>1246263.2</v>
      </c>
      <c r="E8" s="429">
        <v>0</v>
      </c>
      <c r="F8" s="429">
        <f t="shared" si="0"/>
        <v>1246263.2</v>
      </c>
    </row>
    <row r="9" spans="1:6">
      <c r="E9" s="431" t="s">
        <v>321</v>
      </c>
      <c r="F9" s="430">
        <f>SUM(F2:F8)</f>
        <v>2323530.66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2"/>
  <sheetViews>
    <sheetView tabSelected="1" topLeftCell="A13" workbookViewId="0">
      <selection activeCell="D12" sqref="D12"/>
    </sheetView>
  </sheetViews>
  <sheetFormatPr baseColWidth="10" defaultRowHeight="14.4"/>
  <cols>
    <col min="6" max="6" width="26.5546875" customWidth="1"/>
    <col min="7" max="7" width="25.6640625" customWidth="1"/>
  </cols>
  <sheetData>
    <row r="1" spans="1:7" ht="72">
      <c r="A1" s="620" t="s">
        <v>340</v>
      </c>
      <c r="B1" s="620"/>
      <c r="C1" s="620"/>
      <c r="D1" s="620"/>
      <c r="E1" s="445" t="s">
        <v>341</v>
      </c>
      <c r="F1" s="446" t="s">
        <v>342</v>
      </c>
      <c r="G1" s="447" t="s">
        <v>378</v>
      </c>
    </row>
    <row r="2" spans="1:7" ht="28.8">
      <c r="A2" s="448" t="s">
        <v>343</v>
      </c>
      <c r="B2" s="449" t="s">
        <v>344</v>
      </c>
      <c r="C2" s="448" t="s">
        <v>345</v>
      </c>
      <c r="D2" s="449" t="s">
        <v>346</v>
      </c>
      <c r="E2" s="449" t="s">
        <v>347</v>
      </c>
      <c r="F2" s="453">
        <v>97200</v>
      </c>
      <c r="G2" s="453">
        <v>64800</v>
      </c>
    </row>
    <row r="3" spans="1:7" ht="28.8">
      <c r="A3" s="448" t="s">
        <v>343</v>
      </c>
      <c r="B3" s="449" t="s">
        <v>348</v>
      </c>
      <c r="C3" s="448" t="s">
        <v>345</v>
      </c>
      <c r="D3" s="449" t="s">
        <v>349</v>
      </c>
      <c r="E3" s="449" t="s">
        <v>350</v>
      </c>
      <c r="F3" s="453">
        <v>133200</v>
      </c>
      <c r="G3" s="453">
        <v>88800</v>
      </c>
    </row>
    <row r="4" spans="1:7" ht="28.8">
      <c r="A4" s="448" t="s">
        <v>343</v>
      </c>
      <c r="B4" s="449" t="s">
        <v>351</v>
      </c>
      <c r="C4" s="448" t="s">
        <v>345</v>
      </c>
      <c r="D4" s="449" t="s">
        <v>352</v>
      </c>
      <c r="E4" s="449" t="s">
        <v>353</v>
      </c>
      <c r="F4" s="453">
        <v>162000</v>
      </c>
      <c r="G4" s="453">
        <v>108000</v>
      </c>
    </row>
    <row r="5" spans="1:7" ht="28.8">
      <c r="A5" s="448" t="s">
        <v>343</v>
      </c>
      <c r="B5" s="449" t="s">
        <v>354</v>
      </c>
      <c r="C5" s="448" t="s">
        <v>345</v>
      </c>
      <c r="D5" s="449" t="s">
        <v>355</v>
      </c>
      <c r="E5" s="449" t="s">
        <v>356</v>
      </c>
      <c r="F5" s="453">
        <v>188100</v>
      </c>
      <c r="G5" s="453">
        <v>125400</v>
      </c>
    </row>
    <row r="6" spans="1:7" ht="28.8">
      <c r="A6" s="448" t="s">
        <v>343</v>
      </c>
      <c r="B6" s="449" t="s">
        <v>357</v>
      </c>
      <c r="C6" s="448" t="s">
        <v>345</v>
      </c>
      <c r="D6" s="449" t="s">
        <v>358</v>
      </c>
      <c r="E6" s="449" t="s">
        <v>359</v>
      </c>
      <c r="F6" s="453">
        <v>216000</v>
      </c>
      <c r="G6" s="453">
        <v>144000</v>
      </c>
    </row>
    <row r="7" spans="1:7" ht="28.8">
      <c r="A7" s="448" t="s">
        <v>343</v>
      </c>
      <c r="B7" s="449" t="s">
        <v>360</v>
      </c>
      <c r="C7" s="448" t="s">
        <v>345</v>
      </c>
      <c r="D7" s="449" t="s">
        <v>361</v>
      </c>
      <c r="E7" s="449" t="s">
        <v>362</v>
      </c>
      <c r="F7" s="453">
        <v>243900</v>
      </c>
      <c r="G7" s="453">
        <v>162600</v>
      </c>
    </row>
    <row r="8" spans="1:7" ht="28.8">
      <c r="A8" s="448" t="s">
        <v>343</v>
      </c>
      <c r="B8" s="449" t="s">
        <v>363</v>
      </c>
      <c r="C8" s="448" t="s">
        <v>345</v>
      </c>
      <c r="D8" s="449" t="s">
        <v>364</v>
      </c>
      <c r="E8" s="449" t="s">
        <v>365</v>
      </c>
      <c r="F8" s="453">
        <v>296100</v>
      </c>
      <c r="G8" s="453">
        <v>197400</v>
      </c>
    </row>
    <row r="9" spans="1:7" ht="28.8">
      <c r="A9" s="448" t="s">
        <v>343</v>
      </c>
      <c r="B9" s="449" t="s">
        <v>366</v>
      </c>
      <c r="C9" s="448" t="s">
        <v>345</v>
      </c>
      <c r="D9" s="449" t="s">
        <v>367</v>
      </c>
      <c r="E9" s="449" t="s">
        <v>368</v>
      </c>
      <c r="F9" s="453">
        <v>384300</v>
      </c>
      <c r="G9" s="453">
        <v>234850</v>
      </c>
    </row>
    <row r="10" spans="1:7" ht="28.8">
      <c r="A10" s="448" t="s">
        <v>343</v>
      </c>
      <c r="B10" s="449" t="s">
        <v>369</v>
      </c>
      <c r="C10" s="448" t="s">
        <v>345</v>
      </c>
      <c r="D10" s="449" t="s">
        <v>370</v>
      </c>
      <c r="E10" s="449" t="s">
        <v>371</v>
      </c>
      <c r="F10" s="453">
        <v>499500</v>
      </c>
      <c r="G10" s="453">
        <v>305250</v>
      </c>
    </row>
    <row r="11" spans="1:7" ht="28.8">
      <c r="A11" s="448" t="s">
        <v>343</v>
      </c>
      <c r="B11" s="449" t="s">
        <v>372</v>
      </c>
      <c r="C11" s="448" t="s">
        <v>345</v>
      </c>
      <c r="D11" s="449" t="s">
        <v>373</v>
      </c>
      <c r="E11" s="449" t="s">
        <v>374</v>
      </c>
      <c r="F11" s="453">
        <v>603900</v>
      </c>
      <c r="G11" s="453">
        <v>369050</v>
      </c>
    </row>
    <row r="12" spans="1:7" ht="28.8">
      <c r="A12" s="448" t="s">
        <v>343</v>
      </c>
      <c r="B12" s="449" t="s">
        <v>375</v>
      </c>
      <c r="C12" s="448" t="s">
        <v>345</v>
      </c>
      <c r="D12" s="450" t="s">
        <v>376</v>
      </c>
      <c r="E12" s="449" t="s">
        <v>377</v>
      </c>
      <c r="F12" s="453">
        <v>711000</v>
      </c>
      <c r="G12" s="453">
        <v>434500</v>
      </c>
    </row>
  </sheetData>
  <mergeCells count="1">
    <mergeCell ref="A1:D1"/>
  </mergeCells>
  <pageMargins left="0.7" right="0.7" top="0.75" bottom="0.75" header="0.3" footer="0.3"/>
  <pageSetup orientation="portrait" horizontalDpi="4294967295" verticalDpi="4294967295"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14"/>
  <sheetViews>
    <sheetView workbookViewId="0">
      <selection activeCell="D26" sqref="D26"/>
    </sheetView>
  </sheetViews>
  <sheetFormatPr baseColWidth="10" defaultRowHeight="14.4"/>
  <cols>
    <col min="2" max="2" width="19.6640625" customWidth="1"/>
    <col min="3" max="3" width="21.109375" customWidth="1"/>
    <col min="4" max="4" width="28.109375" customWidth="1"/>
    <col min="8" max="8" width="17.109375" customWidth="1"/>
  </cols>
  <sheetData>
    <row r="1" spans="1:8">
      <c r="A1" s="621" t="s">
        <v>92</v>
      </c>
      <c r="B1" s="622"/>
      <c r="C1" s="110"/>
      <c r="D1" s="111">
        <f>+PRESUP!H35</f>
        <v>185330668</v>
      </c>
    </row>
    <row r="2" spans="1:8">
      <c r="A2" s="623"/>
      <c r="B2" s="624"/>
      <c r="C2" s="624"/>
      <c r="D2" s="625"/>
    </row>
    <row r="3" spans="1:8">
      <c r="A3" s="112" t="s">
        <v>93</v>
      </c>
      <c r="B3" s="113">
        <v>0.25</v>
      </c>
      <c r="C3" s="114"/>
      <c r="D3" s="115">
        <f>+D1*B3</f>
        <v>46332667</v>
      </c>
      <c r="E3">
        <f>+D1/5</f>
        <v>37066133.600000001</v>
      </c>
      <c r="F3">
        <f>+E3/2</f>
        <v>18533066.800000001</v>
      </c>
    </row>
    <row r="4" spans="1:8">
      <c r="A4" s="623"/>
      <c r="B4" s="624"/>
      <c r="C4" s="624"/>
      <c r="D4" s="625"/>
    </row>
    <row r="5" spans="1:8">
      <c r="A5" s="112" t="s">
        <v>94</v>
      </c>
      <c r="B5" s="116" t="s">
        <v>95</v>
      </c>
      <c r="C5" s="116" t="s">
        <v>96</v>
      </c>
      <c r="D5" s="117" t="s">
        <v>97</v>
      </c>
    </row>
    <row r="6" spans="1:8">
      <c r="A6" s="206">
        <v>1</v>
      </c>
      <c r="B6" s="118">
        <f>+$D$1/5</f>
        <v>37066133.600000001</v>
      </c>
      <c r="C6" s="118">
        <f>+B6*0.25</f>
        <v>9266533.4000000004</v>
      </c>
      <c r="D6" s="119">
        <f>+B6-C6</f>
        <v>27799600.200000003</v>
      </c>
      <c r="H6" s="120"/>
    </row>
    <row r="7" spans="1:8">
      <c r="A7" s="206">
        <v>2</v>
      </c>
      <c r="B7" s="118">
        <f t="shared" ref="B7:B10" si="0">+$D$1/5</f>
        <v>37066133.600000001</v>
      </c>
      <c r="C7" s="118">
        <f t="shared" ref="C7:C10" si="1">+B7*0.25</f>
        <v>9266533.4000000004</v>
      </c>
      <c r="D7" s="119">
        <f t="shared" ref="D7:D10" si="2">+B7-C7</f>
        <v>27799600.200000003</v>
      </c>
      <c r="H7" s="120"/>
    </row>
    <row r="8" spans="1:8">
      <c r="A8" s="206">
        <v>3</v>
      </c>
      <c r="B8" s="118">
        <f t="shared" si="0"/>
        <v>37066133.600000001</v>
      </c>
      <c r="C8" s="118">
        <f t="shared" si="1"/>
        <v>9266533.4000000004</v>
      </c>
      <c r="D8" s="119">
        <f t="shared" si="2"/>
        <v>27799600.200000003</v>
      </c>
      <c r="H8" s="121"/>
    </row>
    <row r="9" spans="1:8">
      <c r="A9" s="206">
        <v>4</v>
      </c>
      <c r="B9" s="118">
        <f t="shared" si="0"/>
        <v>37066133.600000001</v>
      </c>
      <c r="C9" s="118">
        <f t="shared" si="1"/>
        <v>9266533.4000000004</v>
      </c>
      <c r="D9" s="119">
        <f t="shared" si="2"/>
        <v>27799600.200000003</v>
      </c>
    </row>
    <row r="10" spans="1:8">
      <c r="A10" s="206">
        <v>5</v>
      </c>
      <c r="B10" s="118">
        <f t="shared" si="0"/>
        <v>37066133.600000001</v>
      </c>
      <c r="C10" s="118">
        <f t="shared" si="1"/>
        <v>9266533.4000000004</v>
      </c>
      <c r="D10" s="119">
        <f t="shared" si="2"/>
        <v>27799600.200000003</v>
      </c>
    </row>
    <row r="11" spans="1:8" ht="15" thickBot="1">
      <c r="A11" s="122"/>
      <c r="B11" s="123">
        <f>SUM(B6:B10)</f>
        <v>185330668</v>
      </c>
      <c r="C11" s="123">
        <f>SUM(C6:C10)</f>
        <v>46332667</v>
      </c>
      <c r="D11" s="124">
        <f>SUM(D6:D10)</f>
        <v>138998001</v>
      </c>
    </row>
    <row r="14" spans="1:8">
      <c r="B14" s="125"/>
    </row>
  </sheetData>
  <mergeCells count="3">
    <mergeCell ref="A1:B1"/>
    <mergeCell ref="A2:D2"/>
    <mergeCell ref="A4:D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5</vt:i4>
      </vt:variant>
    </vt:vector>
  </HeadingPairs>
  <TitlesOfParts>
    <vt:vector size="14" baseType="lpstr">
      <vt:lpstr>PLAN FINANCIERO</vt:lpstr>
      <vt:lpstr>PRESUP</vt:lpstr>
      <vt:lpstr>Hoja4</vt:lpstr>
      <vt:lpstr>FACTOR PRESTACIONAL</vt:lpstr>
      <vt:lpstr>FM</vt:lpstr>
      <vt:lpstr>POLIZAS</vt:lpstr>
      <vt:lpstr>LABORATORIOS</vt:lpstr>
      <vt:lpstr>Viáticos</vt:lpstr>
      <vt:lpstr>PAC</vt:lpstr>
      <vt:lpstr>FM!Área_de_impresión</vt:lpstr>
      <vt:lpstr>'PLAN FINANCIERO'!Área_de_impresión</vt:lpstr>
      <vt:lpstr>PRESUP!Área_de_impresión</vt:lpstr>
      <vt:lpstr>FM!Títulos_a_imprimir</vt:lpstr>
      <vt:lpstr>PRESUP!Títulos_a_imprimir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mvalenciac</dc:creator>
  <cp:lastModifiedBy>GONZALO TORRES</cp:lastModifiedBy>
  <cp:lastPrinted>2024-09-12T15:24:06Z</cp:lastPrinted>
  <dcterms:created xsi:type="dcterms:W3CDTF">2013-02-23T14:25:14Z</dcterms:created>
  <dcterms:modified xsi:type="dcterms:W3CDTF">2024-11-13T14:45:57Z</dcterms:modified>
</cp:coreProperties>
</file>