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/>
  <mc:AlternateContent xmlns:mc="http://schemas.openxmlformats.org/markup-compatibility/2006">
    <mc:Choice Requires="x15">
      <x15ac:absPath xmlns:x15ac="http://schemas.microsoft.com/office/spreadsheetml/2010/11/ac" url="C:\Users\Usuario\Desktop\SAMC-LOCHIS1-005-2024\"/>
    </mc:Choice>
  </mc:AlternateContent>
  <xr:revisionPtr revIDLastSave="0" documentId="13_ncr:1_{C92213BA-0B82-4141-A633-9AF7B177B728}" xr6:coauthVersionLast="47" xr6:coauthVersionMax="47" xr10:uidLastSave="{00000000-0000-0000-0000-000000000000}"/>
  <bookViews>
    <workbookView xWindow="-120" yWindow="-120" windowWidth="20730" windowHeight="11160" firstSheet="2" activeTab="3" xr2:uid="{9B8C8E50-D6D7-4221-8C6B-3FEC7C28FF6A}"/>
  </bookViews>
  <sheets>
    <sheet name="PRESUPUESTO " sheetId="4" r:id="rId1"/>
    <sheet name="CANTIDADES CANCHA LA PAZ" sheetId="1" r:id="rId2"/>
    <sheet name="CANTIDADES PARQUE LA PAZ" sheetId="2" r:id="rId3"/>
    <sheet name="CANTIDADES CANCHA NVO BOSQUE" sheetId="3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13" i="4" l="1"/>
  <c r="G109" i="4"/>
  <c r="E107" i="4"/>
  <c r="G107" i="4" s="1"/>
  <c r="E106" i="4"/>
  <c r="G106" i="4" s="1"/>
  <c r="E105" i="4"/>
  <c r="G105" i="4" s="1"/>
  <c r="F104" i="4"/>
  <c r="G104" i="4" s="1"/>
  <c r="E104" i="4"/>
  <c r="G103" i="4"/>
  <c r="F102" i="4"/>
  <c r="G102" i="4" s="1"/>
  <c r="G101" i="4"/>
  <c r="G100" i="4"/>
  <c r="F100" i="4"/>
  <c r="G99" i="4"/>
  <c r="G96" i="4"/>
  <c r="G97" i="4" s="1"/>
  <c r="F93" i="4"/>
  <c r="F108" i="4" s="1"/>
  <c r="G108" i="4" s="1"/>
  <c r="F92" i="4"/>
  <c r="G92" i="4" s="1"/>
  <c r="G91" i="4"/>
  <c r="F85" i="4"/>
  <c r="F86" i="4" s="1"/>
  <c r="G86" i="4" s="1"/>
  <c r="G82" i="4"/>
  <c r="G81" i="4"/>
  <c r="F80" i="4"/>
  <c r="G80" i="4" s="1"/>
  <c r="F78" i="4"/>
  <c r="F79" i="4" s="1"/>
  <c r="G14" i="3"/>
  <c r="G25" i="3"/>
  <c r="G74" i="4"/>
  <c r="G72" i="4"/>
  <c r="E71" i="4"/>
  <c r="G71" i="4" s="1"/>
  <c r="E70" i="4"/>
  <c r="G70" i="4" s="1"/>
  <c r="G69" i="4"/>
  <c r="G68" i="4"/>
  <c r="F67" i="4"/>
  <c r="G67" i="4" s="1"/>
  <c r="G66" i="4"/>
  <c r="G63" i="4"/>
  <c r="G64" i="4" s="1"/>
  <c r="F60" i="4"/>
  <c r="F73" i="4" s="1"/>
  <c r="G73" i="4" s="1"/>
  <c r="F58" i="4"/>
  <c r="F59" i="4" s="1"/>
  <c r="G59" i="4" s="1"/>
  <c r="G54" i="4"/>
  <c r="G53" i="4"/>
  <c r="F52" i="4"/>
  <c r="G52" i="4" s="1"/>
  <c r="F51" i="4"/>
  <c r="F57" i="4" s="1"/>
  <c r="G57" i="4" s="1"/>
  <c r="G13" i="2"/>
  <c r="G47" i="4"/>
  <c r="F46" i="4"/>
  <c r="E46" i="4"/>
  <c r="G46" i="4" s="1"/>
  <c r="E45" i="4"/>
  <c r="G45" i="4" s="1"/>
  <c r="E44" i="4"/>
  <c r="G44" i="4" s="1"/>
  <c r="E43" i="4"/>
  <c r="G43" i="4" s="1"/>
  <c r="F42" i="4"/>
  <c r="E42" i="4"/>
  <c r="E41" i="4"/>
  <c r="F40" i="4"/>
  <c r="E40" i="4"/>
  <c r="E39" i="4"/>
  <c r="G39" i="4" s="1"/>
  <c r="G36" i="4"/>
  <c r="G35" i="4"/>
  <c r="G34" i="4"/>
  <c r="G33" i="4"/>
  <c r="G32" i="4"/>
  <c r="G31" i="4"/>
  <c r="G30" i="4"/>
  <c r="G29" i="4"/>
  <c r="G28" i="4"/>
  <c r="G27" i="4"/>
  <c r="G26" i="4"/>
  <c r="G25" i="4"/>
  <c r="G24" i="4"/>
  <c r="G21" i="4"/>
  <c r="F19" i="4"/>
  <c r="G19" i="4" s="1"/>
  <c r="G10" i="4"/>
  <c r="G9" i="4"/>
  <c r="F8" i="4"/>
  <c r="F18" i="4" s="1"/>
  <c r="G18" i="4" s="1"/>
  <c r="F7" i="4"/>
  <c r="G7" i="4" s="1"/>
  <c r="G34" i="3"/>
  <c r="F31" i="3"/>
  <c r="G31" i="3" s="1"/>
  <c r="F24" i="3"/>
  <c r="G24" i="3" s="1"/>
  <c r="F33" i="3"/>
  <c r="F35" i="3"/>
  <c r="G32" i="3"/>
  <c r="G27" i="3"/>
  <c r="G13" i="3"/>
  <c r="G31" i="2"/>
  <c r="F31" i="2"/>
  <c r="F16" i="3"/>
  <c r="F11" i="3"/>
  <c r="G11" i="3" s="1"/>
  <c r="F9" i="3"/>
  <c r="F10" i="3" s="1"/>
  <c r="F21" i="3" s="1"/>
  <c r="G21" i="3" s="1"/>
  <c r="F45" i="3"/>
  <c r="G40" i="3"/>
  <c r="E38" i="3"/>
  <c r="G38" i="3" s="1"/>
  <c r="E37" i="3"/>
  <c r="G37" i="3" s="1"/>
  <c r="E36" i="3"/>
  <c r="G36" i="3" s="1"/>
  <c r="E35" i="3"/>
  <c r="G30" i="3"/>
  <c r="G22" i="3"/>
  <c r="K20" i="3"/>
  <c r="G12" i="3"/>
  <c r="G32" i="2"/>
  <c r="G27" i="2"/>
  <c r="G30" i="2"/>
  <c r="G26" i="2"/>
  <c r="F25" i="2"/>
  <c r="F18" i="2"/>
  <c r="G18" i="2" s="1"/>
  <c r="G12" i="2"/>
  <c r="F10" i="2"/>
  <c r="G10" i="2" s="1"/>
  <c r="F16" i="2"/>
  <c r="F17" i="2" s="1"/>
  <c r="G17" i="2" s="1"/>
  <c r="F21" i="1"/>
  <c r="F9" i="2"/>
  <c r="F15" i="2" s="1"/>
  <c r="G15" i="2" s="1"/>
  <c r="F37" i="2"/>
  <c r="E29" i="2"/>
  <c r="G29" i="2" s="1"/>
  <c r="E28" i="2"/>
  <c r="G28" i="2" s="1"/>
  <c r="G24" i="2"/>
  <c r="G21" i="2"/>
  <c r="K15" i="2"/>
  <c r="G11" i="2"/>
  <c r="F48" i="1"/>
  <c r="G23" i="1"/>
  <c r="E41" i="1"/>
  <c r="E48" i="1"/>
  <c r="E47" i="1"/>
  <c r="E46" i="1"/>
  <c r="E45" i="1"/>
  <c r="E44" i="1"/>
  <c r="E43" i="1"/>
  <c r="E42" i="1"/>
  <c r="G38" i="1"/>
  <c r="G42" i="4" l="1"/>
  <c r="G93" i="4"/>
  <c r="F13" i="4"/>
  <c r="F14" i="4" s="1"/>
  <c r="G14" i="4" s="1"/>
  <c r="G60" i="4"/>
  <c r="G78" i="4"/>
  <c r="G79" i="4"/>
  <c r="F90" i="4"/>
  <c r="G90" i="4" s="1"/>
  <c r="F89" i="4"/>
  <c r="G89" i="4" s="1"/>
  <c r="G94" i="4" s="1"/>
  <c r="G110" i="4"/>
  <c r="G85" i="4"/>
  <c r="G87" i="4" s="1"/>
  <c r="G75" i="4"/>
  <c r="G58" i="4"/>
  <c r="G61" i="4" s="1"/>
  <c r="G51" i="4"/>
  <c r="G55" i="4" s="1"/>
  <c r="G40" i="4"/>
  <c r="G48" i="4" s="1"/>
  <c r="G37" i="4"/>
  <c r="G8" i="4"/>
  <c r="G11" i="4" s="1"/>
  <c r="F20" i="4"/>
  <c r="G20" i="4" s="1"/>
  <c r="F41" i="4"/>
  <c r="G41" i="4" s="1"/>
  <c r="F17" i="4"/>
  <c r="G17" i="4" s="1"/>
  <c r="G13" i="4"/>
  <c r="G15" i="4" s="1"/>
  <c r="F39" i="3"/>
  <c r="G39" i="3" s="1"/>
  <c r="G35" i="3"/>
  <c r="G9" i="3"/>
  <c r="G28" i="3"/>
  <c r="G10" i="3"/>
  <c r="G33" i="3"/>
  <c r="F23" i="3"/>
  <c r="G23" i="3" s="1"/>
  <c r="F20" i="3"/>
  <c r="G20" i="3" s="1"/>
  <c r="G9" i="2"/>
  <c r="G25" i="2"/>
  <c r="G22" i="2"/>
  <c r="G16" i="2"/>
  <c r="G19" i="2" s="1"/>
  <c r="G83" i="4" l="1"/>
  <c r="G22" i="4"/>
  <c r="G112" i="4" s="1"/>
  <c r="G41" i="3"/>
  <c r="F17" i="3"/>
  <c r="G17" i="3" s="1"/>
  <c r="G16" i="3"/>
  <c r="G33" i="2"/>
  <c r="G116" i="4" l="1"/>
  <c r="G115" i="4"/>
  <c r="G114" i="4"/>
  <c r="G18" i="3"/>
  <c r="G44" i="3" s="1"/>
  <c r="G36" i="2"/>
  <c r="G39" i="2" s="1"/>
  <c r="G113" i="4" l="1"/>
  <c r="G117" i="4" s="1"/>
  <c r="G119" i="4" s="1"/>
  <c r="G47" i="3"/>
  <c r="G48" i="3"/>
  <c r="G46" i="3"/>
  <c r="G38" i="2"/>
  <c r="G40" i="2"/>
  <c r="G45" i="3" l="1"/>
  <c r="G49" i="3" s="1"/>
  <c r="G54" i="3" s="1"/>
  <c r="G37" i="2"/>
  <c r="G41" i="2" s="1"/>
  <c r="G46" i="2" s="1"/>
  <c r="F44" i="1" l="1"/>
  <c r="F42" i="1"/>
  <c r="G42" i="1" s="1"/>
  <c r="F22" i="1"/>
  <c r="G22" i="1" s="1"/>
  <c r="F10" i="1"/>
  <c r="F9" i="1"/>
  <c r="G9" i="1" s="1"/>
  <c r="G45" i="1"/>
  <c r="G46" i="1"/>
  <c r="G47" i="1"/>
  <c r="G48" i="1"/>
  <c r="G49" i="1"/>
  <c r="G41" i="1"/>
  <c r="G26" i="1"/>
  <c r="G27" i="1"/>
  <c r="G28" i="1"/>
  <c r="G29" i="1"/>
  <c r="G30" i="1"/>
  <c r="G31" i="1"/>
  <c r="G33" i="1"/>
  <c r="G34" i="1"/>
  <c r="G35" i="1"/>
  <c r="G36" i="1"/>
  <c r="G37" i="1"/>
  <c r="G11" i="1"/>
  <c r="G12" i="1"/>
  <c r="F54" i="1"/>
  <c r="G32" i="1"/>
  <c r="K19" i="1"/>
  <c r="F19" i="1" l="1"/>
  <c r="G19" i="1" s="1"/>
  <c r="F20" i="1"/>
  <c r="G20" i="1" s="1"/>
  <c r="F43" i="1"/>
  <c r="G43" i="1" s="1"/>
  <c r="G39" i="1"/>
  <c r="G21" i="1"/>
  <c r="G10" i="1"/>
  <c r="G13" i="1" s="1"/>
  <c r="F15" i="1"/>
  <c r="G44" i="1"/>
  <c r="G50" i="1" l="1"/>
  <c r="G24" i="1"/>
  <c r="F16" i="1"/>
  <c r="G16" i="1" s="1"/>
  <c r="G15" i="1"/>
  <c r="G17" i="1" l="1"/>
  <c r="G53" i="1" s="1"/>
  <c r="G57" i="1" s="1"/>
  <c r="G56" i="1" l="1"/>
  <c r="G55" i="1"/>
  <c r="G54" i="1" l="1"/>
  <c r="G58" i="1" s="1"/>
  <c r="G63" i="1" s="1"/>
</calcChain>
</file>

<file path=xl/sharedStrings.xml><?xml version="1.0" encoding="utf-8"?>
<sst xmlns="http://schemas.openxmlformats.org/spreadsheetml/2006/main" count="430" uniqueCount="85">
  <si>
    <t>PRESUPUESTO DE OBRA</t>
  </si>
  <si>
    <t>Nº</t>
  </si>
  <si>
    <t>DESCRIPCIÓN</t>
  </si>
  <si>
    <t>UND.</t>
  </si>
  <si>
    <t>VALOR UNITARIO</t>
  </si>
  <si>
    <t>CANTIDAD</t>
  </si>
  <si>
    <t xml:space="preserve">VALOR TOTAL                                </t>
  </si>
  <si>
    <t>PRELIMINARES</t>
  </si>
  <si>
    <t xml:space="preserve">Trazado, localización y replanteo </t>
  </si>
  <si>
    <t>M2</t>
  </si>
  <si>
    <t>Demolición de Placa Existente incluye retiro</t>
  </si>
  <si>
    <t>Desmontaje de Encerramiento de Malla Existente</t>
  </si>
  <si>
    <t>ML</t>
  </si>
  <si>
    <t>Cerramiento de Malla en Polisombra Verde a 2 mts de altura</t>
  </si>
  <si>
    <t>Desmonatje de Porterias Existente</t>
  </si>
  <si>
    <t>UND</t>
  </si>
  <si>
    <t>Subtotal</t>
  </si>
  <si>
    <t>MOVIMIENTOS DE TIERRA</t>
  </si>
  <si>
    <t>Excavación a mánual Inlcuye retiro</t>
  </si>
  <si>
    <t>M3</t>
  </si>
  <si>
    <t>Relleno en material seleccionado y compactado</t>
  </si>
  <si>
    <t>CONCRETOS</t>
  </si>
  <si>
    <t>Placa deportiva de E=0,1 de 3500 psi</t>
  </si>
  <si>
    <t>malla electrosoldada 5 mm de 15 x 15</t>
  </si>
  <si>
    <t>Corte de Placas de Concreto</t>
  </si>
  <si>
    <t>Sello de Junta de Concreto</t>
  </si>
  <si>
    <t>UN</t>
  </si>
  <si>
    <t>SISTEMA DE ILUMINACION</t>
  </si>
  <si>
    <t>RAMAL EN CABLE DE COBRE 2No.10+1No.12 AWG DESDE TABLERO PRINCIPAL HASTA LUMINARIAS Y DESDE REGISTRO PRINCIPAL HASTA TABLERO</t>
  </si>
  <si>
    <t>CABLE ENCAUCHETADO PARA ALIMENTAR LUMINARIAS DESDE REGISTRO A BRAZO DE CADA LUMINARIA Y POSTES DE CANCHA</t>
  </si>
  <si>
    <t>EXCAVACION MANUAL ZANJA PARA ACOMETIDAS 0,3x0,4m (Registros)</t>
  </si>
  <si>
    <t>RELLENO Y COMPACTACION DE ZANJA</t>
  </si>
  <si>
    <t>Excavacion, Relleno y Compactacion de zanja acometida ppal y postes campo de juego 0,4 x 0,5</t>
  </si>
  <si>
    <t>REGISTRO ELECTRICO 0,4x0,4m</t>
  </si>
  <si>
    <t>DUCTO EN PVC CONDUIT 1"  TIPO A+RESERVA 1"</t>
  </si>
  <si>
    <t>DUCTO EN TUBERIA IMC 3/4" (INCLUYE ACCESORIOS DE SUJECCION) EN POSTE DE PUNTO DE CONEXIÓN</t>
  </si>
  <si>
    <t>TABLERO DE PROTECCIONES IP67 POLICARBONATO, INCLUYE PROTECCIONES, CONTACTOR, CONTROL TEMPORIZADO PARA ENCENDIDO AUTOMATICO</t>
  </si>
  <si>
    <t>RAMAL EN TUBERIA PVC 3/4 PARA LUMINARIAS</t>
  </si>
  <si>
    <t>SUMINISTTRO E INSTALACION DE POSTE EN FIBRA DE 9 MTS</t>
  </si>
  <si>
    <t>CIMENTACION DE POSTES DE FIBRA</t>
  </si>
  <si>
    <t>COMPLEMENTARIAS</t>
  </si>
  <si>
    <t>Cerramiento perimetral en malla modular de 2x2,5 m en alambre de 5 mm galvanizado y recubierto con resina de poliester en sistema de inmersión. Fijada en tuberia con abrazadera en acero galvanizado recubierta en Poliester, según planos de diseño. Altura min 2,5 m Max 5 m</t>
  </si>
  <si>
    <t xml:space="preserve">Construcción de andenes en concreto de 3000 PSI, con dimensiones de 1,0 x 0,10 m </t>
  </si>
  <si>
    <t xml:space="preserve">Jardineras Circulares en Mamposteria Block a 2 iladas y pañetes Impermeabilizado con Pintura de Color </t>
  </si>
  <si>
    <t>Suministro e Instalacion de Canecas Inoxidables</t>
  </si>
  <si>
    <t>Suministro e Instalacion de Adoquines en Zonas de Juegos y Biosaludables</t>
  </si>
  <si>
    <t>GLB</t>
  </si>
  <si>
    <t>VALOR COSTO DIRECTO</t>
  </si>
  <si>
    <t>VALOR A.U.I</t>
  </si>
  <si>
    <t>ADMINISTRACION</t>
  </si>
  <si>
    <t>IMPREVISTO</t>
  </si>
  <si>
    <t>UTILIDAD</t>
  </si>
  <si>
    <t xml:space="preserve">VALOR COSTO EJECUCION </t>
  </si>
  <si>
    <t>VALOR TOTAL DEL PROYECTO</t>
  </si>
  <si>
    <t>Rocio Rangel Alvarino</t>
  </si>
  <si>
    <t>C.C 45.770.003</t>
  </si>
  <si>
    <t>M.P 13202-252185BLV</t>
  </si>
  <si>
    <t>Pintura de Cancha y Demarcacion (incluye primer-intermedio y acabado)</t>
  </si>
  <si>
    <t xml:space="preserve">Suministro e Instalacion de Canchas Multiples Incluye Arquerias de Microfutbol , Basquetbol con su Tablero </t>
  </si>
  <si>
    <t xml:space="preserve">SUMINISTRO E INSTALACION DE REFLECTOR LED DE 400 WATS 5 AÑOS DE GARANTIA </t>
  </si>
  <si>
    <t>Instalacion de Bancas en Concreto Sencillas con espaladar</t>
  </si>
  <si>
    <t>Plantilla de renivelacion de E=5 cm de 3000 psi con puente de adherencia</t>
  </si>
  <si>
    <t>Bordillo de confinamiento perimetral de cancha 15x20 cm incluye acero de refuerzo 3/8</t>
  </si>
  <si>
    <t>Raspado y limpieza plantilla existente</t>
  </si>
  <si>
    <t>Desmontaje de tejas de kiosko existente</t>
  </si>
  <si>
    <t>SUMINISTRO E INSTALACION DE REFLECTOR LED DE 400 WATS 5 AÑOS DE GARANTIA (INCLUYE CABLEADO)</t>
  </si>
  <si>
    <t>Mantenimiento general y funcional a juegos existentes (incluye pintura)</t>
  </si>
  <si>
    <t xml:space="preserve">Resane interior y exterior de muro perimetral de parque </t>
  </si>
  <si>
    <t>Mantenimiento de parales de cerramiento existente</t>
  </si>
  <si>
    <t>Instalacion y suministro de Bancas en Concreto Sencillas con espaladar</t>
  </si>
  <si>
    <t>Pintura de piso de parque según diseño entregado (incluye primer y acabado)</t>
  </si>
  <si>
    <t>Mantenimiento de estructura metalica del kiosko</t>
  </si>
  <si>
    <t>Suministro e instalacion de teja roja P3 N8 de polipropileno</t>
  </si>
  <si>
    <r>
      <t xml:space="preserve"> OBRAS DE MEJORAMIENTO Y/O ADECUACIONES  Y/O CONSTRUCCION POR EL SISTEMA DE PRECIOS UNITARIOS FIJOS SIN FORMULA DE REAJUSTE  DE CANCHA MULTIPLE  </t>
    </r>
    <r>
      <rPr>
        <sz val="16"/>
        <rFont val="Arial"/>
        <family val="2"/>
      </rPr>
      <t>Y</t>
    </r>
    <r>
      <rPr>
        <b/>
        <sz val="16"/>
        <rFont val="Arial"/>
        <family val="2"/>
      </rPr>
      <t xml:space="preserve"> PARQUE LA PAZ UBICADA EN EL BARRIO CALAMARES, Y CANCHA SINTETICA MICROFUTBOL DEL NUEVO BOSQUE  LOCALIDAD HISTÓRICA Y DEL CARIBE NORTE EN EL DISTRITO DE CARTAGENA</t>
    </r>
  </si>
  <si>
    <t>Mantenimiento a porterias existentes</t>
  </si>
  <si>
    <t>Suministro e Instalacion de Malla eslabona calibre 10,5mm hueco 2,5 recubierto en en PVC con tensores (No incluye parales verticales y horizontales)</t>
  </si>
  <si>
    <t>Aviso con nombre de la cancha en acrilico plano sobre muro de  mamposteria revocado y pintado de 1,50  x 1 m</t>
  </si>
  <si>
    <t>Pintura acrilica interior y exterior de muro perimetral en colores según diseño (2 manos)</t>
  </si>
  <si>
    <t>Suministro e instalación de grama sintética deportiva color verde; monofilamento de polipropileno, con latex 50MM de altura con  fibra , retiro de grama existente y la certificación de la disposición final del material sobrante y/o escombros.
(incluye  caucho granulado, pegamento y cintas de union )</t>
  </si>
  <si>
    <t>Mantenimeinto a sistema de drenaje existente</t>
  </si>
  <si>
    <t>CANCHA LA PAZ</t>
  </si>
  <si>
    <t>PARQUE LA PAZ</t>
  </si>
  <si>
    <t>CANCHA SINTETICA NUEVO BOSQUE</t>
  </si>
  <si>
    <t>Suministro e instalación de grama sintética deportiva color verde; monofilamento de polipropileno, con latex 50MM de altura con  fibra , retiro de grama existente y la certificación de la disposición final del material sobrante y/o escombros.(incluye  caucho granulado, pegamento y cintas de union )</t>
  </si>
  <si>
    <t>“REHABILITACION, MEJORAMIENTO Y ADECUACIONES DE
PARQUES EN LA LOCALIDAD HISTÓRICA Y DEL CARIBE NORTE EN EL DISTRITO DE CARTAGENA”.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</si>
</sst>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0.0"/>
    <numFmt numFmtId="165" formatCode="_-&quot;$&quot;\ * #,##0.0_-;\-&quot;$&quot;\ * #,##0.0_-;_-&quot;$&quot;\ * &quot;-&quot;??_-;_-@_-"/>
    <numFmt numFmtId="166" formatCode="_ &quot;$&quot;\ * #,##0_ ;_ &quot;$&quot;\ * \-#,##0_ ;_ &quot;$&quot;\ * &quot;-&quot;_ ;_ @_ "/>
    <numFmt numFmtId="167" formatCode="_-&quot;$&quot;\ * #,##0.0_-;\-&quot;$&quot;\ * #,##0.0_-;_-&quot;$&quot;\ * &quot;-&quot;?_-;_-@_-"/>
    <numFmt numFmtId="168" formatCode="0.000%"/>
    <numFmt numFmtId="169" formatCode="_-* #,##0_-;\-* #,##0_-;_-* &quot;-&quot;??_-;_-@_-"/>
  </numFmts>
  <fonts count="16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6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sz val="12"/>
      <name val="Arial"/>
      <family val="2"/>
    </font>
    <font>
      <sz val="11"/>
      <color theme="1"/>
      <name val="Arial Narrow"/>
      <family val="2"/>
    </font>
    <font>
      <sz val="11"/>
      <color rgb="FF3F3F3F"/>
      <name val="Arial Narrow"/>
      <family val="2"/>
    </font>
    <font>
      <sz val="11"/>
      <name val="Arial"/>
      <family val="2"/>
    </font>
    <font>
      <b/>
      <sz val="12"/>
      <color theme="1"/>
      <name val="Arial"/>
      <family val="2"/>
    </font>
    <font>
      <sz val="9"/>
      <name val="Arial"/>
      <family val="2"/>
    </font>
    <font>
      <sz val="16"/>
      <name val="Arial"/>
      <family val="2"/>
    </font>
    <font>
      <sz val="11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2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2" borderId="1" applyNumberFormat="0" applyAlignment="0" applyProtection="0"/>
    <xf numFmtId="0" fontId="1" fillId="0" borderId="0"/>
    <xf numFmtId="0" fontId="6" fillId="0" borderId="0"/>
    <xf numFmtId="166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</cellStyleXfs>
  <cellXfs count="103">
    <xf numFmtId="0" fontId="0" fillId="0" borderId="0" xfId="0"/>
    <xf numFmtId="0" fontId="7" fillId="0" borderId="2" xfId="6" applyFont="1" applyBorder="1" applyAlignment="1">
      <alignment horizontal="center" vertical="center" wrapText="1"/>
    </xf>
    <xf numFmtId="4" fontId="7" fillId="0" borderId="2" xfId="6" applyNumberFormat="1" applyFont="1" applyBorder="1" applyAlignment="1">
      <alignment horizontal="center" vertical="center" wrapText="1"/>
    </xf>
    <xf numFmtId="164" fontId="7" fillId="0" borderId="2" xfId="6" applyNumberFormat="1" applyFont="1" applyBorder="1" applyAlignment="1">
      <alignment horizontal="center" vertical="center" wrapText="1"/>
    </xf>
    <xf numFmtId="0" fontId="5" fillId="0" borderId="2" xfId="6" applyFont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0" fontId="5" fillId="0" borderId="5" xfId="6" applyFont="1" applyBorder="1" applyAlignment="1">
      <alignment vertical="center"/>
    </xf>
    <xf numFmtId="0" fontId="5" fillId="0" borderId="2" xfId="6" applyFont="1" applyBorder="1" applyAlignment="1">
      <alignment vertical="center"/>
    </xf>
    <xf numFmtId="164" fontId="5" fillId="0" borderId="2" xfId="6" applyNumberFormat="1" applyFont="1" applyBorder="1" applyAlignment="1">
      <alignment horizontal="center" vertical="center"/>
    </xf>
    <xf numFmtId="0" fontId="8" fillId="0" borderId="2" xfId="6" applyFont="1" applyBorder="1" applyAlignment="1">
      <alignment horizontal="center" vertical="center"/>
    </xf>
    <xf numFmtId="0" fontId="8" fillId="0" borderId="2" xfId="0" applyFont="1" applyBorder="1" applyAlignment="1">
      <alignment vertical="center" wrapText="1"/>
    </xf>
    <xf numFmtId="0" fontId="8" fillId="0" borderId="5" xfId="0" applyFont="1" applyBorder="1" applyAlignment="1">
      <alignment horizontal="center" vertical="center" wrapText="1"/>
    </xf>
    <xf numFmtId="165" fontId="8" fillId="0" borderId="2" xfId="2" applyNumberFormat="1" applyFont="1" applyFill="1" applyBorder="1" applyAlignment="1">
      <alignment horizontal="center" vertical="center" wrapText="1"/>
    </xf>
    <xf numFmtId="164" fontId="8" fillId="0" borderId="2" xfId="7" applyNumberFormat="1" applyFont="1" applyFill="1" applyBorder="1" applyAlignment="1">
      <alignment horizontal="center" vertical="center" wrapText="1"/>
    </xf>
    <xf numFmtId="44" fontId="0" fillId="0" borderId="0" xfId="2" applyFont="1"/>
    <xf numFmtId="0" fontId="8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vertical="center" wrapText="1"/>
    </xf>
    <xf numFmtId="0" fontId="5" fillId="3" borderId="3" xfId="6" applyFont="1" applyFill="1" applyBorder="1" applyAlignment="1">
      <alignment horizontal="left" vertical="center"/>
    </xf>
    <xf numFmtId="0" fontId="5" fillId="3" borderId="4" xfId="6" applyFont="1" applyFill="1" applyBorder="1" applyAlignment="1">
      <alignment horizontal="right" vertical="center"/>
    </xf>
    <xf numFmtId="164" fontId="5" fillId="3" borderId="5" xfId="6" applyNumberFormat="1" applyFont="1" applyFill="1" applyBorder="1" applyAlignment="1">
      <alignment horizontal="center" vertical="center"/>
    </xf>
    <xf numFmtId="165" fontId="5" fillId="0" borderId="2" xfId="2" applyNumberFormat="1" applyFont="1" applyFill="1" applyBorder="1" applyAlignment="1">
      <alignment horizontal="center" vertical="center"/>
    </xf>
    <xf numFmtId="0" fontId="8" fillId="0" borderId="5" xfId="8" applyFont="1" applyBorder="1" applyAlignment="1">
      <alignment horizontal="center" vertical="center"/>
    </xf>
    <xf numFmtId="0" fontId="8" fillId="0" borderId="5" xfId="9" applyFont="1" applyBorder="1" applyAlignment="1">
      <alignment horizontal="center" vertical="center"/>
    </xf>
    <xf numFmtId="0" fontId="8" fillId="0" borderId="5" xfId="6" applyFont="1" applyBorder="1" applyAlignment="1">
      <alignment horizontal="center" vertical="center"/>
    </xf>
    <xf numFmtId="165" fontId="8" fillId="0" borderId="4" xfId="2" applyNumberFormat="1" applyFont="1" applyFill="1" applyBorder="1" applyAlignment="1">
      <alignment horizontal="center" vertical="center" wrapText="1"/>
    </xf>
    <xf numFmtId="164" fontId="8" fillId="0" borderId="5" xfId="7" applyNumberFormat="1" applyFont="1" applyFill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0" fontId="9" fillId="0" borderId="2" xfId="0" applyFont="1" applyBorder="1" applyAlignment="1">
      <alignment vertical="center" wrapText="1"/>
    </xf>
    <xf numFmtId="0" fontId="10" fillId="4" borderId="2" xfId="4" applyFont="1" applyFill="1" applyBorder="1" applyAlignment="1">
      <alignment horizontal="center" vertical="center" wrapText="1"/>
    </xf>
    <xf numFmtId="44" fontId="9" fillId="0" borderId="2" xfId="2" applyFont="1" applyBorder="1" applyAlignment="1">
      <alignment vertical="center"/>
    </xf>
    <xf numFmtId="0" fontId="8" fillId="0" borderId="4" xfId="6" applyFont="1" applyBorder="1" applyAlignment="1">
      <alignment horizontal="center" vertical="center"/>
    </xf>
    <xf numFmtId="167" fontId="0" fillId="0" borderId="0" xfId="0" applyNumberFormat="1"/>
    <xf numFmtId="0" fontId="5" fillId="0" borderId="0" xfId="6" applyFont="1" applyAlignment="1">
      <alignment horizontal="left" vertical="center"/>
    </xf>
    <xf numFmtId="0" fontId="8" fillId="0" borderId="0" xfId="6" applyFont="1" applyAlignment="1">
      <alignment horizontal="left" vertical="center"/>
    </xf>
    <xf numFmtId="0" fontId="5" fillId="0" borderId="0" xfId="6" applyFont="1" applyAlignment="1">
      <alignment horizontal="right" vertical="center"/>
    </xf>
    <xf numFmtId="164" fontId="5" fillId="0" borderId="0" xfId="6" applyNumberFormat="1" applyFont="1" applyAlignment="1">
      <alignment horizontal="center" vertical="center"/>
    </xf>
    <xf numFmtId="49" fontId="5" fillId="0" borderId="0" xfId="10" applyNumberFormat="1" applyFont="1" applyAlignment="1">
      <alignment horizontal="center" vertical="center"/>
    </xf>
    <xf numFmtId="49" fontId="5" fillId="0" borderId="0" xfId="10" applyNumberFormat="1" applyFont="1" applyAlignment="1">
      <alignment horizontal="right" vertical="center"/>
    </xf>
    <xf numFmtId="164" fontId="5" fillId="0" borderId="0" xfId="10" applyNumberFormat="1" applyFont="1" applyAlignment="1">
      <alignment horizontal="center" vertical="center"/>
    </xf>
    <xf numFmtId="0" fontId="8" fillId="0" borderId="0" xfId="11" applyFont="1" applyAlignment="1">
      <alignment horizontal="center"/>
    </xf>
    <xf numFmtId="0" fontId="5" fillId="0" borderId="6" xfId="11" applyFont="1" applyBorder="1" applyAlignment="1">
      <alignment vertical="center" wrapText="1"/>
    </xf>
    <xf numFmtId="0" fontId="5" fillId="0" borderId="7" xfId="11" applyFont="1" applyBorder="1" applyAlignment="1">
      <alignment vertical="center" wrapText="1"/>
    </xf>
    <xf numFmtId="0" fontId="8" fillId="0" borderId="7" xfId="11" applyFont="1" applyBorder="1" applyAlignment="1">
      <alignment vertical="center"/>
    </xf>
    <xf numFmtId="164" fontId="5" fillId="0" borderId="8" xfId="11" applyNumberFormat="1" applyFont="1" applyBorder="1" applyAlignment="1">
      <alignment horizontal="center" vertical="center" wrapText="1"/>
    </xf>
    <xf numFmtId="0" fontId="5" fillId="0" borderId="10" xfId="11" applyFont="1" applyBorder="1" applyAlignment="1">
      <alignment vertical="center" wrapText="1"/>
    </xf>
    <xf numFmtId="0" fontId="5" fillId="0" borderId="0" xfId="11" applyFont="1" applyAlignment="1">
      <alignment vertical="center" wrapText="1"/>
    </xf>
    <xf numFmtId="0" fontId="8" fillId="0" borderId="0" xfId="11" applyFont="1"/>
    <xf numFmtId="9" fontId="8" fillId="0" borderId="0" xfId="3" applyFont="1" applyFill="1" applyBorder="1" applyAlignment="1">
      <alignment horizontal="center" vertical="center"/>
    </xf>
    <xf numFmtId="0" fontId="11" fillId="0" borderId="12" xfId="11" applyFont="1" applyBorder="1" applyAlignment="1">
      <alignment horizontal="right" vertical="center" wrapText="1"/>
    </xf>
    <xf numFmtId="0" fontId="11" fillId="0" borderId="4" xfId="11" applyFont="1" applyBorder="1" applyAlignment="1">
      <alignment vertical="center" wrapText="1"/>
    </xf>
    <xf numFmtId="9" fontId="11" fillId="0" borderId="4" xfId="3" applyFont="1" applyFill="1" applyBorder="1" applyAlignment="1">
      <alignment horizontal="center" vertical="center"/>
    </xf>
    <xf numFmtId="168" fontId="0" fillId="0" borderId="0" xfId="3" applyNumberFormat="1" applyFont="1"/>
    <xf numFmtId="0" fontId="5" fillId="0" borderId="0" xfId="11" applyFont="1" applyAlignment="1">
      <alignment horizontal="center" vertical="center" wrapText="1"/>
    </xf>
    <xf numFmtId="9" fontId="8" fillId="0" borderId="0" xfId="3" applyFont="1" applyBorder="1" applyAlignment="1">
      <alignment horizontal="center" vertical="center"/>
    </xf>
    <xf numFmtId="44" fontId="0" fillId="0" borderId="0" xfId="0" applyNumberFormat="1"/>
    <xf numFmtId="0" fontId="3" fillId="0" borderId="0" xfId="0" applyFont="1"/>
    <xf numFmtId="169" fontId="0" fillId="0" borderId="0" xfId="1" applyNumberFormat="1" applyFont="1"/>
    <xf numFmtId="9" fontId="0" fillId="0" borderId="0" xfId="0" applyNumberFormat="1"/>
    <xf numFmtId="9" fontId="0" fillId="0" borderId="0" xfId="3" applyFont="1"/>
    <xf numFmtId="0" fontId="13" fillId="0" borderId="4" xfId="11" applyFont="1" applyBorder="1"/>
    <xf numFmtId="44" fontId="7" fillId="0" borderId="2" xfId="6" applyNumberFormat="1" applyFont="1" applyBorder="1" applyAlignment="1">
      <alignment horizontal="center" vertical="center" wrapText="1"/>
    </xf>
    <xf numFmtId="44" fontId="5" fillId="0" borderId="2" xfId="6" applyNumberFormat="1" applyFont="1" applyBorder="1" applyAlignment="1">
      <alignment vertical="center"/>
    </xf>
    <xf numFmtId="44" fontId="8" fillId="0" borderId="2" xfId="2" applyFont="1" applyFill="1" applyBorder="1" applyAlignment="1">
      <alignment horizontal="center" vertical="center" wrapText="1"/>
    </xf>
    <xf numFmtId="44" fontId="5" fillId="3" borderId="2" xfId="2" applyFont="1" applyFill="1" applyBorder="1" applyAlignment="1">
      <alignment horizontal="center" vertical="center"/>
    </xf>
    <xf numFmtId="44" fontId="5" fillId="0" borderId="2" xfId="2" applyFont="1" applyFill="1" applyBorder="1" applyAlignment="1">
      <alignment horizontal="center" vertical="center"/>
    </xf>
    <xf numFmtId="44" fontId="5" fillId="0" borderId="0" xfId="2" applyFont="1" applyFill="1" applyBorder="1" applyAlignment="1">
      <alignment horizontal="center" vertical="center"/>
    </xf>
    <xf numFmtId="44" fontId="5" fillId="0" borderId="0" xfId="2" applyFont="1" applyFill="1" applyAlignment="1">
      <alignment horizontal="center" vertical="center"/>
    </xf>
    <xf numFmtId="44" fontId="5" fillId="0" borderId="9" xfId="2" applyFont="1" applyFill="1" applyBorder="1" applyAlignment="1">
      <alignment horizontal="center" vertical="center"/>
    </xf>
    <xf numFmtId="44" fontId="8" fillId="0" borderId="11" xfId="2" applyFont="1" applyFill="1" applyBorder="1" applyAlignment="1">
      <alignment horizontal="center" vertical="center"/>
    </xf>
    <xf numFmtId="44" fontId="8" fillId="0" borderId="13" xfId="2" applyFont="1" applyFill="1" applyBorder="1" applyAlignment="1">
      <alignment horizontal="center" vertical="center"/>
    </xf>
    <xf numFmtId="44" fontId="5" fillId="0" borderId="16" xfId="2" applyFont="1" applyBorder="1" applyAlignment="1">
      <alignment horizontal="center" vertical="center"/>
    </xf>
    <xf numFmtId="44" fontId="8" fillId="0" borderId="0" xfId="2" applyFont="1" applyBorder="1" applyAlignment="1">
      <alignment horizontal="center" vertical="center"/>
    </xf>
    <xf numFmtId="44" fontId="12" fillId="0" borderId="0" xfId="0" applyNumberFormat="1" applyFont="1"/>
    <xf numFmtId="44" fontId="12" fillId="5" borderId="20" xfId="0" applyNumberFormat="1" applyFont="1" applyFill="1" applyBorder="1"/>
    <xf numFmtId="44" fontId="0" fillId="0" borderId="0" xfId="1" applyNumberFormat="1" applyFont="1"/>
    <xf numFmtId="44" fontId="3" fillId="0" borderId="0" xfId="1" applyNumberFormat="1" applyFont="1"/>
    <xf numFmtId="44" fontId="0" fillId="0" borderId="0" xfId="3" applyNumberFormat="1" applyFont="1"/>
    <xf numFmtId="0" fontId="15" fillId="0" borderId="5" xfId="0" applyFont="1" applyBorder="1" applyAlignment="1" applyProtection="1">
      <alignment horizontal="justify" vertical="center" wrapText="1"/>
      <protection locked="0"/>
    </xf>
    <xf numFmtId="0" fontId="15" fillId="0" borderId="2" xfId="0" applyFont="1" applyBorder="1" applyAlignment="1">
      <alignment horizontal="center" vertical="center" wrapText="1"/>
    </xf>
    <xf numFmtId="4" fontId="11" fillId="0" borderId="2" xfId="7" applyNumberFormat="1" applyFont="1" applyBorder="1" applyAlignment="1">
      <alignment horizontal="center" vertical="center" wrapText="1"/>
    </xf>
    <xf numFmtId="44" fontId="11" fillId="0" borderId="2" xfId="2" applyFont="1" applyBorder="1" applyAlignment="1">
      <alignment horizontal="right" vertical="center" wrapText="1"/>
    </xf>
    <xf numFmtId="2" fontId="8" fillId="0" borderId="2" xfId="6" applyNumberFormat="1" applyFont="1" applyBorder="1" applyAlignment="1">
      <alignment horizontal="center" vertical="center"/>
    </xf>
    <xf numFmtId="0" fontId="11" fillId="0" borderId="2" xfId="8" applyFont="1" applyBorder="1" applyAlignment="1">
      <alignment horizontal="left" vertical="center" wrapText="1"/>
    </xf>
    <xf numFmtId="0" fontId="11" fillId="0" borderId="2" xfId="8" applyFont="1" applyBorder="1" applyAlignment="1">
      <alignment horizontal="center" vertical="center"/>
    </xf>
    <xf numFmtId="165" fontId="8" fillId="0" borderId="0" xfId="2" applyNumberFormat="1" applyFont="1" applyFill="1" applyBorder="1" applyAlignment="1">
      <alignment horizontal="center" vertical="center" wrapText="1"/>
    </xf>
    <xf numFmtId="0" fontId="11" fillId="0" borderId="5" xfId="0" applyFont="1" applyBorder="1" applyAlignment="1" applyProtection="1">
      <alignment horizontal="justify" vertical="center" wrapText="1"/>
      <protection locked="0"/>
    </xf>
    <xf numFmtId="0" fontId="11" fillId="0" borderId="2" xfId="0" applyFont="1" applyBorder="1" applyAlignment="1">
      <alignment horizontal="center" vertical="center" wrapText="1"/>
    </xf>
    <xf numFmtId="4" fontId="11" fillId="0" borderId="5" xfId="7" applyNumberFormat="1" applyFont="1" applyBorder="1" applyAlignment="1">
      <alignment horizontal="center" vertical="center" wrapText="1"/>
    </xf>
    <xf numFmtId="44" fontId="8" fillId="0" borderId="9" xfId="2" applyFont="1" applyFill="1" applyBorder="1" applyAlignment="1">
      <alignment horizontal="center" vertical="center"/>
    </xf>
    <xf numFmtId="0" fontId="0" fillId="6" borderId="5" xfId="0" applyFill="1" applyBorder="1"/>
    <xf numFmtId="0" fontId="0" fillId="6" borderId="0" xfId="0" applyFill="1"/>
    <xf numFmtId="0" fontId="5" fillId="5" borderId="17" xfId="11" applyFont="1" applyFill="1" applyBorder="1" applyAlignment="1">
      <alignment horizontal="left" vertical="center" wrapText="1"/>
    </xf>
    <xf numFmtId="0" fontId="5" fillId="5" borderId="18" xfId="11" applyFont="1" applyFill="1" applyBorder="1" applyAlignment="1">
      <alignment horizontal="left" vertical="center" wrapText="1"/>
    </xf>
    <xf numFmtId="0" fontId="5" fillId="5" borderId="19" xfId="11" applyFont="1" applyFill="1" applyBorder="1" applyAlignment="1">
      <alignment horizontal="left" vertical="center" wrapText="1"/>
    </xf>
    <xf numFmtId="0" fontId="4" fillId="0" borderId="2" xfId="5" applyFont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/>
    </xf>
    <xf numFmtId="0" fontId="3" fillId="6" borderId="4" xfId="0" applyFont="1" applyFill="1" applyBorder="1" applyAlignment="1">
      <alignment horizontal="center"/>
    </xf>
    <xf numFmtId="0" fontId="3" fillId="6" borderId="5" xfId="0" applyFont="1" applyFill="1" applyBorder="1" applyAlignment="1">
      <alignment horizontal="center"/>
    </xf>
    <xf numFmtId="0" fontId="5" fillId="0" borderId="14" xfId="11" applyFont="1" applyBorder="1" applyAlignment="1">
      <alignment horizontal="left" vertical="center" wrapText="1"/>
    </xf>
    <xf numFmtId="0" fontId="5" fillId="0" borderId="15" xfId="11" applyFont="1" applyBorder="1" applyAlignment="1">
      <alignment horizontal="left" vertical="center" wrapText="1"/>
    </xf>
    <xf numFmtId="0" fontId="5" fillId="0" borderId="3" xfId="5" applyFont="1" applyBorder="1" applyAlignment="1">
      <alignment horizontal="center" vertical="center" wrapText="1"/>
    </xf>
    <xf numFmtId="0" fontId="5" fillId="0" borderId="4" xfId="5" applyFont="1" applyBorder="1" applyAlignment="1">
      <alignment horizontal="center" vertical="center" wrapText="1"/>
    </xf>
    <xf numFmtId="0" fontId="5" fillId="0" borderId="5" xfId="5" applyFont="1" applyBorder="1" applyAlignment="1">
      <alignment horizontal="center" vertical="center" wrapText="1"/>
    </xf>
  </cellXfs>
  <cellStyles count="12">
    <cellStyle name="Millares" xfId="1" builtinId="3"/>
    <cellStyle name="Millares 2" xfId="7" xr:uid="{58938DA0-CAB5-480F-B4C4-095C0F0A8A19}"/>
    <cellStyle name="Moneda" xfId="2" builtinId="4"/>
    <cellStyle name="Normal" xfId="0" builtinId="0"/>
    <cellStyle name="Normal 2" xfId="6" xr:uid="{2CEB1420-F0C9-4299-A6AE-A5B2C1AB4BD8}"/>
    <cellStyle name="Normal 2 10 2 2" xfId="9" xr:uid="{2E8D9B94-AF18-41E5-B177-F0D558BBD1F6}"/>
    <cellStyle name="Normal 2 10 3" xfId="8" xr:uid="{60386660-6AFD-4C9B-8CC5-3F8D680A85C7}"/>
    <cellStyle name="Normal 3" xfId="5" xr:uid="{CF612D08-33CA-4CCE-B1F0-68035282E193}"/>
    <cellStyle name="Normal 3 2 2" xfId="11" xr:uid="{86EEA6F6-5A78-4FCF-94BC-BF6F248C5D69}"/>
    <cellStyle name="Normal_PTO OFICIAL PREPLIEGO (CORREGIDO) 2" xfId="10" xr:uid="{2192E930-FD5B-4A55-9B14-C92839D71AED}"/>
    <cellStyle name="Porcentaje" xfId="3" builtinId="5"/>
    <cellStyle name="Salida" xfId="4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676275</xdr:colOff>
      <xdr:row>120</xdr:row>
      <xdr:rowOff>0</xdr:rowOff>
    </xdr:from>
    <xdr:to>
      <xdr:col>6</xdr:col>
      <xdr:colOff>76200</xdr:colOff>
      <xdr:row>122</xdr:row>
      <xdr:rowOff>16432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23F5DD2-7D7E-4BB9-B11B-626664C6E9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9325" y="33156525"/>
          <a:ext cx="2324100" cy="39743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381001</xdr:colOff>
      <xdr:row>65</xdr:row>
      <xdr:rowOff>12143</xdr:rowOff>
    </xdr:from>
    <xdr:to>
      <xdr:col>6</xdr:col>
      <xdr:colOff>123826</xdr:colOff>
      <xdr:row>67</xdr:row>
      <xdr:rowOff>28575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BB9CDC6-E4B3-49D6-A73E-F10861DAEA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62676" y="23557943"/>
          <a:ext cx="2324100" cy="39743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381001</xdr:colOff>
      <xdr:row>48</xdr:row>
      <xdr:rowOff>12143</xdr:rowOff>
    </xdr:from>
    <xdr:to>
      <xdr:col>6</xdr:col>
      <xdr:colOff>123826</xdr:colOff>
      <xdr:row>50</xdr:row>
      <xdr:rowOff>28575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65FE253-D4C8-4F0E-959C-96F50AEB71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62676" y="17661968"/>
          <a:ext cx="2324100" cy="39743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381001</xdr:colOff>
      <xdr:row>56</xdr:row>
      <xdr:rowOff>12143</xdr:rowOff>
    </xdr:from>
    <xdr:to>
      <xdr:col>6</xdr:col>
      <xdr:colOff>123826</xdr:colOff>
      <xdr:row>58</xdr:row>
      <xdr:rowOff>28575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1B741DB-A17C-4075-97B1-8DB2C91F67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62676" y="17280968"/>
          <a:ext cx="2324100" cy="39743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F1F9C2-227A-4E3F-9AEB-B471F4975B0C}">
  <sheetPr>
    <tabColor rgb="FFFFFF00"/>
  </sheetPr>
  <dimension ref="B2:G125"/>
  <sheetViews>
    <sheetView topLeftCell="A330" workbookViewId="0">
      <selection activeCell="B2" sqref="B2:G2"/>
    </sheetView>
  </sheetViews>
  <sheetFormatPr baseColWidth="10" defaultRowHeight="15" x14ac:dyDescent="0.25"/>
  <cols>
    <col min="3" max="3" width="57.42578125" customWidth="1"/>
    <col min="5" max="5" width="17.7109375" bestFit="1" customWidth="1"/>
    <col min="6" max="6" width="14.7109375" customWidth="1"/>
    <col min="7" max="7" width="20.42578125" bestFit="1" customWidth="1"/>
  </cols>
  <sheetData>
    <row r="2" spans="2:7" ht="85.5" customHeight="1" x14ac:dyDescent="0.25">
      <c r="B2" s="94" t="s">
        <v>84</v>
      </c>
      <c r="C2" s="94"/>
      <c r="D2" s="94"/>
      <c r="E2" s="94"/>
      <c r="F2" s="94"/>
      <c r="G2" s="94"/>
    </row>
    <row r="4" spans="2:7" x14ac:dyDescent="0.25">
      <c r="B4" s="95" t="s">
        <v>80</v>
      </c>
      <c r="C4" s="96"/>
      <c r="D4" s="96"/>
      <c r="E4" s="96"/>
      <c r="F4" s="96"/>
      <c r="G4" s="97"/>
    </row>
    <row r="5" spans="2:7" ht="30" x14ac:dyDescent="0.25">
      <c r="B5" s="1" t="s">
        <v>1</v>
      </c>
      <c r="C5" s="1" t="s">
        <v>2</v>
      </c>
      <c r="D5" s="1" t="s">
        <v>3</v>
      </c>
      <c r="E5" s="2" t="s">
        <v>4</v>
      </c>
      <c r="F5" s="3" t="s">
        <v>5</v>
      </c>
      <c r="G5" s="60" t="s">
        <v>6</v>
      </c>
    </row>
    <row r="6" spans="2:7" ht="15.75" x14ac:dyDescent="0.25">
      <c r="B6" s="4">
        <v>1</v>
      </c>
      <c r="C6" s="5" t="s">
        <v>7</v>
      </c>
      <c r="D6" s="6"/>
      <c r="E6" s="7"/>
      <c r="F6" s="8"/>
      <c r="G6" s="61"/>
    </row>
    <row r="7" spans="2:7" x14ac:dyDescent="0.25">
      <c r="B7" s="9">
        <v>1.1000000000000001</v>
      </c>
      <c r="C7" s="10" t="s">
        <v>8</v>
      </c>
      <c r="D7" s="11" t="s">
        <v>9</v>
      </c>
      <c r="E7" s="12">
        <v>2613</v>
      </c>
      <c r="F7" s="13">
        <f>34*21</f>
        <v>714</v>
      </c>
      <c r="G7" s="62">
        <f>ROUND(F7*E7,2)</f>
        <v>1865682</v>
      </c>
    </row>
    <row r="8" spans="2:7" x14ac:dyDescent="0.25">
      <c r="B8" s="9">
        <v>1.2</v>
      </c>
      <c r="C8" s="10" t="s">
        <v>10</v>
      </c>
      <c r="D8" s="11" t="s">
        <v>9</v>
      </c>
      <c r="E8" s="12">
        <v>28707</v>
      </c>
      <c r="F8" s="13">
        <f>30.1*18.28</f>
        <v>550.22800000000007</v>
      </c>
      <c r="G8" s="62">
        <f t="shared" ref="G8:G10" si="0">ROUND(F8*E8,2)</f>
        <v>15795395.199999999</v>
      </c>
    </row>
    <row r="9" spans="2:7" ht="30" x14ac:dyDescent="0.25">
      <c r="B9" s="9">
        <v>1.3</v>
      </c>
      <c r="C9" s="10" t="s">
        <v>13</v>
      </c>
      <c r="D9" s="15" t="s">
        <v>12</v>
      </c>
      <c r="E9" s="12">
        <v>22000</v>
      </c>
      <c r="F9" s="13">
        <v>110</v>
      </c>
      <c r="G9" s="62">
        <f t="shared" si="0"/>
        <v>2420000</v>
      </c>
    </row>
    <row r="10" spans="2:7" x14ac:dyDescent="0.25">
      <c r="B10" s="9">
        <v>1.4</v>
      </c>
      <c r="C10" s="16" t="s">
        <v>14</v>
      </c>
      <c r="D10" s="15" t="s">
        <v>15</v>
      </c>
      <c r="E10" s="12">
        <v>171000</v>
      </c>
      <c r="F10" s="13">
        <v>2</v>
      </c>
      <c r="G10" s="62">
        <f t="shared" si="0"/>
        <v>342000</v>
      </c>
    </row>
    <row r="11" spans="2:7" ht="15.75" x14ac:dyDescent="0.25">
      <c r="B11" s="17" t="s">
        <v>16</v>
      </c>
      <c r="C11" s="18"/>
      <c r="D11" s="18"/>
      <c r="E11" s="18"/>
      <c r="F11" s="19"/>
      <c r="G11" s="63">
        <f>SUM(G7:G10)</f>
        <v>20423077.199999999</v>
      </c>
    </row>
    <row r="12" spans="2:7" ht="15.75" x14ac:dyDescent="0.25">
      <c r="B12" s="4">
        <v>2</v>
      </c>
      <c r="C12" s="5" t="s">
        <v>17</v>
      </c>
      <c r="D12" s="6"/>
      <c r="E12" s="20"/>
      <c r="F12" s="8"/>
      <c r="G12" s="64"/>
    </row>
    <row r="13" spans="2:7" x14ac:dyDescent="0.25">
      <c r="B13" s="9">
        <v>2.1</v>
      </c>
      <c r="C13" s="10" t="s">
        <v>18</v>
      </c>
      <c r="D13" s="21" t="s">
        <v>19</v>
      </c>
      <c r="E13" s="12">
        <v>28223</v>
      </c>
      <c r="F13" s="13">
        <f>+F8*0.2</f>
        <v>110.04560000000002</v>
      </c>
      <c r="G13" s="62">
        <f>ROUND(F13*E13,2)</f>
        <v>3105816.97</v>
      </c>
    </row>
    <row r="14" spans="2:7" x14ac:dyDescent="0.25">
      <c r="B14" s="9">
        <v>2.2999999999999998</v>
      </c>
      <c r="C14" s="10" t="s">
        <v>20</v>
      </c>
      <c r="D14" s="22" t="s">
        <v>19</v>
      </c>
      <c r="E14" s="12">
        <v>98000</v>
      </c>
      <c r="F14" s="13">
        <f>+F13</f>
        <v>110.04560000000002</v>
      </c>
      <c r="G14" s="62">
        <f>ROUND(F14*E14,2)</f>
        <v>10784468.800000001</v>
      </c>
    </row>
    <row r="15" spans="2:7" ht="15.75" x14ac:dyDescent="0.25">
      <c r="B15" s="17" t="s">
        <v>16</v>
      </c>
      <c r="C15" s="18"/>
      <c r="D15" s="18"/>
      <c r="E15" s="18"/>
      <c r="F15" s="19"/>
      <c r="G15" s="63">
        <f>SUM(G13:G14)</f>
        <v>13890285.770000001</v>
      </c>
    </row>
    <row r="16" spans="2:7" ht="15.75" x14ac:dyDescent="0.25">
      <c r="B16" s="4">
        <v>3</v>
      </c>
      <c r="C16" s="5" t="s">
        <v>21</v>
      </c>
      <c r="D16" s="6"/>
      <c r="E16" s="20"/>
      <c r="F16" s="8"/>
      <c r="G16" s="64"/>
    </row>
    <row r="17" spans="2:7" x14ac:dyDescent="0.25">
      <c r="B17" s="9">
        <v>3.1</v>
      </c>
      <c r="C17" s="10" t="s">
        <v>22</v>
      </c>
      <c r="D17" s="23" t="s">
        <v>19</v>
      </c>
      <c r="E17" s="12">
        <v>914500</v>
      </c>
      <c r="F17" s="13">
        <f>+F8*0.1</f>
        <v>55.022800000000011</v>
      </c>
      <c r="G17" s="62">
        <f>ROUND(F17*E17,2)</f>
        <v>50318350.600000001</v>
      </c>
    </row>
    <row r="18" spans="2:7" x14ac:dyDescent="0.25">
      <c r="B18" s="9">
        <v>3.2</v>
      </c>
      <c r="C18" s="10" t="s">
        <v>23</v>
      </c>
      <c r="D18" s="23" t="s">
        <v>9</v>
      </c>
      <c r="E18" s="12">
        <v>23790</v>
      </c>
      <c r="F18" s="13">
        <f>+F8</f>
        <v>550.22800000000007</v>
      </c>
      <c r="G18" s="62">
        <f t="shared" ref="G18:G21" si="1">ROUND(F18*E18,2)</f>
        <v>13089924.119999999</v>
      </c>
    </row>
    <row r="19" spans="2:7" x14ac:dyDescent="0.25">
      <c r="B19" s="9">
        <v>3.3</v>
      </c>
      <c r="C19" s="10" t="s">
        <v>24</v>
      </c>
      <c r="D19" s="9" t="s">
        <v>12</v>
      </c>
      <c r="E19" s="12">
        <v>13300</v>
      </c>
      <c r="F19" s="13">
        <f>+((15)-2)*20+((10)-2)*30</f>
        <v>500</v>
      </c>
      <c r="G19" s="62">
        <f t="shared" si="1"/>
        <v>6650000</v>
      </c>
    </row>
    <row r="20" spans="2:7" x14ac:dyDescent="0.25">
      <c r="B20" s="9">
        <v>3.4</v>
      </c>
      <c r="C20" s="10" t="s">
        <v>25</v>
      </c>
      <c r="D20" s="9" t="s">
        <v>12</v>
      </c>
      <c r="E20" s="12">
        <v>8862</v>
      </c>
      <c r="F20" s="13">
        <f>+F19</f>
        <v>500</v>
      </c>
      <c r="G20" s="62">
        <f t="shared" si="1"/>
        <v>4431000</v>
      </c>
    </row>
    <row r="21" spans="2:7" ht="30" x14ac:dyDescent="0.25">
      <c r="B21" s="9">
        <v>3.5</v>
      </c>
      <c r="C21" s="10" t="s">
        <v>62</v>
      </c>
      <c r="D21" s="9" t="s">
        <v>12</v>
      </c>
      <c r="E21" s="12">
        <v>55000</v>
      </c>
      <c r="F21" s="13">
        <v>100</v>
      </c>
      <c r="G21" s="62">
        <f t="shared" si="1"/>
        <v>5500000</v>
      </c>
    </row>
    <row r="22" spans="2:7" ht="15.75" x14ac:dyDescent="0.25">
      <c r="B22" s="17" t="s">
        <v>16</v>
      </c>
      <c r="C22" s="18"/>
      <c r="D22" s="18"/>
      <c r="E22" s="18"/>
      <c r="F22" s="19"/>
      <c r="G22" s="63">
        <f>SUM(G17:G21)</f>
        <v>79989274.719999999</v>
      </c>
    </row>
    <row r="23" spans="2:7" ht="15.75" x14ac:dyDescent="0.25">
      <c r="B23" s="4">
        <v>4</v>
      </c>
      <c r="C23" s="26" t="s">
        <v>27</v>
      </c>
      <c r="D23" s="23"/>
      <c r="E23" s="12"/>
      <c r="F23" s="13"/>
      <c r="G23" s="62"/>
    </row>
    <row r="24" spans="2:7" ht="49.5" x14ac:dyDescent="0.25">
      <c r="B24" s="9">
        <v>4.01</v>
      </c>
      <c r="C24" s="27" t="s">
        <v>28</v>
      </c>
      <c r="D24" s="23" t="s">
        <v>12</v>
      </c>
      <c r="E24" s="12">
        <v>21000</v>
      </c>
      <c r="F24" s="13">
        <v>180</v>
      </c>
      <c r="G24" s="62">
        <f t="shared" ref="G24:G35" si="2">+ROUND(E24*F24,2)</f>
        <v>3780000</v>
      </c>
    </row>
    <row r="25" spans="2:7" ht="33" x14ac:dyDescent="0.25">
      <c r="B25" s="9">
        <v>4.0199999999999996</v>
      </c>
      <c r="C25" s="27" t="s">
        <v>29</v>
      </c>
      <c r="D25" s="23" t="s">
        <v>12</v>
      </c>
      <c r="E25" s="12">
        <v>14300</v>
      </c>
      <c r="F25" s="13">
        <v>21</v>
      </c>
      <c r="G25" s="62">
        <f t="shared" si="2"/>
        <v>300300</v>
      </c>
    </row>
    <row r="26" spans="2:7" ht="33" x14ac:dyDescent="0.25">
      <c r="B26" s="9">
        <v>4.03</v>
      </c>
      <c r="C26" s="27" t="s">
        <v>30</v>
      </c>
      <c r="D26" s="23" t="s">
        <v>12</v>
      </c>
      <c r="E26" s="12">
        <v>26300</v>
      </c>
      <c r="F26" s="13">
        <v>80</v>
      </c>
      <c r="G26" s="62">
        <f t="shared" si="2"/>
        <v>2104000</v>
      </c>
    </row>
    <row r="27" spans="2:7" ht="16.5" x14ac:dyDescent="0.25">
      <c r="B27" s="9">
        <v>4.04</v>
      </c>
      <c r="C27" s="27" t="s">
        <v>31</v>
      </c>
      <c r="D27" s="23" t="s">
        <v>12</v>
      </c>
      <c r="E27" s="12">
        <v>15300</v>
      </c>
      <c r="F27" s="13">
        <v>80</v>
      </c>
      <c r="G27" s="62">
        <f t="shared" si="2"/>
        <v>1224000</v>
      </c>
    </row>
    <row r="28" spans="2:7" ht="33" x14ac:dyDescent="0.25">
      <c r="B28" s="9">
        <v>4.05</v>
      </c>
      <c r="C28" s="27" t="s">
        <v>32</v>
      </c>
      <c r="D28" s="23" t="s">
        <v>12</v>
      </c>
      <c r="E28" s="12">
        <v>54700</v>
      </c>
      <c r="F28" s="13">
        <v>55</v>
      </c>
      <c r="G28" s="62">
        <f t="shared" si="2"/>
        <v>3008500</v>
      </c>
    </row>
    <row r="29" spans="2:7" ht="16.5" x14ac:dyDescent="0.25">
      <c r="B29" s="9">
        <v>4.0599999999999996</v>
      </c>
      <c r="C29" s="27" t="s">
        <v>33</v>
      </c>
      <c r="D29" s="23" t="s">
        <v>26</v>
      </c>
      <c r="E29" s="12">
        <v>524500</v>
      </c>
      <c r="F29" s="13">
        <v>3</v>
      </c>
      <c r="G29" s="62">
        <f t="shared" si="2"/>
        <v>1573500</v>
      </c>
    </row>
    <row r="30" spans="2:7" ht="16.5" x14ac:dyDescent="0.25">
      <c r="B30" s="9">
        <v>4.07</v>
      </c>
      <c r="C30" s="27" t="s">
        <v>34</v>
      </c>
      <c r="D30" s="23" t="s">
        <v>12</v>
      </c>
      <c r="E30" s="12">
        <v>23600</v>
      </c>
      <c r="F30" s="13">
        <v>55</v>
      </c>
      <c r="G30" s="62">
        <f t="shared" si="2"/>
        <v>1298000</v>
      </c>
    </row>
    <row r="31" spans="2:7" ht="33" x14ac:dyDescent="0.25">
      <c r="B31" s="9">
        <v>4.08</v>
      </c>
      <c r="C31" s="27" t="s">
        <v>35</v>
      </c>
      <c r="D31" s="23" t="s">
        <v>12</v>
      </c>
      <c r="E31" s="12">
        <v>35400</v>
      </c>
      <c r="F31" s="13">
        <v>40</v>
      </c>
      <c r="G31" s="62">
        <f t="shared" si="2"/>
        <v>1416000</v>
      </c>
    </row>
    <row r="32" spans="2:7" ht="49.5" x14ac:dyDescent="0.25">
      <c r="B32" s="9">
        <v>4.09</v>
      </c>
      <c r="C32" s="27" t="s">
        <v>36</v>
      </c>
      <c r="D32" s="28" t="s">
        <v>26</v>
      </c>
      <c r="E32" s="29">
        <v>1750000</v>
      </c>
      <c r="F32" s="13">
        <v>1</v>
      </c>
      <c r="G32" s="62">
        <f t="shared" si="2"/>
        <v>1750000</v>
      </c>
    </row>
    <row r="33" spans="2:7" ht="16.5" x14ac:dyDescent="0.25">
      <c r="B33" s="81">
        <v>4.0999999999999996</v>
      </c>
      <c r="C33" s="27" t="s">
        <v>37</v>
      </c>
      <c r="D33" s="23" t="s">
        <v>12</v>
      </c>
      <c r="E33" s="12">
        <v>84700</v>
      </c>
      <c r="F33" s="13">
        <v>15</v>
      </c>
      <c r="G33" s="62">
        <f t="shared" si="2"/>
        <v>1270500</v>
      </c>
    </row>
    <row r="34" spans="2:7" ht="16.5" x14ac:dyDescent="0.25">
      <c r="B34" s="9">
        <v>4.1100000000000003</v>
      </c>
      <c r="C34" s="27" t="s">
        <v>38</v>
      </c>
      <c r="D34" s="23" t="s">
        <v>26</v>
      </c>
      <c r="E34" s="12">
        <v>2615000</v>
      </c>
      <c r="F34" s="13">
        <v>2</v>
      </c>
      <c r="G34" s="62">
        <f t="shared" si="2"/>
        <v>5230000</v>
      </c>
    </row>
    <row r="35" spans="2:7" ht="16.5" x14ac:dyDescent="0.25">
      <c r="B35" s="9">
        <v>4.12</v>
      </c>
      <c r="C35" s="27" t="s">
        <v>39</v>
      </c>
      <c r="D35" s="23" t="s">
        <v>26</v>
      </c>
      <c r="E35" s="12">
        <v>557500</v>
      </c>
      <c r="F35" s="13">
        <v>2</v>
      </c>
      <c r="G35" s="62">
        <f t="shared" si="2"/>
        <v>1115000</v>
      </c>
    </row>
    <row r="36" spans="2:7" ht="28.5" x14ac:dyDescent="0.25">
      <c r="B36" s="9">
        <v>4.13</v>
      </c>
      <c r="C36" s="77" t="s">
        <v>59</v>
      </c>
      <c r="D36" s="78" t="s">
        <v>26</v>
      </c>
      <c r="E36" s="80">
        <v>1250000</v>
      </c>
      <c r="F36" s="79">
        <v>8</v>
      </c>
      <c r="G36" s="62">
        <f>+E36*F36</f>
        <v>10000000</v>
      </c>
    </row>
    <row r="37" spans="2:7" ht="15.75" x14ac:dyDescent="0.25">
      <c r="B37" s="17" t="s">
        <v>16</v>
      </c>
      <c r="C37" s="18"/>
      <c r="D37" s="18"/>
      <c r="E37" s="18"/>
      <c r="F37" s="19"/>
      <c r="G37" s="63">
        <f>SUM(G24:G36)</f>
        <v>34069800</v>
      </c>
    </row>
    <row r="38" spans="2:7" ht="15.75" x14ac:dyDescent="0.25">
      <c r="B38" s="4">
        <v>5</v>
      </c>
      <c r="C38" s="5" t="s">
        <v>40</v>
      </c>
      <c r="D38" s="6"/>
      <c r="E38" s="20"/>
      <c r="F38" s="8"/>
      <c r="G38" s="64"/>
    </row>
    <row r="39" spans="2:7" ht="30" x14ac:dyDescent="0.25">
      <c r="B39" s="9">
        <v>5.01</v>
      </c>
      <c r="C39" s="10" t="s">
        <v>58</v>
      </c>
      <c r="D39" s="23" t="s">
        <v>26</v>
      </c>
      <c r="E39" s="12">
        <f>12654567</f>
        <v>12654567</v>
      </c>
      <c r="F39" s="13">
        <v>2</v>
      </c>
      <c r="G39" s="62">
        <f>ROUND(F39*E39,2)</f>
        <v>25309134</v>
      </c>
    </row>
    <row r="40" spans="2:7" ht="90" x14ac:dyDescent="0.25">
      <c r="B40" s="9">
        <v>5.0199999999999996</v>
      </c>
      <c r="C40" s="10" t="s">
        <v>41</v>
      </c>
      <c r="D40" s="23" t="s">
        <v>9</v>
      </c>
      <c r="E40" s="12">
        <f>321437.4*1.05</f>
        <v>337509.27</v>
      </c>
      <c r="F40" s="13">
        <f>+((30*2)*2.5)+(18*2*4)</f>
        <v>294</v>
      </c>
      <c r="G40" s="62">
        <f t="shared" ref="G40:G47" si="3">ROUND(F40*E40,2)</f>
        <v>99227725.379999995</v>
      </c>
    </row>
    <row r="41" spans="2:7" ht="30" x14ac:dyDescent="0.25">
      <c r="B41" s="9">
        <v>5.03</v>
      </c>
      <c r="C41" s="10" t="s">
        <v>57</v>
      </c>
      <c r="D41" s="23" t="s">
        <v>9</v>
      </c>
      <c r="E41" s="12">
        <f>61981.25*1.05</f>
        <v>65080.3125</v>
      </c>
      <c r="F41" s="13">
        <f>F8</f>
        <v>550.22800000000007</v>
      </c>
      <c r="G41" s="62">
        <f t="shared" si="3"/>
        <v>35809010.189999998</v>
      </c>
    </row>
    <row r="42" spans="2:7" ht="30" x14ac:dyDescent="0.25">
      <c r="B42" s="9">
        <v>5.04</v>
      </c>
      <c r="C42" s="10" t="s">
        <v>42</v>
      </c>
      <c r="D42" s="23" t="s">
        <v>9</v>
      </c>
      <c r="E42" s="12">
        <f>121630.95*1.05</f>
        <v>127712.4975</v>
      </c>
      <c r="F42" s="13">
        <f>(30*2)+(19*2)*1</f>
        <v>98</v>
      </c>
      <c r="G42" s="62">
        <f t="shared" si="3"/>
        <v>12515824.76</v>
      </c>
    </row>
    <row r="43" spans="2:7" ht="30" x14ac:dyDescent="0.25">
      <c r="B43" s="9">
        <v>5.05</v>
      </c>
      <c r="C43" s="10" t="s">
        <v>60</v>
      </c>
      <c r="D43" s="23" t="s">
        <v>26</v>
      </c>
      <c r="E43" s="12">
        <f>1029842.47*1.05</f>
        <v>1081334.5935</v>
      </c>
      <c r="F43" s="13">
        <v>3</v>
      </c>
      <c r="G43" s="62">
        <f t="shared" si="3"/>
        <v>3244003.78</v>
      </c>
    </row>
    <row r="44" spans="2:7" ht="30" x14ac:dyDescent="0.25">
      <c r="B44" s="9">
        <v>5.0599999999999996</v>
      </c>
      <c r="C44" s="10" t="s">
        <v>43</v>
      </c>
      <c r="D44" s="9" t="s">
        <v>26</v>
      </c>
      <c r="E44" s="12">
        <f>1175965.245*1.05</f>
        <v>1234763.5072500003</v>
      </c>
      <c r="F44" s="13">
        <v>12</v>
      </c>
      <c r="G44" s="62">
        <f t="shared" si="3"/>
        <v>14817162.09</v>
      </c>
    </row>
    <row r="45" spans="2:7" x14ac:dyDescent="0.25">
      <c r="B45" s="9">
        <v>5.07</v>
      </c>
      <c r="C45" s="16" t="s">
        <v>44</v>
      </c>
      <c r="D45" s="9" t="s">
        <v>26</v>
      </c>
      <c r="E45" s="24">
        <f>917639*1.05</f>
        <v>963520.95000000007</v>
      </c>
      <c r="F45" s="13">
        <v>2</v>
      </c>
      <c r="G45" s="62">
        <f t="shared" si="3"/>
        <v>1927041.9</v>
      </c>
    </row>
    <row r="46" spans="2:7" ht="30" x14ac:dyDescent="0.25">
      <c r="B46" s="9">
        <v>5.08</v>
      </c>
      <c r="C46" s="10" t="s">
        <v>45</v>
      </c>
      <c r="D46" s="9" t="s">
        <v>9</v>
      </c>
      <c r="E46" s="12">
        <f>72733.81*1.05</f>
        <v>76370.500499999995</v>
      </c>
      <c r="F46" s="25">
        <f>21*3</f>
        <v>63</v>
      </c>
      <c r="G46" s="62">
        <f t="shared" si="3"/>
        <v>4811341.53</v>
      </c>
    </row>
    <row r="47" spans="2:7" ht="45" x14ac:dyDescent="0.25">
      <c r="B47" s="9">
        <v>5.09</v>
      </c>
      <c r="C47" s="10" t="s">
        <v>76</v>
      </c>
      <c r="D47" s="30" t="s">
        <v>15</v>
      </c>
      <c r="E47" s="12">
        <v>1950000</v>
      </c>
      <c r="F47" s="13">
        <v>1</v>
      </c>
      <c r="G47" s="62">
        <f t="shared" si="3"/>
        <v>1950000</v>
      </c>
    </row>
    <row r="48" spans="2:7" ht="15.75" x14ac:dyDescent="0.25">
      <c r="B48" s="17" t="s">
        <v>16</v>
      </c>
      <c r="C48" s="18"/>
      <c r="D48" s="18"/>
      <c r="E48" s="18"/>
      <c r="F48" s="19"/>
      <c r="G48" s="63">
        <f>SUM(G39:G47)</f>
        <v>199611243.63</v>
      </c>
    </row>
    <row r="49" spans="2:7" x14ac:dyDescent="0.25">
      <c r="B49" s="95" t="s">
        <v>81</v>
      </c>
      <c r="C49" s="96"/>
      <c r="D49" s="96"/>
      <c r="E49" s="96"/>
      <c r="F49" s="96"/>
      <c r="G49" s="89"/>
    </row>
    <row r="50" spans="2:7" ht="15.75" x14ac:dyDescent="0.25">
      <c r="B50" s="4">
        <v>6</v>
      </c>
      <c r="C50" s="5" t="s">
        <v>7</v>
      </c>
      <c r="D50" s="6"/>
      <c r="E50" s="7"/>
      <c r="F50" s="8"/>
      <c r="G50" s="61"/>
    </row>
    <row r="51" spans="2:7" x14ac:dyDescent="0.25">
      <c r="B51" s="9">
        <v>6.1</v>
      </c>
      <c r="C51" s="10" t="s">
        <v>8</v>
      </c>
      <c r="D51" s="11" t="s">
        <v>9</v>
      </c>
      <c r="E51" s="12">
        <v>2613</v>
      </c>
      <c r="F51" s="13">
        <f>21*13</f>
        <v>273</v>
      </c>
      <c r="G51" s="62">
        <f>ROUND(F51*E51,2)</f>
        <v>713349</v>
      </c>
    </row>
    <row r="52" spans="2:7" x14ac:dyDescent="0.25">
      <c r="B52" s="9">
        <v>6.2</v>
      </c>
      <c r="C52" s="10" t="s">
        <v>63</v>
      </c>
      <c r="D52" s="11" t="s">
        <v>9</v>
      </c>
      <c r="E52" s="12">
        <v>2000</v>
      </c>
      <c r="F52" s="13">
        <f>21*13</f>
        <v>273</v>
      </c>
      <c r="G52" s="62">
        <f>ROUND(F52*E52,2)</f>
        <v>546000</v>
      </c>
    </row>
    <row r="53" spans="2:7" x14ac:dyDescent="0.25">
      <c r="B53" s="9">
        <v>6.3</v>
      </c>
      <c r="C53" s="16" t="s">
        <v>64</v>
      </c>
      <c r="D53" s="15" t="s">
        <v>46</v>
      </c>
      <c r="E53" s="12">
        <v>400000</v>
      </c>
      <c r="F53" s="13">
        <v>1</v>
      </c>
      <c r="G53" s="62">
        <f t="shared" ref="G53:G54" si="4">ROUND(F53*E53,2)</f>
        <v>400000</v>
      </c>
    </row>
    <row r="54" spans="2:7" x14ac:dyDescent="0.25">
      <c r="B54" s="9">
        <v>6.4</v>
      </c>
      <c r="C54" s="82" t="s">
        <v>11</v>
      </c>
      <c r="D54" s="83" t="s">
        <v>12</v>
      </c>
      <c r="E54" s="12">
        <v>12000</v>
      </c>
      <c r="F54" s="13">
        <v>68</v>
      </c>
      <c r="G54" s="62">
        <f t="shared" si="4"/>
        <v>816000</v>
      </c>
    </row>
    <row r="55" spans="2:7" ht="15.75" x14ac:dyDescent="0.25">
      <c r="B55" s="17" t="s">
        <v>16</v>
      </c>
      <c r="C55" s="18"/>
      <c r="D55" s="18"/>
      <c r="E55" s="18"/>
      <c r="F55" s="19"/>
      <c r="G55" s="63">
        <f>SUM(G51:G54)</f>
        <v>2475349</v>
      </c>
    </row>
    <row r="56" spans="2:7" ht="15.75" x14ac:dyDescent="0.25">
      <c r="B56" s="4">
        <v>7</v>
      </c>
      <c r="C56" s="5" t="s">
        <v>21</v>
      </c>
      <c r="D56" s="6"/>
      <c r="E56" s="20"/>
      <c r="F56" s="8"/>
      <c r="G56" s="64"/>
    </row>
    <row r="57" spans="2:7" ht="30" x14ac:dyDescent="0.25">
      <c r="B57" s="9">
        <v>7.1</v>
      </c>
      <c r="C57" s="10" t="s">
        <v>61</v>
      </c>
      <c r="D57" s="23" t="s">
        <v>19</v>
      </c>
      <c r="E57" s="12">
        <v>914500</v>
      </c>
      <c r="F57" s="13">
        <f>+F51*0.05</f>
        <v>13.65</v>
      </c>
      <c r="G57" s="62">
        <f>ROUND(F57*E57,2)</f>
        <v>12482925</v>
      </c>
    </row>
    <row r="58" spans="2:7" x14ac:dyDescent="0.25">
      <c r="B58" s="9">
        <v>7.2</v>
      </c>
      <c r="C58" s="10" t="s">
        <v>24</v>
      </c>
      <c r="D58" s="9" t="s">
        <v>12</v>
      </c>
      <c r="E58" s="12">
        <v>13300</v>
      </c>
      <c r="F58" s="13">
        <f>+((11)-2)*13+((7)-2)*21</f>
        <v>222</v>
      </c>
      <c r="G58" s="62">
        <f t="shared" ref="G58:G60" si="5">ROUND(F58*E58,2)</f>
        <v>2952600</v>
      </c>
    </row>
    <row r="59" spans="2:7" x14ac:dyDescent="0.25">
      <c r="B59" s="9">
        <v>7.3</v>
      </c>
      <c r="C59" s="10" t="s">
        <v>25</v>
      </c>
      <c r="D59" s="9" t="s">
        <v>12</v>
      </c>
      <c r="E59" s="12">
        <v>8862</v>
      </c>
      <c r="F59" s="13">
        <f>+F58</f>
        <v>222</v>
      </c>
      <c r="G59" s="62">
        <f t="shared" si="5"/>
        <v>1967364</v>
      </c>
    </row>
    <row r="60" spans="2:7" x14ac:dyDescent="0.25">
      <c r="B60" s="9">
        <v>7.4</v>
      </c>
      <c r="C60" s="10" t="s">
        <v>67</v>
      </c>
      <c r="D60" s="23" t="s">
        <v>9</v>
      </c>
      <c r="E60" s="84">
        <v>18000</v>
      </c>
      <c r="F60" s="13">
        <f>+(((21+13)*2)*0.8)*2</f>
        <v>108.80000000000001</v>
      </c>
      <c r="G60" s="62">
        <f t="shared" si="5"/>
        <v>1958400</v>
      </c>
    </row>
    <row r="61" spans="2:7" ht="15.75" x14ac:dyDescent="0.25">
      <c r="B61" s="17" t="s">
        <v>16</v>
      </c>
      <c r="C61" s="18"/>
      <c r="D61" s="18"/>
      <c r="E61" s="18"/>
      <c r="F61" s="19"/>
      <c r="G61" s="63">
        <f>SUM(G57:G60)</f>
        <v>19361289</v>
      </c>
    </row>
    <row r="62" spans="2:7" ht="15.75" x14ac:dyDescent="0.25">
      <c r="B62" s="4">
        <v>8</v>
      </c>
      <c r="C62" s="26" t="s">
        <v>27</v>
      </c>
      <c r="D62" s="23"/>
      <c r="E62" s="12"/>
      <c r="F62" s="13"/>
      <c r="G62" s="62"/>
    </row>
    <row r="63" spans="2:7" ht="42.75" x14ac:dyDescent="0.25">
      <c r="B63" s="9">
        <v>8.01</v>
      </c>
      <c r="C63" s="77" t="s">
        <v>65</v>
      </c>
      <c r="D63" s="78" t="s">
        <v>26</v>
      </c>
      <c r="E63" s="80">
        <v>1450000</v>
      </c>
      <c r="F63" s="79">
        <v>2</v>
      </c>
      <c r="G63" s="62">
        <f>+E63*F63</f>
        <v>2900000</v>
      </c>
    </row>
    <row r="64" spans="2:7" ht="15.75" x14ac:dyDescent="0.25">
      <c r="B64" s="17" t="s">
        <v>16</v>
      </c>
      <c r="C64" s="18"/>
      <c r="D64" s="18"/>
      <c r="E64" s="18"/>
      <c r="F64" s="19"/>
      <c r="G64" s="63">
        <f>SUM(G63:G63)</f>
        <v>2900000</v>
      </c>
    </row>
    <row r="65" spans="2:7" ht="15.75" x14ac:dyDescent="0.25">
      <c r="B65" s="4">
        <v>9</v>
      </c>
      <c r="C65" s="5" t="s">
        <v>40</v>
      </c>
      <c r="D65" s="6"/>
      <c r="E65" s="20"/>
      <c r="F65" s="8"/>
      <c r="G65" s="64"/>
    </row>
    <row r="66" spans="2:7" ht="30" x14ac:dyDescent="0.25">
      <c r="B66" s="9">
        <v>9.01</v>
      </c>
      <c r="C66" s="10" t="s">
        <v>66</v>
      </c>
      <c r="D66" s="23" t="s">
        <v>46</v>
      </c>
      <c r="E66" s="12">
        <v>5000000</v>
      </c>
      <c r="F66" s="13">
        <v>1</v>
      </c>
      <c r="G66" s="62">
        <f>ROUND(F66*E66,2)</f>
        <v>5000000</v>
      </c>
    </row>
    <row r="67" spans="2:7" ht="45" x14ac:dyDescent="0.25">
      <c r="B67" s="9">
        <v>9.02</v>
      </c>
      <c r="C67" s="10" t="s">
        <v>75</v>
      </c>
      <c r="D67" s="23" t="s">
        <v>9</v>
      </c>
      <c r="E67" s="12">
        <v>115000</v>
      </c>
      <c r="F67" s="13">
        <f>+((21+13)*2)*2</f>
        <v>136</v>
      </c>
      <c r="G67" s="62">
        <f t="shared" ref="G67:G74" si="6">ROUND(F67*E67,2)</f>
        <v>15640000</v>
      </c>
    </row>
    <row r="68" spans="2:7" x14ac:dyDescent="0.25">
      <c r="B68" s="9">
        <v>9.0299999999999994</v>
      </c>
      <c r="C68" s="10" t="s">
        <v>68</v>
      </c>
      <c r="D68" s="23" t="s">
        <v>46</v>
      </c>
      <c r="E68" s="12">
        <v>5000000</v>
      </c>
      <c r="F68" s="13">
        <v>1</v>
      </c>
      <c r="G68" s="62">
        <f t="shared" si="6"/>
        <v>5000000</v>
      </c>
    </row>
    <row r="69" spans="2:7" x14ac:dyDescent="0.25">
      <c r="B69" s="9">
        <v>9.0399999999999991</v>
      </c>
      <c r="C69" s="10" t="s">
        <v>71</v>
      </c>
      <c r="D69" s="23" t="s">
        <v>46</v>
      </c>
      <c r="E69" s="12">
        <v>2000000</v>
      </c>
      <c r="F69" s="13">
        <v>1</v>
      </c>
      <c r="G69" s="62">
        <f t="shared" si="6"/>
        <v>2000000</v>
      </c>
    </row>
    <row r="70" spans="2:7" ht="30" x14ac:dyDescent="0.25">
      <c r="B70" s="9">
        <v>9.0500000000000007</v>
      </c>
      <c r="C70" s="10" t="s">
        <v>69</v>
      </c>
      <c r="D70" s="23" t="s">
        <v>26</v>
      </c>
      <c r="E70" s="12">
        <f>1029842.47*1.05</f>
        <v>1081334.5935</v>
      </c>
      <c r="F70" s="13">
        <v>3</v>
      </c>
      <c r="G70" s="62">
        <f t="shared" si="6"/>
        <v>3244003.78</v>
      </c>
    </row>
    <row r="71" spans="2:7" x14ac:dyDescent="0.25">
      <c r="B71" s="9">
        <v>9.06</v>
      </c>
      <c r="C71" s="16" t="s">
        <v>44</v>
      </c>
      <c r="D71" s="9" t="s">
        <v>26</v>
      </c>
      <c r="E71" s="24">
        <f>917639*1.05</f>
        <v>963520.95000000007</v>
      </c>
      <c r="F71" s="13">
        <v>1</v>
      </c>
      <c r="G71" s="62">
        <f t="shared" si="6"/>
        <v>963520.95</v>
      </c>
    </row>
    <row r="72" spans="2:7" ht="28.5" x14ac:dyDescent="0.25">
      <c r="B72" s="9">
        <v>9.07</v>
      </c>
      <c r="C72" s="85" t="s">
        <v>70</v>
      </c>
      <c r="D72" s="86" t="s">
        <v>9</v>
      </c>
      <c r="E72" s="80">
        <v>65000</v>
      </c>
      <c r="F72" s="79">
        <v>273</v>
      </c>
      <c r="G72" s="62">
        <f t="shared" si="6"/>
        <v>17745000</v>
      </c>
    </row>
    <row r="73" spans="2:7" ht="28.5" x14ac:dyDescent="0.25">
      <c r="B73" s="9">
        <v>9.08</v>
      </c>
      <c r="C73" s="85" t="s">
        <v>77</v>
      </c>
      <c r="D73" s="86" t="s">
        <v>9</v>
      </c>
      <c r="E73" s="80">
        <v>32000</v>
      </c>
      <c r="F73" s="87">
        <f>+F60</f>
        <v>108.80000000000001</v>
      </c>
      <c r="G73" s="62">
        <f t="shared" si="6"/>
        <v>3481600</v>
      </c>
    </row>
    <row r="74" spans="2:7" ht="30" x14ac:dyDescent="0.25">
      <c r="B74" s="9">
        <v>9.09</v>
      </c>
      <c r="C74" s="10" t="s">
        <v>72</v>
      </c>
      <c r="D74" s="9" t="s">
        <v>46</v>
      </c>
      <c r="E74" s="12">
        <v>4000000</v>
      </c>
      <c r="F74" s="25">
        <v>1</v>
      </c>
      <c r="G74" s="62">
        <f t="shared" si="6"/>
        <v>4000000</v>
      </c>
    </row>
    <row r="75" spans="2:7" ht="15.75" x14ac:dyDescent="0.25">
      <c r="B75" s="17" t="s">
        <v>16</v>
      </c>
      <c r="C75" s="18"/>
      <c r="D75" s="18"/>
      <c r="E75" s="18"/>
      <c r="F75" s="19"/>
      <c r="G75" s="63">
        <f>SUM(G66:G74)</f>
        <v>57074124.730000004</v>
      </c>
    </row>
    <row r="76" spans="2:7" x14ac:dyDescent="0.25">
      <c r="B76" s="96" t="s">
        <v>82</v>
      </c>
      <c r="C76" s="96"/>
      <c r="D76" s="96"/>
      <c r="E76" s="96"/>
      <c r="F76" s="96"/>
      <c r="G76" s="90"/>
    </row>
    <row r="77" spans="2:7" ht="15.75" x14ac:dyDescent="0.25">
      <c r="B77" s="4">
        <v>10</v>
      </c>
      <c r="C77" s="5" t="s">
        <v>7</v>
      </c>
      <c r="D77" s="6"/>
      <c r="E77" s="7"/>
      <c r="F77" s="8"/>
      <c r="G77" s="61"/>
    </row>
    <row r="78" spans="2:7" x14ac:dyDescent="0.25">
      <c r="B78" s="9">
        <v>10.01</v>
      </c>
      <c r="C78" s="10" t="s">
        <v>8</v>
      </c>
      <c r="D78" s="11" t="s">
        <v>9</v>
      </c>
      <c r="E78" s="12">
        <v>2613</v>
      </c>
      <c r="F78" s="13">
        <f>30*23</f>
        <v>690</v>
      </c>
      <c r="G78" s="62">
        <f>ROUND(F78*E78,2)</f>
        <v>1802970</v>
      </c>
    </row>
    <row r="79" spans="2:7" x14ac:dyDescent="0.25">
      <c r="B79" s="9">
        <v>10.02</v>
      </c>
      <c r="C79" s="10" t="s">
        <v>10</v>
      </c>
      <c r="D79" s="11" t="s">
        <v>9</v>
      </c>
      <c r="E79" s="12">
        <v>28707</v>
      </c>
      <c r="F79" s="13">
        <f>+F78*20%</f>
        <v>138</v>
      </c>
      <c r="G79" s="62">
        <f t="shared" ref="G79:G82" si="7">ROUND(F79*E79,2)</f>
        <v>3961566</v>
      </c>
    </row>
    <row r="80" spans="2:7" ht="30" x14ac:dyDescent="0.25">
      <c r="B80" s="9">
        <v>10.029999999999999</v>
      </c>
      <c r="C80" s="10" t="s">
        <v>13</v>
      </c>
      <c r="D80" s="15" t="s">
        <v>12</v>
      </c>
      <c r="E80" s="12">
        <v>22000</v>
      </c>
      <c r="F80" s="13">
        <f>+(30+23)*2</f>
        <v>106</v>
      </c>
      <c r="G80" s="62">
        <f t="shared" si="7"/>
        <v>2332000</v>
      </c>
    </row>
    <row r="81" spans="2:7" x14ac:dyDescent="0.25">
      <c r="B81" s="9">
        <v>10.039999999999999</v>
      </c>
      <c r="C81" s="16" t="s">
        <v>14</v>
      </c>
      <c r="D81" s="15" t="s">
        <v>15</v>
      </c>
      <c r="E81" s="12">
        <v>171000</v>
      </c>
      <c r="F81" s="13">
        <v>2</v>
      </c>
      <c r="G81" s="62">
        <f t="shared" si="7"/>
        <v>342000</v>
      </c>
    </row>
    <row r="82" spans="2:7" x14ac:dyDescent="0.25">
      <c r="B82" s="9">
        <v>10.050000000000001</v>
      </c>
      <c r="C82" s="82" t="s">
        <v>11</v>
      </c>
      <c r="D82" s="83" t="s">
        <v>12</v>
      </c>
      <c r="E82" s="12">
        <v>18000</v>
      </c>
      <c r="F82" s="13">
        <v>106</v>
      </c>
      <c r="G82" s="62">
        <f t="shared" si="7"/>
        <v>1908000</v>
      </c>
    </row>
    <row r="83" spans="2:7" ht="15.75" x14ac:dyDescent="0.25">
      <c r="B83" s="17" t="s">
        <v>16</v>
      </c>
      <c r="C83" s="18"/>
      <c r="D83" s="18"/>
      <c r="E83" s="18"/>
      <c r="F83" s="19"/>
      <c r="G83" s="63">
        <f>SUM(G78:G82)</f>
        <v>10346536</v>
      </c>
    </row>
    <row r="84" spans="2:7" ht="15.75" x14ac:dyDescent="0.25">
      <c r="B84" s="4">
        <v>11</v>
      </c>
      <c r="C84" s="5" t="s">
        <v>17</v>
      </c>
      <c r="D84" s="6"/>
      <c r="E84" s="20"/>
      <c r="F84" s="8"/>
      <c r="G84" s="64"/>
    </row>
    <row r="85" spans="2:7" x14ac:dyDescent="0.25">
      <c r="B85" s="9">
        <v>11.01</v>
      </c>
      <c r="C85" s="10" t="s">
        <v>18</v>
      </c>
      <c r="D85" s="21" t="s">
        <v>19</v>
      </c>
      <c r="E85" s="12">
        <v>28223</v>
      </c>
      <c r="F85" s="13">
        <f>(30*4.1*0.15)</f>
        <v>18.449999999999996</v>
      </c>
      <c r="G85" s="62">
        <f>ROUND(F85*E85,2)</f>
        <v>520714.35</v>
      </c>
    </row>
    <row r="86" spans="2:7" x14ac:dyDescent="0.25">
      <c r="B86" s="9">
        <v>11.02</v>
      </c>
      <c r="C86" s="10" t="s">
        <v>20</v>
      </c>
      <c r="D86" s="22" t="s">
        <v>19</v>
      </c>
      <c r="E86" s="12">
        <v>98000</v>
      </c>
      <c r="F86" s="13">
        <f>+F85</f>
        <v>18.449999999999996</v>
      </c>
      <c r="G86" s="62">
        <f>ROUND(F86*E86,2)</f>
        <v>1808100</v>
      </c>
    </row>
    <row r="87" spans="2:7" ht="15.75" x14ac:dyDescent="0.25">
      <c r="B87" s="17" t="s">
        <v>16</v>
      </c>
      <c r="C87" s="18"/>
      <c r="D87" s="18"/>
      <c r="E87" s="18"/>
      <c r="F87" s="19"/>
      <c r="G87" s="63">
        <f>SUM(G85:G86)</f>
        <v>2328814.35</v>
      </c>
    </row>
    <row r="88" spans="2:7" ht="15.75" x14ac:dyDescent="0.25">
      <c r="B88" s="4">
        <v>12</v>
      </c>
      <c r="C88" s="5" t="s">
        <v>21</v>
      </c>
      <c r="D88" s="6"/>
      <c r="E88" s="20"/>
      <c r="F88" s="8"/>
      <c r="G88" s="64"/>
    </row>
    <row r="89" spans="2:7" x14ac:dyDescent="0.25">
      <c r="B89" s="9">
        <v>12.01</v>
      </c>
      <c r="C89" s="10" t="s">
        <v>22</v>
      </c>
      <c r="D89" s="23" t="s">
        <v>19</v>
      </c>
      <c r="E89" s="12">
        <v>914500</v>
      </c>
      <c r="F89" s="13">
        <f>+F79*0.1</f>
        <v>13.8</v>
      </c>
      <c r="G89" s="62">
        <f>ROUND(F89*E89,2)</f>
        <v>12620100</v>
      </c>
    </row>
    <row r="90" spans="2:7" x14ac:dyDescent="0.25">
      <c r="B90" s="9">
        <v>12.02</v>
      </c>
      <c r="C90" s="10" t="s">
        <v>23</v>
      </c>
      <c r="D90" s="23" t="s">
        <v>9</v>
      </c>
      <c r="E90" s="12">
        <v>23790</v>
      </c>
      <c r="F90" s="13">
        <f>+F79</f>
        <v>138</v>
      </c>
      <c r="G90" s="62">
        <f t="shared" ref="G90:G93" si="8">ROUND(F90*E90,2)</f>
        <v>3283020</v>
      </c>
    </row>
    <row r="91" spans="2:7" x14ac:dyDescent="0.25">
      <c r="B91" s="9">
        <v>12.03</v>
      </c>
      <c r="C91" s="10" t="s">
        <v>24</v>
      </c>
      <c r="D91" s="9" t="s">
        <v>12</v>
      </c>
      <c r="E91" s="12">
        <v>13300</v>
      </c>
      <c r="F91" s="13">
        <v>180</v>
      </c>
      <c r="G91" s="62">
        <f t="shared" si="8"/>
        <v>2394000</v>
      </c>
    </row>
    <row r="92" spans="2:7" x14ac:dyDescent="0.25">
      <c r="B92" s="9">
        <v>12.04</v>
      </c>
      <c r="C92" s="10" t="s">
        <v>25</v>
      </c>
      <c r="D92" s="9" t="s">
        <v>12</v>
      </c>
      <c r="E92" s="12">
        <v>8862</v>
      </c>
      <c r="F92" s="13">
        <f>+F91</f>
        <v>180</v>
      </c>
      <c r="G92" s="62">
        <f t="shared" si="8"/>
        <v>1595160</v>
      </c>
    </row>
    <row r="93" spans="2:7" x14ac:dyDescent="0.25">
      <c r="B93" s="9">
        <v>12.05</v>
      </c>
      <c r="C93" s="10" t="s">
        <v>67</v>
      </c>
      <c r="D93" s="23" t="s">
        <v>9</v>
      </c>
      <c r="E93" s="84">
        <v>18000</v>
      </c>
      <c r="F93" s="13">
        <f>+((30+23)*2)*1.2</f>
        <v>127.19999999999999</v>
      </c>
      <c r="G93" s="62">
        <f t="shared" si="8"/>
        <v>2289600</v>
      </c>
    </row>
    <row r="94" spans="2:7" ht="15.75" x14ac:dyDescent="0.25">
      <c r="B94" s="17" t="s">
        <v>16</v>
      </c>
      <c r="C94" s="18"/>
      <c r="D94" s="18"/>
      <c r="E94" s="18"/>
      <c r="F94" s="19"/>
      <c r="G94" s="63">
        <f>SUM(G89:G93)</f>
        <v>22181880</v>
      </c>
    </row>
    <row r="95" spans="2:7" ht="15.75" x14ac:dyDescent="0.25">
      <c r="B95" s="4">
        <v>13</v>
      </c>
      <c r="C95" s="26" t="s">
        <v>27</v>
      </c>
      <c r="D95" s="23"/>
      <c r="E95" s="12"/>
      <c r="F95" s="13"/>
      <c r="G95" s="62"/>
    </row>
    <row r="96" spans="2:7" ht="42.75" x14ac:dyDescent="0.25">
      <c r="B96" s="9">
        <v>13.01</v>
      </c>
      <c r="C96" s="77" t="s">
        <v>65</v>
      </c>
      <c r="D96" s="78" t="s">
        <v>26</v>
      </c>
      <c r="E96" s="80">
        <v>1450000</v>
      </c>
      <c r="F96" s="79">
        <v>4</v>
      </c>
      <c r="G96" s="62">
        <f>+E96*F96</f>
        <v>5800000</v>
      </c>
    </row>
    <row r="97" spans="2:7" ht="15.75" x14ac:dyDescent="0.25">
      <c r="B97" s="17" t="s">
        <v>16</v>
      </c>
      <c r="C97" s="18"/>
      <c r="D97" s="18"/>
      <c r="E97" s="18"/>
      <c r="F97" s="19"/>
      <c r="G97" s="63">
        <f>SUM(G96:G96)</f>
        <v>5800000</v>
      </c>
    </row>
    <row r="98" spans="2:7" ht="15.75" x14ac:dyDescent="0.25">
      <c r="B98" s="4">
        <v>14</v>
      </c>
      <c r="C98" s="5" t="s">
        <v>40</v>
      </c>
      <c r="D98" s="6"/>
      <c r="E98" s="20"/>
      <c r="F98" s="8"/>
      <c r="G98" s="64"/>
    </row>
    <row r="99" spans="2:7" x14ac:dyDescent="0.25">
      <c r="B99" s="9">
        <v>14.01</v>
      </c>
      <c r="C99" s="10" t="s">
        <v>74</v>
      </c>
      <c r="D99" s="23" t="s">
        <v>15</v>
      </c>
      <c r="E99" s="12">
        <v>3100000</v>
      </c>
      <c r="F99" s="13">
        <v>2</v>
      </c>
      <c r="G99" s="62">
        <f>ROUND(F99*E99,2)</f>
        <v>6200000</v>
      </c>
    </row>
    <row r="100" spans="2:7" ht="45" x14ac:dyDescent="0.25">
      <c r="B100" s="9">
        <v>14.02</v>
      </c>
      <c r="C100" s="10" t="s">
        <v>75</v>
      </c>
      <c r="D100" s="23" t="s">
        <v>9</v>
      </c>
      <c r="E100" s="12">
        <v>115000</v>
      </c>
      <c r="F100" s="13">
        <f>+(30*4)+(30*2)+(46*4)</f>
        <v>364</v>
      </c>
      <c r="G100" s="62">
        <f t="shared" ref="G100:G101" si="9">ROUND(F100*E100,2)</f>
        <v>41860000</v>
      </c>
    </row>
    <row r="101" spans="2:7" x14ac:dyDescent="0.25">
      <c r="B101" s="9">
        <v>14.03</v>
      </c>
      <c r="C101" s="10" t="s">
        <v>68</v>
      </c>
      <c r="D101" s="23" t="s">
        <v>46</v>
      </c>
      <c r="E101" s="12">
        <v>7000000</v>
      </c>
      <c r="F101" s="13">
        <v>1</v>
      </c>
      <c r="G101" s="62">
        <f t="shared" si="9"/>
        <v>7000000</v>
      </c>
    </row>
    <row r="102" spans="2:7" ht="90" x14ac:dyDescent="0.25">
      <c r="B102" s="9">
        <v>14.04</v>
      </c>
      <c r="C102" s="10" t="s">
        <v>83</v>
      </c>
      <c r="D102" s="23" t="s">
        <v>9</v>
      </c>
      <c r="E102" s="12">
        <v>134000</v>
      </c>
      <c r="F102" s="13">
        <f>+(30*23)</f>
        <v>690</v>
      </c>
      <c r="G102" s="62">
        <f>ROUND(F102*E102,2)</f>
        <v>92460000</v>
      </c>
    </row>
    <row r="103" spans="2:7" x14ac:dyDescent="0.25">
      <c r="B103" s="9">
        <v>14.05</v>
      </c>
      <c r="C103" s="10" t="s">
        <v>79</v>
      </c>
      <c r="D103" s="23" t="s">
        <v>46</v>
      </c>
      <c r="E103" s="12">
        <v>2000000</v>
      </c>
      <c r="F103" s="13">
        <v>1</v>
      </c>
      <c r="G103" s="62">
        <f>ROUND(F103*E103,2)</f>
        <v>2000000</v>
      </c>
    </row>
    <row r="104" spans="2:7" ht="30" x14ac:dyDescent="0.25">
      <c r="B104" s="9">
        <v>14.06</v>
      </c>
      <c r="C104" s="10" t="s">
        <v>42</v>
      </c>
      <c r="D104" s="23" t="s">
        <v>9</v>
      </c>
      <c r="E104" s="12">
        <f>121630.95*1.05</f>
        <v>127712.4975</v>
      </c>
      <c r="F104" s="13">
        <f>+(30*4.1)+30+46</f>
        <v>199</v>
      </c>
      <c r="G104" s="62">
        <f t="shared" ref="G104:G109" si="10">ROUND(F104*E104,2)</f>
        <v>25414787</v>
      </c>
    </row>
    <row r="105" spans="2:7" ht="30" x14ac:dyDescent="0.25">
      <c r="B105" s="9">
        <v>14.07</v>
      </c>
      <c r="C105" s="10" t="s">
        <v>60</v>
      </c>
      <c r="D105" s="23" t="s">
        <v>26</v>
      </c>
      <c r="E105" s="12">
        <f>1029842.47*1.05</f>
        <v>1081334.5935</v>
      </c>
      <c r="F105" s="13">
        <v>3</v>
      </c>
      <c r="G105" s="62">
        <f t="shared" si="10"/>
        <v>3244003.78</v>
      </c>
    </row>
    <row r="106" spans="2:7" ht="30" x14ac:dyDescent="0.25">
      <c r="B106" s="9">
        <v>14.08</v>
      </c>
      <c r="C106" s="10" t="s">
        <v>43</v>
      </c>
      <c r="D106" s="9" t="s">
        <v>26</v>
      </c>
      <c r="E106" s="12">
        <f>1175965.245*1.05</f>
        <v>1234763.5072500003</v>
      </c>
      <c r="F106" s="13">
        <v>3</v>
      </c>
      <c r="G106" s="62">
        <f t="shared" si="10"/>
        <v>3704290.52</v>
      </c>
    </row>
    <row r="107" spans="2:7" x14ac:dyDescent="0.25">
      <c r="B107" s="9">
        <v>14.09</v>
      </c>
      <c r="C107" s="16" t="s">
        <v>44</v>
      </c>
      <c r="D107" s="9" t="s">
        <v>26</v>
      </c>
      <c r="E107" s="24">
        <f>917639*1.05</f>
        <v>963520.95000000007</v>
      </c>
      <c r="F107" s="13">
        <v>2</v>
      </c>
      <c r="G107" s="62">
        <f t="shared" si="10"/>
        <v>1927041.9</v>
      </c>
    </row>
    <row r="108" spans="2:7" ht="28.5" x14ac:dyDescent="0.25">
      <c r="B108" s="81">
        <v>14.1</v>
      </c>
      <c r="C108" s="85" t="s">
        <v>77</v>
      </c>
      <c r="D108" s="86" t="s">
        <v>9</v>
      </c>
      <c r="E108" s="80">
        <v>32000</v>
      </c>
      <c r="F108" s="87">
        <f>+F93</f>
        <v>127.19999999999999</v>
      </c>
      <c r="G108" s="62">
        <f t="shared" si="10"/>
        <v>4070400</v>
      </c>
    </row>
    <row r="109" spans="2:7" ht="45" x14ac:dyDescent="0.25">
      <c r="B109" s="9">
        <v>14.11</v>
      </c>
      <c r="C109" s="10" t="s">
        <v>76</v>
      </c>
      <c r="D109" s="30" t="s">
        <v>15</v>
      </c>
      <c r="E109" s="12">
        <v>1950000</v>
      </c>
      <c r="F109" s="13">
        <v>1</v>
      </c>
      <c r="G109" s="62">
        <f t="shared" si="10"/>
        <v>1950000</v>
      </c>
    </row>
    <row r="110" spans="2:7" ht="15.75" x14ac:dyDescent="0.25">
      <c r="B110" s="17" t="s">
        <v>16</v>
      </c>
      <c r="C110" s="18"/>
      <c r="D110" s="18"/>
      <c r="E110" s="18"/>
      <c r="F110" s="19"/>
      <c r="G110" s="63">
        <f>SUM(G99:G109)</f>
        <v>189830523.20000002</v>
      </c>
    </row>
    <row r="111" spans="2:7" ht="15.75" thickBot="1" x14ac:dyDescent="0.3"/>
    <row r="112" spans="2:7" ht="15.75" x14ac:dyDescent="0.25">
      <c r="C112" s="40" t="s">
        <v>47</v>
      </c>
      <c r="D112" s="41"/>
      <c r="E112" s="42"/>
      <c r="F112" s="43"/>
      <c r="G112" s="88">
        <f>ROUND(G11+G15+G22+G37+G48+G55+G64+G61+G75+G83+G87+G94+G97+G110,0)</f>
        <v>660282198</v>
      </c>
    </row>
    <row r="113" spans="3:7" ht="15.75" x14ac:dyDescent="0.25">
      <c r="C113" s="44" t="s">
        <v>48</v>
      </c>
      <c r="D113" s="45"/>
      <c r="E113" s="46"/>
      <c r="F113" s="47">
        <f>SUM(F114:F116)</f>
        <v>0.3</v>
      </c>
      <c r="G113" s="68">
        <f>ROUND(SUM(G114:G116),0)</f>
        <v>198084660</v>
      </c>
    </row>
    <row r="114" spans="3:7" x14ac:dyDescent="0.25">
      <c r="C114" s="48"/>
      <c r="D114" s="49"/>
      <c r="E114" s="59" t="s">
        <v>49</v>
      </c>
      <c r="F114" s="50">
        <v>0.24</v>
      </c>
      <c r="G114" s="69">
        <f>ROUND(G112*F114,0)</f>
        <v>158467728</v>
      </c>
    </row>
    <row r="115" spans="3:7" x14ac:dyDescent="0.25">
      <c r="C115" s="48"/>
      <c r="D115" s="49"/>
      <c r="E115" s="59" t="s">
        <v>50</v>
      </c>
      <c r="F115" s="50">
        <v>0.01</v>
      </c>
      <c r="G115" s="69">
        <f>ROUND(G112*F115,0)</f>
        <v>6602822</v>
      </c>
    </row>
    <row r="116" spans="3:7" x14ac:dyDescent="0.25">
      <c r="C116" s="48"/>
      <c r="D116" s="49"/>
      <c r="E116" s="59" t="s">
        <v>51</v>
      </c>
      <c r="F116" s="50">
        <v>0.05</v>
      </c>
      <c r="G116" s="69">
        <f>ROUND(G112*F116,0)</f>
        <v>33014110</v>
      </c>
    </row>
    <row r="117" spans="3:7" ht="16.5" thickBot="1" x14ac:dyDescent="0.3">
      <c r="C117" s="98" t="s">
        <v>52</v>
      </c>
      <c r="D117" s="99"/>
      <c r="E117" s="99"/>
      <c r="F117" s="99"/>
      <c r="G117" s="70">
        <f>+G112+G113</f>
        <v>858366858</v>
      </c>
    </row>
    <row r="118" spans="3:7" ht="15.75" thickBot="1" x14ac:dyDescent="0.3"/>
    <row r="119" spans="3:7" ht="16.5" thickBot="1" x14ac:dyDescent="0.3">
      <c r="C119" s="91" t="s">
        <v>53</v>
      </c>
      <c r="D119" s="92"/>
      <c r="E119" s="92"/>
      <c r="F119" s="93"/>
      <c r="G119" s="73">
        <f>+G117</f>
        <v>858366858</v>
      </c>
    </row>
    <row r="123" spans="3:7" x14ac:dyDescent="0.25">
      <c r="E123" s="55" t="s">
        <v>54</v>
      </c>
    </row>
    <row r="124" spans="3:7" x14ac:dyDescent="0.25">
      <c r="E124" t="s">
        <v>55</v>
      </c>
    </row>
    <row r="125" spans="3:7" x14ac:dyDescent="0.25">
      <c r="E125" t="s">
        <v>56</v>
      </c>
    </row>
  </sheetData>
  <mergeCells count="6">
    <mergeCell ref="C119:F119"/>
    <mergeCell ref="B2:G2"/>
    <mergeCell ref="B4:G4"/>
    <mergeCell ref="B49:F49"/>
    <mergeCell ref="B76:F76"/>
    <mergeCell ref="C117:F117"/>
  </mergeCells>
  <pageMargins left="0.25" right="0.25" top="0.75" bottom="0.75" header="0.3" footer="0.3"/>
  <pageSetup scale="85" orientation="landscape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33DD8A-1453-4A09-9CC1-6A241A8D218B}">
  <sheetPr>
    <tabColor rgb="FFFFFF00"/>
  </sheetPr>
  <dimension ref="B4:K84"/>
  <sheetViews>
    <sheetView topLeftCell="A42" workbookViewId="0">
      <selection activeCell="E50" sqref="E50"/>
    </sheetView>
  </sheetViews>
  <sheetFormatPr baseColWidth="10" defaultRowHeight="15" x14ac:dyDescent="0.25"/>
  <cols>
    <col min="1" max="1" width="6.85546875" customWidth="1"/>
    <col min="2" max="2" width="10.42578125" bestFit="1" customWidth="1"/>
    <col min="3" max="3" width="69.42578125" bestFit="1" customWidth="1"/>
    <col min="4" max="4" width="6.28515625" bestFit="1" customWidth="1"/>
    <col min="5" max="5" width="20.42578125" bestFit="1" customWidth="1"/>
    <col min="6" max="6" width="11.85546875" bestFit="1" customWidth="1"/>
    <col min="7" max="7" width="22" style="54" bestFit="1" customWidth="1"/>
    <col min="9" max="9" width="18.28515625" bestFit="1" customWidth="1"/>
    <col min="11" max="11" width="15.42578125" bestFit="1" customWidth="1"/>
  </cols>
  <sheetData>
    <row r="4" spans="2:11" ht="84.75" customHeight="1" x14ac:dyDescent="0.25">
      <c r="B4" s="94" t="s">
        <v>73</v>
      </c>
      <c r="C4" s="94"/>
      <c r="D4" s="94"/>
      <c r="E4" s="94"/>
      <c r="F4" s="94"/>
      <c r="G4" s="94"/>
    </row>
    <row r="5" spans="2:11" ht="15.75" x14ac:dyDescent="0.25">
      <c r="B5" s="100" t="s">
        <v>0</v>
      </c>
      <c r="C5" s="101"/>
      <c r="D5" s="101"/>
      <c r="E5" s="101"/>
      <c r="F5" s="101"/>
      <c r="G5" s="102"/>
    </row>
    <row r="7" spans="2:11" x14ac:dyDescent="0.25">
      <c r="B7" s="1" t="s">
        <v>1</v>
      </c>
      <c r="C7" s="1" t="s">
        <v>2</v>
      </c>
      <c r="D7" s="1" t="s">
        <v>3</v>
      </c>
      <c r="E7" s="2" t="s">
        <v>4</v>
      </c>
      <c r="F7" s="3" t="s">
        <v>5</v>
      </c>
      <c r="G7" s="60" t="s">
        <v>6</v>
      </c>
    </row>
    <row r="8" spans="2:11" ht="15.75" x14ac:dyDescent="0.25">
      <c r="B8" s="4">
        <v>1</v>
      </c>
      <c r="C8" s="5" t="s">
        <v>7</v>
      </c>
      <c r="D8" s="6"/>
      <c r="E8" s="7"/>
      <c r="F8" s="8"/>
      <c r="G8" s="61"/>
    </row>
    <row r="9" spans="2:11" x14ac:dyDescent="0.25">
      <c r="B9" s="9">
        <v>1.1000000000000001</v>
      </c>
      <c r="C9" s="10" t="s">
        <v>8</v>
      </c>
      <c r="D9" s="11" t="s">
        <v>9</v>
      </c>
      <c r="E9" s="12">
        <v>2613</v>
      </c>
      <c r="F9" s="13">
        <f>34*21</f>
        <v>714</v>
      </c>
      <c r="G9" s="62">
        <f>ROUND(F9*E9,2)</f>
        <v>1865682</v>
      </c>
    </row>
    <row r="10" spans="2:11" x14ac:dyDescent="0.25">
      <c r="B10" s="9">
        <v>1.2</v>
      </c>
      <c r="C10" s="10" t="s">
        <v>10</v>
      </c>
      <c r="D10" s="11" t="s">
        <v>9</v>
      </c>
      <c r="E10" s="12">
        <v>28707</v>
      </c>
      <c r="F10" s="13">
        <f>30.1*18.28</f>
        <v>550.22800000000007</v>
      </c>
      <c r="G10" s="62">
        <f t="shared" ref="G10:G12" si="0">ROUND(F10*E10,2)</f>
        <v>15795395.199999999</v>
      </c>
      <c r="K10" s="14"/>
    </row>
    <row r="11" spans="2:11" x14ac:dyDescent="0.25">
      <c r="B11" s="9">
        <v>1.3</v>
      </c>
      <c r="C11" s="10" t="s">
        <v>13</v>
      </c>
      <c r="D11" s="15" t="s">
        <v>12</v>
      </c>
      <c r="E11" s="12">
        <v>22000</v>
      </c>
      <c r="F11" s="13">
        <v>110</v>
      </c>
      <c r="G11" s="62">
        <f t="shared" si="0"/>
        <v>2420000</v>
      </c>
    </row>
    <row r="12" spans="2:11" x14ac:dyDescent="0.25">
      <c r="B12" s="9">
        <v>1.4</v>
      </c>
      <c r="C12" s="16" t="s">
        <v>14</v>
      </c>
      <c r="D12" s="15" t="s">
        <v>15</v>
      </c>
      <c r="E12" s="12">
        <v>171000</v>
      </c>
      <c r="F12" s="13">
        <v>2</v>
      </c>
      <c r="G12" s="62">
        <f t="shared" si="0"/>
        <v>342000</v>
      </c>
    </row>
    <row r="13" spans="2:11" ht="15.75" x14ac:dyDescent="0.25">
      <c r="B13" s="17" t="s">
        <v>16</v>
      </c>
      <c r="C13" s="18"/>
      <c r="D13" s="18"/>
      <c r="E13" s="18"/>
      <c r="F13" s="19"/>
      <c r="G13" s="63">
        <f>SUM(G9:G12)</f>
        <v>20423077.199999999</v>
      </c>
    </row>
    <row r="14" spans="2:11" ht="15.75" x14ac:dyDescent="0.25">
      <c r="B14" s="4">
        <v>2</v>
      </c>
      <c r="C14" s="5" t="s">
        <v>17</v>
      </c>
      <c r="D14" s="6"/>
      <c r="E14" s="20"/>
      <c r="F14" s="8"/>
      <c r="G14" s="64"/>
    </row>
    <row r="15" spans="2:11" x14ac:dyDescent="0.25">
      <c r="B15" s="9">
        <v>2.1</v>
      </c>
      <c r="C15" s="10" t="s">
        <v>18</v>
      </c>
      <c r="D15" s="21" t="s">
        <v>19</v>
      </c>
      <c r="E15" s="12">
        <v>28223</v>
      </c>
      <c r="F15" s="13">
        <f>+F10*0.2</f>
        <v>110.04560000000002</v>
      </c>
      <c r="G15" s="62">
        <f>ROUND(F15*E15,2)</f>
        <v>3105816.97</v>
      </c>
    </row>
    <row r="16" spans="2:11" x14ac:dyDescent="0.25">
      <c r="B16" s="9">
        <v>2.2999999999999998</v>
      </c>
      <c r="C16" s="10" t="s">
        <v>20</v>
      </c>
      <c r="D16" s="22" t="s">
        <v>19</v>
      </c>
      <c r="E16" s="12">
        <v>98000</v>
      </c>
      <c r="F16" s="13">
        <f>+F15</f>
        <v>110.04560000000002</v>
      </c>
      <c r="G16" s="62">
        <f>ROUND(F16*E16,2)</f>
        <v>10784468.800000001</v>
      </c>
    </row>
    <row r="17" spans="2:11" ht="15.75" x14ac:dyDescent="0.25">
      <c r="B17" s="17" t="s">
        <v>16</v>
      </c>
      <c r="C17" s="18"/>
      <c r="D17" s="18"/>
      <c r="E17" s="18"/>
      <c r="F17" s="19"/>
      <c r="G17" s="63">
        <f>SUM(G15:G16)</f>
        <v>13890285.770000001</v>
      </c>
    </row>
    <row r="18" spans="2:11" ht="15.75" x14ac:dyDescent="0.25">
      <c r="B18" s="4">
        <v>3</v>
      </c>
      <c r="C18" s="5" t="s">
        <v>21</v>
      </c>
      <c r="D18" s="6"/>
      <c r="E18" s="20"/>
      <c r="F18" s="8"/>
      <c r="G18" s="64"/>
    </row>
    <row r="19" spans="2:11" x14ac:dyDescent="0.25">
      <c r="B19" s="9">
        <v>3.1</v>
      </c>
      <c r="C19" s="10" t="s">
        <v>22</v>
      </c>
      <c r="D19" s="23" t="s">
        <v>19</v>
      </c>
      <c r="E19" s="12">
        <v>914500</v>
      </c>
      <c r="F19" s="13">
        <f>+F10*0.1</f>
        <v>55.022800000000011</v>
      </c>
      <c r="G19" s="62">
        <f>ROUND(F19*E19,2)</f>
        <v>50318350.600000001</v>
      </c>
      <c r="K19" s="14">
        <f>I19*J19</f>
        <v>0</v>
      </c>
    </row>
    <row r="20" spans="2:11" x14ac:dyDescent="0.25">
      <c r="B20" s="9">
        <v>3.2</v>
      </c>
      <c r="C20" s="10" t="s">
        <v>23</v>
      </c>
      <c r="D20" s="23" t="s">
        <v>9</v>
      </c>
      <c r="E20" s="12">
        <v>23790</v>
      </c>
      <c r="F20" s="13">
        <f>+F10</f>
        <v>550.22800000000007</v>
      </c>
      <c r="G20" s="62">
        <f t="shared" ref="G20:G23" si="1">ROUND(F20*E20,2)</f>
        <v>13089924.119999999</v>
      </c>
      <c r="K20" s="14"/>
    </row>
    <row r="21" spans="2:11" x14ac:dyDescent="0.25">
      <c r="B21" s="9">
        <v>3.3</v>
      </c>
      <c r="C21" s="10" t="s">
        <v>24</v>
      </c>
      <c r="D21" s="9" t="s">
        <v>12</v>
      </c>
      <c r="E21" s="12">
        <v>13300</v>
      </c>
      <c r="F21" s="13">
        <f>+((15)-2)*20+((10)-2)*30</f>
        <v>500</v>
      </c>
      <c r="G21" s="62">
        <f t="shared" si="1"/>
        <v>6650000</v>
      </c>
    </row>
    <row r="22" spans="2:11" x14ac:dyDescent="0.25">
      <c r="B22" s="9">
        <v>3.4</v>
      </c>
      <c r="C22" s="10" t="s">
        <v>25</v>
      </c>
      <c r="D22" s="9" t="s">
        <v>12</v>
      </c>
      <c r="E22" s="12">
        <v>8862</v>
      </c>
      <c r="F22" s="13">
        <f>+F21</f>
        <v>500</v>
      </c>
      <c r="G22" s="62">
        <f t="shared" si="1"/>
        <v>4431000</v>
      </c>
    </row>
    <row r="23" spans="2:11" ht="30" x14ac:dyDescent="0.25">
      <c r="B23" s="9">
        <v>3.5</v>
      </c>
      <c r="C23" s="10" t="s">
        <v>62</v>
      </c>
      <c r="D23" s="9" t="s">
        <v>12</v>
      </c>
      <c r="E23" s="12">
        <v>55000</v>
      </c>
      <c r="F23" s="13">
        <v>100</v>
      </c>
      <c r="G23" s="62">
        <f t="shared" si="1"/>
        <v>5500000</v>
      </c>
      <c r="I23" s="14"/>
    </row>
    <row r="24" spans="2:11" ht="15.75" x14ac:dyDescent="0.25">
      <c r="B24" s="17" t="s">
        <v>16</v>
      </c>
      <c r="C24" s="18"/>
      <c r="D24" s="18"/>
      <c r="E24" s="18"/>
      <c r="F24" s="19"/>
      <c r="G24" s="63">
        <f>SUM(G19:G23)</f>
        <v>79989274.719999999</v>
      </c>
    </row>
    <row r="25" spans="2:11" ht="15.75" x14ac:dyDescent="0.25">
      <c r="B25" s="4">
        <v>4</v>
      </c>
      <c r="C25" s="26" t="s">
        <v>27</v>
      </c>
      <c r="D25" s="23"/>
      <c r="E25" s="12"/>
      <c r="F25" s="13"/>
      <c r="G25" s="62"/>
    </row>
    <row r="26" spans="2:11" ht="33" x14ac:dyDescent="0.25">
      <c r="B26" s="9">
        <v>4.01</v>
      </c>
      <c r="C26" s="27" t="s">
        <v>28</v>
      </c>
      <c r="D26" s="23" t="s">
        <v>12</v>
      </c>
      <c r="E26" s="12">
        <v>21000</v>
      </c>
      <c r="F26" s="13">
        <v>180</v>
      </c>
      <c r="G26" s="62">
        <f t="shared" ref="G26:G37" si="2">+ROUND(E26*F26,2)</f>
        <v>3780000</v>
      </c>
    </row>
    <row r="27" spans="2:11" ht="33" x14ac:dyDescent="0.25">
      <c r="B27" s="9">
        <v>4.0199999999999996</v>
      </c>
      <c r="C27" s="27" t="s">
        <v>29</v>
      </c>
      <c r="D27" s="23" t="s">
        <v>12</v>
      </c>
      <c r="E27" s="12">
        <v>14300</v>
      </c>
      <c r="F27" s="13">
        <v>21</v>
      </c>
      <c r="G27" s="62">
        <f t="shared" si="2"/>
        <v>300300</v>
      </c>
    </row>
    <row r="28" spans="2:11" ht="16.5" x14ac:dyDescent="0.25">
      <c r="B28" s="9">
        <v>4.03</v>
      </c>
      <c r="C28" s="27" t="s">
        <v>30</v>
      </c>
      <c r="D28" s="23" t="s">
        <v>12</v>
      </c>
      <c r="E28" s="12">
        <v>26300</v>
      </c>
      <c r="F28" s="13">
        <v>80</v>
      </c>
      <c r="G28" s="62">
        <f t="shared" si="2"/>
        <v>2104000</v>
      </c>
    </row>
    <row r="29" spans="2:11" ht="16.5" x14ac:dyDescent="0.25">
      <c r="B29" s="9">
        <v>4.04</v>
      </c>
      <c r="C29" s="27" t="s">
        <v>31</v>
      </c>
      <c r="D29" s="23" t="s">
        <v>12</v>
      </c>
      <c r="E29" s="12">
        <v>15300</v>
      </c>
      <c r="F29" s="13">
        <v>80</v>
      </c>
      <c r="G29" s="62">
        <f t="shared" si="2"/>
        <v>1224000</v>
      </c>
    </row>
    <row r="30" spans="2:11" ht="33" x14ac:dyDescent="0.25">
      <c r="B30" s="9">
        <v>4.05</v>
      </c>
      <c r="C30" s="27" t="s">
        <v>32</v>
      </c>
      <c r="D30" s="23" t="s">
        <v>12</v>
      </c>
      <c r="E30" s="12">
        <v>54700</v>
      </c>
      <c r="F30" s="13">
        <v>55</v>
      </c>
      <c r="G30" s="62">
        <f t="shared" si="2"/>
        <v>3008500</v>
      </c>
    </row>
    <row r="31" spans="2:11" ht="16.5" x14ac:dyDescent="0.25">
      <c r="B31" s="9">
        <v>4.0599999999999996</v>
      </c>
      <c r="C31" s="27" t="s">
        <v>33</v>
      </c>
      <c r="D31" s="23" t="s">
        <v>26</v>
      </c>
      <c r="E31" s="12">
        <v>524500</v>
      </c>
      <c r="F31" s="13">
        <v>3</v>
      </c>
      <c r="G31" s="62">
        <f t="shared" si="2"/>
        <v>1573500</v>
      </c>
    </row>
    <row r="32" spans="2:11" ht="16.5" x14ac:dyDescent="0.25">
      <c r="B32" s="9">
        <v>4.07</v>
      </c>
      <c r="C32" s="27" t="s">
        <v>34</v>
      </c>
      <c r="D32" s="23" t="s">
        <v>12</v>
      </c>
      <c r="E32" s="12">
        <v>23600</v>
      </c>
      <c r="F32" s="13">
        <v>55</v>
      </c>
      <c r="G32" s="62">
        <f t="shared" si="2"/>
        <v>1298000</v>
      </c>
    </row>
    <row r="33" spans="2:7" ht="33" x14ac:dyDescent="0.25">
      <c r="B33" s="9">
        <v>4.08</v>
      </c>
      <c r="C33" s="27" t="s">
        <v>35</v>
      </c>
      <c r="D33" s="23" t="s">
        <v>12</v>
      </c>
      <c r="E33" s="12">
        <v>35400</v>
      </c>
      <c r="F33" s="13">
        <v>40</v>
      </c>
      <c r="G33" s="62">
        <f t="shared" si="2"/>
        <v>1416000</v>
      </c>
    </row>
    <row r="34" spans="2:7" ht="49.5" x14ac:dyDescent="0.25">
      <c r="B34" s="9">
        <v>4.09</v>
      </c>
      <c r="C34" s="27" t="s">
        <v>36</v>
      </c>
      <c r="D34" s="28" t="s">
        <v>26</v>
      </c>
      <c r="E34" s="29">
        <v>1750000</v>
      </c>
      <c r="F34" s="13">
        <v>1</v>
      </c>
      <c r="G34" s="62">
        <f t="shared" si="2"/>
        <v>1750000</v>
      </c>
    </row>
    <row r="35" spans="2:7" ht="16.5" x14ac:dyDescent="0.25">
      <c r="B35" s="81">
        <v>4.0999999999999996</v>
      </c>
      <c r="C35" s="27" t="s">
        <v>37</v>
      </c>
      <c r="D35" s="23" t="s">
        <v>12</v>
      </c>
      <c r="E35" s="12">
        <v>84700</v>
      </c>
      <c r="F35" s="13">
        <v>15</v>
      </c>
      <c r="G35" s="62">
        <f t="shared" si="2"/>
        <v>1270500</v>
      </c>
    </row>
    <row r="36" spans="2:7" ht="16.5" x14ac:dyDescent="0.25">
      <c r="B36" s="9">
        <v>4.1100000000000003</v>
      </c>
      <c r="C36" s="27" t="s">
        <v>38</v>
      </c>
      <c r="D36" s="23" t="s">
        <v>26</v>
      </c>
      <c r="E36" s="12">
        <v>2615000</v>
      </c>
      <c r="F36" s="13">
        <v>2</v>
      </c>
      <c r="G36" s="62">
        <f t="shared" si="2"/>
        <v>5230000</v>
      </c>
    </row>
    <row r="37" spans="2:7" ht="16.5" x14ac:dyDescent="0.25">
      <c r="B37" s="9">
        <v>4.12</v>
      </c>
      <c r="C37" s="27" t="s">
        <v>39</v>
      </c>
      <c r="D37" s="23" t="s">
        <v>26</v>
      </c>
      <c r="E37" s="12">
        <v>557500</v>
      </c>
      <c r="F37" s="13">
        <v>2</v>
      </c>
      <c r="G37" s="62">
        <f t="shared" si="2"/>
        <v>1115000</v>
      </c>
    </row>
    <row r="38" spans="2:7" ht="28.5" x14ac:dyDescent="0.25">
      <c r="B38" s="9">
        <v>4.13</v>
      </c>
      <c r="C38" s="77" t="s">
        <v>59</v>
      </c>
      <c r="D38" s="78" t="s">
        <v>26</v>
      </c>
      <c r="E38" s="80">
        <v>1250000</v>
      </c>
      <c r="F38" s="79">
        <v>8</v>
      </c>
      <c r="G38" s="62">
        <f>+E38*F38</f>
        <v>10000000</v>
      </c>
    </row>
    <row r="39" spans="2:7" ht="15.75" x14ac:dyDescent="0.25">
      <c r="B39" s="17" t="s">
        <v>16</v>
      </c>
      <c r="C39" s="18"/>
      <c r="D39" s="18"/>
      <c r="E39" s="18"/>
      <c r="F39" s="19"/>
      <c r="G39" s="63">
        <f>SUM(G26:G38)</f>
        <v>34069800</v>
      </c>
    </row>
    <row r="40" spans="2:7" ht="15.75" x14ac:dyDescent="0.25">
      <c r="B40" s="4">
        <v>5</v>
      </c>
      <c r="C40" s="5" t="s">
        <v>40</v>
      </c>
      <c r="D40" s="6"/>
      <c r="E40" s="20"/>
      <c r="F40" s="8"/>
      <c r="G40" s="64"/>
    </row>
    <row r="41" spans="2:7" ht="30" x14ac:dyDescent="0.25">
      <c r="B41" s="9">
        <v>5.01</v>
      </c>
      <c r="C41" s="10" t="s">
        <v>58</v>
      </c>
      <c r="D41" s="23" t="s">
        <v>26</v>
      </c>
      <c r="E41" s="12">
        <f>12654567</f>
        <v>12654567</v>
      </c>
      <c r="F41" s="13">
        <v>2</v>
      </c>
      <c r="G41" s="62">
        <f>ROUND(F41*E41,2)</f>
        <v>25309134</v>
      </c>
    </row>
    <row r="42" spans="2:7" ht="75" x14ac:dyDescent="0.25">
      <c r="B42" s="9">
        <v>5.0199999999999996</v>
      </c>
      <c r="C42" s="10" t="s">
        <v>41</v>
      </c>
      <c r="D42" s="23" t="s">
        <v>9</v>
      </c>
      <c r="E42" s="12">
        <f>321437.4*1.05</f>
        <v>337509.27</v>
      </c>
      <c r="F42" s="13">
        <f>+((30*2)*2.5)+(18*2*4)</f>
        <v>294</v>
      </c>
      <c r="G42" s="62">
        <f t="shared" ref="G42:G49" si="3">ROUND(F42*E42,2)</f>
        <v>99227725.379999995</v>
      </c>
    </row>
    <row r="43" spans="2:7" ht="30" x14ac:dyDescent="0.25">
      <c r="B43" s="9">
        <v>5.03</v>
      </c>
      <c r="C43" s="10" t="s">
        <v>57</v>
      </c>
      <c r="D43" s="23" t="s">
        <v>9</v>
      </c>
      <c r="E43" s="12">
        <f>61981.25*1.05</f>
        <v>65080.3125</v>
      </c>
      <c r="F43" s="13">
        <f>F10</f>
        <v>550.22800000000007</v>
      </c>
      <c r="G43" s="62">
        <f t="shared" si="3"/>
        <v>35809010.189999998</v>
      </c>
    </row>
    <row r="44" spans="2:7" ht="30" x14ac:dyDescent="0.25">
      <c r="B44" s="9">
        <v>5.04</v>
      </c>
      <c r="C44" s="10" t="s">
        <v>42</v>
      </c>
      <c r="D44" s="23" t="s">
        <v>9</v>
      </c>
      <c r="E44" s="12">
        <f>121630.95*1.05</f>
        <v>127712.4975</v>
      </c>
      <c r="F44" s="13">
        <f>(30*2)+(19*2)*1</f>
        <v>98</v>
      </c>
      <c r="G44" s="62">
        <f t="shared" si="3"/>
        <v>12515824.76</v>
      </c>
    </row>
    <row r="45" spans="2:7" x14ac:dyDescent="0.25">
      <c r="B45" s="9">
        <v>5.05</v>
      </c>
      <c r="C45" s="10" t="s">
        <v>60</v>
      </c>
      <c r="D45" s="23" t="s">
        <v>26</v>
      </c>
      <c r="E45" s="12">
        <f>1029842.47*1.05</f>
        <v>1081334.5935</v>
      </c>
      <c r="F45" s="13">
        <v>3</v>
      </c>
      <c r="G45" s="62">
        <f t="shared" si="3"/>
        <v>3244003.78</v>
      </c>
    </row>
    <row r="46" spans="2:7" ht="30" x14ac:dyDescent="0.25">
      <c r="B46" s="9">
        <v>5.0599999999999996</v>
      </c>
      <c r="C46" s="10" t="s">
        <v>43</v>
      </c>
      <c r="D46" s="9" t="s">
        <v>26</v>
      </c>
      <c r="E46" s="12">
        <f>1175965.245*1.05</f>
        <v>1234763.5072500003</v>
      </c>
      <c r="F46" s="13">
        <v>12</v>
      </c>
      <c r="G46" s="62">
        <f t="shared" si="3"/>
        <v>14817162.09</v>
      </c>
    </row>
    <row r="47" spans="2:7" x14ac:dyDescent="0.25">
      <c r="B47" s="9">
        <v>5.07</v>
      </c>
      <c r="C47" s="16" t="s">
        <v>44</v>
      </c>
      <c r="D47" s="9" t="s">
        <v>26</v>
      </c>
      <c r="E47" s="24">
        <f>917639*1.05</f>
        <v>963520.95000000007</v>
      </c>
      <c r="F47" s="13">
        <v>2</v>
      </c>
      <c r="G47" s="62">
        <f t="shared" si="3"/>
        <v>1927041.9</v>
      </c>
    </row>
    <row r="48" spans="2:7" ht="30" x14ac:dyDescent="0.25">
      <c r="B48" s="9">
        <v>5.08</v>
      </c>
      <c r="C48" s="10" t="s">
        <v>45</v>
      </c>
      <c r="D48" s="9" t="s">
        <v>9</v>
      </c>
      <c r="E48" s="12">
        <f>72733.81*1.05</f>
        <v>76370.500499999995</v>
      </c>
      <c r="F48" s="25">
        <f>21*3</f>
        <v>63</v>
      </c>
      <c r="G48" s="62">
        <f t="shared" si="3"/>
        <v>4811341.53</v>
      </c>
    </row>
    <row r="49" spans="2:9" ht="30" x14ac:dyDescent="0.25">
      <c r="B49" s="9">
        <v>5.09</v>
      </c>
      <c r="C49" s="10" t="s">
        <v>76</v>
      </c>
      <c r="D49" s="30" t="s">
        <v>15</v>
      </c>
      <c r="E49" s="12">
        <v>1950000</v>
      </c>
      <c r="F49" s="13">
        <v>1</v>
      </c>
      <c r="G49" s="62">
        <f t="shared" si="3"/>
        <v>1950000</v>
      </c>
    </row>
    <row r="50" spans="2:9" ht="15.75" x14ac:dyDescent="0.25">
      <c r="B50" s="17" t="s">
        <v>16</v>
      </c>
      <c r="C50" s="18"/>
      <c r="D50" s="18"/>
      <c r="E50" s="18"/>
      <c r="F50" s="19"/>
      <c r="G50" s="63">
        <f>SUM(G41:G49)</f>
        <v>199611243.63</v>
      </c>
      <c r="I50" s="31"/>
    </row>
    <row r="51" spans="2:9" ht="15.75" x14ac:dyDescent="0.25">
      <c r="B51" s="32"/>
      <c r="C51" s="33"/>
      <c r="D51" s="34"/>
      <c r="E51" s="34"/>
      <c r="F51" s="35"/>
      <c r="G51" s="65"/>
      <c r="I51" s="31"/>
    </row>
    <row r="52" spans="2:9" ht="16.5" thickBot="1" x14ac:dyDescent="0.3">
      <c r="B52" s="36"/>
      <c r="C52" s="37"/>
      <c r="D52" s="37"/>
      <c r="E52" s="37"/>
      <c r="F52" s="38"/>
      <c r="G52" s="66"/>
      <c r="I52" s="31"/>
    </row>
    <row r="53" spans="2:9" ht="15.75" x14ac:dyDescent="0.25">
      <c r="B53" s="39"/>
      <c r="C53" s="40" t="s">
        <v>47</v>
      </c>
      <c r="D53" s="41"/>
      <c r="E53" s="42"/>
      <c r="F53" s="43"/>
      <c r="G53" s="67">
        <f>+ROUND(G13+G17+G24+G39+G50,2)</f>
        <v>347983681.31999999</v>
      </c>
      <c r="I53" s="31"/>
    </row>
    <row r="54" spans="2:9" ht="15.75" x14ac:dyDescent="0.25">
      <c r="B54" s="39"/>
      <c r="C54" s="44" t="s">
        <v>48</v>
      </c>
      <c r="D54" s="45"/>
      <c r="E54" s="46"/>
      <c r="F54" s="47">
        <f>SUM(F55:F57)</f>
        <v>0.3</v>
      </c>
      <c r="G54" s="68">
        <f>ROUND(SUM(G55:G57),2)</f>
        <v>104395104.40000001</v>
      </c>
      <c r="I54" s="31"/>
    </row>
    <row r="55" spans="2:9" ht="15.75" x14ac:dyDescent="0.25">
      <c r="B55" s="39"/>
      <c r="C55" s="48"/>
      <c r="D55" s="49"/>
      <c r="E55" s="59" t="s">
        <v>49</v>
      </c>
      <c r="F55" s="50">
        <v>0.24</v>
      </c>
      <c r="G55" s="69">
        <f>+ROUND($G$53*F55,2)</f>
        <v>83516083.519999996</v>
      </c>
    </row>
    <row r="56" spans="2:9" ht="15.75" x14ac:dyDescent="0.25">
      <c r="B56" s="39"/>
      <c r="C56" s="48"/>
      <c r="D56" s="49"/>
      <c r="E56" s="59" t="s">
        <v>50</v>
      </c>
      <c r="F56" s="50">
        <v>0.01</v>
      </c>
      <c r="G56" s="69">
        <f>+ROUND($G$53*F56,2)</f>
        <v>3479836.81</v>
      </c>
      <c r="I56" s="51"/>
    </row>
    <row r="57" spans="2:9" ht="15.75" x14ac:dyDescent="0.25">
      <c r="B57" s="39"/>
      <c r="C57" s="48"/>
      <c r="D57" s="49"/>
      <c r="E57" s="59" t="s">
        <v>51</v>
      </c>
      <c r="F57" s="50">
        <v>0.05</v>
      </c>
      <c r="G57" s="69">
        <f>+ROUND($G$53*F57,2)</f>
        <v>17399184.07</v>
      </c>
    </row>
    <row r="58" spans="2:9" ht="16.5" thickBot="1" x14ac:dyDescent="0.3">
      <c r="B58" s="39"/>
      <c r="C58" s="98" t="s">
        <v>52</v>
      </c>
      <c r="D58" s="99"/>
      <c r="E58" s="99"/>
      <c r="F58" s="99"/>
      <c r="G58" s="70">
        <f>+ROUND(G53+G54,2)</f>
        <v>452378785.72000003</v>
      </c>
      <c r="I58" s="31"/>
    </row>
    <row r="59" spans="2:9" ht="15.75" x14ac:dyDescent="0.25">
      <c r="B59" s="39"/>
      <c r="C59" s="52"/>
      <c r="D59" s="52"/>
      <c r="E59" s="52"/>
      <c r="F59" s="52"/>
      <c r="G59" s="71"/>
      <c r="I59" s="31"/>
    </row>
    <row r="61" spans="2:9" ht="15.75" x14ac:dyDescent="0.25">
      <c r="C61" s="52"/>
      <c r="D61" s="52"/>
      <c r="E61" s="52"/>
      <c r="F61" s="53"/>
      <c r="G61" s="72"/>
    </row>
    <row r="62" spans="2:9" ht="15.75" thickBot="1" x14ac:dyDescent="0.3">
      <c r="I62" s="14"/>
    </row>
    <row r="63" spans="2:9" ht="16.5" thickBot="1" x14ac:dyDescent="0.3">
      <c r="C63" s="91" t="s">
        <v>53</v>
      </c>
      <c r="D63" s="92"/>
      <c r="E63" s="92"/>
      <c r="F63" s="93"/>
      <c r="G63" s="73">
        <f>+ROUND(G58,2)</f>
        <v>452378785.72000003</v>
      </c>
      <c r="I63" s="54"/>
    </row>
    <row r="68" spans="5:8" x14ac:dyDescent="0.25">
      <c r="E68" s="55" t="s">
        <v>54</v>
      </c>
    </row>
    <row r="69" spans="5:8" x14ac:dyDescent="0.25">
      <c r="E69" t="s">
        <v>55</v>
      </c>
    </row>
    <row r="70" spans="5:8" x14ac:dyDescent="0.25">
      <c r="E70" t="s">
        <v>56</v>
      </c>
    </row>
    <row r="71" spans="5:8" x14ac:dyDescent="0.25">
      <c r="G71" s="74"/>
    </row>
    <row r="72" spans="5:8" x14ac:dyDescent="0.25">
      <c r="G72" s="74"/>
    </row>
    <row r="73" spans="5:8" x14ac:dyDescent="0.25">
      <c r="F73" s="57"/>
      <c r="G73" s="74"/>
    </row>
    <row r="74" spans="5:8" x14ac:dyDescent="0.25">
      <c r="F74" s="57"/>
      <c r="G74" s="74"/>
    </row>
    <row r="75" spans="5:8" x14ac:dyDescent="0.25">
      <c r="F75" s="57"/>
      <c r="G75" s="74"/>
    </row>
    <row r="76" spans="5:8" x14ac:dyDescent="0.25">
      <c r="G76" s="75"/>
    </row>
    <row r="77" spans="5:8" x14ac:dyDescent="0.25">
      <c r="G77" s="74"/>
    </row>
    <row r="78" spans="5:8" x14ac:dyDescent="0.25">
      <c r="H78" s="58"/>
    </row>
    <row r="80" spans="5:8" x14ac:dyDescent="0.25">
      <c r="G80" s="74"/>
      <c r="H80" s="56"/>
    </row>
    <row r="81" spans="7:8" x14ac:dyDescent="0.25">
      <c r="G81" s="74"/>
      <c r="H81" s="56"/>
    </row>
    <row r="84" spans="7:8" x14ac:dyDescent="0.25">
      <c r="G84" s="76"/>
    </row>
  </sheetData>
  <mergeCells count="4">
    <mergeCell ref="B4:G4"/>
    <mergeCell ref="B5:G5"/>
    <mergeCell ref="C58:F58"/>
    <mergeCell ref="C63:F63"/>
  </mergeCells>
  <pageMargins left="0.25" right="0.25" top="0.75" bottom="0.75" header="0.3" footer="0.3"/>
  <pageSetup scale="65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FC9EEF-401C-4A46-AC60-55175FF4317C}">
  <sheetPr>
    <tabColor rgb="FFFFFF00"/>
  </sheetPr>
  <dimension ref="B4:K67"/>
  <sheetViews>
    <sheetView topLeftCell="A34" workbookViewId="0">
      <selection activeCell="C52" sqref="C52"/>
    </sheetView>
  </sheetViews>
  <sheetFormatPr baseColWidth="10" defaultRowHeight="15" x14ac:dyDescent="0.25"/>
  <cols>
    <col min="1" max="1" width="6.85546875" customWidth="1"/>
    <col min="2" max="2" width="10.42578125" bestFit="1" customWidth="1"/>
    <col min="3" max="3" width="69.42578125" bestFit="1" customWidth="1"/>
    <col min="4" max="4" width="6.28515625" bestFit="1" customWidth="1"/>
    <col min="5" max="5" width="20.42578125" bestFit="1" customWidth="1"/>
    <col min="6" max="6" width="11.85546875" bestFit="1" customWidth="1"/>
    <col min="7" max="7" width="22" style="54" bestFit="1" customWidth="1"/>
    <col min="9" max="9" width="18.28515625" bestFit="1" customWidth="1"/>
    <col min="11" max="11" width="15.42578125" bestFit="1" customWidth="1"/>
  </cols>
  <sheetData>
    <row r="4" spans="2:11" ht="84.75" customHeight="1" x14ac:dyDescent="0.25">
      <c r="B4" s="94" t="s">
        <v>73</v>
      </c>
      <c r="C4" s="94"/>
      <c r="D4" s="94"/>
      <c r="E4" s="94"/>
      <c r="F4" s="94"/>
      <c r="G4" s="94"/>
    </row>
    <row r="5" spans="2:11" ht="15.75" x14ac:dyDescent="0.25">
      <c r="B5" s="100" t="s">
        <v>0</v>
      </c>
      <c r="C5" s="101"/>
      <c r="D5" s="101"/>
      <c r="E5" s="101"/>
      <c r="F5" s="101"/>
      <c r="G5" s="102"/>
    </row>
    <row r="7" spans="2:11" x14ac:dyDescent="0.25">
      <c r="B7" s="1" t="s">
        <v>1</v>
      </c>
      <c r="C7" s="1" t="s">
        <v>2</v>
      </c>
      <c r="D7" s="1" t="s">
        <v>3</v>
      </c>
      <c r="E7" s="2" t="s">
        <v>4</v>
      </c>
      <c r="F7" s="3" t="s">
        <v>5</v>
      </c>
      <c r="G7" s="60" t="s">
        <v>6</v>
      </c>
    </row>
    <row r="8" spans="2:11" ht="15.75" x14ac:dyDescent="0.25">
      <c r="B8" s="4">
        <v>1</v>
      </c>
      <c r="C8" s="5" t="s">
        <v>7</v>
      </c>
      <c r="D8" s="6"/>
      <c r="E8" s="7"/>
      <c r="F8" s="8"/>
      <c r="G8" s="61"/>
    </row>
    <row r="9" spans="2:11" x14ac:dyDescent="0.25">
      <c r="B9" s="9">
        <v>1.1000000000000001</v>
      </c>
      <c r="C9" s="10" t="s">
        <v>8</v>
      </c>
      <c r="D9" s="11" t="s">
        <v>9</v>
      </c>
      <c r="E9" s="12">
        <v>2613</v>
      </c>
      <c r="F9" s="13">
        <f>21*13</f>
        <v>273</v>
      </c>
      <c r="G9" s="62">
        <f>ROUND(F9*E9,2)</f>
        <v>713349</v>
      </c>
    </row>
    <row r="10" spans="2:11" x14ac:dyDescent="0.25">
      <c r="B10" s="9">
        <v>1.2</v>
      </c>
      <c r="C10" s="10" t="s">
        <v>63</v>
      </c>
      <c r="D10" s="11" t="s">
        <v>9</v>
      </c>
      <c r="E10" s="12">
        <v>2000</v>
      </c>
      <c r="F10" s="13">
        <f>21*13</f>
        <v>273</v>
      </c>
      <c r="G10" s="62">
        <f>ROUND(F10*E10,2)</f>
        <v>546000</v>
      </c>
      <c r="K10" s="14"/>
    </row>
    <row r="11" spans="2:11" x14ac:dyDescent="0.25">
      <c r="B11" s="9">
        <v>1.3</v>
      </c>
      <c r="C11" s="16" t="s">
        <v>64</v>
      </c>
      <c r="D11" s="15" t="s">
        <v>46</v>
      </c>
      <c r="E11" s="12">
        <v>400000</v>
      </c>
      <c r="F11" s="13">
        <v>1</v>
      </c>
      <c r="G11" s="62">
        <f t="shared" ref="G11:G12" si="0">ROUND(F11*E11,2)</f>
        <v>400000</v>
      </c>
    </row>
    <row r="12" spans="2:11" x14ac:dyDescent="0.25">
      <c r="B12" s="9">
        <v>1.4</v>
      </c>
      <c r="C12" s="82" t="s">
        <v>11</v>
      </c>
      <c r="D12" s="83" t="s">
        <v>12</v>
      </c>
      <c r="E12" s="12">
        <v>12000</v>
      </c>
      <c r="F12" s="13">
        <v>68</v>
      </c>
      <c r="G12" s="62">
        <f t="shared" si="0"/>
        <v>816000</v>
      </c>
    </row>
    <row r="13" spans="2:11" ht="15.75" x14ac:dyDescent="0.25">
      <c r="B13" s="17" t="s">
        <v>16</v>
      </c>
      <c r="C13" s="18"/>
      <c r="D13" s="18"/>
      <c r="E13" s="18"/>
      <c r="F13" s="19"/>
      <c r="G13" s="63">
        <f>SUM(G9:G12)</f>
        <v>2475349</v>
      </c>
    </row>
    <row r="14" spans="2:11" ht="15.75" x14ac:dyDescent="0.25">
      <c r="B14" s="4">
        <v>3</v>
      </c>
      <c r="C14" s="5" t="s">
        <v>21</v>
      </c>
      <c r="D14" s="6"/>
      <c r="E14" s="20"/>
      <c r="F14" s="8"/>
      <c r="G14" s="64"/>
    </row>
    <row r="15" spans="2:11" ht="30" x14ac:dyDescent="0.25">
      <c r="B15" s="9">
        <v>3.1</v>
      </c>
      <c r="C15" s="10" t="s">
        <v>61</v>
      </c>
      <c r="D15" s="23" t="s">
        <v>19</v>
      </c>
      <c r="E15" s="12">
        <v>914500</v>
      </c>
      <c r="F15" s="13">
        <f>+F9*0.05</f>
        <v>13.65</v>
      </c>
      <c r="G15" s="62">
        <f>ROUND(F15*E15,2)</f>
        <v>12482925</v>
      </c>
      <c r="K15" s="14">
        <f>I15*J15</f>
        <v>0</v>
      </c>
    </row>
    <row r="16" spans="2:11" x14ac:dyDescent="0.25">
      <c r="B16" s="9">
        <v>3.2</v>
      </c>
      <c r="C16" s="10" t="s">
        <v>24</v>
      </c>
      <c r="D16" s="9" t="s">
        <v>12</v>
      </c>
      <c r="E16" s="12">
        <v>13300</v>
      </c>
      <c r="F16" s="13">
        <f>+((11)-2)*13+((7)-2)*21</f>
        <v>222</v>
      </c>
      <c r="G16" s="62">
        <f t="shared" ref="G16:G18" si="1">ROUND(F16*E16,2)</f>
        <v>2952600</v>
      </c>
    </row>
    <row r="17" spans="2:9" x14ac:dyDescent="0.25">
      <c r="B17" s="9">
        <v>3.3</v>
      </c>
      <c r="C17" s="10" t="s">
        <v>25</v>
      </c>
      <c r="D17" s="9" t="s">
        <v>12</v>
      </c>
      <c r="E17" s="12">
        <v>8862</v>
      </c>
      <c r="F17" s="13">
        <f>+F16</f>
        <v>222</v>
      </c>
      <c r="G17" s="62">
        <f t="shared" si="1"/>
        <v>1967364</v>
      </c>
    </row>
    <row r="18" spans="2:9" x14ac:dyDescent="0.25">
      <c r="B18" s="9">
        <v>3.4</v>
      </c>
      <c r="C18" s="10" t="s">
        <v>67</v>
      </c>
      <c r="D18" s="23" t="s">
        <v>9</v>
      </c>
      <c r="E18" s="84">
        <v>18000</v>
      </c>
      <c r="F18" s="13">
        <f>+(((21+13)*2)*0.8)*2</f>
        <v>108.80000000000001</v>
      </c>
      <c r="G18" s="62">
        <f t="shared" si="1"/>
        <v>1958400</v>
      </c>
      <c r="I18" s="14"/>
    </row>
    <row r="19" spans="2:9" ht="15.75" x14ac:dyDescent="0.25">
      <c r="B19" s="17" t="s">
        <v>16</v>
      </c>
      <c r="C19" s="18"/>
      <c r="D19" s="18"/>
      <c r="E19" s="18"/>
      <c r="F19" s="19"/>
      <c r="G19" s="63">
        <f>SUM(G15:G18)</f>
        <v>19361289</v>
      </c>
    </row>
    <row r="20" spans="2:9" ht="15.75" x14ac:dyDescent="0.25">
      <c r="B20" s="4">
        <v>4</v>
      </c>
      <c r="C20" s="26" t="s">
        <v>27</v>
      </c>
      <c r="D20" s="23"/>
      <c r="E20" s="12"/>
      <c r="F20" s="13"/>
      <c r="G20" s="62"/>
    </row>
    <row r="21" spans="2:9" ht="28.5" x14ac:dyDescent="0.25">
      <c r="B21" s="9">
        <v>4.13</v>
      </c>
      <c r="C21" s="77" t="s">
        <v>65</v>
      </c>
      <c r="D21" s="78" t="s">
        <v>26</v>
      </c>
      <c r="E21" s="80">
        <v>1450000</v>
      </c>
      <c r="F21" s="79">
        <v>2</v>
      </c>
      <c r="G21" s="62">
        <f>+E21*F21</f>
        <v>2900000</v>
      </c>
    </row>
    <row r="22" spans="2:9" ht="15.75" x14ac:dyDescent="0.25">
      <c r="B22" s="17" t="s">
        <v>16</v>
      </c>
      <c r="C22" s="18"/>
      <c r="D22" s="18"/>
      <c r="E22" s="18"/>
      <c r="F22" s="19"/>
      <c r="G22" s="63">
        <f>SUM(G21:G21)</f>
        <v>2900000</v>
      </c>
    </row>
    <row r="23" spans="2:9" ht="15.75" x14ac:dyDescent="0.25">
      <c r="B23" s="4">
        <v>5</v>
      </c>
      <c r="C23" s="5" t="s">
        <v>40</v>
      </c>
      <c r="D23" s="6"/>
      <c r="E23" s="20"/>
      <c r="F23" s="8"/>
      <c r="G23" s="64"/>
    </row>
    <row r="24" spans="2:9" ht="30" x14ac:dyDescent="0.25">
      <c r="B24" s="9">
        <v>5.01</v>
      </c>
      <c r="C24" s="10" t="s">
        <v>66</v>
      </c>
      <c r="D24" s="23" t="s">
        <v>46</v>
      </c>
      <c r="E24" s="12">
        <v>5000000</v>
      </c>
      <c r="F24" s="13">
        <v>1</v>
      </c>
      <c r="G24" s="62">
        <f>ROUND(F24*E24,2)</f>
        <v>5000000</v>
      </c>
    </row>
    <row r="25" spans="2:9" ht="45" x14ac:dyDescent="0.25">
      <c r="B25" s="9">
        <v>5.0199999999999996</v>
      </c>
      <c r="C25" s="10" t="s">
        <v>75</v>
      </c>
      <c r="D25" s="23" t="s">
        <v>9</v>
      </c>
      <c r="E25" s="12">
        <v>115000</v>
      </c>
      <c r="F25" s="13">
        <f>+((21+13)*2)*2</f>
        <v>136</v>
      </c>
      <c r="G25" s="62">
        <f t="shared" ref="G25:G32" si="2">ROUND(F25*E25,2)</f>
        <v>15640000</v>
      </c>
    </row>
    <row r="26" spans="2:9" x14ac:dyDescent="0.25">
      <c r="B26" s="9">
        <v>5.03</v>
      </c>
      <c r="C26" s="10" t="s">
        <v>68</v>
      </c>
      <c r="D26" s="23" t="s">
        <v>46</v>
      </c>
      <c r="E26" s="12">
        <v>5000000</v>
      </c>
      <c r="F26" s="13">
        <v>1</v>
      </c>
      <c r="G26" s="62">
        <f t="shared" si="2"/>
        <v>5000000</v>
      </c>
    </row>
    <row r="27" spans="2:9" x14ac:dyDescent="0.25">
      <c r="B27" s="9">
        <v>5.04</v>
      </c>
      <c r="C27" s="10" t="s">
        <v>71</v>
      </c>
      <c r="D27" s="23" t="s">
        <v>46</v>
      </c>
      <c r="E27" s="12">
        <v>2000000</v>
      </c>
      <c r="F27" s="13">
        <v>1</v>
      </c>
      <c r="G27" s="62">
        <f t="shared" si="2"/>
        <v>2000000</v>
      </c>
    </row>
    <row r="28" spans="2:9" ht="30" x14ac:dyDescent="0.25">
      <c r="B28" s="9">
        <v>5.04</v>
      </c>
      <c r="C28" s="10" t="s">
        <v>69</v>
      </c>
      <c r="D28" s="23" t="s">
        <v>26</v>
      </c>
      <c r="E28" s="12">
        <f>1029842.47*1.05</f>
        <v>1081334.5935</v>
      </c>
      <c r="F28" s="13">
        <v>3</v>
      </c>
      <c r="G28" s="62">
        <f t="shared" si="2"/>
        <v>3244003.78</v>
      </c>
    </row>
    <row r="29" spans="2:9" x14ac:dyDescent="0.25">
      <c r="B29" s="9">
        <v>5.0599999999999996</v>
      </c>
      <c r="C29" s="16" t="s">
        <v>44</v>
      </c>
      <c r="D29" s="9" t="s">
        <v>26</v>
      </c>
      <c r="E29" s="24">
        <f>917639*1.05</f>
        <v>963520.95000000007</v>
      </c>
      <c r="F29" s="13">
        <v>1</v>
      </c>
      <c r="G29" s="62">
        <f t="shared" si="2"/>
        <v>963520.95</v>
      </c>
    </row>
    <row r="30" spans="2:9" ht="28.5" x14ac:dyDescent="0.25">
      <c r="B30" s="9">
        <v>5.07</v>
      </c>
      <c r="C30" s="85" t="s">
        <v>70</v>
      </c>
      <c r="D30" s="86" t="s">
        <v>9</v>
      </c>
      <c r="E30" s="80">
        <v>65000</v>
      </c>
      <c r="F30" s="79">
        <v>273</v>
      </c>
      <c r="G30" s="62">
        <f t="shared" si="2"/>
        <v>17745000</v>
      </c>
    </row>
    <row r="31" spans="2:9" ht="28.5" x14ac:dyDescent="0.25">
      <c r="B31" s="9">
        <v>5.08</v>
      </c>
      <c r="C31" s="85" t="s">
        <v>77</v>
      </c>
      <c r="D31" s="86" t="s">
        <v>9</v>
      </c>
      <c r="E31" s="80">
        <v>32000</v>
      </c>
      <c r="F31" s="87">
        <f>+F18</f>
        <v>108.80000000000001</v>
      </c>
      <c r="G31" s="62">
        <f t="shared" si="2"/>
        <v>3481600</v>
      </c>
    </row>
    <row r="32" spans="2:9" x14ac:dyDescent="0.25">
      <c r="B32" s="9">
        <v>5.09</v>
      </c>
      <c r="C32" s="10" t="s">
        <v>72</v>
      </c>
      <c r="D32" s="9" t="s">
        <v>46</v>
      </c>
      <c r="E32" s="12">
        <v>4000000</v>
      </c>
      <c r="F32" s="25">
        <v>1</v>
      </c>
      <c r="G32" s="62">
        <f t="shared" si="2"/>
        <v>4000000</v>
      </c>
    </row>
    <row r="33" spans="2:9" ht="15.75" x14ac:dyDescent="0.25">
      <c r="B33" s="17" t="s">
        <v>16</v>
      </c>
      <c r="C33" s="18"/>
      <c r="D33" s="18"/>
      <c r="E33" s="18"/>
      <c r="F33" s="19"/>
      <c r="G33" s="63">
        <f>SUM(G24:G32)</f>
        <v>57074124.730000004</v>
      </c>
      <c r="I33" s="31"/>
    </row>
    <row r="34" spans="2:9" ht="15.75" x14ac:dyDescent="0.25">
      <c r="B34" s="32"/>
      <c r="C34" s="33"/>
      <c r="D34" s="34"/>
      <c r="E34" s="34"/>
      <c r="F34" s="35"/>
      <c r="G34" s="65"/>
      <c r="I34" s="31"/>
    </row>
    <row r="35" spans="2:9" ht="16.5" thickBot="1" x14ac:dyDescent="0.3">
      <c r="B35" s="36"/>
      <c r="C35" s="37"/>
      <c r="D35" s="37"/>
      <c r="E35" s="37"/>
      <c r="F35" s="38"/>
      <c r="G35" s="66"/>
      <c r="I35" s="31"/>
    </row>
    <row r="36" spans="2:9" ht="15.75" x14ac:dyDescent="0.25">
      <c r="B36" s="39"/>
      <c r="C36" s="40" t="s">
        <v>47</v>
      </c>
      <c r="D36" s="41"/>
      <c r="E36" s="42"/>
      <c r="F36" s="43"/>
      <c r="G36" s="67">
        <f>+ROUND(G13+G19+G22+G33,2)</f>
        <v>81810762.730000004</v>
      </c>
      <c r="I36" s="31"/>
    </row>
    <row r="37" spans="2:9" ht="15.75" x14ac:dyDescent="0.25">
      <c r="B37" s="39"/>
      <c r="C37" s="44" t="s">
        <v>48</v>
      </c>
      <c r="D37" s="45"/>
      <c r="E37" s="46"/>
      <c r="F37" s="47">
        <f>SUM(F38:F40)</f>
        <v>0.3</v>
      </c>
      <c r="G37" s="68">
        <f>ROUND(SUM(G38:G40),2)</f>
        <v>24543228.829999998</v>
      </c>
      <c r="I37" s="31"/>
    </row>
    <row r="38" spans="2:9" ht="15.75" x14ac:dyDescent="0.25">
      <c r="B38" s="39"/>
      <c r="C38" s="48"/>
      <c r="D38" s="49"/>
      <c r="E38" s="59" t="s">
        <v>49</v>
      </c>
      <c r="F38" s="50">
        <v>0.24</v>
      </c>
      <c r="G38" s="69">
        <f>+ROUND($G$36*F38,2)</f>
        <v>19634583.059999999</v>
      </c>
    </row>
    <row r="39" spans="2:9" ht="15.75" x14ac:dyDescent="0.25">
      <c r="B39" s="39"/>
      <c r="C39" s="48"/>
      <c r="D39" s="49"/>
      <c r="E39" s="59" t="s">
        <v>50</v>
      </c>
      <c r="F39" s="50">
        <v>0.01</v>
      </c>
      <c r="G39" s="69">
        <f>+ROUND($G$36*F39,2)</f>
        <v>818107.63</v>
      </c>
      <c r="I39" s="51"/>
    </row>
    <row r="40" spans="2:9" ht="15.75" x14ac:dyDescent="0.25">
      <c r="B40" s="39"/>
      <c r="C40" s="48"/>
      <c r="D40" s="49"/>
      <c r="E40" s="59" t="s">
        <v>51</v>
      </c>
      <c r="F40" s="50">
        <v>0.05</v>
      </c>
      <c r="G40" s="69">
        <f>+ROUND($G$36*F40,2)</f>
        <v>4090538.14</v>
      </c>
    </row>
    <row r="41" spans="2:9" ht="16.5" thickBot="1" x14ac:dyDescent="0.3">
      <c r="B41" s="39"/>
      <c r="C41" s="98" t="s">
        <v>52</v>
      </c>
      <c r="D41" s="99"/>
      <c r="E41" s="99"/>
      <c r="F41" s="99"/>
      <c r="G41" s="70">
        <f>+ROUND(G36+G37,2)</f>
        <v>106353991.56</v>
      </c>
      <c r="I41" s="31"/>
    </row>
    <row r="42" spans="2:9" ht="15.75" x14ac:dyDescent="0.25">
      <c r="B42" s="39"/>
      <c r="C42" s="52"/>
      <c r="D42" s="52"/>
      <c r="E42" s="52"/>
      <c r="F42" s="52"/>
      <c r="G42" s="71"/>
      <c r="I42" s="31"/>
    </row>
    <row r="44" spans="2:9" ht="15.75" x14ac:dyDescent="0.25">
      <c r="C44" s="52"/>
      <c r="D44" s="52"/>
      <c r="E44" s="52"/>
      <c r="F44" s="53"/>
      <c r="G44" s="72"/>
    </row>
    <row r="45" spans="2:9" ht="15.75" thickBot="1" x14ac:dyDescent="0.3">
      <c r="I45" s="14"/>
    </row>
    <row r="46" spans="2:9" ht="16.5" thickBot="1" x14ac:dyDescent="0.3">
      <c r="C46" s="91" t="s">
        <v>53</v>
      </c>
      <c r="D46" s="92"/>
      <c r="E46" s="92"/>
      <c r="F46" s="93"/>
      <c r="G46" s="73">
        <f>+ROUND(G41,2)</f>
        <v>106353991.56</v>
      </c>
      <c r="I46" s="54"/>
    </row>
    <row r="51" spans="5:8" x14ac:dyDescent="0.25">
      <c r="E51" s="55" t="s">
        <v>54</v>
      </c>
    </row>
    <row r="52" spans="5:8" x14ac:dyDescent="0.25">
      <c r="E52" t="s">
        <v>55</v>
      </c>
    </row>
    <row r="53" spans="5:8" x14ac:dyDescent="0.25">
      <c r="E53" t="s">
        <v>56</v>
      </c>
    </row>
    <row r="54" spans="5:8" x14ac:dyDescent="0.25">
      <c r="G54" s="74"/>
    </row>
    <row r="55" spans="5:8" x14ac:dyDescent="0.25">
      <c r="G55" s="74"/>
    </row>
    <row r="56" spans="5:8" x14ac:dyDescent="0.25">
      <c r="F56" s="57"/>
      <c r="G56" s="74"/>
    </row>
    <row r="57" spans="5:8" x14ac:dyDescent="0.25">
      <c r="F57" s="57"/>
      <c r="G57" s="74"/>
    </row>
    <row r="58" spans="5:8" x14ac:dyDescent="0.25">
      <c r="F58" s="57"/>
      <c r="G58" s="74"/>
    </row>
    <row r="59" spans="5:8" x14ac:dyDescent="0.25">
      <c r="G59" s="75"/>
    </row>
    <row r="60" spans="5:8" x14ac:dyDescent="0.25">
      <c r="G60" s="74"/>
    </row>
    <row r="61" spans="5:8" x14ac:dyDescent="0.25">
      <c r="H61" s="58"/>
    </row>
    <row r="63" spans="5:8" x14ac:dyDescent="0.25">
      <c r="G63" s="74"/>
      <c r="H63" s="56"/>
    </row>
    <row r="64" spans="5:8" x14ac:dyDescent="0.25">
      <c r="G64" s="74"/>
      <c r="H64" s="56"/>
    </row>
    <row r="67" spans="7:7" x14ac:dyDescent="0.25">
      <c r="G67" s="76"/>
    </row>
  </sheetData>
  <mergeCells count="4">
    <mergeCell ref="B4:G4"/>
    <mergeCell ref="B5:G5"/>
    <mergeCell ref="C41:F41"/>
    <mergeCell ref="C46:F46"/>
  </mergeCells>
  <pageMargins left="0.25" right="0.25" top="0.75" bottom="0.75" header="0.3" footer="0.3"/>
  <pageSetup scale="65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3B6ACB-DACF-4B9C-87DD-A469429EDB10}">
  <sheetPr>
    <tabColor rgb="FFFFFF00"/>
  </sheetPr>
  <dimension ref="B4:K75"/>
  <sheetViews>
    <sheetView tabSelected="1" topLeftCell="A36" workbookViewId="0">
      <selection activeCell="E41" sqref="E41"/>
    </sheetView>
  </sheetViews>
  <sheetFormatPr baseColWidth="10" defaultRowHeight="15" x14ac:dyDescent="0.25"/>
  <cols>
    <col min="1" max="1" width="6.85546875" customWidth="1"/>
    <col min="2" max="2" width="10.42578125" bestFit="1" customWidth="1"/>
    <col min="3" max="3" width="69.42578125" bestFit="1" customWidth="1"/>
    <col min="4" max="4" width="6.28515625" bestFit="1" customWidth="1"/>
    <col min="5" max="5" width="20.42578125" bestFit="1" customWidth="1"/>
    <col min="6" max="6" width="11.85546875" bestFit="1" customWidth="1"/>
    <col min="7" max="7" width="22" style="54" bestFit="1" customWidth="1"/>
    <col min="9" max="9" width="18.28515625" bestFit="1" customWidth="1"/>
    <col min="11" max="11" width="15.42578125" bestFit="1" customWidth="1"/>
  </cols>
  <sheetData>
    <row r="4" spans="2:11" ht="84.75" customHeight="1" x14ac:dyDescent="0.25">
      <c r="B4" s="94" t="s">
        <v>73</v>
      </c>
      <c r="C4" s="94"/>
      <c r="D4" s="94"/>
      <c r="E4" s="94"/>
      <c r="F4" s="94"/>
      <c r="G4" s="94"/>
    </row>
    <row r="5" spans="2:11" ht="15.75" x14ac:dyDescent="0.25">
      <c r="B5" s="100" t="s">
        <v>0</v>
      </c>
      <c r="C5" s="101"/>
      <c r="D5" s="101"/>
      <c r="E5" s="101"/>
      <c r="F5" s="101"/>
      <c r="G5" s="102"/>
    </row>
    <row r="7" spans="2:11" x14ac:dyDescent="0.25">
      <c r="B7" s="1" t="s">
        <v>1</v>
      </c>
      <c r="C7" s="1" t="s">
        <v>2</v>
      </c>
      <c r="D7" s="1" t="s">
        <v>3</v>
      </c>
      <c r="E7" s="2" t="s">
        <v>4</v>
      </c>
      <c r="F7" s="3" t="s">
        <v>5</v>
      </c>
      <c r="G7" s="60" t="s">
        <v>6</v>
      </c>
    </row>
    <row r="8" spans="2:11" ht="15.75" x14ac:dyDescent="0.25">
      <c r="B8" s="4">
        <v>1</v>
      </c>
      <c r="C8" s="5" t="s">
        <v>7</v>
      </c>
      <c r="D8" s="6"/>
      <c r="E8" s="7"/>
      <c r="F8" s="8"/>
      <c r="G8" s="61"/>
    </row>
    <row r="9" spans="2:11" x14ac:dyDescent="0.25">
      <c r="B9" s="9">
        <v>1.1000000000000001</v>
      </c>
      <c r="C9" s="10" t="s">
        <v>8</v>
      </c>
      <c r="D9" s="11" t="s">
        <v>9</v>
      </c>
      <c r="E9" s="12">
        <v>2613</v>
      </c>
      <c r="F9" s="13">
        <f>30*23</f>
        <v>690</v>
      </c>
      <c r="G9" s="62">
        <f>ROUND(F9*E9,2)</f>
        <v>1802970</v>
      </c>
    </row>
    <row r="10" spans="2:11" x14ac:dyDescent="0.25">
      <c r="B10" s="9">
        <v>1.2</v>
      </c>
      <c r="C10" s="10" t="s">
        <v>10</v>
      </c>
      <c r="D10" s="11" t="s">
        <v>9</v>
      </c>
      <c r="E10" s="12">
        <v>28707</v>
      </c>
      <c r="F10" s="13">
        <f>+F9*20%</f>
        <v>138</v>
      </c>
      <c r="G10" s="62">
        <f t="shared" ref="G10:G13" si="0">ROUND(F10*E10,2)</f>
        <v>3961566</v>
      </c>
      <c r="K10" s="14"/>
    </row>
    <row r="11" spans="2:11" x14ac:dyDescent="0.25">
      <c r="B11" s="9">
        <v>1.3</v>
      </c>
      <c r="C11" s="10" t="s">
        <v>13</v>
      </c>
      <c r="D11" s="15" t="s">
        <v>12</v>
      </c>
      <c r="E11" s="12">
        <v>22000</v>
      </c>
      <c r="F11" s="13">
        <f>+(30+23)*2</f>
        <v>106</v>
      </c>
      <c r="G11" s="62">
        <f t="shared" si="0"/>
        <v>2332000</v>
      </c>
    </row>
    <row r="12" spans="2:11" x14ac:dyDescent="0.25">
      <c r="B12" s="9">
        <v>1.4</v>
      </c>
      <c r="C12" s="16" t="s">
        <v>14</v>
      </c>
      <c r="D12" s="15" t="s">
        <v>15</v>
      </c>
      <c r="E12" s="12">
        <v>171000</v>
      </c>
      <c r="F12" s="13">
        <v>2</v>
      </c>
      <c r="G12" s="62">
        <f t="shared" si="0"/>
        <v>342000</v>
      </c>
    </row>
    <row r="13" spans="2:11" x14ac:dyDescent="0.25">
      <c r="B13" s="9">
        <v>1.4</v>
      </c>
      <c r="C13" s="82" t="s">
        <v>11</v>
      </c>
      <c r="D13" s="83" t="s">
        <v>12</v>
      </c>
      <c r="E13" s="12">
        <v>18000</v>
      </c>
      <c r="F13" s="13">
        <v>106</v>
      </c>
      <c r="G13" s="62">
        <f t="shared" si="0"/>
        <v>1908000</v>
      </c>
    </row>
    <row r="14" spans="2:11" ht="15.75" x14ac:dyDescent="0.25">
      <c r="B14" s="17" t="s">
        <v>16</v>
      </c>
      <c r="C14" s="18"/>
      <c r="D14" s="18"/>
      <c r="E14" s="18"/>
      <c r="F14" s="19"/>
      <c r="G14" s="63">
        <f>SUM(G9:G13)</f>
        <v>10346536</v>
      </c>
    </row>
    <row r="15" spans="2:11" ht="15.75" x14ac:dyDescent="0.25">
      <c r="B15" s="4">
        <v>2</v>
      </c>
      <c r="C15" s="5" t="s">
        <v>17</v>
      </c>
      <c r="D15" s="6"/>
      <c r="E15" s="20"/>
      <c r="F15" s="8"/>
      <c r="G15" s="64"/>
    </row>
    <row r="16" spans="2:11" x14ac:dyDescent="0.25">
      <c r="B16" s="9">
        <v>2.1</v>
      </c>
      <c r="C16" s="10" t="s">
        <v>18</v>
      </c>
      <c r="D16" s="21" t="s">
        <v>19</v>
      </c>
      <c r="E16" s="12">
        <v>28223</v>
      </c>
      <c r="F16" s="13">
        <f>(30*4.1*0.15)</f>
        <v>18.449999999999996</v>
      </c>
      <c r="G16" s="62">
        <f>ROUND(F16*E16,2)</f>
        <v>520714.35</v>
      </c>
    </row>
    <row r="17" spans="2:11" x14ac:dyDescent="0.25">
      <c r="B17" s="9">
        <v>2.2999999999999998</v>
      </c>
      <c r="C17" s="10" t="s">
        <v>20</v>
      </c>
      <c r="D17" s="22" t="s">
        <v>19</v>
      </c>
      <c r="E17" s="12">
        <v>98000</v>
      </c>
      <c r="F17" s="13">
        <f>+F16</f>
        <v>18.449999999999996</v>
      </c>
      <c r="G17" s="62">
        <f>ROUND(F17*E17,2)</f>
        <v>1808100</v>
      </c>
    </row>
    <row r="18" spans="2:11" ht="15.75" x14ac:dyDescent="0.25">
      <c r="B18" s="17" t="s">
        <v>16</v>
      </c>
      <c r="C18" s="18"/>
      <c r="D18" s="18"/>
      <c r="E18" s="18"/>
      <c r="F18" s="19"/>
      <c r="G18" s="63">
        <f>SUM(G16:G17)</f>
        <v>2328814.35</v>
      </c>
    </row>
    <row r="19" spans="2:11" ht="15.75" x14ac:dyDescent="0.25">
      <c r="B19" s="4">
        <v>3</v>
      </c>
      <c r="C19" s="5" t="s">
        <v>21</v>
      </c>
      <c r="D19" s="6"/>
      <c r="E19" s="20"/>
      <c r="F19" s="8"/>
      <c r="G19" s="64"/>
    </row>
    <row r="20" spans="2:11" x14ac:dyDescent="0.25">
      <c r="B20" s="9">
        <v>3.1</v>
      </c>
      <c r="C20" s="10" t="s">
        <v>22</v>
      </c>
      <c r="D20" s="23" t="s">
        <v>19</v>
      </c>
      <c r="E20" s="12">
        <v>914500</v>
      </c>
      <c r="F20" s="13">
        <f>+F10*0.1</f>
        <v>13.8</v>
      </c>
      <c r="G20" s="62">
        <f>ROUND(F20*E20,2)</f>
        <v>12620100</v>
      </c>
      <c r="K20" s="14">
        <f>I20*J20</f>
        <v>0</v>
      </c>
    </row>
    <row r="21" spans="2:11" x14ac:dyDescent="0.25">
      <c r="B21" s="9">
        <v>3.2</v>
      </c>
      <c r="C21" s="10" t="s">
        <v>23</v>
      </c>
      <c r="D21" s="23" t="s">
        <v>9</v>
      </c>
      <c r="E21" s="12">
        <v>23790</v>
      </c>
      <c r="F21" s="13">
        <f>+F10</f>
        <v>138</v>
      </c>
      <c r="G21" s="62">
        <f t="shared" ref="G21:G24" si="1">ROUND(F21*E21,2)</f>
        <v>3283020</v>
      </c>
      <c r="K21" s="14"/>
    </row>
    <row r="22" spans="2:11" x14ac:dyDescent="0.25">
      <c r="B22" s="9">
        <v>3.3</v>
      </c>
      <c r="C22" s="10" t="s">
        <v>24</v>
      </c>
      <c r="D22" s="9" t="s">
        <v>12</v>
      </c>
      <c r="E22" s="12">
        <v>13300</v>
      </c>
      <c r="F22" s="13">
        <v>180</v>
      </c>
      <c r="G22" s="62">
        <f t="shared" si="1"/>
        <v>2394000</v>
      </c>
    </row>
    <row r="23" spans="2:11" x14ac:dyDescent="0.25">
      <c r="B23" s="9">
        <v>3.4</v>
      </c>
      <c r="C23" s="10" t="s">
        <v>25</v>
      </c>
      <c r="D23" s="9" t="s">
        <v>12</v>
      </c>
      <c r="E23" s="12">
        <v>8862</v>
      </c>
      <c r="F23" s="13">
        <f>+F22</f>
        <v>180</v>
      </c>
      <c r="G23" s="62">
        <f t="shared" si="1"/>
        <v>1595160</v>
      </c>
    </row>
    <row r="24" spans="2:11" x14ac:dyDescent="0.25">
      <c r="B24" s="9">
        <v>3.5</v>
      </c>
      <c r="C24" s="10" t="s">
        <v>67</v>
      </c>
      <c r="D24" s="23" t="s">
        <v>9</v>
      </c>
      <c r="E24" s="84">
        <v>18000</v>
      </c>
      <c r="F24" s="13">
        <f>+((30+23)*2)*1.2</f>
        <v>127.19999999999999</v>
      </c>
      <c r="G24" s="62">
        <f t="shared" si="1"/>
        <v>2289600</v>
      </c>
    </row>
    <row r="25" spans="2:11" ht="15.75" x14ac:dyDescent="0.25">
      <c r="B25" s="17" t="s">
        <v>16</v>
      </c>
      <c r="C25" s="18"/>
      <c r="D25" s="18"/>
      <c r="E25" s="18"/>
      <c r="F25" s="19"/>
      <c r="G25" s="63">
        <f>SUM(G20:G24)</f>
        <v>22181880</v>
      </c>
    </row>
    <row r="26" spans="2:11" ht="15.75" x14ac:dyDescent="0.25">
      <c r="B26" s="4">
        <v>4</v>
      </c>
      <c r="C26" s="26" t="s">
        <v>27</v>
      </c>
      <c r="D26" s="23"/>
      <c r="E26" s="12"/>
      <c r="F26" s="13"/>
      <c r="G26" s="62"/>
    </row>
    <row r="27" spans="2:11" ht="28.5" x14ac:dyDescent="0.25">
      <c r="B27" s="9">
        <v>4.13</v>
      </c>
      <c r="C27" s="77" t="s">
        <v>65</v>
      </c>
      <c r="D27" s="78" t="s">
        <v>26</v>
      </c>
      <c r="E27" s="80">
        <v>1450000</v>
      </c>
      <c r="F27" s="79">
        <v>4</v>
      </c>
      <c r="G27" s="62">
        <f>+E27*F27</f>
        <v>5800000</v>
      </c>
    </row>
    <row r="28" spans="2:11" ht="15.75" x14ac:dyDescent="0.25">
      <c r="B28" s="17" t="s">
        <v>16</v>
      </c>
      <c r="C28" s="18"/>
      <c r="D28" s="18"/>
      <c r="E28" s="18"/>
      <c r="F28" s="19"/>
      <c r="G28" s="63">
        <f>SUM(G27:G27)</f>
        <v>5800000</v>
      </c>
    </row>
    <row r="29" spans="2:11" ht="15.75" x14ac:dyDescent="0.25">
      <c r="B29" s="4">
        <v>5</v>
      </c>
      <c r="C29" s="5" t="s">
        <v>40</v>
      </c>
      <c r="D29" s="6"/>
      <c r="E29" s="20"/>
      <c r="F29" s="8"/>
      <c r="G29" s="64"/>
    </row>
    <row r="30" spans="2:11" x14ac:dyDescent="0.25">
      <c r="B30" s="9">
        <v>5.01</v>
      </c>
      <c r="C30" s="10" t="s">
        <v>74</v>
      </c>
      <c r="D30" s="23" t="s">
        <v>15</v>
      </c>
      <c r="E30" s="12">
        <v>3100000</v>
      </c>
      <c r="F30" s="13">
        <v>2</v>
      </c>
      <c r="G30" s="62">
        <f>ROUND(F30*E30,2)</f>
        <v>6200000</v>
      </c>
    </row>
    <row r="31" spans="2:11" ht="45" x14ac:dyDescent="0.25">
      <c r="B31" s="9">
        <v>5.0199999999999996</v>
      </c>
      <c r="C31" s="10" t="s">
        <v>75</v>
      </c>
      <c r="D31" s="23" t="s">
        <v>9</v>
      </c>
      <c r="E31" s="12">
        <v>115000</v>
      </c>
      <c r="F31" s="13">
        <f>+(30*4)+(30*2)+(46*4)</f>
        <v>364</v>
      </c>
      <c r="G31" s="62">
        <f t="shared" ref="G31:G32" si="2">ROUND(F31*E31,2)</f>
        <v>41860000</v>
      </c>
    </row>
    <row r="32" spans="2:11" x14ac:dyDescent="0.25">
      <c r="B32" s="9">
        <v>5.03</v>
      </c>
      <c r="C32" s="10" t="s">
        <v>68</v>
      </c>
      <c r="D32" s="23" t="s">
        <v>46</v>
      </c>
      <c r="E32" s="12">
        <v>7000000</v>
      </c>
      <c r="F32" s="13">
        <v>1</v>
      </c>
      <c r="G32" s="62">
        <f t="shared" si="2"/>
        <v>7000000</v>
      </c>
    </row>
    <row r="33" spans="2:9" ht="75" x14ac:dyDescent="0.25">
      <c r="B33" s="9">
        <v>5.04</v>
      </c>
      <c r="C33" s="10" t="s">
        <v>78</v>
      </c>
      <c r="D33" s="23" t="s">
        <v>9</v>
      </c>
      <c r="E33" s="12">
        <v>134000</v>
      </c>
      <c r="F33" s="13">
        <f>+(30*23)</f>
        <v>690</v>
      </c>
      <c r="G33" s="62">
        <f>ROUND(F33*E33,2)</f>
        <v>92460000</v>
      </c>
    </row>
    <row r="34" spans="2:9" x14ac:dyDescent="0.25">
      <c r="B34" s="9">
        <v>5.05</v>
      </c>
      <c r="C34" s="10" t="s">
        <v>79</v>
      </c>
      <c r="D34" s="23" t="s">
        <v>46</v>
      </c>
      <c r="E34" s="12">
        <v>2000000</v>
      </c>
      <c r="F34" s="13">
        <v>1</v>
      </c>
      <c r="G34" s="62">
        <f>ROUND(F34*E34,2)</f>
        <v>2000000</v>
      </c>
    </row>
    <row r="35" spans="2:9" ht="30" x14ac:dyDescent="0.25">
      <c r="B35" s="9">
        <v>5.0599999999999996</v>
      </c>
      <c r="C35" s="10" t="s">
        <v>42</v>
      </c>
      <c r="D35" s="23" t="s">
        <v>9</v>
      </c>
      <c r="E35" s="12">
        <f>121630.95*1.05</f>
        <v>127712.4975</v>
      </c>
      <c r="F35" s="13">
        <f>+(30*4.1)+30+46</f>
        <v>199</v>
      </c>
      <c r="G35" s="62">
        <f t="shared" ref="G35:G40" si="3">ROUND(F35*E35,2)</f>
        <v>25414787</v>
      </c>
    </row>
    <row r="36" spans="2:9" x14ac:dyDescent="0.25">
      <c r="B36" s="9">
        <v>5.07</v>
      </c>
      <c r="C36" s="10" t="s">
        <v>60</v>
      </c>
      <c r="D36" s="23" t="s">
        <v>26</v>
      </c>
      <c r="E36" s="12">
        <f>1029842.47*1.05</f>
        <v>1081334.5935</v>
      </c>
      <c r="F36" s="13">
        <v>3</v>
      </c>
      <c r="G36" s="62">
        <f t="shared" si="3"/>
        <v>3244003.78</v>
      </c>
    </row>
    <row r="37" spans="2:9" ht="30" x14ac:dyDescent="0.25">
      <c r="B37" s="9">
        <v>5.08</v>
      </c>
      <c r="C37" s="10" t="s">
        <v>43</v>
      </c>
      <c r="D37" s="9" t="s">
        <v>26</v>
      </c>
      <c r="E37" s="12">
        <f>1175965.245*1.05</f>
        <v>1234763.5072500003</v>
      </c>
      <c r="F37" s="13">
        <v>3</v>
      </c>
      <c r="G37" s="62">
        <f t="shared" si="3"/>
        <v>3704290.52</v>
      </c>
    </row>
    <row r="38" spans="2:9" x14ac:dyDescent="0.25">
      <c r="B38" s="9">
        <v>5.09</v>
      </c>
      <c r="C38" s="16" t="s">
        <v>44</v>
      </c>
      <c r="D38" s="9" t="s">
        <v>26</v>
      </c>
      <c r="E38" s="24">
        <f>917639*1.05</f>
        <v>963520.95000000007</v>
      </c>
      <c r="F38" s="13">
        <v>2</v>
      </c>
      <c r="G38" s="62">
        <f t="shared" si="3"/>
        <v>1927041.9</v>
      </c>
    </row>
    <row r="39" spans="2:9" ht="28.5" x14ac:dyDescent="0.25">
      <c r="B39" s="81">
        <v>5.0999999999999996</v>
      </c>
      <c r="C39" s="85" t="s">
        <v>77</v>
      </c>
      <c r="D39" s="86" t="s">
        <v>9</v>
      </c>
      <c r="E39" s="80">
        <v>32000</v>
      </c>
      <c r="F39" s="87">
        <f>+F24</f>
        <v>127.19999999999999</v>
      </c>
      <c r="G39" s="62">
        <f t="shared" si="3"/>
        <v>4070400</v>
      </c>
    </row>
    <row r="40" spans="2:9" ht="30" x14ac:dyDescent="0.25">
      <c r="B40" s="9">
        <v>5.1100000000000101</v>
      </c>
      <c r="C40" s="10" t="s">
        <v>76</v>
      </c>
      <c r="D40" s="30" t="s">
        <v>15</v>
      </c>
      <c r="E40" s="12">
        <v>1950000</v>
      </c>
      <c r="F40" s="13">
        <v>1</v>
      </c>
      <c r="G40" s="62">
        <f t="shared" si="3"/>
        <v>1950000</v>
      </c>
    </row>
    <row r="41" spans="2:9" ht="15.75" x14ac:dyDescent="0.25">
      <c r="B41" s="17" t="s">
        <v>16</v>
      </c>
      <c r="C41" s="18"/>
      <c r="D41" s="18"/>
      <c r="E41" s="18"/>
      <c r="F41" s="19"/>
      <c r="G41" s="63">
        <f>SUM(G30:G40)</f>
        <v>189830523.20000002</v>
      </c>
      <c r="I41" s="31"/>
    </row>
    <row r="42" spans="2:9" ht="15.75" x14ac:dyDescent="0.25">
      <c r="B42" s="32"/>
      <c r="C42" s="33"/>
      <c r="D42" s="34"/>
      <c r="E42" s="34"/>
      <c r="F42" s="35"/>
      <c r="G42" s="65"/>
      <c r="I42" s="31"/>
    </row>
    <row r="43" spans="2:9" ht="16.5" thickBot="1" x14ac:dyDescent="0.3">
      <c r="B43" s="36"/>
      <c r="C43" s="37"/>
      <c r="D43" s="37"/>
      <c r="E43" s="37"/>
      <c r="F43" s="38"/>
      <c r="G43" s="66"/>
      <c r="I43" s="31"/>
    </row>
    <row r="44" spans="2:9" ht="15.75" x14ac:dyDescent="0.25">
      <c r="B44" s="39"/>
      <c r="C44" s="40" t="s">
        <v>47</v>
      </c>
      <c r="D44" s="41"/>
      <c r="E44" s="42"/>
      <c r="F44" s="43"/>
      <c r="G44" s="67">
        <f>+ROUND(G14+G18+G25+G28+G41,2)</f>
        <v>230487753.55000001</v>
      </c>
      <c r="I44" s="31"/>
    </row>
    <row r="45" spans="2:9" ht="15.75" x14ac:dyDescent="0.25">
      <c r="B45" s="39"/>
      <c r="C45" s="44" t="s">
        <v>48</v>
      </c>
      <c r="D45" s="45"/>
      <c r="E45" s="46"/>
      <c r="F45" s="47">
        <f>SUM(F46:F48)</f>
        <v>0.3</v>
      </c>
      <c r="G45" s="68">
        <f>ROUND(SUM(G46:G48),2)</f>
        <v>69146326.069999993</v>
      </c>
      <c r="I45" s="31"/>
    </row>
    <row r="46" spans="2:9" ht="15.75" x14ac:dyDescent="0.25">
      <c r="B46" s="39"/>
      <c r="C46" s="48"/>
      <c r="D46" s="49"/>
      <c r="E46" s="59" t="s">
        <v>49</v>
      </c>
      <c r="F46" s="50">
        <v>0.24</v>
      </c>
      <c r="G46" s="69">
        <f>+ROUND($G$44*F46,2)</f>
        <v>55317060.850000001</v>
      </c>
    </row>
    <row r="47" spans="2:9" ht="15.75" x14ac:dyDescent="0.25">
      <c r="B47" s="39"/>
      <c r="C47" s="48"/>
      <c r="D47" s="49"/>
      <c r="E47" s="59" t="s">
        <v>50</v>
      </c>
      <c r="F47" s="50">
        <v>0.01</v>
      </c>
      <c r="G47" s="69">
        <f>+ROUND($G$44*F47,2)</f>
        <v>2304877.54</v>
      </c>
      <c r="I47" s="51"/>
    </row>
    <row r="48" spans="2:9" ht="15.75" x14ac:dyDescent="0.25">
      <c r="B48" s="39"/>
      <c r="C48" s="48"/>
      <c r="D48" s="49"/>
      <c r="E48" s="59" t="s">
        <v>51</v>
      </c>
      <c r="F48" s="50">
        <v>0.05</v>
      </c>
      <c r="G48" s="69">
        <f>+ROUND($G$44*F48,2)</f>
        <v>11524387.68</v>
      </c>
    </row>
    <row r="49" spans="2:9" ht="16.5" thickBot="1" x14ac:dyDescent="0.3">
      <c r="B49" s="39"/>
      <c r="C49" s="98" t="s">
        <v>52</v>
      </c>
      <c r="D49" s="99"/>
      <c r="E49" s="99"/>
      <c r="F49" s="99"/>
      <c r="G49" s="70">
        <f>+ROUND(G44+G45,2)</f>
        <v>299634079.62</v>
      </c>
      <c r="I49" s="31"/>
    </row>
    <row r="50" spans="2:9" ht="15.75" x14ac:dyDescent="0.25">
      <c r="B50" s="39"/>
      <c r="C50" s="52"/>
      <c r="D50" s="52"/>
      <c r="E50" s="52"/>
      <c r="F50" s="52"/>
      <c r="G50" s="71"/>
      <c r="I50" s="31"/>
    </row>
    <row r="52" spans="2:9" ht="15.75" x14ac:dyDescent="0.25">
      <c r="C52" s="52"/>
      <c r="D52" s="52"/>
      <c r="E52" s="52"/>
      <c r="F52" s="53"/>
      <c r="G52" s="72"/>
    </row>
    <row r="53" spans="2:9" ht="15.75" thickBot="1" x14ac:dyDescent="0.3">
      <c r="I53" s="14"/>
    </row>
    <row r="54" spans="2:9" ht="16.5" thickBot="1" x14ac:dyDescent="0.3">
      <c r="C54" s="91" t="s">
        <v>53</v>
      </c>
      <c r="D54" s="92"/>
      <c r="E54" s="92"/>
      <c r="F54" s="93"/>
      <c r="G54" s="73">
        <f>+ROUND(G49,2)</f>
        <v>299634079.62</v>
      </c>
      <c r="I54" s="54"/>
    </row>
    <row r="59" spans="2:9" x14ac:dyDescent="0.25">
      <c r="E59" s="55" t="s">
        <v>54</v>
      </c>
    </row>
    <row r="60" spans="2:9" x14ac:dyDescent="0.25">
      <c r="E60" t="s">
        <v>55</v>
      </c>
    </row>
    <row r="61" spans="2:9" x14ac:dyDescent="0.25">
      <c r="E61" t="s">
        <v>56</v>
      </c>
    </row>
    <row r="62" spans="2:9" x14ac:dyDescent="0.25">
      <c r="G62" s="74"/>
    </row>
    <row r="63" spans="2:9" x14ac:dyDescent="0.25">
      <c r="G63" s="74"/>
    </row>
    <row r="64" spans="2:9" x14ac:dyDescent="0.25">
      <c r="F64" s="57"/>
      <c r="G64" s="74"/>
    </row>
    <row r="65" spans="6:8" x14ac:dyDescent="0.25">
      <c r="F65" s="57"/>
      <c r="G65" s="74"/>
    </row>
    <row r="66" spans="6:8" x14ac:dyDescent="0.25">
      <c r="F66" s="57"/>
      <c r="G66" s="74"/>
    </row>
    <row r="67" spans="6:8" x14ac:dyDescent="0.25">
      <c r="G67" s="75"/>
    </row>
    <row r="68" spans="6:8" x14ac:dyDescent="0.25">
      <c r="G68" s="74"/>
    </row>
    <row r="69" spans="6:8" x14ac:dyDescent="0.25">
      <c r="H69" s="58"/>
    </row>
    <row r="71" spans="6:8" x14ac:dyDescent="0.25">
      <c r="G71" s="74"/>
      <c r="H71" s="56"/>
    </row>
    <row r="72" spans="6:8" x14ac:dyDescent="0.25">
      <c r="G72" s="74"/>
      <c r="H72" s="56"/>
    </row>
    <row r="75" spans="6:8" x14ac:dyDescent="0.25">
      <c r="G75" s="76"/>
    </row>
  </sheetData>
  <mergeCells count="4">
    <mergeCell ref="B4:G4"/>
    <mergeCell ref="B5:G5"/>
    <mergeCell ref="C49:F49"/>
    <mergeCell ref="C54:F54"/>
  </mergeCells>
  <pageMargins left="0.25" right="0.25" top="0.75" bottom="0.75" header="0.3" footer="0.3"/>
  <pageSetup scale="6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PRESUPUESTO </vt:lpstr>
      <vt:lpstr>CANTIDADES CANCHA LA PAZ</vt:lpstr>
      <vt:lpstr>CANTIDADES PARQUE LA PAZ</vt:lpstr>
      <vt:lpstr>CANTIDADES CANCHA NVO BOSQUE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11107</dc:creator>
  <cp:lastModifiedBy>argemiro jose alvarez vazquez</cp:lastModifiedBy>
  <cp:lastPrinted>2024-12-05T02:51:03Z</cp:lastPrinted>
  <dcterms:created xsi:type="dcterms:W3CDTF">2024-08-27T22:50:29Z</dcterms:created>
  <dcterms:modified xsi:type="dcterms:W3CDTF">2024-12-07T03:19:39Z</dcterms:modified>
</cp:coreProperties>
</file>