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leona\Downloads\"/>
    </mc:Choice>
  </mc:AlternateContent>
  <xr:revisionPtr revIDLastSave="0" documentId="13_ncr:1_{3A8C2837-04BB-4D2A-B9DD-4B628EAFDC3F}" xr6:coauthVersionLast="47" xr6:coauthVersionMax="47" xr10:uidLastSave="{00000000-0000-0000-0000-000000000000}"/>
  <bookViews>
    <workbookView xWindow="-120" yWindow="-120" windowWidth="29040" windowHeight="15720" tabRatio="688" activeTab="34" xr2:uid="{00000000-000D-0000-FFFF-FFFF00000000}"/>
  </bookViews>
  <sheets>
    <sheet name="DATOS INICIALES" sheetId="1" r:id="rId1"/>
    <sheet name="PROPONENTES" sheetId="18" r:id="rId2"/>
    <sheet name="K RESIDUAL CALCULO" sheetId="19" state="hidden" r:id="rId3"/>
    <sheet name="1" sheetId="8" r:id="rId4"/>
    <sheet name="K RESIDUAL DOCUMENTOS" sheetId="20" state="hidden" r:id="rId5"/>
    <sheet name="2" sheetId="77" r:id="rId6"/>
    <sheet name="3" sheetId="78" state="hidden" r:id="rId7"/>
    <sheet name="4" sheetId="79" state="hidden" r:id="rId8"/>
    <sheet name="5" sheetId="80" state="hidden" r:id="rId9"/>
    <sheet name="6" sheetId="81" state="hidden" r:id="rId10"/>
    <sheet name="7" sheetId="82" state="hidden" r:id="rId11"/>
    <sheet name="8" sheetId="83" state="hidden" r:id="rId12"/>
    <sheet name="9" sheetId="84" state="hidden" r:id="rId13"/>
    <sheet name="10" sheetId="85" state="hidden" r:id="rId14"/>
    <sheet name="11" sheetId="86" state="hidden" r:id="rId15"/>
    <sheet name="12" sheetId="87" state="hidden" r:id="rId16"/>
    <sheet name="13" sheetId="88" state="hidden" r:id="rId17"/>
    <sheet name="14" sheetId="89" state="hidden" r:id="rId18"/>
    <sheet name="15" sheetId="90" state="hidden" r:id="rId19"/>
    <sheet name="16" sheetId="91" state="hidden" r:id="rId20"/>
    <sheet name="17" sheetId="92" state="hidden" r:id="rId21"/>
    <sheet name="18" sheetId="93" state="hidden" r:id="rId22"/>
    <sheet name="19" sheetId="94" state="hidden" r:id="rId23"/>
    <sheet name="20" sheetId="95" state="hidden" r:id="rId24"/>
    <sheet name="21" sheetId="96" state="hidden" r:id="rId25"/>
    <sheet name="22" sheetId="97" state="hidden" r:id="rId26"/>
    <sheet name="23" sheetId="98" state="hidden" r:id="rId27"/>
    <sheet name="24" sheetId="99" state="hidden" r:id="rId28"/>
    <sheet name="25" sheetId="100" state="hidden" r:id="rId29"/>
    <sheet name="26" sheetId="101" state="hidden" r:id="rId30"/>
    <sheet name="27" sheetId="102" state="hidden" r:id="rId31"/>
    <sheet name="28" sheetId="103" state="hidden" r:id="rId32"/>
    <sheet name="CONSOLIDADO" sheetId="16" r:id="rId33"/>
    <sheet name="PUNTAJE" sheetId="21" state="hidden" r:id="rId34"/>
    <sheet name="PONDERACION" sheetId="22" r:id="rId35"/>
    <sheet name="OFERTA ECONOMICA" sheetId="51" r:id="rId36"/>
  </sheets>
  <definedNames>
    <definedName name="_xlnm.Print_Area" localSheetId="3">'1'!$A$1:$L$65</definedName>
    <definedName name="_xlnm.Print_Area" localSheetId="13">'10'!$A$1:$L$65</definedName>
    <definedName name="_xlnm.Print_Area" localSheetId="14">'11'!$A$1:$L$65</definedName>
    <definedName name="_xlnm.Print_Area" localSheetId="15">'12'!$A$1:$L$65</definedName>
    <definedName name="_xlnm.Print_Area" localSheetId="16">'13'!$A$1:$L$65</definedName>
    <definedName name="_xlnm.Print_Area" localSheetId="17">'14'!$A$1:$L$65</definedName>
    <definedName name="_xlnm.Print_Area" localSheetId="18">'15'!$A$1:$L$65</definedName>
    <definedName name="_xlnm.Print_Area" localSheetId="19">'16'!$A$1:$L$65</definedName>
    <definedName name="_xlnm.Print_Area" localSheetId="20">'17'!$A$1:$L$65</definedName>
    <definedName name="_xlnm.Print_Area" localSheetId="21">'18'!$A$1:$L$65</definedName>
    <definedName name="_xlnm.Print_Area" localSheetId="22">'19'!$A$1:$L$65</definedName>
    <definedName name="_xlnm.Print_Area" localSheetId="5">'2'!$A$1:$L$66</definedName>
    <definedName name="_xlnm.Print_Area" localSheetId="23">'20'!$A$1:$L$65</definedName>
    <definedName name="_xlnm.Print_Area" localSheetId="24">'21'!$A$1:$L$65</definedName>
    <definedName name="_xlnm.Print_Area" localSheetId="25">'22'!$A$1:$L$65</definedName>
    <definedName name="_xlnm.Print_Area" localSheetId="26">'23'!$A$1:$L$65</definedName>
    <definedName name="_xlnm.Print_Area" localSheetId="27">'24'!$A$1:$L$65</definedName>
    <definedName name="_xlnm.Print_Area" localSheetId="28">'25'!$A$1:$L$65</definedName>
    <definedName name="_xlnm.Print_Area" localSheetId="29">'26'!$A$1:$L$65</definedName>
    <definedName name="_xlnm.Print_Area" localSheetId="30">'27'!$A$1:$L$65</definedName>
    <definedName name="_xlnm.Print_Area" localSheetId="31">'28'!$A$1:$L$65</definedName>
    <definedName name="_xlnm.Print_Area" localSheetId="6">'3'!$A$1:$L$65</definedName>
    <definedName name="_xlnm.Print_Area" localSheetId="7">'4'!$A$1:$L$65</definedName>
    <definedName name="_xlnm.Print_Area" localSheetId="8">'5'!$A$1:$L$65</definedName>
    <definedName name="_xlnm.Print_Area" localSheetId="9">'6'!$A$1:$L$65</definedName>
    <definedName name="_xlnm.Print_Area" localSheetId="10">'7'!$A$1:$L$65</definedName>
    <definedName name="_xlnm.Print_Area" localSheetId="11">'8'!$A$1:$L$65</definedName>
    <definedName name="_xlnm.Print_Area" localSheetId="12">'9'!$A$1:$L$65</definedName>
    <definedName name="_xlnm.Print_Area" localSheetId="32">CONSOLIDADO!$A$1:$I$38</definedName>
    <definedName name="_xlnm.Print_Area" localSheetId="0">'DATOS INICIALES'!$A$1:$I$58</definedName>
    <definedName name="_xlnm.Print_Area" localSheetId="35">'OFERTA ECONOMICA'!$A$1:$Q$8</definedName>
    <definedName name="_xlnm.Print_Area" localSheetId="1">PROPONENTES!$A$1:$P$37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4" i="8" l="1"/>
  <c r="D44" i="8"/>
  <c r="E44" i="8"/>
  <c r="J12" i="22"/>
  <c r="J11" i="22"/>
  <c r="I15" i="77"/>
  <c r="C47" i="77"/>
  <c r="C48" i="77"/>
  <c r="C49" i="77"/>
  <c r="C50" i="77"/>
  <c r="C51" i="77"/>
  <c r="C52" i="77"/>
  <c r="H7" i="51"/>
  <c r="H8" i="51"/>
  <c r="J18" i="22" l="1"/>
  <c r="B34" i="22" l="1"/>
  <c r="B35" i="22"/>
  <c r="B36" i="22"/>
  <c r="B37" i="22"/>
  <c r="B38" i="22"/>
  <c r="B30" i="22"/>
  <c r="B31" i="22"/>
  <c r="B32" i="22"/>
  <c r="B33" i="22"/>
  <c r="B150" i="21"/>
  <c r="C152" i="21" s="1"/>
  <c r="B145" i="21"/>
  <c r="D149" i="21" s="1"/>
  <c r="B140" i="21"/>
  <c r="C141" i="21" s="1"/>
  <c r="B135" i="21"/>
  <c r="C139" i="21" s="1"/>
  <c r="AE139" i="21" s="1"/>
  <c r="B130" i="21"/>
  <c r="C134" i="21" s="1"/>
  <c r="AE134" i="21" s="1"/>
  <c r="B125" i="21"/>
  <c r="B120" i="21"/>
  <c r="B115" i="21"/>
  <c r="B110" i="21"/>
  <c r="V150" i="21"/>
  <c r="S150" i="21"/>
  <c r="N150" i="21"/>
  <c r="L150" i="21"/>
  <c r="V145" i="21"/>
  <c r="S145" i="21"/>
  <c r="N145" i="21"/>
  <c r="L145" i="21"/>
  <c r="C145" i="21"/>
  <c r="C143" i="21"/>
  <c r="AE143" i="21" s="1"/>
  <c r="C142" i="21"/>
  <c r="AE142" i="21" s="1"/>
  <c r="V140" i="21"/>
  <c r="S140" i="21"/>
  <c r="N140" i="21"/>
  <c r="L140" i="21"/>
  <c r="C137" i="21"/>
  <c r="AE137" i="21" s="1"/>
  <c r="C136" i="21"/>
  <c r="V135" i="21"/>
  <c r="S135" i="21"/>
  <c r="N135" i="21"/>
  <c r="L135" i="21"/>
  <c r="C131" i="21"/>
  <c r="AE131" i="21" s="1"/>
  <c r="V130" i="21"/>
  <c r="S130" i="21"/>
  <c r="N130" i="21"/>
  <c r="L130" i="21"/>
  <c r="C130" i="21"/>
  <c r="N29" i="18"/>
  <c r="N30" i="18"/>
  <c r="D31" i="16" s="1"/>
  <c r="N31" i="18"/>
  <c r="D32" i="16" s="1"/>
  <c r="N32" i="18"/>
  <c r="D33" i="16" s="1"/>
  <c r="N33" i="18"/>
  <c r="N34" i="18"/>
  <c r="D35" i="16" s="1"/>
  <c r="N35" i="18"/>
  <c r="D36" i="16" s="1"/>
  <c r="N36" i="18"/>
  <c r="D37" i="16" s="1"/>
  <c r="N37" i="18"/>
  <c r="D38" i="16" s="1"/>
  <c r="M29" i="18"/>
  <c r="C30" i="16" s="1"/>
  <c r="M30" i="18"/>
  <c r="C31" i="16" s="1"/>
  <c r="M31" i="18"/>
  <c r="C32" i="16" s="1"/>
  <c r="M32" i="18"/>
  <c r="C33" i="16" s="1"/>
  <c r="M33" i="18"/>
  <c r="M34" i="18"/>
  <c r="C35" i="16" s="1"/>
  <c r="M35" i="18"/>
  <c r="C36" i="16" s="1"/>
  <c r="M36" i="18"/>
  <c r="C37" i="16" s="1"/>
  <c r="M37" i="18"/>
  <c r="C38" i="16" s="1"/>
  <c r="D30" i="16"/>
  <c r="D34" i="16"/>
  <c r="C34" i="16"/>
  <c r="B37" i="16"/>
  <c r="B38" i="16"/>
  <c r="B30" i="16"/>
  <c r="B31" i="16"/>
  <c r="B32" i="16"/>
  <c r="B33" i="16"/>
  <c r="B34" i="16"/>
  <c r="B35" i="16"/>
  <c r="B36" i="16"/>
  <c r="C11" i="103"/>
  <c r="C16" i="103" s="1"/>
  <c r="C11" i="102"/>
  <c r="D16" i="102" s="1"/>
  <c r="C11" i="101"/>
  <c r="D16" i="101" s="1"/>
  <c r="C11" i="100"/>
  <c r="D16" i="100" s="1"/>
  <c r="C11" i="99"/>
  <c r="D19" i="99" s="1"/>
  <c r="C11" i="98"/>
  <c r="D16" i="98" s="1"/>
  <c r="C11" i="97"/>
  <c r="C19" i="97" s="1"/>
  <c r="H19" i="97" s="1"/>
  <c r="C11" i="96"/>
  <c r="C11" i="95"/>
  <c r="D17" i="95" s="1"/>
  <c r="C11" i="94"/>
  <c r="D16" i="94" s="1"/>
  <c r="C11" i="93"/>
  <c r="C16" i="93" s="1"/>
  <c r="C11" i="92"/>
  <c r="D19" i="92" s="1"/>
  <c r="C11" i="91"/>
  <c r="D19" i="91" s="1"/>
  <c r="C11" i="90"/>
  <c r="D18" i="90" s="1"/>
  <c r="C11" i="89"/>
  <c r="D16" i="89" s="1"/>
  <c r="C11" i="88"/>
  <c r="D17" i="88" s="1"/>
  <c r="C11" i="87"/>
  <c r="D16" i="87" s="1"/>
  <c r="C11" i="86"/>
  <c r="D17" i="86" s="1"/>
  <c r="C11" i="85"/>
  <c r="C16" i="85" s="1"/>
  <c r="E16" i="85" s="1"/>
  <c r="G61" i="21" s="1"/>
  <c r="C11" i="84"/>
  <c r="C16" i="84" s="1"/>
  <c r="C11" i="83"/>
  <c r="D17" i="83" s="1"/>
  <c r="C11" i="82"/>
  <c r="D19" i="82" s="1"/>
  <c r="C11" i="81"/>
  <c r="D17" i="81" s="1"/>
  <c r="C11" i="80"/>
  <c r="D16" i="80" s="1"/>
  <c r="C11" i="79"/>
  <c r="C11" i="78"/>
  <c r="C11" i="77"/>
  <c r="D16" i="77" s="1"/>
  <c r="J64" i="103"/>
  <c r="I64" i="103"/>
  <c r="H64" i="103"/>
  <c r="G64" i="103"/>
  <c r="J54" i="103"/>
  <c r="I54" i="103"/>
  <c r="H54" i="103"/>
  <c r="G54" i="103"/>
  <c r="F54" i="103"/>
  <c r="F64" i="103" s="1"/>
  <c r="E54" i="103"/>
  <c r="E64" i="103" s="1"/>
  <c r="D54" i="103"/>
  <c r="D64" i="103" s="1"/>
  <c r="C52" i="103"/>
  <c r="C51" i="103"/>
  <c r="C50" i="103"/>
  <c r="C49" i="103"/>
  <c r="C48" i="103"/>
  <c r="C47" i="103"/>
  <c r="J45" i="103"/>
  <c r="I45" i="103"/>
  <c r="H45" i="103"/>
  <c r="G45" i="103"/>
  <c r="F45" i="103"/>
  <c r="E45" i="103"/>
  <c r="D45" i="103"/>
  <c r="J44" i="103"/>
  <c r="I44" i="103"/>
  <c r="H44" i="103"/>
  <c r="G44" i="103"/>
  <c r="F44" i="103"/>
  <c r="E44" i="103"/>
  <c r="D44" i="103"/>
  <c r="J42" i="103"/>
  <c r="I42" i="103"/>
  <c r="H42" i="103"/>
  <c r="G42" i="103"/>
  <c r="F42" i="103"/>
  <c r="E42" i="103"/>
  <c r="D42" i="103"/>
  <c r="J41" i="103"/>
  <c r="I41" i="103"/>
  <c r="H41" i="103"/>
  <c r="G41" i="103"/>
  <c r="F41" i="103"/>
  <c r="E41" i="103"/>
  <c r="D41" i="103"/>
  <c r="J39" i="103"/>
  <c r="I39" i="103"/>
  <c r="H39" i="103"/>
  <c r="G39" i="103"/>
  <c r="F39" i="103"/>
  <c r="I19" i="103" s="1"/>
  <c r="E39" i="103"/>
  <c r="D39" i="103"/>
  <c r="J38" i="103"/>
  <c r="I38" i="103"/>
  <c r="H38" i="103"/>
  <c r="G38" i="103"/>
  <c r="J36" i="103"/>
  <c r="I36" i="103"/>
  <c r="H36" i="103"/>
  <c r="G36" i="103"/>
  <c r="F36" i="103"/>
  <c r="F38" i="103" s="1"/>
  <c r="E36" i="103"/>
  <c r="E38" i="103" s="1"/>
  <c r="D36" i="103"/>
  <c r="D38" i="103" s="1"/>
  <c r="B22" i="103"/>
  <c r="C9" i="103"/>
  <c r="C10" i="103" s="1"/>
  <c r="C8" i="103"/>
  <c r="B4" i="103"/>
  <c r="J64" i="102"/>
  <c r="I64" i="102"/>
  <c r="H64" i="102"/>
  <c r="G64" i="102"/>
  <c r="F64" i="102"/>
  <c r="J54" i="102"/>
  <c r="I54" i="102"/>
  <c r="H54" i="102"/>
  <c r="G54" i="102"/>
  <c r="F54" i="102"/>
  <c r="E54" i="102"/>
  <c r="E64" i="102" s="1"/>
  <c r="D54" i="102"/>
  <c r="D64" i="102" s="1"/>
  <c r="C52" i="102"/>
  <c r="C51" i="102"/>
  <c r="C50" i="102"/>
  <c r="C49" i="102"/>
  <c r="C48" i="102"/>
  <c r="C47" i="102"/>
  <c r="J45" i="102"/>
  <c r="I45" i="102"/>
  <c r="H45" i="102"/>
  <c r="G45" i="102"/>
  <c r="F45" i="102"/>
  <c r="E45" i="102"/>
  <c r="D45" i="102"/>
  <c r="J44" i="102"/>
  <c r="I44" i="102"/>
  <c r="H44" i="102"/>
  <c r="G44" i="102"/>
  <c r="F44" i="102"/>
  <c r="E44" i="102"/>
  <c r="D44" i="102"/>
  <c r="J42" i="102"/>
  <c r="I42" i="102"/>
  <c r="H42" i="102"/>
  <c r="G42" i="102"/>
  <c r="F42" i="102"/>
  <c r="E42" i="102"/>
  <c r="D42" i="102"/>
  <c r="J41" i="102"/>
  <c r="I41" i="102"/>
  <c r="H41" i="102"/>
  <c r="G41" i="102"/>
  <c r="F41" i="102"/>
  <c r="E41" i="102"/>
  <c r="D41" i="102"/>
  <c r="J39" i="102"/>
  <c r="I39" i="102"/>
  <c r="H39" i="102"/>
  <c r="G39" i="102"/>
  <c r="F39" i="102"/>
  <c r="E39" i="102"/>
  <c r="D39" i="102"/>
  <c r="J38" i="102"/>
  <c r="I38" i="102"/>
  <c r="H38" i="102"/>
  <c r="G38" i="102"/>
  <c r="F38" i="102"/>
  <c r="J36" i="102"/>
  <c r="I36" i="102"/>
  <c r="H36" i="102"/>
  <c r="G36" i="102"/>
  <c r="F36" i="102"/>
  <c r="E36" i="102"/>
  <c r="E38" i="102" s="1"/>
  <c r="D36" i="102"/>
  <c r="D38" i="102" s="1"/>
  <c r="B22" i="102"/>
  <c r="I19" i="102"/>
  <c r="C9" i="102"/>
  <c r="C10" i="102" s="1"/>
  <c r="C8" i="102"/>
  <c r="B4" i="102"/>
  <c r="J64" i="101"/>
  <c r="I64" i="101"/>
  <c r="H64" i="101"/>
  <c r="G64" i="101"/>
  <c r="F64" i="101"/>
  <c r="E64" i="101"/>
  <c r="J54" i="101"/>
  <c r="I54" i="101"/>
  <c r="H54" i="101"/>
  <c r="G54" i="101"/>
  <c r="F54" i="101"/>
  <c r="E54" i="101"/>
  <c r="D54" i="101"/>
  <c r="D64" i="101" s="1"/>
  <c r="I15" i="101" s="1"/>
  <c r="C52" i="101"/>
  <c r="C51" i="101"/>
  <c r="C50" i="101"/>
  <c r="C49" i="101"/>
  <c r="C48" i="101"/>
  <c r="C47" i="101"/>
  <c r="J45" i="101"/>
  <c r="I45" i="101"/>
  <c r="H45" i="101"/>
  <c r="G45" i="101"/>
  <c r="F45" i="101"/>
  <c r="E45" i="101"/>
  <c r="D45" i="101"/>
  <c r="J44" i="101"/>
  <c r="I44" i="101"/>
  <c r="H44" i="101"/>
  <c r="G44" i="101"/>
  <c r="F44" i="101"/>
  <c r="E44" i="101"/>
  <c r="D44" i="101"/>
  <c r="J42" i="101"/>
  <c r="I42" i="101"/>
  <c r="H42" i="101"/>
  <c r="G42" i="101"/>
  <c r="F42" i="101"/>
  <c r="E42" i="101"/>
  <c r="D42" i="101"/>
  <c r="J41" i="101"/>
  <c r="I41" i="101"/>
  <c r="H41" i="101"/>
  <c r="G41" i="101"/>
  <c r="F41" i="101"/>
  <c r="E41" i="101"/>
  <c r="D41" i="101"/>
  <c r="J39" i="101"/>
  <c r="I39" i="101"/>
  <c r="H39" i="101"/>
  <c r="G39" i="101"/>
  <c r="F39" i="101"/>
  <c r="E39" i="101"/>
  <c r="D39" i="101"/>
  <c r="J38" i="101"/>
  <c r="I38" i="101"/>
  <c r="H38" i="101"/>
  <c r="G38" i="101"/>
  <c r="F38" i="101"/>
  <c r="E38" i="101"/>
  <c r="J36" i="101"/>
  <c r="I36" i="101"/>
  <c r="H36" i="101"/>
  <c r="G36" i="101"/>
  <c r="F36" i="101"/>
  <c r="E36" i="101"/>
  <c r="D36" i="101"/>
  <c r="D38" i="101" s="1"/>
  <c r="B22" i="101"/>
  <c r="I19" i="101"/>
  <c r="C9" i="101"/>
  <c r="C10" i="101" s="1"/>
  <c r="C8" i="101"/>
  <c r="B4" i="101"/>
  <c r="J64" i="100"/>
  <c r="I64" i="100"/>
  <c r="H64" i="100"/>
  <c r="J54" i="100"/>
  <c r="I54" i="100"/>
  <c r="H54" i="100"/>
  <c r="G54" i="100"/>
  <c r="G64" i="100" s="1"/>
  <c r="F54" i="100"/>
  <c r="F64" i="100" s="1"/>
  <c r="E54" i="100"/>
  <c r="E64" i="100" s="1"/>
  <c r="D54" i="100"/>
  <c r="D64" i="100" s="1"/>
  <c r="C52" i="100"/>
  <c r="C51" i="100"/>
  <c r="C50" i="100"/>
  <c r="C49" i="100"/>
  <c r="C48" i="100"/>
  <c r="C47" i="100"/>
  <c r="J45" i="100"/>
  <c r="I45" i="100"/>
  <c r="H45" i="100"/>
  <c r="G45" i="100"/>
  <c r="F45" i="100"/>
  <c r="E45" i="100"/>
  <c r="D45" i="100"/>
  <c r="J44" i="100"/>
  <c r="I44" i="100"/>
  <c r="H44" i="100"/>
  <c r="G44" i="100"/>
  <c r="F44" i="100"/>
  <c r="E44" i="100"/>
  <c r="D44" i="100"/>
  <c r="J42" i="100"/>
  <c r="I42" i="100"/>
  <c r="H42" i="100"/>
  <c r="G42" i="100"/>
  <c r="F42" i="100"/>
  <c r="E42" i="100"/>
  <c r="D42" i="100"/>
  <c r="J41" i="100"/>
  <c r="I41" i="100"/>
  <c r="H41" i="100"/>
  <c r="G41" i="100"/>
  <c r="F41" i="100"/>
  <c r="E41" i="100"/>
  <c r="D41" i="100"/>
  <c r="J39" i="100"/>
  <c r="I39" i="100"/>
  <c r="H39" i="100"/>
  <c r="G39" i="100"/>
  <c r="F39" i="100"/>
  <c r="E39" i="100"/>
  <c r="I19" i="100" s="1"/>
  <c r="D39" i="100"/>
  <c r="J38" i="100"/>
  <c r="I38" i="100"/>
  <c r="H38" i="100"/>
  <c r="J36" i="100"/>
  <c r="I36" i="100"/>
  <c r="H36" i="100"/>
  <c r="G36" i="100"/>
  <c r="G38" i="100" s="1"/>
  <c r="F36" i="100"/>
  <c r="F38" i="100" s="1"/>
  <c r="E36" i="100"/>
  <c r="E38" i="100" s="1"/>
  <c r="D36" i="100"/>
  <c r="D38" i="100" s="1"/>
  <c r="B22" i="100"/>
  <c r="C9" i="100"/>
  <c r="C10" i="100" s="1"/>
  <c r="C8" i="100"/>
  <c r="B4" i="100"/>
  <c r="J64" i="99"/>
  <c r="I64" i="99"/>
  <c r="H64" i="99"/>
  <c r="G64" i="99"/>
  <c r="J54" i="99"/>
  <c r="I54" i="99"/>
  <c r="H54" i="99"/>
  <c r="G54" i="99"/>
  <c r="F54" i="99"/>
  <c r="F64" i="99" s="1"/>
  <c r="E54" i="99"/>
  <c r="E64" i="99" s="1"/>
  <c r="D54" i="99"/>
  <c r="D64" i="99" s="1"/>
  <c r="C52" i="99"/>
  <c r="C51" i="99"/>
  <c r="C50" i="99"/>
  <c r="C49" i="99"/>
  <c r="C48" i="99"/>
  <c r="C47" i="99"/>
  <c r="J45" i="99"/>
  <c r="I45" i="99"/>
  <c r="H45" i="99"/>
  <c r="G45" i="99"/>
  <c r="F45" i="99"/>
  <c r="E45" i="99"/>
  <c r="D45" i="99"/>
  <c r="J44" i="99"/>
  <c r="I44" i="99"/>
  <c r="H44" i="99"/>
  <c r="G44" i="99"/>
  <c r="F44" i="99"/>
  <c r="E44" i="99"/>
  <c r="D44" i="99"/>
  <c r="J42" i="99"/>
  <c r="I42" i="99"/>
  <c r="H42" i="99"/>
  <c r="G42" i="99"/>
  <c r="F42" i="99"/>
  <c r="E42" i="99"/>
  <c r="D42" i="99"/>
  <c r="J41" i="99"/>
  <c r="I41" i="99"/>
  <c r="H41" i="99"/>
  <c r="G41" i="99"/>
  <c r="F41" i="99"/>
  <c r="E41" i="99"/>
  <c r="D41" i="99"/>
  <c r="J39" i="99"/>
  <c r="I39" i="99"/>
  <c r="H39" i="99"/>
  <c r="G39" i="99"/>
  <c r="F39" i="99"/>
  <c r="E39" i="99"/>
  <c r="D39" i="99"/>
  <c r="J38" i="99"/>
  <c r="I38" i="99"/>
  <c r="H38" i="99"/>
  <c r="G38" i="99"/>
  <c r="J36" i="99"/>
  <c r="I36" i="99"/>
  <c r="H36" i="99"/>
  <c r="G36" i="99"/>
  <c r="F36" i="99"/>
  <c r="F38" i="99" s="1"/>
  <c r="E36" i="99"/>
  <c r="E38" i="99" s="1"/>
  <c r="D36" i="99"/>
  <c r="D38" i="99" s="1"/>
  <c r="B22" i="99"/>
  <c r="C9" i="99"/>
  <c r="C10" i="99" s="1"/>
  <c r="C8" i="99"/>
  <c r="B4" i="99"/>
  <c r="J64" i="98"/>
  <c r="I64" i="98"/>
  <c r="H64" i="98"/>
  <c r="G64" i="98"/>
  <c r="F64" i="98"/>
  <c r="J54" i="98"/>
  <c r="I54" i="98"/>
  <c r="H54" i="98"/>
  <c r="G54" i="98"/>
  <c r="F54" i="98"/>
  <c r="E54" i="98"/>
  <c r="E64" i="98" s="1"/>
  <c r="D54" i="98"/>
  <c r="D64" i="98" s="1"/>
  <c r="C52" i="98"/>
  <c r="C51" i="98"/>
  <c r="C50" i="98"/>
  <c r="C49" i="98"/>
  <c r="C48" i="98"/>
  <c r="C47" i="98"/>
  <c r="J45" i="98"/>
  <c r="I45" i="98"/>
  <c r="H45" i="98"/>
  <c r="G45" i="98"/>
  <c r="F45" i="98"/>
  <c r="E45" i="98"/>
  <c r="D45" i="98"/>
  <c r="J44" i="98"/>
  <c r="I44" i="98"/>
  <c r="H44" i="98"/>
  <c r="G44" i="98"/>
  <c r="F44" i="98"/>
  <c r="E44" i="98"/>
  <c r="D44" i="98"/>
  <c r="J42" i="98"/>
  <c r="I42" i="98"/>
  <c r="H42" i="98"/>
  <c r="G42" i="98"/>
  <c r="F42" i="98"/>
  <c r="E42" i="98"/>
  <c r="D42" i="98"/>
  <c r="J41" i="98"/>
  <c r="I41" i="98"/>
  <c r="H41" i="98"/>
  <c r="G41" i="98"/>
  <c r="F41" i="98"/>
  <c r="E41" i="98"/>
  <c r="D41" i="98"/>
  <c r="J39" i="98"/>
  <c r="I39" i="98"/>
  <c r="H39" i="98"/>
  <c r="G39" i="98"/>
  <c r="F39" i="98"/>
  <c r="E39" i="98"/>
  <c r="I19" i="98" s="1"/>
  <c r="D39" i="98"/>
  <c r="J38" i="98"/>
  <c r="I38" i="98"/>
  <c r="H38" i="98"/>
  <c r="G38" i="98"/>
  <c r="F38" i="98"/>
  <c r="J36" i="98"/>
  <c r="I36" i="98"/>
  <c r="H36" i="98"/>
  <c r="G36" i="98"/>
  <c r="F36" i="98"/>
  <c r="E36" i="98"/>
  <c r="E38" i="98" s="1"/>
  <c r="D36" i="98"/>
  <c r="D38" i="98" s="1"/>
  <c r="B22" i="98"/>
  <c r="C9" i="98"/>
  <c r="C10" i="98" s="1"/>
  <c r="C8" i="98"/>
  <c r="B4" i="98"/>
  <c r="J64" i="97"/>
  <c r="I64" i="97"/>
  <c r="H64" i="97"/>
  <c r="J54" i="97"/>
  <c r="I54" i="97"/>
  <c r="H54" i="97"/>
  <c r="G54" i="97"/>
  <c r="G64" i="97" s="1"/>
  <c r="F54" i="97"/>
  <c r="F64" i="97" s="1"/>
  <c r="E54" i="97"/>
  <c r="E64" i="97" s="1"/>
  <c r="D54" i="97"/>
  <c r="D64" i="97" s="1"/>
  <c r="C52" i="97"/>
  <c r="C51" i="97"/>
  <c r="C50" i="97"/>
  <c r="C49" i="97"/>
  <c r="C48" i="97"/>
  <c r="C47" i="97"/>
  <c r="J45" i="97"/>
  <c r="I45" i="97"/>
  <c r="H45" i="97"/>
  <c r="G45" i="97"/>
  <c r="F45" i="97"/>
  <c r="E45" i="97"/>
  <c r="D45" i="97"/>
  <c r="J44" i="97"/>
  <c r="I44" i="97"/>
  <c r="H44" i="97"/>
  <c r="G44" i="97"/>
  <c r="F44" i="97"/>
  <c r="E44" i="97"/>
  <c r="D44" i="97"/>
  <c r="J42" i="97"/>
  <c r="I42" i="97"/>
  <c r="H42" i="97"/>
  <c r="G42" i="97"/>
  <c r="F42" i="97"/>
  <c r="E42" i="97"/>
  <c r="D42" i="97"/>
  <c r="J41" i="97"/>
  <c r="I41" i="97"/>
  <c r="H41" i="97"/>
  <c r="G41" i="97"/>
  <c r="F41" i="97"/>
  <c r="J39" i="97"/>
  <c r="I39" i="97"/>
  <c r="H39" i="97"/>
  <c r="G39" i="97"/>
  <c r="F39" i="97"/>
  <c r="E39" i="97"/>
  <c r="D39" i="97"/>
  <c r="I19" i="97" s="1"/>
  <c r="J38" i="97"/>
  <c r="I38" i="97"/>
  <c r="H38" i="97"/>
  <c r="G38" i="97"/>
  <c r="F38" i="97"/>
  <c r="J36" i="97"/>
  <c r="I36" i="97"/>
  <c r="H36" i="97"/>
  <c r="G36" i="97"/>
  <c r="F36" i="97"/>
  <c r="E36" i="97"/>
  <c r="E41" i="97" s="1"/>
  <c r="D36" i="97"/>
  <c r="D41" i="97" s="1"/>
  <c r="B22" i="97"/>
  <c r="C9" i="97"/>
  <c r="C10" i="97" s="1"/>
  <c r="L8" i="97" s="1"/>
  <c r="C8" i="97"/>
  <c r="B4" i="97"/>
  <c r="J64" i="96"/>
  <c r="I64" i="96"/>
  <c r="H64" i="96"/>
  <c r="G64" i="96"/>
  <c r="F64" i="96"/>
  <c r="J54" i="96"/>
  <c r="I54" i="96"/>
  <c r="H54" i="96"/>
  <c r="G54" i="96"/>
  <c r="F54" i="96"/>
  <c r="E54" i="96"/>
  <c r="E64" i="96" s="1"/>
  <c r="D54" i="96"/>
  <c r="D64" i="96" s="1"/>
  <c r="C52" i="96"/>
  <c r="C51" i="96"/>
  <c r="C50" i="96"/>
  <c r="C49" i="96"/>
  <c r="C48" i="96"/>
  <c r="C47" i="96"/>
  <c r="J45" i="96"/>
  <c r="I45" i="96"/>
  <c r="H45" i="96"/>
  <c r="G45" i="96"/>
  <c r="F45" i="96"/>
  <c r="E45" i="96"/>
  <c r="D45" i="96"/>
  <c r="J44" i="96"/>
  <c r="I44" i="96"/>
  <c r="H44" i="96"/>
  <c r="G44" i="96"/>
  <c r="F44" i="96"/>
  <c r="E44" i="96"/>
  <c r="D44" i="96"/>
  <c r="J42" i="96"/>
  <c r="I42" i="96"/>
  <c r="H42" i="96"/>
  <c r="G42" i="96"/>
  <c r="F42" i="96"/>
  <c r="E42" i="96"/>
  <c r="D42" i="96"/>
  <c r="J41" i="96"/>
  <c r="I41" i="96"/>
  <c r="H41" i="96"/>
  <c r="G41" i="96"/>
  <c r="F41" i="96"/>
  <c r="E41" i="96"/>
  <c r="D41" i="96"/>
  <c r="J39" i="96"/>
  <c r="I39" i="96"/>
  <c r="H39" i="96"/>
  <c r="G39" i="96"/>
  <c r="F39" i="96"/>
  <c r="E39" i="96"/>
  <c r="D39" i="96"/>
  <c r="J38" i="96"/>
  <c r="I38" i="96"/>
  <c r="H38" i="96"/>
  <c r="G38" i="96"/>
  <c r="F38" i="96"/>
  <c r="J36" i="96"/>
  <c r="I36" i="96"/>
  <c r="H36" i="96"/>
  <c r="G36" i="96"/>
  <c r="F36" i="96"/>
  <c r="E36" i="96"/>
  <c r="E38" i="96" s="1"/>
  <c r="D36" i="96"/>
  <c r="D38" i="96" s="1"/>
  <c r="B22" i="96"/>
  <c r="I19" i="96"/>
  <c r="C9" i="96"/>
  <c r="C10" i="96" s="1"/>
  <c r="C8" i="96"/>
  <c r="B4" i="96"/>
  <c r="J64" i="95"/>
  <c r="I64" i="95"/>
  <c r="H64" i="95"/>
  <c r="G64" i="95"/>
  <c r="F64" i="95"/>
  <c r="J54" i="95"/>
  <c r="I54" i="95"/>
  <c r="H54" i="95"/>
  <c r="G54" i="95"/>
  <c r="F54" i="95"/>
  <c r="E54" i="95"/>
  <c r="E64" i="95" s="1"/>
  <c r="D54" i="95"/>
  <c r="D64" i="95" s="1"/>
  <c r="C52" i="95"/>
  <c r="C51" i="95"/>
  <c r="C50" i="95"/>
  <c r="C49" i="95"/>
  <c r="C48" i="95"/>
  <c r="C47" i="95"/>
  <c r="J45" i="95"/>
  <c r="I45" i="95"/>
  <c r="H45" i="95"/>
  <c r="G45" i="95"/>
  <c r="F45" i="95"/>
  <c r="E45" i="95"/>
  <c r="D45" i="95"/>
  <c r="J44" i="95"/>
  <c r="I44" i="95"/>
  <c r="H44" i="95"/>
  <c r="G44" i="95"/>
  <c r="F44" i="95"/>
  <c r="E44" i="95"/>
  <c r="D44" i="95"/>
  <c r="J42" i="95"/>
  <c r="I42" i="95"/>
  <c r="H42" i="95"/>
  <c r="G42" i="95"/>
  <c r="F42" i="95"/>
  <c r="E42" i="95"/>
  <c r="D42" i="95"/>
  <c r="J41" i="95"/>
  <c r="I41" i="95"/>
  <c r="H41" i="95"/>
  <c r="G41" i="95"/>
  <c r="F41" i="95"/>
  <c r="E41" i="95"/>
  <c r="D41" i="95"/>
  <c r="J39" i="95"/>
  <c r="I39" i="95"/>
  <c r="H39" i="95"/>
  <c r="G39" i="95"/>
  <c r="F39" i="95"/>
  <c r="E39" i="95"/>
  <c r="D39" i="95"/>
  <c r="I19" i="95" s="1"/>
  <c r="J38" i="95"/>
  <c r="I38" i="95"/>
  <c r="H38" i="95"/>
  <c r="G38" i="95"/>
  <c r="F38" i="95"/>
  <c r="J36" i="95"/>
  <c r="I36" i="95"/>
  <c r="H36" i="95"/>
  <c r="G36" i="95"/>
  <c r="F36" i="95"/>
  <c r="E36" i="95"/>
  <c r="E38" i="95" s="1"/>
  <c r="D36" i="95"/>
  <c r="D38" i="95" s="1"/>
  <c r="B22" i="95"/>
  <c r="C9" i="95"/>
  <c r="C10" i="95" s="1"/>
  <c r="C8" i="95"/>
  <c r="B4" i="95"/>
  <c r="J64" i="94"/>
  <c r="I64" i="94"/>
  <c r="H64" i="94"/>
  <c r="G64" i="94"/>
  <c r="F64" i="94"/>
  <c r="J54" i="94"/>
  <c r="I54" i="94"/>
  <c r="H54" i="94"/>
  <c r="G54" i="94"/>
  <c r="F54" i="94"/>
  <c r="E54" i="94"/>
  <c r="E64" i="94" s="1"/>
  <c r="D54" i="94"/>
  <c r="D64" i="94" s="1"/>
  <c r="C52" i="94"/>
  <c r="C51" i="94"/>
  <c r="C50" i="94"/>
  <c r="C49" i="94"/>
  <c r="C48" i="94"/>
  <c r="C47" i="94"/>
  <c r="J45" i="94"/>
  <c r="I45" i="94"/>
  <c r="H45" i="94"/>
  <c r="G45" i="94"/>
  <c r="F45" i="94"/>
  <c r="E45" i="94"/>
  <c r="D45" i="94"/>
  <c r="J44" i="94"/>
  <c r="I44" i="94"/>
  <c r="H44" i="94"/>
  <c r="G44" i="94"/>
  <c r="F44" i="94"/>
  <c r="E44" i="94"/>
  <c r="D44" i="94"/>
  <c r="J42" i="94"/>
  <c r="I42" i="94"/>
  <c r="H42" i="94"/>
  <c r="G42" i="94"/>
  <c r="F42" i="94"/>
  <c r="E42" i="94"/>
  <c r="D42" i="94"/>
  <c r="J41" i="94"/>
  <c r="I41" i="94"/>
  <c r="H41" i="94"/>
  <c r="G41" i="94"/>
  <c r="F41" i="94"/>
  <c r="E41" i="94"/>
  <c r="D41" i="94"/>
  <c r="J39" i="94"/>
  <c r="I39" i="94"/>
  <c r="H39" i="94"/>
  <c r="G39" i="94"/>
  <c r="F39" i="94"/>
  <c r="E39" i="94"/>
  <c r="D39" i="94"/>
  <c r="J38" i="94"/>
  <c r="I38" i="94"/>
  <c r="H38" i="94"/>
  <c r="G38" i="94"/>
  <c r="F38" i="94"/>
  <c r="J36" i="94"/>
  <c r="I36" i="94"/>
  <c r="H36" i="94"/>
  <c r="G36" i="94"/>
  <c r="F36" i="94"/>
  <c r="E36" i="94"/>
  <c r="E38" i="94" s="1"/>
  <c r="D36" i="94"/>
  <c r="D38" i="94" s="1"/>
  <c r="B22" i="94"/>
  <c r="I19" i="94"/>
  <c r="D17" i="94"/>
  <c r="C9" i="94"/>
  <c r="C10" i="94" s="1"/>
  <c r="C8" i="94"/>
  <c r="B4" i="94"/>
  <c r="J64" i="93"/>
  <c r="I64" i="93"/>
  <c r="H64" i="93"/>
  <c r="F64" i="93"/>
  <c r="J54" i="93"/>
  <c r="I54" i="93"/>
  <c r="H54" i="93"/>
  <c r="G54" i="93"/>
  <c r="G64" i="93" s="1"/>
  <c r="F54" i="93"/>
  <c r="E54" i="93"/>
  <c r="E64" i="93" s="1"/>
  <c r="D54" i="93"/>
  <c r="D64" i="93" s="1"/>
  <c r="C52" i="93"/>
  <c r="C51" i="93"/>
  <c r="C50" i="93"/>
  <c r="C49" i="93"/>
  <c r="C48" i="93"/>
  <c r="C47" i="93"/>
  <c r="J45" i="93"/>
  <c r="I45" i="93"/>
  <c r="H45" i="93"/>
  <c r="G45" i="93"/>
  <c r="F45" i="93"/>
  <c r="E45" i="93"/>
  <c r="D45" i="93"/>
  <c r="J44" i="93"/>
  <c r="I44" i="93"/>
  <c r="H44" i="93"/>
  <c r="G44" i="93"/>
  <c r="F44" i="93"/>
  <c r="E44" i="93"/>
  <c r="D44" i="93"/>
  <c r="J42" i="93"/>
  <c r="I42" i="93"/>
  <c r="H42" i="93"/>
  <c r="G42" i="93"/>
  <c r="F42" i="93"/>
  <c r="E42" i="93"/>
  <c r="D42" i="93"/>
  <c r="J41" i="93"/>
  <c r="I41" i="93"/>
  <c r="H41" i="93"/>
  <c r="G41" i="93"/>
  <c r="F41" i="93"/>
  <c r="E41" i="93"/>
  <c r="D41" i="93"/>
  <c r="J39" i="93"/>
  <c r="I39" i="93"/>
  <c r="H39" i="93"/>
  <c r="G39" i="93"/>
  <c r="F39" i="93"/>
  <c r="I19" i="93" s="1"/>
  <c r="E39" i="93"/>
  <c r="D39" i="93"/>
  <c r="J38" i="93"/>
  <c r="I38" i="93"/>
  <c r="H38" i="93"/>
  <c r="J36" i="93"/>
  <c r="I36" i="93"/>
  <c r="H36" i="93"/>
  <c r="G36" i="93"/>
  <c r="G38" i="93" s="1"/>
  <c r="F36" i="93"/>
  <c r="F38" i="93" s="1"/>
  <c r="E36" i="93"/>
  <c r="E38" i="93" s="1"/>
  <c r="D36" i="93"/>
  <c r="D38" i="93" s="1"/>
  <c r="B22" i="93"/>
  <c r="C9" i="93"/>
  <c r="C10" i="93" s="1"/>
  <c r="C8" i="93"/>
  <c r="B4" i="93"/>
  <c r="J64" i="92"/>
  <c r="I64" i="92"/>
  <c r="H64" i="92"/>
  <c r="J54" i="92"/>
  <c r="I54" i="92"/>
  <c r="H54" i="92"/>
  <c r="G54" i="92"/>
  <c r="G64" i="92" s="1"/>
  <c r="F54" i="92"/>
  <c r="F64" i="92" s="1"/>
  <c r="E54" i="92"/>
  <c r="E64" i="92" s="1"/>
  <c r="D54" i="92"/>
  <c r="D64" i="92" s="1"/>
  <c r="C52" i="92"/>
  <c r="C51" i="92"/>
  <c r="C50" i="92"/>
  <c r="C49" i="92"/>
  <c r="C48" i="92"/>
  <c r="C47" i="92"/>
  <c r="J45" i="92"/>
  <c r="I45" i="92"/>
  <c r="H45" i="92"/>
  <c r="G45" i="92"/>
  <c r="F45" i="92"/>
  <c r="E45" i="92"/>
  <c r="D45" i="92"/>
  <c r="J44" i="92"/>
  <c r="I44" i="92"/>
  <c r="H44" i="92"/>
  <c r="G44" i="92"/>
  <c r="F44" i="92"/>
  <c r="E44" i="92"/>
  <c r="D44" i="92"/>
  <c r="J42" i="92"/>
  <c r="I42" i="92"/>
  <c r="H42" i="92"/>
  <c r="G42" i="92"/>
  <c r="F42" i="92"/>
  <c r="E42" i="92"/>
  <c r="D42" i="92"/>
  <c r="I19" i="92" s="1"/>
  <c r="J41" i="92"/>
  <c r="I41" i="92"/>
  <c r="H41" i="92"/>
  <c r="G41" i="92"/>
  <c r="F41" i="92"/>
  <c r="E41" i="92"/>
  <c r="D41" i="92"/>
  <c r="J39" i="92"/>
  <c r="I39" i="92"/>
  <c r="H39" i="92"/>
  <c r="G39" i="92"/>
  <c r="F39" i="92"/>
  <c r="E39" i="92"/>
  <c r="D39" i="92"/>
  <c r="J38" i="92"/>
  <c r="I38" i="92"/>
  <c r="H38" i="92"/>
  <c r="J36" i="92"/>
  <c r="I36" i="92"/>
  <c r="H36" i="92"/>
  <c r="G36" i="92"/>
  <c r="G38" i="92" s="1"/>
  <c r="F36" i="92"/>
  <c r="F38" i="92" s="1"/>
  <c r="E36" i="92"/>
  <c r="E38" i="92" s="1"/>
  <c r="D36" i="92"/>
  <c r="D38" i="92" s="1"/>
  <c r="B22" i="92"/>
  <c r="C9" i="92"/>
  <c r="C10" i="92" s="1"/>
  <c r="C8" i="92"/>
  <c r="B4" i="92"/>
  <c r="J64" i="91"/>
  <c r="I64" i="91"/>
  <c r="H64" i="91"/>
  <c r="J54" i="91"/>
  <c r="I54" i="91"/>
  <c r="H54" i="91"/>
  <c r="G54" i="91"/>
  <c r="G64" i="91" s="1"/>
  <c r="F54" i="91"/>
  <c r="F64" i="91" s="1"/>
  <c r="E54" i="91"/>
  <c r="E64" i="91" s="1"/>
  <c r="D54" i="91"/>
  <c r="D64" i="91" s="1"/>
  <c r="C52" i="91"/>
  <c r="C51" i="91"/>
  <c r="C50" i="91"/>
  <c r="C49" i="91"/>
  <c r="C48" i="91"/>
  <c r="C47" i="91"/>
  <c r="J45" i="91"/>
  <c r="I45" i="91"/>
  <c r="H45" i="91"/>
  <c r="G45" i="91"/>
  <c r="F45" i="91"/>
  <c r="E45" i="91"/>
  <c r="D45" i="91"/>
  <c r="J44" i="91"/>
  <c r="I44" i="91"/>
  <c r="H44" i="91"/>
  <c r="G44" i="91"/>
  <c r="F44" i="91"/>
  <c r="E44" i="91"/>
  <c r="D44" i="91"/>
  <c r="J42" i="91"/>
  <c r="I42" i="91"/>
  <c r="H42" i="91"/>
  <c r="G42" i="91"/>
  <c r="F42" i="91"/>
  <c r="E42" i="91"/>
  <c r="D42" i="91"/>
  <c r="J41" i="91"/>
  <c r="I41" i="91"/>
  <c r="H41" i="91"/>
  <c r="G41" i="91"/>
  <c r="F41" i="91"/>
  <c r="E41" i="91"/>
  <c r="D41" i="91"/>
  <c r="J39" i="91"/>
  <c r="I39" i="91"/>
  <c r="H39" i="91"/>
  <c r="G39" i="91"/>
  <c r="F39" i="91"/>
  <c r="E39" i="91"/>
  <c r="I19" i="91" s="1"/>
  <c r="D39" i="91"/>
  <c r="J38" i="91"/>
  <c r="I38" i="91"/>
  <c r="H38" i="91"/>
  <c r="J36" i="91"/>
  <c r="I36" i="91"/>
  <c r="H36" i="91"/>
  <c r="G36" i="91"/>
  <c r="G38" i="91" s="1"/>
  <c r="F36" i="91"/>
  <c r="F38" i="91" s="1"/>
  <c r="E36" i="91"/>
  <c r="E38" i="91" s="1"/>
  <c r="D36" i="91"/>
  <c r="D38" i="91" s="1"/>
  <c r="B22" i="91"/>
  <c r="D17" i="91"/>
  <c r="C9" i="91"/>
  <c r="C10" i="91" s="1"/>
  <c r="C8" i="91"/>
  <c r="B4" i="91"/>
  <c r="J64" i="90"/>
  <c r="I64" i="90"/>
  <c r="H64" i="90"/>
  <c r="G64" i="90"/>
  <c r="F64" i="90"/>
  <c r="E64" i="90"/>
  <c r="J54" i="90"/>
  <c r="I54" i="90"/>
  <c r="H54" i="90"/>
  <c r="G54" i="90"/>
  <c r="F54" i="90"/>
  <c r="E54" i="90"/>
  <c r="D54" i="90"/>
  <c r="D64" i="90" s="1"/>
  <c r="C52" i="90"/>
  <c r="C51" i="90"/>
  <c r="C50" i="90"/>
  <c r="C49" i="90"/>
  <c r="C48" i="90"/>
  <c r="C47" i="90"/>
  <c r="J45" i="90"/>
  <c r="I45" i="90"/>
  <c r="H45" i="90"/>
  <c r="G45" i="90"/>
  <c r="F45" i="90"/>
  <c r="E45" i="90"/>
  <c r="D45" i="90"/>
  <c r="J44" i="90"/>
  <c r="I44" i="90"/>
  <c r="H44" i="90"/>
  <c r="G44" i="90"/>
  <c r="F44" i="90"/>
  <c r="E44" i="90"/>
  <c r="D44" i="90"/>
  <c r="J42" i="90"/>
  <c r="I42" i="90"/>
  <c r="H42" i="90"/>
  <c r="G42" i="90"/>
  <c r="F42" i="90"/>
  <c r="E42" i="90"/>
  <c r="D42" i="90"/>
  <c r="J41" i="90"/>
  <c r="I41" i="90"/>
  <c r="H41" i="90"/>
  <c r="G41" i="90"/>
  <c r="F41" i="90"/>
  <c r="E41" i="90"/>
  <c r="J39" i="90"/>
  <c r="I39" i="90"/>
  <c r="H39" i="90"/>
  <c r="G39" i="90"/>
  <c r="F39" i="90"/>
  <c r="E39" i="90"/>
  <c r="D39" i="90"/>
  <c r="J38" i="90"/>
  <c r="I38" i="90"/>
  <c r="H38" i="90"/>
  <c r="G38" i="90"/>
  <c r="F38" i="90"/>
  <c r="E38" i="90"/>
  <c r="J36" i="90"/>
  <c r="I36" i="90"/>
  <c r="H36" i="90"/>
  <c r="G36" i="90"/>
  <c r="F36" i="90"/>
  <c r="E36" i="90"/>
  <c r="D36" i="90"/>
  <c r="D38" i="90" s="1"/>
  <c r="B22" i="90"/>
  <c r="I19" i="90"/>
  <c r="C9" i="90"/>
  <c r="C10" i="90" s="1"/>
  <c r="C8" i="90"/>
  <c r="B4" i="90"/>
  <c r="J64" i="89"/>
  <c r="I64" i="89"/>
  <c r="H64" i="89"/>
  <c r="J54" i="89"/>
  <c r="I54" i="89"/>
  <c r="H54" i="89"/>
  <c r="G54" i="89"/>
  <c r="G64" i="89" s="1"/>
  <c r="F54" i="89"/>
  <c r="F64" i="89" s="1"/>
  <c r="E54" i="89"/>
  <c r="E64" i="89" s="1"/>
  <c r="D54" i="89"/>
  <c r="D64" i="89" s="1"/>
  <c r="C52" i="89"/>
  <c r="C51" i="89"/>
  <c r="C50" i="89"/>
  <c r="C49" i="89"/>
  <c r="C48" i="89"/>
  <c r="C47" i="89"/>
  <c r="J45" i="89"/>
  <c r="I45" i="89"/>
  <c r="H45" i="89"/>
  <c r="G45" i="89"/>
  <c r="F45" i="89"/>
  <c r="E45" i="89"/>
  <c r="D45" i="89"/>
  <c r="J44" i="89"/>
  <c r="I44" i="89"/>
  <c r="H44" i="89"/>
  <c r="G44" i="89"/>
  <c r="F44" i="89"/>
  <c r="E44" i="89"/>
  <c r="D44" i="89"/>
  <c r="J42" i="89"/>
  <c r="I42" i="89"/>
  <c r="H42" i="89"/>
  <c r="G42" i="89"/>
  <c r="F42" i="89"/>
  <c r="E42" i="89"/>
  <c r="D42" i="89"/>
  <c r="J41" i="89"/>
  <c r="I41" i="89"/>
  <c r="H41" i="89"/>
  <c r="G41" i="89"/>
  <c r="F41" i="89"/>
  <c r="E41" i="89"/>
  <c r="D41" i="89"/>
  <c r="J39" i="89"/>
  <c r="I39" i="89"/>
  <c r="H39" i="89"/>
  <c r="G39" i="89"/>
  <c r="F39" i="89"/>
  <c r="E39" i="89"/>
  <c r="I19" i="89" s="1"/>
  <c r="D39" i="89"/>
  <c r="J38" i="89"/>
  <c r="I38" i="89"/>
  <c r="H38" i="89"/>
  <c r="J36" i="89"/>
  <c r="I36" i="89"/>
  <c r="H36" i="89"/>
  <c r="G36" i="89"/>
  <c r="G38" i="89" s="1"/>
  <c r="F36" i="89"/>
  <c r="F38" i="89" s="1"/>
  <c r="E36" i="89"/>
  <c r="E38" i="89" s="1"/>
  <c r="D36" i="89"/>
  <c r="D38" i="89" s="1"/>
  <c r="B22" i="89"/>
  <c r="C9" i="89"/>
  <c r="C10" i="89" s="1"/>
  <c r="C8" i="89"/>
  <c r="B4" i="89"/>
  <c r="J64" i="88"/>
  <c r="I64" i="88"/>
  <c r="H64" i="88"/>
  <c r="G64" i="88"/>
  <c r="F64" i="88"/>
  <c r="J54" i="88"/>
  <c r="I54" i="88"/>
  <c r="H54" i="88"/>
  <c r="G54" i="88"/>
  <c r="F54" i="88"/>
  <c r="E54" i="88"/>
  <c r="E64" i="88" s="1"/>
  <c r="D54" i="88"/>
  <c r="D64" i="88" s="1"/>
  <c r="C52" i="88"/>
  <c r="C51" i="88"/>
  <c r="C50" i="88"/>
  <c r="C49" i="88"/>
  <c r="C48" i="88"/>
  <c r="C47" i="88"/>
  <c r="J45" i="88"/>
  <c r="I45" i="88"/>
  <c r="H45" i="88"/>
  <c r="G45" i="88"/>
  <c r="F45" i="88"/>
  <c r="E45" i="88"/>
  <c r="D45" i="88"/>
  <c r="J44" i="88"/>
  <c r="I44" i="88"/>
  <c r="H44" i="88"/>
  <c r="G44" i="88"/>
  <c r="F44" i="88"/>
  <c r="E44" i="88"/>
  <c r="D44" i="88"/>
  <c r="J42" i="88"/>
  <c r="I42" i="88"/>
  <c r="H42" i="88"/>
  <c r="G42" i="88"/>
  <c r="F42" i="88"/>
  <c r="E42" i="88"/>
  <c r="D42" i="88"/>
  <c r="J41" i="88"/>
  <c r="I41" i="88"/>
  <c r="H41" i="88"/>
  <c r="G41" i="88"/>
  <c r="F41" i="88"/>
  <c r="D41" i="88"/>
  <c r="J39" i="88"/>
  <c r="I39" i="88"/>
  <c r="H39" i="88"/>
  <c r="G39" i="88"/>
  <c r="F39" i="88"/>
  <c r="E39" i="88"/>
  <c r="D39" i="88"/>
  <c r="J38" i="88"/>
  <c r="I38" i="88"/>
  <c r="H38" i="88"/>
  <c r="G38" i="88"/>
  <c r="F38" i="88"/>
  <c r="J36" i="88"/>
  <c r="I36" i="88"/>
  <c r="H36" i="88"/>
  <c r="G36" i="88"/>
  <c r="F36" i="88"/>
  <c r="E36" i="88"/>
  <c r="E38" i="88" s="1"/>
  <c r="D36" i="88"/>
  <c r="D38" i="88" s="1"/>
  <c r="B22" i="88"/>
  <c r="I19" i="88"/>
  <c r="C9" i="88"/>
  <c r="C10" i="88" s="1"/>
  <c r="C8" i="88"/>
  <c r="B4" i="88"/>
  <c r="J64" i="87"/>
  <c r="I64" i="87"/>
  <c r="H64" i="87"/>
  <c r="G64" i="87"/>
  <c r="F64" i="87"/>
  <c r="J54" i="87"/>
  <c r="I54" i="87"/>
  <c r="H54" i="87"/>
  <c r="G54" i="87"/>
  <c r="F54" i="87"/>
  <c r="E54" i="87"/>
  <c r="E64" i="87" s="1"/>
  <c r="D54" i="87"/>
  <c r="D64" i="87" s="1"/>
  <c r="C52" i="87"/>
  <c r="C51" i="87"/>
  <c r="C50" i="87"/>
  <c r="C49" i="87"/>
  <c r="C48" i="87"/>
  <c r="C47" i="87"/>
  <c r="J45" i="87"/>
  <c r="I45" i="87"/>
  <c r="H45" i="87"/>
  <c r="G45" i="87"/>
  <c r="F45" i="87"/>
  <c r="E45" i="87"/>
  <c r="D45" i="87"/>
  <c r="J44" i="87"/>
  <c r="I44" i="87"/>
  <c r="H44" i="87"/>
  <c r="G44" i="87"/>
  <c r="F44" i="87"/>
  <c r="E44" i="87"/>
  <c r="D44" i="87"/>
  <c r="J42" i="87"/>
  <c r="I42" i="87"/>
  <c r="H42" i="87"/>
  <c r="G42" i="87"/>
  <c r="F42" i="87"/>
  <c r="E42" i="87"/>
  <c r="D42" i="87"/>
  <c r="J41" i="87"/>
  <c r="I41" i="87"/>
  <c r="H41" i="87"/>
  <c r="G41" i="87"/>
  <c r="F41" i="87"/>
  <c r="E41" i="87"/>
  <c r="D41" i="87"/>
  <c r="J39" i="87"/>
  <c r="I39" i="87"/>
  <c r="H39" i="87"/>
  <c r="G39" i="87"/>
  <c r="F39" i="87"/>
  <c r="E39" i="87"/>
  <c r="D39" i="87"/>
  <c r="I19" i="87" s="1"/>
  <c r="J38" i="87"/>
  <c r="I38" i="87"/>
  <c r="H38" i="87"/>
  <c r="G38" i="87"/>
  <c r="F38" i="87"/>
  <c r="J36" i="87"/>
  <c r="I36" i="87"/>
  <c r="H36" i="87"/>
  <c r="G36" i="87"/>
  <c r="F36" i="87"/>
  <c r="E36" i="87"/>
  <c r="E38" i="87" s="1"/>
  <c r="D36" i="87"/>
  <c r="D38" i="87" s="1"/>
  <c r="B22" i="87"/>
  <c r="C16" i="87"/>
  <c r="C9" i="87"/>
  <c r="C10" i="87" s="1"/>
  <c r="C8" i="87"/>
  <c r="B4" i="87"/>
  <c r="J64" i="86"/>
  <c r="I64" i="86"/>
  <c r="H64" i="86"/>
  <c r="J54" i="86"/>
  <c r="I54" i="86"/>
  <c r="H54" i="86"/>
  <c r="G54" i="86"/>
  <c r="G64" i="86" s="1"/>
  <c r="F54" i="86"/>
  <c r="F64" i="86" s="1"/>
  <c r="E54" i="86"/>
  <c r="E64" i="86" s="1"/>
  <c r="D54" i="86"/>
  <c r="D64" i="86" s="1"/>
  <c r="C52" i="86"/>
  <c r="C51" i="86"/>
  <c r="C50" i="86"/>
  <c r="C49" i="86"/>
  <c r="C48" i="86"/>
  <c r="C47" i="86"/>
  <c r="J45" i="86"/>
  <c r="I45" i="86"/>
  <c r="H45" i="86"/>
  <c r="G45" i="86"/>
  <c r="F45" i="86"/>
  <c r="E45" i="86"/>
  <c r="D45" i="86"/>
  <c r="J44" i="86"/>
  <c r="I44" i="86"/>
  <c r="H44" i="86"/>
  <c r="G44" i="86"/>
  <c r="F44" i="86"/>
  <c r="E44" i="86"/>
  <c r="D44" i="86"/>
  <c r="J42" i="86"/>
  <c r="I42" i="86"/>
  <c r="H42" i="86"/>
  <c r="G42" i="86"/>
  <c r="F42" i="86"/>
  <c r="E42" i="86"/>
  <c r="D42" i="86"/>
  <c r="J41" i="86"/>
  <c r="I41" i="86"/>
  <c r="H41" i="86"/>
  <c r="G41" i="86"/>
  <c r="F41" i="86"/>
  <c r="E41" i="86"/>
  <c r="D41" i="86"/>
  <c r="J39" i="86"/>
  <c r="I39" i="86"/>
  <c r="H39" i="86"/>
  <c r="G39" i="86"/>
  <c r="I19" i="86" s="1"/>
  <c r="F39" i="86"/>
  <c r="E39" i="86"/>
  <c r="D39" i="86"/>
  <c r="J38" i="86"/>
  <c r="I38" i="86"/>
  <c r="H38" i="86"/>
  <c r="J36" i="86"/>
  <c r="I36" i="86"/>
  <c r="H36" i="86"/>
  <c r="G36" i="86"/>
  <c r="G38" i="86" s="1"/>
  <c r="F36" i="86"/>
  <c r="F38" i="86" s="1"/>
  <c r="E36" i="86"/>
  <c r="E38" i="86" s="1"/>
  <c r="D36" i="86"/>
  <c r="D38" i="86" s="1"/>
  <c r="B22" i="86"/>
  <c r="D19" i="86"/>
  <c r="C16" i="86"/>
  <c r="C9" i="86"/>
  <c r="C10" i="86" s="1"/>
  <c r="C8" i="86"/>
  <c r="B4" i="86"/>
  <c r="J54" i="85"/>
  <c r="J64" i="85" s="1"/>
  <c r="I54" i="85"/>
  <c r="I64" i="85" s="1"/>
  <c r="H54" i="85"/>
  <c r="H64" i="85" s="1"/>
  <c r="G54" i="85"/>
  <c r="G64" i="85" s="1"/>
  <c r="F54" i="85"/>
  <c r="F64" i="85" s="1"/>
  <c r="E54" i="85"/>
  <c r="E64" i="85" s="1"/>
  <c r="D54" i="85"/>
  <c r="D64" i="85" s="1"/>
  <c r="I15" i="85" s="1"/>
  <c r="C52" i="85"/>
  <c r="C51" i="85"/>
  <c r="C50" i="85"/>
  <c r="C49" i="85"/>
  <c r="C48" i="85"/>
  <c r="C47" i="85"/>
  <c r="J45" i="85"/>
  <c r="I45" i="85"/>
  <c r="H45" i="85"/>
  <c r="G45" i="85"/>
  <c r="F45" i="85"/>
  <c r="E45" i="85"/>
  <c r="D45" i="85"/>
  <c r="J44" i="85"/>
  <c r="I44" i="85"/>
  <c r="H44" i="85"/>
  <c r="G44" i="85"/>
  <c r="F44" i="85"/>
  <c r="E44" i="85"/>
  <c r="D44" i="85"/>
  <c r="J42" i="85"/>
  <c r="I42" i="85"/>
  <c r="H42" i="85"/>
  <c r="G42" i="85"/>
  <c r="F42" i="85"/>
  <c r="E42" i="85"/>
  <c r="D42" i="85"/>
  <c r="J41" i="85"/>
  <c r="I41" i="85"/>
  <c r="H41" i="85"/>
  <c r="G41" i="85"/>
  <c r="F41" i="85"/>
  <c r="E41" i="85"/>
  <c r="D41" i="85"/>
  <c r="J39" i="85"/>
  <c r="I39" i="85"/>
  <c r="I19" i="85" s="1"/>
  <c r="H39" i="85"/>
  <c r="G39" i="85"/>
  <c r="F39" i="85"/>
  <c r="E39" i="85"/>
  <c r="D39" i="85"/>
  <c r="J36" i="85"/>
  <c r="J38" i="85" s="1"/>
  <c r="I36" i="85"/>
  <c r="I38" i="85" s="1"/>
  <c r="H36" i="85"/>
  <c r="H38" i="85" s="1"/>
  <c r="G36" i="85"/>
  <c r="G38" i="85" s="1"/>
  <c r="F36" i="85"/>
  <c r="F38" i="85" s="1"/>
  <c r="E36" i="85"/>
  <c r="E38" i="85" s="1"/>
  <c r="D36" i="85"/>
  <c r="D38" i="85" s="1"/>
  <c r="B22" i="85"/>
  <c r="C19" i="85"/>
  <c r="H19" i="85" s="1"/>
  <c r="C9" i="85"/>
  <c r="C10" i="85" s="1"/>
  <c r="L8" i="85" s="1"/>
  <c r="C8" i="85"/>
  <c r="B4" i="85"/>
  <c r="J64" i="84"/>
  <c r="I64" i="84"/>
  <c r="H64" i="84"/>
  <c r="G64" i="84"/>
  <c r="F64" i="84"/>
  <c r="J54" i="84"/>
  <c r="I54" i="84"/>
  <c r="H54" i="84"/>
  <c r="G54" i="84"/>
  <c r="F54" i="84"/>
  <c r="E54" i="84"/>
  <c r="E64" i="84" s="1"/>
  <c r="D54" i="84"/>
  <c r="D64" i="84" s="1"/>
  <c r="C52" i="84"/>
  <c r="C51" i="84"/>
  <c r="C50" i="84"/>
  <c r="C49" i="84"/>
  <c r="C48" i="84"/>
  <c r="C47" i="84"/>
  <c r="J45" i="84"/>
  <c r="I45" i="84"/>
  <c r="H45" i="84"/>
  <c r="G45" i="84"/>
  <c r="F45" i="84"/>
  <c r="E45" i="84"/>
  <c r="D45" i="84"/>
  <c r="J44" i="84"/>
  <c r="I44" i="84"/>
  <c r="H44" i="84"/>
  <c r="G44" i="84"/>
  <c r="F44" i="84"/>
  <c r="E44" i="84"/>
  <c r="D44" i="84"/>
  <c r="J42" i="84"/>
  <c r="I42" i="84"/>
  <c r="H42" i="84"/>
  <c r="G42" i="84"/>
  <c r="F42" i="84"/>
  <c r="E42" i="84"/>
  <c r="D42" i="84"/>
  <c r="J41" i="84"/>
  <c r="I41" i="84"/>
  <c r="H41" i="84"/>
  <c r="G41" i="84"/>
  <c r="F41" i="84"/>
  <c r="E41" i="84"/>
  <c r="D41" i="84"/>
  <c r="J39" i="84"/>
  <c r="I39" i="84"/>
  <c r="H39" i="84"/>
  <c r="G39" i="84"/>
  <c r="F39" i="84"/>
  <c r="E39" i="84"/>
  <c r="D39" i="84"/>
  <c r="J38" i="84"/>
  <c r="I38" i="84"/>
  <c r="H38" i="84"/>
  <c r="G38" i="84"/>
  <c r="F38" i="84"/>
  <c r="J36" i="84"/>
  <c r="I36" i="84"/>
  <c r="H36" i="84"/>
  <c r="G36" i="84"/>
  <c r="F36" i="84"/>
  <c r="E36" i="84"/>
  <c r="E38" i="84" s="1"/>
  <c r="D36" i="84"/>
  <c r="D38" i="84" s="1"/>
  <c r="B22" i="84"/>
  <c r="I19" i="84"/>
  <c r="C19" i="84"/>
  <c r="H19" i="84" s="1"/>
  <c r="D16" i="84"/>
  <c r="C9" i="84"/>
  <c r="C10" i="84" s="1"/>
  <c r="C8" i="84"/>
  <c r="B4" i="84"/>
  <c r="J64" i="83"/>
  <c r="I64" i="83"/>
  <c r="H64" i="83"/>
  <c r="J54" i="83"/>
  <c r="I54" i="83"/>
  <c r="H54" i="83"/>
  <c r="G54" i="83"/>
  <c r="G64" i="83" s="1"/>
  <c r="F54" i="83"/>
  <c r="F64" i="83" s="1"/>
  <c r="E54" i="83"/>
  <c r="E64" i="83" s="1"/>
  <c r="D54" i="83"/>
  <c r="D64" i="83" s="1"/>
  <c r="C52" i="83"/>
  <c r="C51" i="83"/>
  <c r="C50" i="83"/>
  <c r="C49" i="83"/>
  <c r="C48" i="83"/>
  <c r="C47" i="83"/>
  <c r="J45" i="83"/>
  <c r="I45" i="83"/>
  <c r="H45" i="83"/>
  <c r="G45" i="83"/>
  <c r="F45" i="83"/>
  <c r="E45" i="83"/>
  <c r="D45" i="83"/>
  <c r="J44" i="83"/>
  <c r="I44" i="83"/>
  <c r="H44" i="83"/>
  <c r="G44" i="83"/>
  <c r="F44" i="83"/>
  <c r="E44" i="83"/>
  <c r="D44" i="83"/>
  <c r="J42" i="83"/>
  <c r="I42" i="83"/>
  <c r="H42" i="83"/>
  <c r="G42" i="83"/>
  <c r="F42" i="83"/>
  <c r="E42" i="83"/>
  <c r="D42" i="83"/>
  <c r="J41" i="83"/>
  <c r="I41" i="83"/>
  <c r="H41" i="83"/>
  <c r="G41" i="83"/>
  <c r="E41" i="83"/>
  <c r="D41" i="83"/>
  <c r="J39" i="83"/>
  <c r="I39" i="83"/>
  <c r="H39" i="83"/>
  <c r="G39" i="83"/>
  <c r="F39" i="83"/>
  <c r="E39" i="83"/>
  <c r="I19" i="83" s="1"/>
  <c r="D39" i="83"/>
  <c r="J38" i="83"/>
  <c r="I38" i="83"/>
  <c r="H38" i="83"/>
  <c r="J36" i="83"/>
  <c r="I36" i="83"/>
  <c r="H36" i="83"/>
  <c r="G36" i="83"/>
  <c r="G38" i="83" s="1"/>
  <c r="F36" i="83"/>
  <c r="F41" i="83" s="1"/>
  <c r="E36" i="83"/>
  <c r="E38" i="83" s="1"/>
  <c r="D36" i="83"/>
  <c r="D38" i="83" s="1"/>
  <c r="B22" i="83"/>
  <c r="C16" i="83"/>
  <c r="C9" i="83"/>
  <c r="C10" i="83" s="1"/>
  <c r="C8" i="83"/>
  <c r="B4" i="83"/>
  <c r="J64" i="82"/>
  <c r="I64" i="82"/>
  <c r="H64" i="82"/>
  <c r="G64" i="82"/>
  <c r="F64" i="82"/>
  <c r="J54" i="82"/>
  <c r="I54" i="82"/>
  <c r="H54" i="82"/>
  <c r="G54" i="82"/>
  <c r="F54" i="82"/>
  <c r="E54" i="82"/>
  <c r="E64" i="82" s="1"/>
  <c r="D54" i="82"/>
  <c r="D64" i="82" s="1"/>
  <c r="C52" i="82"/>
  <c r="C51" i="82"/>
  <c r="C50" i="82"/>
  <c r="C49" i="82"/>
  <c r="C48" i="82"/>
  <c r="C47" i="82"/>
  <c r="J45" i="82"/>
  <c r="I45" i="82"/>
  <c r="H45" i="82"/>
  <c r="G45" i="82"/>
  <c r="F45" i="82"/>
  <c r="E45" i="82"/>
  <c r="D45" i="82"/>
  <c r="J44" i="82"/>
  <c r="I44" i="82"/>
  <c r="H44" i="82"/>
  <c r="G44" i="82"/>
  <c r="F44" i="82"/>
  <c r="E44" i="82"/>
  <c r="D44" i="82"/>
  <c r="J42" i="82"/>
  <c r="I42" i="82"/>
  <c r="H42" i="82"/>
  <c r="G42" i="82"/>
  <c r="F42" i="82"/>
  <c r="E42" i="82"/>
  <c r="D42" i="82"/>
  <c r="J41" i="82"/>
  <c r="I41" i="82"/>
  <c r="H41" i="82"/>
  <c r="G41" i="82"/>
  <c r="F41" i="82"/>
  <c r="E41" i="82"/>
  <c r="D41" i="82"/>
  <c r="J39" i="82"/>
  <c r="I39" i="82"/>
  <c r="H39" i="82"/>
  <c r="G39" i="82"/>
  <c r="F39" i="82"/>
  <c r="E39" i="82"/>
  <c r="D39" i="82"/>
  <c r="I19" i="82" s="1"/>
  <c r="J38" i="82"/>
  <c r="I38" i="82"/>
  <c r="H38" i="82"/>
  <c r="G38" i="82"/>
  <c r="F38" i="82"/>
  <c r="J36" i="82"/>
  <c r="I36" i="82"/>
  <c r="H36" i="82"/>
  <c r="G36" i="82"/>
  <c r="F36" i="82"/>
  <c r="E36" i="82"/>
  <c r="E38" i="82" s="1"/>
  <c r="D36" i="82"/>
  <c r="D38" i="82" s="1"/>
  <c r="B22" i="82"/>
  <c r="C9" i="82"/>
  <c r="C10" i="82" s="1"/>
  <c r="L10" i="82" s="1"/>
  <c r="C8" i="82"/>
  <c r="B4" i="82"/>
  <c r="J64" i="81"/>
  <c r="I64" i="81"/>
  <c r="H64" i="81"/>
  <c r="G64" i="81"/>
  <c r="F64" i="81"/>
  <c r="E64" i="81"/>
  <c r="J54" i="81"/>
  <c r="I54" i="81"/>
  <c r="H54" i="81"/>
  <c r="G54" i="81"/>
  <c r="F54" i="81"/>
  <c r="E54" i="81"/>
  <c r="D54" i="81"/>
  <c r="D64" i="81" s="1"/>
  <c r="C52" i="81"/>
  <c r="C51" i="81"/>
  <c r="C50" i="81"/>
  <c r="C49" i="81"/>
  <c r="C48" i="81"/>
  <c r="C47" i="81"/>
  <c r="J45" i="81"/>
  <c r="I45" i="81"/>
  <c r="H45" i="81"/>
  <c r="G45" i="81"/>
  <c r="F45" i="81"/>
  <c r="E45" i="81"/>
  <c r="D45" i="81"/>
  <c r="J44" i="81"/>
  <c r="I44" i="81"/>
  <c r="H44" i="81"/>
  <c r="G44" i="81"/>
  <c r="F44" i="81"/>
  <c r="E44" i="81"/>
  <c r="D44" i="81"/>
  <c r="J42" i="81"/>
  <c r="I42" i="81"/>
  <c r="H42" i="81"/>
  <c r="G42" i="81"/>
  <c r="F42" i="81"/>
  <c r="E42" i="81"/>
  <c r="D42" i="81"/>
  <c r="J41" i="81"/>
  <c r="I41" i="81"/>
  <c r="H41" i="81"/>
  <c r="G41" i="81"/>
  <c r="F41" i="81"/>
  <c r="E41" i="81"/>
  <c r="D41" i="81"/>
  <c r="J39" i="81"/>
  <c r="I39" i="81"/>
  <c r="H39" i="81"/>
  <c r="G39" i="81"/>
  <c r="F39" i="81"/>
  <c r="E39" i="81"/>
  <c r="D39" i="81"/>
  <c r="J38" i="81"/>
  <c r="I38" i="81"/>
  <c r="H38" i="81"/>
  <c r="G38" i="81"/>
  <c r="F38" i="81"/>
  <c r="E38" i="81"/>
  <c r="J36" i="81"/>
  <c r="I36" i="81"/>
  <c r="H36" i="81"/>
  <c r="G36" i="81"/>
  <c r="F36" i="81"/>
  <c r="E36" i="81"/>
  <c r="D36" i="81"/>
  <c r="D38" i="81" s="1"/>
  <c r="B22" i="81"/>
  <c r="I19" i="81"/>
  <c r="C9" i="81"/>
  <c r="C10" i="81" s="1"/>
  <c r="C8" i="81"/>
  <c r="B4" i="81"/>
  <c r="J64" i="80"/>
  <c r="I64" i="80"/>
  <c r="J54" i="80"/>
  <c r="I54" i="80"/>
  <c r="H54" i="80"/>
  <c r="H64" i="80" s="1"/>
  <c r="G54" i="80"/>
  <c r="G64" i="80" s="1"/>
  <c r="F54" i="80"/>
  <c r="F64" i="80" s="1"/>
  <c r="E54" i="80"/>
  <c r="E64" i="80" s="1"/>
  <c r="D54" i="80"/>
  <c r="D64" i="80" s="1"/>
  <c r="C52" i="80"/>
  <c r="C51" i="80"/>
  <c r="C50" i="80"/>
  <c r="C49" i="80"/>
  <c r="C48" i="80"/>
  <c r="C47" i="80"/>
  <c r="J45" i="80"/>
  <c r="I45" i="80"/>
  <c r="H45" i="80"/>
  <c r="G45" i="80"/>
  <c r="F45" i="80"/>
  <c r="E45" i="80"/>
  <c r="D45" i="80"/>
  <c r="J44" i="80"/>
  <c r="I44" i="80"/>
  <c r="F44" i="80"/>
  <c r="J42" i="80"/>
  <c r="I42" i="80"/>
  <c r="H42" i="80"/>
  <c r="G42" i="80"/>
  <c r="F42" i="80"/>
  <c r="E42" i="80"/>
  <c r="D42" i="80"/>
  <c r="J41" i="80"/>
  <c r="I41" i="80"/>
  <c r="J39" i="80"/>
  <c r="I39" i="80"/>
  <c r="H39" i="80"/>
  <c r="G39" i="80"/>
  <c r="F39" i="80"/>
  <c r="E39" i="80"/>
  <c r="D39" i="80"/>
  <c r="I19" i="80" s="1"/>
  <c r="J38" i="80"/>
  <c r="I38" i="80"/>
  <c r="J36" i="80"/>
  <c r="I36" i="80"/>
  <c r="H36" i="80"/>
  <c r="H44" i="80" s="1"/>
  <c r="G36" i="80"/>
  <c r="G44" i="80" s="1"/>
  <c r="F36" i="80"/>
  <c r="F41" i="80" s="1"/>
  <c r="E36" i="80"/>
  <c r="E44" i="80" s="1"/>
  <c r="D36" i="80"/>
  <c r="D44" i="80" s="1"/>
  <c r="B22" i="80"/>
  <c r="C9" i="80"/>
  <c r="C10" i="80" s="1"/>
  <c r="C8" i="80"/>
  <c r="B4" i="80"/>
  <c r="J64" i="79"/>
  <c r="I64" i="79"/>
  <c r="H64" i="79"/>
  <c r="G64" i="79"/>
  <c r="F64" i="79"/>
  <c r="E64" i="79"/>
  <c r="J54" i="79"/>
  <c r="I54" i="79"/>
  <c r="H54" i="79"/>
  <c r="G54" i="79"/>
  <c r="F54" i="79"/>
  <c r="E54" i="79"/>
  <c r="D54" i="79"/>
  <c r="D64" i="79" s="1"/>
  <c r="C52" i="79"/>
  <c r="C51" i="79"/>
  <c r="C50" i="79"/>
  <c r="C49" i="79"/>
  <c r="C48" i="79"/>
  <c r="C47" i="79"/>
  <c r="J45" i="79"/>
  <c r="I45" i="79"/>
  <c r="H45" i="79"/>
  <c r="G45" i="79"/>
  <c r="F45" i="79"/>
  <c r="E45" i="79"/>
  <c r="D45" i="79"/>
  <c r="J44" i="79"/>
  <c r="I44" i="79"/>
  <c r="H44" i="79"/>
  <c r="G44" i="79"/>
  <c r="F44" i="79"/>
  <c r="E44" i="79"/>
  <c r="D44" i="79"/>
  <c r="J42" i="79"/>
  <c r="I42" i="79"/>
  <c r="H42" i="79"/>
  <c r="G42" i="79"/>
  <c r="F42" i="79"/>
  <c r="E42" i="79"/>
  <c r="D42" i="79"/>
  <c r="J41" i="79"/>
  <c r="I41" i="79"/>
  <c r="H41" i="79"/>
  <c r="G41" i="79"/>
  <c r="F41" i="79"/>
  <c r="E41" i="79"/>
  <c r="D41" i="79"/>
  <c r="J39" i="79"/>
  <c r="I39" i="79"/>
  <c r="H39" i="79"/>
  <c r="G39" i="79"/>
  <c r="F39" i="79"/>
  <c r="E39" i="79"/>
  <c r="D39" i="79"/>
  <c r="I19" i="79" s="1"/>
  <c r="J38" i="79"/>
  <c r="I38" i="79"/>
  <c r="H38" i="79"/>
  <c r="G38" i="79"/>
  <c r="F38" i="79"/>
  <c r="E38" i="79"/>
  <c r="J36" i="79"/>
  <c r="I36" i="79"/>
  <c r="H36" i="79"/>
  <c r="G36" i="79"/>
  <c r="F36" i="79"/>
  <c r="E36" i="79"/>
  <c r="D36" i="79"/>
  <c r="D38" i="79" s="1"/>
  <c r="B22" i="79"/>
  <c r="D19" i="79"/>
  <c r="C19" i="79"/>
  <c r="H19" i="79" s="1"/>
  <c r="D16" i="79"/>
  <c r="C16" i="79"/>
  <c r="E16" i="79" s="1"/>
  <c r="G31" i="21" s="1"/>
  <c r="D17" i="79"/>
  <c r="C9" i="79"/>
  <c r="C10" i="79" s="1"/>
  <c r="L8" i="79" s="1"/>
  <c r="C8" i="79"/>
  <c r="B4" i="79"/>
  <c r="J64" i="78"/>
  <c r="I64" i="78"/>
  <c r="H64" i="78"/>
  <c r="J54" i="78"/>
  <c r="I54" i="78"/>
  <c r="H54" i="78"/>
  <c r="G54" i="78"/>
  <c r="G64" i="78" s="1"/>
  <c r="F54" i="78"/>
  <c r="F64" i="78" s="1"/>
  <c r="E54" i="78"/>
  <c r="E64" i="78" s="1"/>
  <c r="D54" i="78"/>
  <c r="D64" i="78" s="1"/>
  <c r="C52" i="78"/>
  <c r="C51" i="78"/>
  <c r="C50" i="78"/>
  <c r="C49" i="78"/>
  <c r="C48" i="78"/>
  <c r="C47" i="78"/>
  <c r="J45" i="78"/>
  <c r="I45" i="78"/>
  <c r="H45" i="78"/>
  <c r="G45" i="78"/>
  <c r="F45" i="78"/>
  <c r="E45" i="78"/>
  <c r="I19" i="78" s="1"/>
  <c r="D45" i="78"/>
  <c r="J44" i="78"/>
  <c r="I44" i="78"/>
  <c r="H44" i="78"/>
  <c r="G44" i="78"/>
  <c r="F44" i="78"/>
  <c r="E44" i="78"/>
  <c r="D44" i="78"/>
  <c r="J42" i="78"/>
  <c r="I42" i="78"/>
  <c r="H42" i="78"/>
  <c r="G42" i="78"/>
  <c r="F42" i="78"/>
  <c r="E42" i="78"/>
  <c r="D42" i="78"/>
  <c r="J41" i="78"/>
  <c r="I41" i="78"/>
  <c r="H41" i="78"/>
  <c r="D41" i="78"/>
  <c r="J39" i="78"/>
  <c r="I39" i="78"/>
  <c r="H39" i="78"/>
  <c r="G39" i="78"/>
  <c r="F39" i="78"/>
  <c r="E39" i="78"/>
  <c r="D39" i="78"/>
  <c r="J38" i="78"/>
  <c r="I38" i="78"/>
  <c r="H38" i="78"/>
  <c r="J36" i="78"/>
  <c r="I36" i="78"/>
  <c r="H36" i="78"/>
  <c r="G36" i="78"/>
  <c r="G41" i="78" s="1"/>
  <c r="F36" i="78"/>
  <c r="F41" i="78" s="1"/>
  <c r="E36" i="78"/>
  <c r="E41" i="78" s="1"/>
  <c r="D36" i="78"/>
  <c r="D38" i="78" s="1"/>
  <c r="B22" i="78"/>
  <c r="D16" i="78"/>
  <c r="C16" i="78"/>
  <c r="D17" i="78"/>
  <c r="C9" i="78"/>
  <c r="C10" i="78" s="1"/>
  <c r="C8" i="78"/>
  <c r="B4" i="78"/>
  <c r="J65" i="77"/>
  <c r="I65" i="77"/>
  <c r="H65" i="77"/>
  <c r="J55" i="77"/>
  <c r="I55" i="77"/>
  <c r="H55" i="77"/>
  <c r="D55" i="77"/>
  <c r="D65" i="77" s="1"/>
  <c r="J45" i="77"/>
  <c r="I45" i="77"/>
  <c r="H45" i="77"/>
  <c r="G45" i="77"/>
  <c r="F45" i="77"/>
  <c r="E45" i="77"/>
  <c r="D45" i="77"/>
  <c r="J44" i="77"/>
  <c r="I44" i="77"/>
  <c r="H44" i="77"/>
  <c r="G44" i="77"/>
  <c r="F44" i="77"/>
  <c r="E44" i="77"/>
  <c r="D44" i="77"/>
  <c r="J42" i="77"/>
  <c r="I42" i="77"/>
  <c r="H42" i="77"/>
  <c r="G42" i="77"/>
  <c r="F42" i="77"/>
  <c r="E42" i="77"/>
  <c r="D42" i="77"/>
  <c r="J41" i="77"/>
  <c r="I41" i="77"/>
  <c r="H41" i="77"/>
  <c r="J39" i="77"/>
  <c r="I39" i="77"/>
  <c r="H39" i="77"/>
  <c r="I19" i="77"/>
  <c r="J38" i="77"/>
  <c r="I38" i="77"/>
  <c r="H38" i="77"/>
  <c r="G38" i="77"/>
  <c r="F38" i="77"/>
  <c r="J36" i="77"/>
  <c r="I36" i="77"/>
  <c r="H36" i="77"/>
  <c r="G36" i="77"/>
  <c r="G41" i="77" s="1"/>
  <c r="F36" i="77"/>
  <c r="F41" i="77" s="1"/>
  <c r="E36" i="77"/>
  <c r="D36" i="77"/>
  <c r="D41" i="77" s="1"/>
  <c r="B22" i="77"/>
  <c r="C16" i="77"/>
  <c r="E16" i="77" s="1"/>
  <c r="C9" i="77"/>
  <c r="C8" i="77"/>
  <c r="B4" i="77"/>
  <c r="H64" i="8"/>
  <c r="I64" i="8"/>
  <c r="J64" i="8"/>
  <c r="V25" i="21"/>
  <c r="V30" i="21"/>
  <c r="V35" i="21"/>
  <c r="V40" i="21"/>
  <c r="V45" i="21"/>
  <c r="V50" i="21"/>
  <c r="V55" i="21"/>
  <c r="V60" i="21"/>
  <c r="V65" i="21"/>
  <c r="V70" i="21"/>
  <c r="V75" i="21"/>
  <c r="V80" i="21"/>
  <c r="V85" i="21"/>
  <c r="V90" i="21"/>
  <c r="V95" i="21"/>
  <c r="V100" i="21"/>
  <c r="V105" i="21"/>
  <c r="V110" i="21"/>
  <c r="V115" i="21"/>
  <c r="V120" i="21"/>
  <c r="V125" i="21"/>
  <c r="C148" i="21" l="1"/>
  <c r="AE148" i="21" s="1"/>
  <c r="C149" i="21"/>
  <c r="AE149" i="21" s="1"/>
  <c r="D16" i="83"/>
  <c r="C19" i="83"/>
  <c r="H19" i="83" s="1"/>
  <c r="D17" i="87"/>
  <c r="C16" i="94"/>
  <c r="D134" i="21"/>
  <c r="C147" i="21"/>
  <c r="P147" i="21" s="1"/>
  <c r="E38" i="77"/>
  <c r="E41" i="77"/>
  <c r="D19" i="85"/>
  <c r="D17" i="93"/>
  <c r="I15" i="95"/>
  <c r="D144" i="21"/>
  <c r="C144" i="21"/>
  <c r="AE144" i="21" s="1"/>
  <c r="D16" i="85"/>
  <c r="I19" i="99"/>
  <c r="C135" i="21"/>
  <c r="P135" i="21" s="1"/>
  <c r="C140" i="21"/>
  <c r="P140" i="21" s="1"/>
  <c r="C132" i="21"/>
  <c r="AE132" i="21" s="1"/>
  <c r="H134" i="21"/>
  <c r="AA143" i="21"/>
  <c r="AA142" i="21"/>
  <c r="AA131" i="21"/>
  <c r="H148" i="21"/>
  <c r="H131" i="21"/>
  <c r="H139" i="21"/>
  <c r="AA139" i="21"/>
  <c r="H137" i="21"/>
  <c r="AA137" i="21"/>
  <c r="H143" i="21"/>
  <c r="H142" i="21"/>
  <c r="AA134" i="21"/>
  <c r="I15" i="96"/>
  <c r="L9" i="97"/>
  <c r="L9" i="82"/>
  <c r="D41" i="90"/>
  <c r="L8" i="80"/>
  <c r="J19" i="80"/>
  <c r="L9" i="80"/>
  <c r="L8" i="100"/>
  <c r="J19" i="100"/>
  <c r="K19" i="100" s="1"/>
  <c r="L9" i="100"/>
  <c r="L8" i="96"/>
  <c r="J19" i="96"/>
  <c r="K19" i="96" s="1"/>
  <c r="L9" i="96"/>
  <c r="L9" i="85"/>
  <c r="J19" i="79"/>
  <c r="K19" i="79" s="1"/>
  <c r="E41" i="88"/>
  <c r="J19" i="97"/>
  <c r="K19" i="97" s="1"/>
  <c r="J19" i="82"/>
  <c r="J19" i="85"/>
  <c r="K19" i="85" s="1"/>
  <c r="L9" i="79"/>
  <c r="I15" i="81"/>
  <c r="I15" i="82"/>
  <c r="I15" i="79"/>
  <c r="J15" i="79" s="1"/>
  <c r="I15" i="88"/>
  <c r="I15" i="92"/>
  <c r="I15" i="87"/>
  <c r="I15" i="78"/>
  <c r="I15" i="94"/>
  <c r="I15" i="93"/>
  <c r="I15" i="91"/>
  <c r="I15" i="90"/>
  <c r="I15" i="89"/>
  <c r="I15" i="86"/>
  <c r="I15" i="84"/>
  <c r="I15" i="83"/>
  <c r="F38" i="83"/>
  <c r="K19" i="82"/>
  <c r="I15" i="80"/>
  <c r="D38" i="80"/>
  <c r="E38" i="80"/>
  <c r="F38" i="80"/>
  <c r="D41" i="80"/>
  <c r="K19" i="80"/>
  <c r="G38" i="80"/>
  <c r="E41" i="80"/>
  <c r="H38" i="80"/>
  <c r="G41" i="80"/>
  <c r="H41" i="80"/>
  <c r="E38" i="78"/>
  <c r="F38" i="78"/>
  <c r="G38" i="78"/>
  <c r="D38" i="77"/>
  <c r="E38" i="97"/>
  <c r="D38" i="97"/>
  <c r="I15" i="97"/>
  <c r="J15" i="97" s="1"/>
  <c r="I15" i="98"/>
  <c r="I15" i="99"/>
  <c r="I15" i="100"/>
  <c r="I15" i="102"/>
  <c r="I15" i="103"/>
  <c r="D152" i="21"/>
  <c r="AE152" i="21" s="1"/>
  <c r="C146" i="21"/>
  <c r="D139" i="21"/>
  <c r="C138" i="21"/>
  <c r="C133" i="21"/>
  <c r="P133" i="21" s="1"/>
  <c r="C153" i="21"/>
  <c r="D153" i="21"/>
  <c r="C151" i="21"/>
  <c r="P151" i="21" s="1"/>
  <c r="C150" i="21"/>
  <c r="D151" i="21"/>
  <c r="C154" i="21"/>
  <c r="D150" i="21"/>
  <c r="D154" i="21"/>
  <c r="P152" i="21"/>
  <c r="D145" i="21"/>
  <c r="AE145" i="21" s="1"/>
  <c r="D146" i="21"/>
  <c r="D147" i="21"/>
  <c r="D148" i="21"/>
  <c r="P145" i="21"/>
  <c r="D140" i="21"/>
  <c r="D141" i="21"/>
  <c r="AE141" i="21" s="1"/>
  <c r="D142" i="21"/>
  <c r="D143" i="21"/>
  <c r="I142" i="21"/>
  <c r="I143" i="21"/>
  <c r="P141" i="21"/>
  <c r="P142" i="21"/>
  <c r="P143" i="21"/>
  <c r="D135" i="21"/>
  <c r="D136" i="21"/>
  <c r="AE136" i="21" s="1"/>
  <c r="D137" i="21"/>
  <c r="D138" i="21"/>
  <c r="I137" i="21"/>
  <c r="I139" i="21"/>
  <c r="P136" i="21"/>
  <c r="P137" i="21"/>
  <c r="P139" i="21"/>
  <c r="D130" i="21"/>
  <c r="D131" i="21"/>
  <c r="D132" i="21"/>
  <c r="D133" i="21"/>
  <c r="I131" i="21"/>
  <c r="I134" i="21"/>
  <c r="P131" i="21"/>
  <c r="P134" i="21"/>
  <c r="P130" i="21"/>
  <c r="C20" i="96"/>
  <c r="C20" i="99"/>
  <c r="C16" i="99"/>
  <c r="C16" i="95"/>
  <c r="E16" i="95" s="1"/>
  <c r="C19" i="100"/>
  <c r="H19" i="100" s="1"/>
  <c r="C20" i="100"/>
  <c r="D16" i="103"/>
  <c r="D16" i="95"/>
  <c r="D19" i="100"/>
  <c r="D17" i="77"/>
  <c r="D17" i="92"/>
  <c r="D17" i="85"/>
  <c r="C16" i="92"/>
  <c r="E16" i="92" s="1"/>
  <c r="C16" i="100"/>
  <c r="E16" i="100" s="1"/>
  <c r="D17" i="84"/>
  <c r="C19" i="89"/>
  <c r="H19" i="89" s="1"/>
  <c r="D16" i="93"/>
  <c r="C19" i="90"/>
  <c r="H19" i="90" s="1"/>
  <c r="D17" i="98"/>
  <c r="C16" i="98"/>
  <c r="E16" i="98" s="1"/>
  <c r="C16" i="82"/>
  <c r="E16" i="82" s="1"/>
  <c r="D17" i="90"/>
  <c r="C16" i="90"/>
  <c r="E16" i="90" s="1"/>
  <c r="C19" i="82"/>
  <c r="H19" i="82" s="1"/>
  <c r="D16" i="90"/>
  <c r="D16" i="82"/>
  <c r="C19" i="80"/>
  <c r="H19" i="80" s="1"/>
  <c r="C16" i="88"/>
  <c r="E16" i="88" s="1"/>
  <c r="D16" i="96"/>
  <c r="D19" i="81"/>
  <c r="C19" i="96"/>
  <c r="H19" i="96" s="1"/>
  <c r="D19" i="96"/>
  <c r="D19" i="80"/>
  <c r="D17" i="80"/>
  <c r="D17" i="89"/>
  <c r="C16" i="97"/>
  <c r="E16" i="97" s="1"/>
  <c r="G121" i="21" s="1"/>
  <c r="D16" i="88"/>
  <c r="C16" i="80"/>
  <c r="E16" i="80" s="1"/>
  <c r="G36" i="21" s="1"/>
  <c r="C16" i="89"/>
  <c r="E16" i="89" s="1"/>
  <c r="G81" i="21" s="1"/>
  <c r="D16" i="97"/>
  <c r="C16" i="96"/>
  <c r="E16" i="96" s="1"/>
  <c r="D17" i="103"/>
  <c r="D17" i="101"/>
  <c r="C16" i="101"/>
  <c r="E16" i="101" s="1"/>
  <c r="D17" i="102"/>
  <c r="C16" i="102"/>
  <c r="E16" i="102" s="1"/>
  <c r="L8" i="103"/>
  <c r="L9" i="103"/>
  <c r="L10" i="103"/>
  <c r="J19" i="103"/>
  <c r="K19" i="103" s="1"/>
  <c r="E16" i="103"/>
  <c r="C19" i="103"/>
  <c r="D19" i="103"/>
  <c r="C20" i="103"/>
  <c r="C18" i="103"/>
  <c r="D20" i="103"/>
  <c r="D18" i="103"/>
  <c r="C15" i="103"/>
  <c r="C17" i="103"/>
  <c r="D15" i="103"/>
  <c r="L8" i="102"/>
  <c r="J19" i="102"/>
  <c r="K19" i="102" s="1"/>
  <c r="L10" i="102"/>
  <c r="L9" i="102"/>
  <c r="C19" i="102"/>
  <c r="D19" i="102"/>
  <c r="C20" i="102"/>
  <c r="C18" i="102"/>
  <c r="D20" i="102"/>
  <c r="D18" i="102"/>
  <c r="C15" i="102"/>
  <c r="C17" i="102"/>
  <c r="D15" i="102"/>
  <c r="L8" i="101"/>
  <c r="J15" i="101" s="1"/>
  <c r="J19" i="101"/>
  <c r="K19" i="101" s="1"/>
  <c r="L10" i="101"/>
  <c r="L9" i="101"/>
  <c r="C19" i="101"/>
  <c r="D19" i="101"/>
  <c r="C20" i="101"/>
  <c r="C18" i="101"/>
  <c r="D20" i="101"/>
  <c r="D18" i="101"/>
  <c r="C15" i="101"/>
  <c r="C17" i="101"/>
  <c r="D15" i="101"/>
  <c r="C18" i="100"/>
  <c r="D20" i="100"/>
  <c r="D18" i="100"/>
  <c r="C15" i="100"/>
  <c r="C17" i="100"/>
  <c r="L10" i="100"/>
  <c r="D15" i="100"/>
  <c r="D17" i="100"/>
  <c r="L8" i="99"/>
  <c r="L10" i="99"/>
  <c r="J19" i="99"/>
  <c r="K19" i="99" s="1"/>
  <c r="L9" i="99"/>
  <c r="F16" i="99"/>
  <c r="E16" i="99"/>
  <c r="D16" i="99"/>
  <c r="C19" i="99"/>
  <c r="D20" i="99"/>
  <c r="D18" i="99"/>
  <c r="C18" i="99"/>
  <c r="C15" i="99"/>
  <c r="C17" i="99"/>
  <c r="D15" i="99"/>
  <c r="D17" i="99"/>
  <c r="L8" i="98"/>
  <c r="L10" i="98"/>
  <c r="J19" i="98"/>
  <c r="K19" i="98" s="1"/>
  <c r="L9" i="98"/>
  <c r="C19" i="98"/>
  <c r="D19" i="98"/>
  <c r="C20" i="98"/>
  <c r="C18" i="98"/>
  <c r="D20" i="98"/>
  <c r="D18" i="98"/>
  <c r="C15" i="98"/>
  <c r="C17" i="98"/>
  <c r="D15" i="98"/>
  <c r="L10" i="97"/>
  <c r="D19" i="97"/>
  <c r="C20" i="97"/>
  <c r="C18" i="97"/>
  <c r="E19" i="97"/>
  <c r="G124" i="21" s="1"/>
  <c r="D20" i="97"/>
  <c r="D18" i="97"/>
  <c r="F19" i="97"/>
  <c r="C15" i="97"/>
  <c r="C17" i="97"/>
  <c r="G19" i="97"/>
  <c r="D15" i="97"/>
  <c r="D17" i="97"/>
  <c r="D18" i="96"/>
  <c r="C15" i="96"/>
  <c r="C17" i="96"/>
  <c r="L10" i="96"/>
  <c r="C18" i="96"/>
  <c r="D20" i="96"/>
  <c r="D15" i="96"/>
  <c r="D17" i="96"/>
  <c r="L8" i="95"/>
  <c r="J19" i="95"/>
  <c r="K19" i="95" s="1"/>
  <c r="L10" i="95"/>
  <c r="L9" i="95"/>
  <c r="C19" i="95"/>
  <c r="D19" i="95"/>
  <c r="C18" i="95"/>
  <c r="D18" i="95"/>
  <c r="C15" i="95"/>
  <c r="C17" i="95"/>
  <c r="D15" i="95"/>
  <c r="L8" i="94"/>
  <c r="L10" i="94"/>
  <c r="J19" i="94"/>
  <c r="K19" i="94" s="1"/>
  <c r="L9" i="94"/>
  <c r="E16" i="94"/>
  <c r="C19" i="94"/>
  <c r="D19" i="94"/>
  <c r="C18" i="94"/>
  <c r="D18" i="94"/>
  <c r="C15" i="94"/>
  <c r="C17" i="94"/>
  <c r="D15" i="94"/>
  <c r="L8" i="93"/>
  <c r="L10" i="93"/>
  <c r="L9" i="93"/>
  <c r="J19" i="93"/>
  <c r="K19" i="93" s="1"/>
  <c r="E16" i="93"/>
  <c r="C19" i="93"/>
  <c r="D19" i="93"/>
  <c r="C18" i="93"/>
  <c r="D18" i="93"/>
  <c r="C15" i="93"/>
  <c r="C17" i="93"/>
  <c r="D15" i="93"/>
  <c r="L8" i="92"/>
  <c r="L10" i="92"/>
  <c r="J19" i="92"/>
  <c r="K19" i="92" s="1"/>
  <c r="L9" i="92"/>
  <c r="D16" i="92"/>
  <c r="C19" i="92"/>
  <c r="C18" i="92"/>
  <c r="D18" i="92"/>
  <c r="C15" i="92"/>
  <c r="C17" i="92"/>
  <c r="D15" i="92"/>
  <c r="L8" i="91"/>
  <c r="L10" i="91"/>
  <c r="J19" i="91"/>
  <c r="K19" i="91" s="1"/>
  <c r="L9" i="91"/>
  <c r="C16" i="91"/>
  <c r="D16" i="91"/>
  <c r="C19" i="91"/>
  <c r="C18" i="91"/>
  <c r="D18" i="91"/>
  <c r="C15" i="91"/>
  <c r="C17" i="91"/>
  <c r="D15" i="91"/>
  <c r="L8" i="90"/>
  <c r="J19" i="90"/>
  <c r="K19" i="90" s="1"/>
  <c r="L10" i="90"/>
  <c r="L9" i="90"/>
  <c r="D19" i="90"/>
  <c r="C18" i="90"/>
  <c r="E19" i="90"/>
  <c r="G89" i="21" s="1"/>
  <c r="C15" i="90"/>
  <c r="C17" i="90"/>
  <c r="D15" i="90"/>
  <c r="L8" i="89"/>
  <c r="L9" i="89"/>
  <c r="L10" i="89"/>
  <c r="J19" i="89"/>
  <c r="K19" i="89" s="1"/>
  <c r="D19" i="89"/>
  <c r="C18" i="89"/>
  <c r="D18" i="89"/>
  <c r="C15" i="89"/>
  <c r="C17" i="89"/>
  <c r="D15" i="89"/>
  <c r="L8" i="88"/>
  <c r="J19" i="88"/>
  <c r="K19" i="88" s="1"/>
  <c r="L9" i="88"/>
  <c r="L10" i="88"/>
  <c r="C19" i="88"/>
  <c r="D19" i="88"/>
  <c r="C18" i="88"/>
  <c r="D18" i="88"/>
  <c r="C15" i="88"/>
  <c r="C17" i="88"/>
  <c r="D15" i="88"/>
  <c r="L8" i="87"/>
  <c r="J19" i="87"/>
  <c r="K19" i="87" s="1"/>
  <c r="L10" i="87"/>
  <c r="L9" i="87"/>
  <c r="E16" i="87"/>
  <c r="C19" i="87"/>
  <c r="D19" i="87"/>
  <c r="C18" i="87"/>
  <c r="D18" i="87"/>
  <c r="C15" i="87"/>
  <c r="C17" i="87"/>
  <c r="D15" i="87"/>
  <c r="L8" i="86"/>
  <c r="L10" i="86"/>
  <c r="J19" i="86"/>
  <c r="K19" i="86" s="1"/>
  <c r="L9" i="86"/>
  <c r="F16" i="86"/>
  <c r="D16" i="86"/>
  <c r="E16" i="86"/>
  <c r="G66" i="21" s="1"/>
  <c r="C19" i="86"/>
  <c r="G16" i="86"/>
  <c r="H16" i="86" s="1"/>
  <c r="C18" i="86"/>
  <c r="D18" i="86"/>
  <c r="C15" i="86"/>
  <c r="C17" i="86"/>
  <c r="D15" i="86"/>
  <c r="L10" i="85"/>
  <c r="J15" i="85" s="1"/>
  <c r="F16" i="85"/>
  <c r="G16" i="85"/>
  <c r="H16" i="85" s="1"/>
  <c r="C18" i="85"/>
  <c r="E19" i="85"/>
  <c r="G64" i="21" s="1"/>
  <c r="D18" i="85"/>
  <c r="F19" i="85"/>
  <c r="C15" i="85"/>
  <c r="C17" i="85"/>
  <c r="G19" i="85"/>
  <c r="D15" i="85"/>
  <c r="L8" i="84"/>
  <c r="J19" i="84"/>
  <c r="K19" i="84" s="1"/>
  <c r="L10" i="84"/>
  <c r="L9" i="84"/>
  <c r="D19" i="84"/>
  <c r="C18" i="84"/>
  <c r="E19" i="84"/>
  <c r="G59" i="21" s="1"/>
  <c r="E16" i="84"/>
  <c r="D18" i="84"/>
  <c r="F19" i="84"/>
  <c r="C15" i="84"/>
  <c r="C17" i="84"/>
  <c r="G19" i="84"/>
  <c r="D15" i="84"/>
  <c r="L8" i="83"/>
  <c r="J19" i="83"/>
  <c r="K19" i="83" s="1"/>
  <c r="L10" i="83"/>
  <c r="L9" i="83"/>
  <c r="D19" i="83"/>
  <c r="E16" i="83"/>
  <c r="C18" i="83"/>
  <c r="E19" i="83"/>
  <c r="G54" i="21" s="1"/>
  <c r="D18" i="83"/>
  <c r="F19" i="83"/>
  <c r="C15" i="83"/>
  <c r="C17" i="83"/>
  <c r="G19" i="83"/>
  <c r="D15" i="83"/>
  <c r="C18" i="82"/>
  <c r="C15" i="82"/>
  <c r="C17" i="82"/>
  <c r="D18" i="82"/>
  <c r="L8" i="82"/>
  <c r="D15" i="82"/>
  <c r="D17" i="82"/>
  <c r="L8" i="81"/>
  <c r="L10" i="81"/>
  <c r="J19" i="81"/>
  <c r="K19" i="81" s="1"/>
  <c r="L9" i="81"/>
  <c r="C16" i="81"/>
  <c r="D16" i="81"/>
  <c r="C19" i="81"/>
  <c r="C18" i="81"/>
  <c r="D18" i="81"/>
  <c r="C15" i="81"/>
  <c r="C17" i="81"/>
  <c r="D15" i="81"/>
  <c r="D18" i="80"/>
  <c r="C15" i="80"/>
  <c r="C17" i="80"/>
  <c r="L10" i="80"/>
  <c r="C18" i="80"/>
  <c r="D15" i="80"/>
  <c r="F16" i="79"/>
  <c r="G16" i="79"/>
  <c r="H16" i="79" s="1"/>
  <c r="E19" i="79"/>
  <c r="G34" i="21" s="1"/>
  <c r="D18" i="79"/>
  <c r="F19" i="79"/>
  <c r="C15" i="79"/>
  <c r="C17" i="79"/>
  <c r="G19" i="79"/>
  <c r="L10" i="79"/>
  <c r="C18" i="79"/>
  <c r="D15" i="79"/>
  <c r="L8" i="78"/>
  <c r="L9" i="78"/>
  <c r="L10" i="78"/>
  <c r="J19" i="78"/>
  <c r="K19" i="78" s="1"/>
  <c r="E16" i="78"/>
  <c r="C19" i="78"/>
  <c r="D19" i="78"/>
  <c r="C18" i="78"/>
  <c r="D18" i="78"/>
  <c r="C15" i="78"/>
  <c r="C17" i="78"/>
  <c r="D15" i="78"/>
  <c r="L8" i="77"/>
  <c r="J19" i="77"/>
  <c r="K19" i="77" s="1"/>
  <c r="L9" i="77"/>
  <c r="L10" i="77"/>
  <c r="C19" i="77"/>
  <c r="D19" i="77"/>
  <c r="C18" i="77"/>
  <c r="C15" i="77"/>
  <c r="C17" i="77"/>
  <c r="D18" i="77"/>
  <c r="D15" i="77"/>
  <c r="E3" i="51"/>
  <c r="E2" i="51"/>
  <c r="S125" i="21"/>
  <c r="B21" i="22"/>
  <c r="B22" i="22"/>
  <c r="B23" i="22"/>
  <c r="B24" i="22"/>
  <c r="B25" i="22"/>
  <c r="B26" i="22"/>
  <c r="B27" i="22"/>
  <c r="B28" i="22"/>
  <c r="B29" i="22"/>
  <c r="B12" i="22"/>
  <c r="B13" i="22"/>
  <c r="B14" i="22"/>
  <c r="B15" i="22"/>
  <c r="B16" i="22"/>
  <c r="B17" i="22"/>
  <c r="B18" i="22"/>
  <c r="B19" i="22"/>
  <c r="B20" i="22"/>
  <c r="F5" i="22"/>
  <c r="S25" i="21"/>
  <c r="S30" i="21"/>
  <c r="S35" i="21"/>
  <c r="S40" i="21"/>
  <c r="S45" i="21"/>
  <c r="S50" i="21"/>
  <c r="S55" i="21"/>
  <c r="S60" i="21"/>
  <c r="S65" i="21"/>
  <c r="S70" i="21"/>
  <c r="S75" i="21"/>
  <c r="S80" i="21"/>
  <c r="S85" i="21"/>
  <c r="S90" i="21"/>
  <c r="S95" i="21"/>
  <c r="S100" i="21"/>
  <c r="S105" i="21"/>
  <c r="S110" i="21"/>
  <c r="S115" i="21"/>
  <c r="S120" i="21"/>
  <c r="N30" i="21"/>
  <c r="N35" i="21"/>
  <c r="N40" i="21"/>
  <c r="N45" i="21"/>
  <c r="N50" i="21"/>
  <c r="N55" i="21"/>
  <c r="N60" i="21"/>
  <c r="N65" i="21"/>
  <c r="N70" i="21"/>
  <c r="N75" i="21"/>
  <c r="N80" i="21"/>
  <c r="N85" i="21"/>
  <c r="N90" i="21"/>
  <c r="N95" i="21"/>
  <c r="N100" i="21"/>
  <c r="N105" i="21"/>
  <c r="N110" i="21"/>
  <c r="N115" i="21"/>
  <c r="N120" i="21"/>
  <c r="N125" i="21"/>
  <c r="N25" i="21"/>
  <c r="C129" i="21"/>
  <c r="D124" i="21"/>
  <c r="L125" i="21"/>
  <c r="L120" i="21"/>
  <c r="D118" i="21"/>
  <c r="L115" i="21"/>
  <c r="L25" i="21"/>
  <c r="L30" i="21"/>
  <c r="L35" i="21"/>
  <c r="L40" i="21"/>
  <c r="L45" i="21"/>
  <c r="L50" i="21"/>
  <c r="L55" i="21"/>
  <c r="L60" i="21"/>
  <c r="L65" i="21"/>
  <c r="L70" i="21"/>
  <c r="L75" i="21"/>
  <c r="L80" i="21"/>
  <c r="L85" i="21"/>
  <c r="L90" i="21"/>
  <c r="L95" i="21"/>
  <c r="L100" i="21"/>
  <c r="L105" i="21"/>
  <c r="L110" i="21"/>
  <c r="H6" i="21"/>
  <c r="E5" i="16"/>
  <c r="A7" i="16"/>
  <c r="B22" i="8"/>
  <c r="J54" i="8"/>
  <c r="J45" i="8"/>
  <c r="J44" i="8"/>
  <c r="J42" i="8"/>
  <c r="J41" i="8"/>
  <c r="J39" i="8"/>
  <c r="J36" i="8"/>
  <c r="J38" i="8" s="1"/>
  <c r="C48" i="8"/>
  <c r="C49" i="8"/>
  <c r="C50" i="8"/>
  <c r="C51" i="8"/>
  <c r="C52" i="8"/>
  <c r="C5" i="18"/>
  <c r="P144" i="21" l="1"/>
  <c r="P149" i="21"/>
  <c r="AA148" i="21"/>
  <c r="AA140" i="21"/>
  <c r="P148" i="21"/>
  <c r="I148" i="21"/>
  <c r="AA144" i="21"/>
  <c r="AA149" i="21"/>
  <c r="P132" i="21"/>
  <c r="I149" i="21"/>
  <c r="H149" i="21"/>
  <c r="I132" i="21"/>
  <c r="G19" i="100"/>
  <c r="AE147" i="21"/>
  <c r="I144" i="21"/>
  <c r="H144" i="21"/>
  <c r="J15" i="90"/>
  <c r="J15" i="95"/>
  <c r="AE135" i="21"/>
  <c r="F19" i="100"/>
  <c r="J15" i="96"/>
  <c r="F16" i="96" s="1"/>
  <c r="H132" i="21"/>
  <c r="AA132" i="21"/>
  <c r="AA153" i="21"/>
  <c r="AA150" i="21"/>
  <c r="G16" i="95"/>
  <c r="H16" i="95" s="1"/>
  <c r="AE151" i="21"/>
  <c r="AA151" i="21"/>
  <c r="AA147" i="21"/>
  <c r="AA136" i="21"/>
  <c r="AE133" i="21"/>
  <c r="AA133" i="21"/>
  <c r="H133" i="21"/>
  <c r="AA145" i="21"/>
  <c r="P129" i="21"/>
  <c r="H129" i="21"/>
  <c r="AA129" i="21"/>
  <c r="P153" i="21"/>
  <c r="AE138" i="21"/>
  <c r="AA138" i="21"/>
  <c r="H138" i="21"/>
  <c r="AA152" i="21"/>
  <c r="AA135" i="21"/>
  <c r="AE154" i="21"/>
  <c r="AA154" i="21"/>
  <c r="H154" i="21"/>
  <c r="AA146" i="21"/>
  <c r="AA141" i="21"/>
  <c r="AB140" i="21" s="1"/>
  <c r="AE130" i="21"/>
  <c r="AA130" i="21"/>
  <c r="J15" i="100"/>
  <c r="G16" i="100" s="1"/>
  <c r="H16" i="100" s="1"/>
  <c r="J15" i="80"/>
  <c r="G16" i="80" s="1"/>
  <c r="H16" i="80" s="1"/>
  <c r="J15" i="99"/>
  <c r="J15" i="87"/>
  <c r="F16" i="87" s="1"/>
  <c r="J15" i="98"/>
  <c r="F16" i="98" s="1"/>
  <c r="J15" i="88"/>
  <c r="F16" i="88" s="1"/>
  <c r="J15" i="84"/>
  <c r="G16" i="84" s="1"/>
  <c r="H16" i="84" s="1"/>
  <c r="J15" i="77"/>
  <c r="J15" i="83"/>
  <c r="F16" i="83" s="1"/>
  <c r="J15" i="92"/>
  <c r="J15" i="86"/>
  <c r="J15" i="89"/>
  <c r="J15" i="82"/>
  <c r="G16" i="82" s="1"/>
  <c r="H16" i="82" s="1"/>
  <c r="J15" i="81"/>
  <c r="J15" i="91"/>
  <c r="J15" i="103"/>
  <c r="F16" i="103" s="1"/>
  <c r="J15" i="93"/>
  <c r="F16" i="93" s="1"/>
  <c r="J15" i="102"/>
  <c r="F16" i="102" s="1"/>
  <c r="J15" i="94"/>
  <c r="J15" i="78"/>
  <c r="F16" i="78" s="1"/>
  <c r="G116" i="21"/>
  <c r="F16" i="95"/>
  <c r="G111" i="21"/>
  <c r="F16" i="94"/>
  <c r="G106" i="21"/>
  <c r="G101" i="21"/>
  <c r="F16" i="92"/>
  <c r="G96" i="21"/>
  <c r="G16" i="90"/>
  <c r="H16" i="90" s="1"/>
  <c r="G86" i="21"/>
  <c r="G76" i="21"/>
  <c r="G71" i="21"/>
  <c r="G56" i="21"/>
  <c r="G51" i="21"/>
  <c r="G46" i="21"/>
  <c r="F16" i="80"/>
  <c r="G26" i="21"/>
  <c r="G21" i="21"/>
  <c r="G126" i="21"/>
  <c r="G16" i="99"/>
  <c r="H16" i="99" s="1"/>
  <c r="G131" i="21"/>
  <c r="G136" i="21"/>
  <c r="F16" i="101"/>
  <c r="G141" i="21"/>
  <c r="H141" i="21" s="1"/>
  <c r="I141" i="21" s="1"/>
  <c r="G146" i="21"/>
  <c r="G151" i="21"/>
  <c r="AE153" i="21"/>
  <c r="P154" i="21"/>
  <c r="P146" i="21"/>
  <c r="Q145" i="21" s="1"/>
  <c r="AE146" i="21"/>
  <c r="Q140" i="21"/>
  <c r="AE140" i="21"/>
  <c r="AF140" i="21" s="1"/>
  <c r="I138" i="21"/>
  <c r="P138" i="21"/>
  <c r="Q135" i="21" s="1"/>
  <c r="I133" i="21"/>
  <c r="Q130" i="21"/>
  <c r="AE150" i="21"/>
  <c r="I154" i="21"/>
  <c r="P150" i="21"/>
  <c r="F19" i="89"/>
  <c r="E19" i="100"/>
  <c r="G139" i="21" s="1"/>
  <c r="F19" i="90"/>
  <c r="G19" i="90"/>
  <c r="E19" i="80"/>
  <c r="G39" i="21" s="1"/>
  <c r="F19" i="80"/>
  <c r="G19" i="80"/>
  <c r="G19" i="82"/>
  <c r="G16" i="97"/>
  <c r="H16" i="97" s="1"/>
  <c r="E19" i="82"/>
  <c r="G49" i="21" s="1"/>
  <c r="E19" i="89"/>
  <c r="G84" i="21" s="1"/>
  <c r="G19" i="89"/>
  <c r="F19" i="82"/>
  <c r="E19" i="96"/>
  <c r="G119" i="21" s="1"/>
  <c r="G19" i="96"/>
  <c r="F19" i="96"/>
  <c r="F16" i="97"/>
  <c r="G16" i="92"/>
  <c r="H16" i="92" s="1"/>
  <c r="F16" i="90"/>
  <c r="H19" i="103"/>
  <c r="G19" i="103"/>
  <c r="F19" i="103"/>
  <c r="E19" i="103"/>
  <c r="G154" i="21" s="1"/>
  <c r="E18" i="103"/>
  <c r="E17" i="103"/>
  <c r="E15" i="103"/>
  <c r="G18" i="102"/>
  <c r="F18" i="102"/>
  <c r="E18" i="102"/>
  <c r="G148" i="21" s="1"/>
  <c r="H18" i="102"/>
  <c r="H19" i="102"/>
  <c r="G19" i="102"/>
  <c r="F19" i="102"/>
  <c r="E19" i="102"/>
  <c r="G149" i="21" s="1"/>
  <c r="E17" i="102"/>
  <c r="E15" i="102"/>
  <c r="H19" i="101"/>
  <c r="G19" i="101"/>
  <c r="F19" i="101"/>
  <c r="E19" i="101"/>
  <c r="G144" i="21" s="1"/>
  <c r="G18" i="101"/>
  <c r="F18" i="101"/>
  <c r="E18" i="101"/>
  <c r="G143" i="21" s="1"/>
  <c r="H18" i="101"/>
  <c r="G16" i="101"/>
  <c r="H16" i="101" s="1"/>
  <c r="E17" i="101"/>
  <c r="E15" i="101"/>
  <c r="G18" i="100"/>
  <c r="F18" i="100"/>
  <c r="E18" i="100"/>
  <c r="G138" i="21" s="1"/>
  <c r="H18" i="100"/>
  <c r="E17" i="100"/>
  <c r="F17" i="100"/>
  <c r="E15" i="100"/>
  <c r="F18" i="99"/>
  <c r="E18" i="99"/>
  <c r="G133" i="21" s="1"/>
  <c r="H18" i="99"/>
  <c r="G18" i="99"/>
  <c r="H19" i="99"/>
  <c r="G19" i="99"/>
  <c r="E19" i="99"/>
  <c r="G134" i="21" s="1"/>
  <c r="F19" i="99"/>
  <c r="E17" i="99"/>
  <c r="E15" i="99"/>
  <c r="G130" i="21" s="1"/>
  <c r="G18" i="98"/>
  <c r="F18" i="98"/>
  <c r="E18" i="98"/>
  <c r="G128" i="21" s="1"/>
  <c r="H18" i="98"/>
  <c r="G16" i="98"/>
  <c r="H16" i="98" s="1"/>
  <c r="H19" i="98"/>
  <c r="G19" i="98"/>
  <c r="F19" i="98"/>
  <c r="E19" i="98"/>
  <c r="G129" i="21" s="1"/>
  <c r="E17" i="98"/>
  <c r="E15" i="98"/>
  <c r="G18" i="97"/>
  <c r="F18" i="97"/>
  <c r="E18" i="97"/>
  <c r="G123" i="21" s="1"/>
  <c r="H18" i="97"/>
  <c r="E17" i="97"/>
  <c r="E15" i="97"/>
  <c r="G18" i="96"/>
  <c r="F18" i="96"/>
  <c r="E18" i="96"/>
  <c r="G118" i="21" s="1"/>
  <c r="H18" i="96"/>
  <c r="E15" i="96"/>
  <c r="E17" i="96"/>
  <c r="F17" i="96"/>
  <c r="H19" i="95"/>
  <c r="G19" i="95"/>
  <c r="F19" i="95"/>
  <c r="E19" i="95"/>
  <c r="G114" i="21" s="1"/>
  <c r="G18" i="95"/>
  <c r="F18" i="95"/>
  <c r="E18" i="95"/>
  <c r="G113" i="21" s="1"/>
  <c r="H18" i="95"/>
  <c r="E17" i="95"/>
  <c r="E15" i="95"/>
  <c r="G18" i="94"/>
  <c r="F18" i="94"/>
  <c r="E18" i="94"/>
  <c r="G108" i="21" s="1"/>
  <c r="H18" i="94"/>
  <c r="G16" i="94"/>
  <c r="H16" i="94" s="1"/>
  <c r="H19" i="94"/>
  <c r="G19" i="94"/>
  <c r="F19" i="94"/>
  <c r="E19" i="94"/>
  <c r="G109" i="21" s="1"/>
  <c r="E17" i="94"/>
  <c r="G17" i="94"/>
  <c r="H17" i="94" s="1"/>
  <c r="E15" i="94"/>
  <c r="H19" i="93"/>
  <c r="G19" i="93"/>
  <c r="F19" i="93"/>
  <c r="E19" i="93"/>
  <c r="G104" i="21" s="1"/>
  <c r="G18" i="93"/>
  <c r="F18" i="93"/>
  <c r="E18" i="93"/>
  <c r="G103" i="21" s="1"/>
  <c r="H18" i="93"/>
  <c r="E17" i="93"/>
  <c r="E15" i="93"/>
  <c r="F18" i="92"/>
  <c r="E18" i="92"/>
  <c r="G98" i="21" s="1"/>
  <c r="H18" i="92"/>
  <c r="G18" i="92"/>
  <c r="E17" i="92"/>
  <c r="F17" i="92"/>
  <c r="H19" i="92"/>
  <c r="G19" i="92"/>
  <c r="F19" i="92"/>
  <c r="E19" i="92"/>
  <c r="G99" i="21" s="1"/>
  <c r="E15" i="92"/>
  <c r="G95" i="21" s="1"/>
  <c r="E16" i="91"/>
  <c r="G17" i="91"/>
  <c r="H17" i="91" s="1"/>
  <c r="E17" i="91"/>
  <c r="E15" i="91"/>
  <c r="G90" i="21" s="1"/>
  <c r="F18" i="91"/>
  <c r="E18" i="91"/>
  <c r="G93" i="21" s="1"/>
  <c r="H18" i="91"/>
  <c r="G18" i="91"/>
  <c r="H19" i="91"/>
  <c r="G19" i="91"/>
  <c r="F19" i="91"/>
  <c r="E19" i="91"/>
  <c r="G94" i="21" s="1"/>
  <c r="E15" i="90"/>
  <c r="G18" i="90"/>
  <c r="F18" i="90"/>
  <c r="H18" i="90"/>
  <c r="E18" i="90"/>
  <c r="G88" i="21" s="1"/>
  <c r="E17" i="90"/>
  <c r="G87" i="21" s="1"/>
  <c r="G17" i="90"/>
  <c r="H17" i="90" s="1"/>
  <c r="F17" i="90"/>
  <c r="E15" i="89"/>
  <c r="E17" i="89"/>
  <c r="G18" i="89"/>
  <c r="F18" i="89"/>
  <c r="E18" i="89"/>
  <c r="G83" i="21" s="1"/>
  <c r="H18" i="89"/>
  <c r="G18" i="88"/>
  <c r="F18" i="88"/>
  <c r="H18" i="88"/>
  <c r="E18" i="88"/>
  <c r="G78" i="21" s="1"/>
  <c r="H19" i="88"/>
  <c r="G19" i="88"/>
  <c r="F19" i="88"/>
  <c r="E19" i="88"/>
  <c r="G79" i="21" s="1"/>
  <c r="E17" i="88"/>
  <c r="E15" i="88"/>
  <c r="G75" i="21" s="1"/>
  <c r="G18" i="87"/>
  <c r="F18" i="87"/>
  <c r="H18" i="87"/>
  <c r="E18" i="87"/>
  <c r="G73" i="21" s="1"/>
  <c r="H19" i="87"/>
  <c r="G19" i="87"/>
  <c r="F19" i="87"/>
  <c r="E19" i="87"/>
  <c r="G74" i="21" s="1"/>
  <c r="E17" i="87"/>
  <c r="G17" i="87"/>
  <c r="H17" i="87" s="1"/>
  <c r="E15" i="87"/>
  <c r="F18" i="86"/>
  <c r="E18" i="86"/>
  <c r="G68" i="21" s="1"/>
  <c r="H18" i="86"/>
  <c r="G18" i="86"/>
  <c r="E17" i="86"/>
  <c r="H19" i="86"/>
  <c r="G19" i="86"/>
  <c r="F19" i="86"/>
  <c r="E19" i="86"/>
  <c r="G69" i="21" s="1"/>
  <c r="E15" i="86"/>
  <c r="G18" i="85"/>
  <c r="F18" i="85"/>
  <c r="E18" i="85"/>
  <c r="G63" i="21" s="1"/>
  <c r="H18" i="85"/>
  <c r="E17" i="85"/>
  <c r="G17" i="85"/>
  <c r="H17" i="85" s="1"/>
  <c r="E15" i="85"/>
  <c r="G18" i="84"/>
  <c r="F18" i="84"/>
  <c r="E18" i="84"/>
  <c r="G58" i="21" s="1"/>
  <c r="H18" i="84"/>
  <c r="E17" i="84"/>
  <c r="E15" i="84"/>
  <c r="G55" i="21" s="1"/>
  <c r="G18" i="83"/>
  <c r="F18" i="83"/>
  <c r="E18" i="83"/>
  <c r="G53" i="21" s="1"/>
  <c r="H18" i="83"/>
  <c r="E17" i="83"/>
  <c r="E15" i="83"/>
  <c r="G50" i="21" s="1"/>
  <c r="E15" i="82"/>
  <c r="E18" i="82"/>
  <c r="E17" i="82"/>
  <c r="F17" i="82"/>
  <c r="E16" i="81"/>
  <c r="E15" i="81"/>
  <c r="E18" i="81"/>
  <c r="E17" i="81"/>
  <c r="H19" i="81"/>
  <c r="G19" i="81"/>
  <c r="F19" i="81"/>
  <c r="E19" i="81"/>
  <c r="G44" i="21" s="1"/>
  <c r="E15" i="80"/>
  <c r="G18" i="80"/>
  <c r="F18" i="80"/>
  <c r="H18" i="80"/>
  <c r="E18" i="80"/>
  <c r="G38" i="21" s="1"/>
  <c r="E17" i="80"/>
  <c r="E15" i="79"/>
  <c r="G18" i="79"/>
  <c r="F18" i="79"/>
  <c r="E18" i="79"/>
  <c r="G33" i="21" s="1"/>
  <c r="H18" i="79"/>
  <c r="E17" i="79"/>
  <c r="F17" i="79"/>
  <c r="F18" i="78"/>
  <c r="E18" i="78"/>
  <c r="G28" i="21" s="1"/>
  <c r="H18" i="78"/>
  <c r="G18" i="78"/>
  <c r="H19" i="78"/>
  <c r="G19" i="78"/>
  <c r="F19" i="78"/>
  <c r="E19" i="78"/>
  <c r="G29" i="21" s="1"/>
  <c r="E17" i="78"/>
  <c r="E15" i="78"/>
  <c r="H19" i="77"/>
  <c r="F19" i="77"/>
  <c r="G19" i="77"/>
  <c r="E19" i="77"/>
  <c r="G24" i="21" s="1"/>
  <c r="F18" i="77"/>
  <c r="H18" i="77"/>
  <c r="G18" i="77"/>
  <c r="E18" i="77"/>
  <c r="G23" i="21" s="1"/>
  <c r="E15" i="77"/>
  <c r="E17" i="77"/>
  <c r="AE129" i="21"/>
  <c r="C116" i="21"/>
  <c r="D116" i="21"/>
  <c r="C117" i="21"/>
  <c r="C118" i="21"/>
  <c r="D119" i="21"/>
  <c r="D115" i="21"/>
  <c r="C126" i="21"/>
  <c r="C119" i="21"/>
  <c r="D127" i="21"/>
  <c r="D117" i="21"/>
  <c r="C115" i="21"/>
  <c r="C123" i="21"/>
  <c r="C120" i="21"/>
  <c r="D123" i="21"/>
  <c r="D126" i="21"/>
  <c r="D122" i="21"/>
  <c r="D129" i="21"/>
  <c r="C121" i="21"/>
  <c r="C128" i="21"/>
  <c r="D121" i="21"/>
  <c r="C125" i="21"/>
  <c r="D128" i="21"/>
  <c r="D120" i="21"/>
  <c r="C122" i="21"/>
  <c r="C124" i="21"/>
  <c r="D125" i="21"/>
  <c r="C127" i="21"/>
  <c r="I129" i="21"/>
  <c r="B1" i="51"/>
  <c r="F1" i="51"/>
  <c r="AF135" i="21" l="1"/>
  <c r="AF145" i="21"/>
  <c r="AB130" i="21"/>
  <c r="G16" i="96"/>
  <c r="H16" i="96" s="1"/>
  <c r="AA115" i="21"/>
  <c r="AF130" i="21"/>
  <c r="AB135" i="21"/>
  <c r="AB145" i="21"/>
  <c r="AA120" i="21"/>
  <c r="Q150" i="21"/>
  <c r="AB150" i="21"/>
  <c r="AA116" i="21"/>
  <c r="AA125" i="21"/>
  <c r="AE124" i="21"/>
  <c r="AA124" i="21"/>
  <c r="H124" i="21"/>
  <c r="AE122" i="21"/>
  <c r="AA122" i="21"/>
  <c r="H122" i="21"/>
  <c r="AE123" i="21"/>
  <c r="AA123" i="21"/>
  <c r="H123" i="21"/>
  <c r="H116" i="21"/>
  <c r="I116" i="21" s="1"/>
  <c r="AE127" i="21"/>
  <c r="AA127" i="21"/>
  <c r="H127" i="21"/>
  <c r="AE119" i="21"/>
  <c r="H119" i="21"/>
  <c r="AA119" i="21"/>
  <c r="AE128" i="21"/>
  <c r="H128" i="21"/>
  <c r="AA128" i="21"/>
  <c r="AA126" i="21"/>
  <c r="AA121" i="21"/>
  <c r="H126" i="21"/>
  <c r="I126" i="21" s="1"/>
  <c r="AE117" i="21"/>
  <c r="H117" i="21"/>
  <c r="AA117" i="21"/>
  <c r="AE118" i="21"/>
  <c r="AA118" i="21"/>
  <c r="H118" i="21"/>
  <c r="H121" i="21"/>
  <c r="H136" i="21"/>
  <c r="I136" i="21" s="1"/>
  <c r="F16" i="100"/>
  <c r="G16" i="93"/>
  <c r="H16" i="93" s="1"/>
  <c r="G16" i="83"/>
  <c r="H16" i="83" s="1"/>
  <c r="G16" i="87"/>
  <c r="H16" i="87" s="1"/>
  <c r="H16" i="77"/>
  <c r="G16" i="78"/>
  <c r="H16" i="78" s="1"/>
  <c r="H130" i="21"/>
  <c r="I130" i="21" s="1"/>
  <c r="J130" i="21" s="1"/>
  <c r="F16" i="84"/>
  <c r="G16" i="88"/>
  <c r="H16" i="88" s="1"/>
  <c r="H151" i="21"/>
  <c r="I151" i="21" s="1"/>
  <c r="G16" i="103"/>
  <c r="H16" i="103" s="1"/>
  <c r="H146" i="21"/>
  <c r="I146" i="21" s="1"/>
  <c r="F16" i="82"/>
  <c r="G16" i="102"/>
  <c r="H16" i="102" s="1"/>
  <c r="G16" i="89"/>
  <c r="H16" i="89" s="1"/>
  <c r="F16" i="89"/>
  <c r="G17" i="96"/>
  <c r="H17" i="96" s="1"/>
  <c r="G117" i="21"/>
  <c r="G15" i="96"/>
  <c r="H15" i="96" s="1"/>
  <c r="G115" i="21"/>
  <c r="H115" i="21" s="1"/>
  <c r="I115" i="21" s="1"/>
  <c r="F15" i="95"/>
  <c r="F20" i="95" s="1"/>
  <c r="G110" i="21"/>
  <c r="F17" i="95"/>
  <c r="G112" i="21"/>
  <c r="F15" i="94"/>
  <c r="F20" i="94" s="1"/>
  <c r="G105" i="21"/>
  <c r="F17" i="94"/>
  <c r="G107" i="21"/>
  <c r="F15" i="93"/>
  <c r="F20" i="93" s="1"/>
  <c r="G100" i="21"/>
  <c r="G17" i="93"/>
  <c r="H17" i="93" s="1"/>
  <c r="G102" i="21"/>
  <c r="G17" i="92"/>
  <c r="H17" i="92" s="1"/>
  <c r="G97" i="21"/>
  <c r="F17" i="91"/>
  <c r="G92" i="21"/>
  <c r="F16" i="91"/>
  <c r="G91" i="21"/>
  <c r="G15" i="90"/>
  <c r="H15" i="90" s="1"/>
  <c r="H20" i="90" s="1"/>
  <c r="G85" i="21"/>
  <c r="G17" i="89"/>
  <c r="H17" i="89" s="1"/>
  <c r="G82" i="21"/>
  <c r="F15" i="89"/>
  <c r="F20" i="89" s="1"/>
  <c r="G80" i="21"/>
  <c r="G17" i="88"/>
  <c r="H17" i="88" s="1"/>
  <c r="G77" i="21"/>
  <c r="F15" i="87"/>
  <c r="F20" i="87" s="1"/>
  <c r="G70" i="21"/>
  <c r="F17" i="87"/>
  <c r="G72" i="21"/>
  <c r="G15" i="86"/>
  <c r="H15" i="86" s="1"/>
  <c r="G65" i="21"/>
  <c r="G17" i="86"/>
  <c r="H17" i="86" s="1"/>
  <c r="G67" i="21"/>
  <c r="F17" i="85"/>
  <c r="G62" i="21"/>
  <c r="F15" i="85"/>
  <c r="F20" i="85" s="1"/>
  <c r="G60" i="21"/>
  <c r="G17" i="84"/>
  <c r="H17" i="84" s="1"/>
  <c r="G57" i="21"/>
  <c r="G17" i="83"/>
  <c r="H17" i="83" s="1"/>
  <c r="G52" i="21"/>
  <c r="G15" i="82"/>
  <c r="H15" i="82" s="1"/>
  <c r="G45" i="21"/>
  <c r="G18" i="82"/>
  <c r="H18" i="82" s="1"/>
  <c r="G48" i="21"/>
  <c r="G17" i="82"/>
  <c r="H17" i="82" s="1"/>
  <c r="G47" i="21"/>
  <c r="F16" i="81"/>
  <c r="G41" i="21"/>
  <c r="F17" i="81"/>
  <c r="G42" i="21"/>
  <c r="F18" i="81"/>
  <c r="G43" i="21"/>
  <c r="F15" i="81"/>
  <c r="F20" i="81" s="1"/>
  <c r="G40" i="21"/>
  <c r="F15" i="80"/>
  <c r="G35" i="21"/>
  <c r="G17" i="80"/>
  <c r="H17" i="80" s="1"/>
  <c r="G37" i="21"/>
  <c r="G17" i="79"/>
  <c r="H17" i="79" s="1"/>
  <c r="G32" i="21"/>
  <c r="G15" i="79"/>
  <c r="H15" i="79" s="1"/>
  <c r="G30" i="21"/>
  <c r="F15" i="78"/>
  <c r="G25" i="21"/>
  <c r="F17" i="78"/>
  <c r="G27" i="21"/>
  <c r="G17" i="77"/>
  <c r="H17" i="77" s="1"/>
  <c r="G22" i="21"/>
  <c r="G15" i="77"/>
  <c r="H15" i="77" s="1"/>
  <c r="G20" i="21"/>
  <c r="G15" i="97"/>
  <c r="H15" i="97" s="1"/>
  <c r="G120" i="21"/>
  <c r="H120" i="21" s="1"/>
  <c r="F17" i="97"/>
  <c r="G122" i="21"/>
  <c r="G15" i="98"/>
  <c r="H15" i="98" s="1"/>
  <c r="G125" i="21"/>
  <c r="H125" i="21" s="1"/>
  <c r="I125" i="21" s="1"/>
  <c r="G17" i="98"/>
  <c r="H17" i="98" s="1"/>
  <c r="G127" i="21"/>
  <c r="G17" i="99"/>
  <c r="H17" i="99" s="1"/>
  <c r="G132" i="21"/>
  <c r="G15" i="100"/>
  <c r="H15" i="100" s="1"/>
  <c r="G135" i="21"/>
  <c r="H135" i="21" s="1"/>
  <c r="I135" i="21" s="1"/>
  <c r="G17" i="100"/>
  <c r="H17" i="100" s="1"/>
  <c r="G137" i="21"/>
  <c r="G15" i="101"/>
  <c r="H15" i="101" s="1"/>
  <c r="G140" i="21"/>
  <c r="H140" i="21" s="1"/>
  <c r="I140" i="21" s="1"/>
  <c r="J140" i="21" s="1"/>
  <c r="F17" i="101"/>
  <c r="G142" i="21"/>
  <c r="G15" i="102"/>
  <c r="H15" i="102" s="1"/>
  <c r="G145" i="21"/>
  <c r="H145" i="21" s="1"/>
  <c r="I145" i="21" s="1"/>
  <c r="F17" i="102"/>
  <c r="G147" i="21"/>
  <c r="H147" i="21" s="1"/>
  <c r="I147" i="21" s="1"/>
  <c r="AF150" i="21"/>
  <c r="G15" i="103"/>
  <c r="H15" i="103" s="1"/>
  <c r="G150" i="21"/>
  <c r="H150" i="21" s="1"/>
  <c r="I150" i="21" s="1"/>
  <c r="G17" i="103"/>
  <c r="H17" i="103" s="1"/>
  <c r="G152" i="21"/>
  <c r="H152" i="21" s="1"/>
  <c r="I152" i="21" s="1"/>
  <c r="G18" i="103"/>
  <c r="H18" i="103" s="1"/>
  <c r="G153" i="21"/>
  <c r="H153" i="21" s="1"/>
  <c r="I153" i="21" s="1"/>
  <c r="F15" i="102"/>
  <c r="F18" i="103"/>
  <c r="F15" i="100"/>
  <c r="F20" i="100" s="1"/>
  <c r="F15" i="98"/>
  <c r="F20" i="98" s="1"/>
  <c r="AE125" i="21"/>
  <c r="AE116" i="21"/>
  <c r="F17" i="89"/>
  <c r="F17" i="84"/>
  <c r="F18" i="82"/>
  <c r="F15" i="79"/>
  <c r="F20" i="79" s="1"/>
  <c r="G15" i="93"/>
  <c r="H15" i="93" s="1"/>
  <c r="F15" i="90"/>
  <c r="F20" i="90" s="1"/>
  <c r="G15" i="89"/>
  <c r="H15" i="89" s="1"/>
  <c r="F15" i="86"/>
  <c r="F20" i="86" s="1"/>
  <c r="G15" i="85"/>
  <c r="H15" i="85" s="1"/>
  <c r="H20" i="85" s="1"/>
  <c r="G18" i="81"/>
  <c r="H18" i="81" s="1"/>
  <c r="G15" i="81"/>
  <c r="H15" i="81" s="1"/>
  <c r="E20" i="103"/>
  <c r="K15" i="103" s="1"/>
  <c r="L15" i="103" s="1"/>
  <c r="F15" i="103"/>
  <c r="F17" i="103"/>
  <c r="G17" i="102"/>
  <c r="H17" i="102" s="1"/>
  <c r="E20" i="102"/>
  <c r="K15" i="102" s="1"/>
  <c r="L15" i="102" s="1"/>
  <c r="E20" i="101"/>
  <c r="K15" i="101" s="1"/>
  <c r="L15" i="101" s="1"/>
  <c r="G17" i="101"/>
  <c r="H17" i="101" s="1"/>
  <c r="F15" i="101"/>
  <c r="F20" i="101" s="1"/>
  <c r="E20" i="100"/>
  <c r="K15" i="100" s="1"/>
  <c r="L15" i="100" s="1"/>
  <c r="E20" i="99"/>
  <c r="K15" i="99" s="1"/>
  <c r="L15" i="99" s="1"/>
  <c r="F15" i="99"/>
  <c r="F20" i="99" s="1"/>
  <c r="F17" i="99"/>
  <c r="G15" i="99"/>
  <c r="H15" i="99" s="1"/>
  <c r="F17" i="98"/>
  <c r="E20" i="98"/>
  <c r="K15" i="98" s="1"/>
  <c r="L15" i="98" s="1"/>
  <c r="G17" i="97"/>
  <c r="H17" i="97" s="1"/>
  <c r="F15" i="97"/>
  <c r="F20" i="97" s="1"/>
  <c r="E20" i="97"/>
  <c r="K15" i="97" s="1"/>
  <c r="L15" i="97" s="1"/>
  <c r="E20" i="96"/>
  <c r="K15" i="96" s="1"/>
  <c r="L15" i="96" s="1"/>
  <c r="F15" i="96"/>
  <c r="F20" i="96" s="1"/>
  <c r="G15" i="95"/>
  <c r="H15" i="95" s="1"/>
  <c r="E20" i="95"/>
  <c r="K15" i="95" s="1"/>
  <c r="L15" i="95" s="1"/>
  <c r="G17" i="95"/>
  <c r="H17" i="95" s="1"/>
  <c r="E20" i="94"/>
  <c r="K15" i="94" s="1"/>
  <c r="L15" i="94" s="1"/>
  <c r="G15" i="94"/>
  <c r="H15" i="94" s="1"/>
  <c r="H20" i="94" s="1"/>
  <c r="E20" i="93"/>
  <c r="K15" i="93" s="1"/>
  <c r="L15" i="93" s="1"/>
  <c r="F17" i="93"/>
  <c r="E20" i="92"/>
  <c r="K15" i="92" s="1"/>
  <c r="L15" i="92" s="1"/>
  <c r="F15" i="92"/>
  <c r="F20" i="92" s="1"/>
  <c r="G15" i="92"/>
  <c r="H15" i="92" s="1"/>
  <c r="E20" i="91"/>
  <c r="K15" i="91" s="1"/>
  <c r="L15" i="91" s="1"/>
  <c r="F15" i="91"/>
  <c r="G16" i="91"/>
  <c r="H16" i="91" s="1"/>
  <c r="G15" i="91"/>
  <c r="H15" i="91" s="1"/>
  <c r="G20" i="90"/>
  <c r="E20" i="90"/>
  <c r="K15" i="90" s="1"/>
  <c r="L15" i="90" s="1"/>
  <c r="E20" i="89"/>
  <c r="K15" i="89" s="1"/>
  <c r="L15" i="89" s="1"/>
  <c r="E20" i="88"/>
  <c r="K15" i="88" s="1"/>
  <c r="L15" i="88" s="1"/>
  <c r="F17" i="88"/>
  <c r="F15" i="88"/>
  <c r="F20" i="88" s="1"/>
  <c r="G15" i="88"/>
  <c r="H15" i="88" s="1"/>
  <c r="E20" i="87"/>
  <c r="K15" i="87" s="1"/>
  <c r="L15" i="87" s="1"/>
  <c r="G15" i="87"/>
  <c r="H15" i="87" s="1"/>
  <c r="H20" i="87" s="1"/>
  <c r="F17" i="86"/>
  <c r="E20" i="86"/>
  <c r="K15" i="86" s="1"/>
  <c r="L15" i="86" s="1"/>
  <c r="E20" i="85"/>
  <c r="K15" i="85" s="1"/>
  <c r="L15" i="85" s="1"/>
  <c r="E20" i="84"/>
  <c r="K15" i="84" s="1"/>
  <c r="L15" i="84" s="1"/>
  <c r="F15" i="84"/>
  <c r="G15" i="84"/>
  <c r="H15" i="84" s="1"/>
  <c r="F17" i="83"/>
  <c r="E20" i="83"/>
  <c r="K15" i="83" s="1"/>
  <c r="L15" i="83" s="1"/>
  <c r="G15" i="83"/>
  <c r="H15" i="83" s="1"/>
  <c r="F15" i="83"/>
  <c r="F20" i="83" s="1"/>
  <c r="F15" i="82"/>
  <c r="G20" i="82"/>
  <c r="E20" i="82"/>
  <c r="K15" i="82" s="1"/>
  <c r="L15" i="82" s="1"/>
  <c r="G17" i="81"/>
  <c r="H17" i="81" s="1"/>
  <c r="E20" i="81"/>
  <c r="K15" i="81" s="1"/>
  <c r="L15" i="81" s="1"/>
  <c r="G16" i="81"/>
  <c r="H16" i="81" s="1"/>
  <c r="F17" i="80"/>
  <c r="G15" i="80"/>
  <c r="H15" i="80" s="1"/>
  <c r="E20" i="80"/>
  <c r="K15" i="80" s="1"/>
  <c r="L15" i="80" s="1"/>
  <c r="E20" i="79"/>
  <c r="K15" i="79" s="1"/>
  <c r="L15" i="79" s="1"/>
  <c r="G17" i="78"/>
  <c r="H17" i="78" s="1"/>
  <c r="E20" i="78"/>
  <c r="K15" i="78" s="1"/>
  <c r="L15" i="78" s="1"/>
  <c r="G15" i="78"/>
  <c r="H15" i="78" s="1"/>
  <c r="F17" i="77"/>
  <c r="E20" i="77"/>
  <c r="K15" i="77" s="1"/>
  <c r="L15" i="77" s="1"/>
  <c r="F15" i="77"/>
  <c r="F20" i="77" s="1"/>
  <c r="AE121" i="21"/>
  <c r="AE120" i="21"/>
  <c r="P3" i="51"/>
  <c r="J2" i="51"/>
  <c r="J3" i="51" s="1" a="1"/>
  <c r="J3" i="51" s="1"/>
  <c r="N3" i="51"/>
  <c r="N2" i="51"/>
  <c r="L2" i="51"/>
  <c r="I4" i="51"/>
  <c r="AE115" i="21"/>
  <c r="AE126" i="21"/>
  <c r="I121" i="21"/>
  <c r="P116" i="21"/>
  <c r="P126" i="21"/>
  <c r="P125" i="21"/>
  <c r="I127" i="21"/>
  <c r="P127" i="21"/>
  <c r="P128" i="21"/>
  <c r="I128" i="21"/>
  <c r="P120" i="21"/>
  <c r="I124" i="21"/>
  <c r="P124" i="21"/>
  <c r="P123" i="21"/>
  <c r="I123" i="21"/>
  <c r="P122" i="21"/>
  <c r="I122" i="21"/>
  <c r="P121" i="21"/>
  <c r="P115" i="21"/>
  <c r="P118" i="21"/>
  <c r="I118" i="21"/>
  <c r="P119" i="21"/>
  <c r="I119" i="21"/>
  <c r="P117" i="21"/>
  <c r="I117" i="21"/>
  <c r="E4" i="51"/>
  <c r="H20" i="92" l="1"/>
  <c r="H20" i="88"/>
  <c r="H20" i="96"/>
  <c r="H20" i="82"/>
  <c r="G20" i="103"/>
  <c r="F20" i="80"/>
  <c r="F20" i="78"/>
  <c r="H20" i="103"/>
  <c r="F20" i="84"/>
  <c r="G20" i="96"/>
  <c r="J135" i="21"/>
  <c r="H20" i="91"/>
  <c r="H20" i="79"/>
  <c r="F20" i="82"/>
  <c r="H20" i="101"/>
  <c r="H20" i="93"/>
  <c r="H20" i="84"/>
  <c r="G20" i="79"/>
  <c r="G20" i="88"/>
  <c r="I11" i="88" s="1"/>
  <c r="F23" i="16" s="1"/>
  <c r="H20" i="89"/>
  <c r="H20" i="86"/>
  <c r="G20" i="77"/>
  <c r="G20" i="84"/>
  <c r="H20" i="98"/>
  <c r="H20" i="99"/>
  <c r="H20" i="83"/>
  <c r="F20" i="91"/>
  <c r="H20" i="100"/>
  <c r="G20" i="80"/>
  <c r="H20" i="77"/>
  <c r="G20" i="93"/>
  <c r="H20" i="78"/>
  <c r="H20" i="80"/>
  <c r="G20" i="91"/>
  <c r="G20" i="89"/>
  <c r="G20" i="87"/>
  <c r="I11" i="87" s="1"/>
  <c r="F22" i="16" s="1"/>
  <c r="G20" i="86"/>
  <c r="G20" i="83"/>
  <c r="H20" i="97"/>
  <c r="AF125" i="21"/>
  <c r="G20" i="98"/>
  <c r="G20" i="100"/>
  <c r="H20" i="102"/>
  <c r="F20" i="102"/>
  <c r="J145" i="21"/>
  <c r="F20" i="103"/>
  <c r="I11" i="103" s="1"/>
  <c r="F38" i="16" s="1"/>
  <c r="I38" i="16" s="1"/>
  <c r="C38" i="22" s="1"/>
  <c r="J150" i="21"/>
  <c r="AF115" i="21"/>
  <c r="H20" i="95"/>
  <c r="G20" i="97"/>
  <c r="G20" i="94"/>
  <c r="I11" i="94" s="1"/>
  <c r="F29" i="16" s="1"/>
  <c r="G20" i="92"/>
  <c r="I11" i="92" s="1"/>
  <c r="F27" i="16" s="1"/>
  <c r="G20" i="102"/>
  <c r="H20" i="81"/>
  <c r="G20" i="81"/>
  <c r="I11" i="90"/>
  <c r="F25" i="16" s="1"/>
  <c r="G20" i="85"/>
  <c r="I11" i="85" s="1"/>
  <c r="F20" i="16" s="1"/>
  <c r="G20" i="101"/>
  <c r="G20" i="99"/>
  <c r="G20" i="95"/>
  <c r="G20" i="78"/>
  <c r="Q125" i="21"/>
  <c r="AF120" i="21"/>
  <c r="Q120" i="21"/>
  <c r="J125" i="21"/>
  <c r="Q115" i="21"/>
  <c r="I120" i="21"/>
  <c r="J120" i="21" s="1"/>
  <c r="AB125" i="21"/>
  <c r="AB115" i="21"/>
  <c r="AB120" i="21"/>
  <c r="J115" i="21"/>
  <c r="G7" i="51"/>
  <c r="G8" i="51"/>
  <c r="O7" i="51"/>
  <c r="O8" i="51"/>
  <c r="E8" i="51"/>
  <c r="E7" i="51"/>
  <c r="I11" i="96" l="1"/>
  <c r="F31" i="16" s="1"/>
  <c r="I11" i="83"/>
  <c r="F18" i="16" s="1"/>
  <c r="I11" i="82"/>
  <c r="F17" i="16" s="1"/>
  <c r="I11" i="89"/>
  <c r="F24" i="16" s="1"/>
  <c r="I11" i="101"/>
  <c r="F36" i="16" s="1"/>
  <c r="I36" i="16" s="1"/>
  <c r="C36" i="22" s="1"/>
  <c r="I11" i="79"/>
  <c r="F14" i="16" s="1"/>
  <c r="I11" i="99"/>
  <c r="F34" i="16" s="1"/>
  <c r="I34" i="16" s="1"/>
  <c r="C34" i="22" s="1"/>
  <c r="I11" i="97"/>
  <c r="F32" i="16" s="1"/>
  <c r="I32" i="16" s="1"/>
  <c r="C32" i="22" s="1"/>
  <c r="I11" i="86"/>
  <c r="F21" i="16" s="1"/>
  <c r="I11" i="78"/>
  <c r="F13" i="16" s="1"/>
  <c r="I11" i="84"/>
  <c r="F19" i="16" s="1"/>
  <c r="I11" i="91"/>
  <c r="F26" i="16" s="1"/>
  <c r="I11" i="93"/>
  <c r="F28" i="16" s="1"/>
  <c r="I11" i="77"/>
  <c r="F12" i="16" s="1"/>
  <c r="I11" i="80"/>
  <c r="F15" i="16" s="1"/>
  <c r="I11" i="100"/>
  <c r="F35" i="16" s="1"/>
  <c r="I35" i="16" s="1"/>
  <c r="C35" i="22" s="1"/>
  <c r="I11" i="98"/>
  <c r="F33" i="16" s="1"/>
  <c r="I33" i="16" s="1"/>
  <c r="C33" i="22" s="1"/>
  <c r="I11" i="95"/>
  <c r="F30" i="16" s="1"/>
  <c r="I11" i="102"/>
  <c r="F37" i="16" s="1"/>
  <c r="I37" i="16" s="1"/>
  <c r="C37" i="22" s="1"/>
  <c r="I38" i="22"/>
  <c r="F38" i="22"/>
  <c r="H38" i="22"/>
  <c r="E38" i="22"/>
  <c r="D38" i="22"/>
  <c r="G38" i="22"/>
  <c r="I11" i="81"/>
  <c r="F16" i="16" s="1"/>
  <c r="L3" i="51"/>
  <c r="I31" i="16"/>
  <c r="C31" i="22" s="1"/>
  <c r="H32" i="22" l="1"/>
  <c r="D32" i="22"/>
  <c r="I32" i="22"/>
  <c r="E32" i="22"/>
  <c r="F32" i="22"/>
  <c r="G32" i="22"/>
  <c r="K38" i="22"/>
  <c r="K7" i="51"/>
  <c r="K8" i="51"/>
  <c r="K32" i="22" l="1"/>
  <c r="J4" i="51"/>
  <c r="N4" i="51"/>
  <c r="J33" i="22" s="1"/>
  <c r="J30" i="22" l="1"/>
  <c r="J31" i="22"/>
  <c r="J37" i="22"/>
  <c r="J36" i="22"/>
  <c r="J20" i="22"/>
  <c r="J17" i="22"/>
  <c r="J28" i="22"/>
  <c r="M7" i="51"/>
  <c r="J25" i="22"/>
  <c r="J23" i="22"/>
  <c r="M8" i="51"/>
  <c r="J16" i="22"/>
  <c r="J13" i="22"/>
  <c r="J21" i="22"/>
  <c r="J29" i="22"/>
  <c r="J24" i="22"/>
  <c r="J14" i="22"/>
  <c r="J22" i="22"/>
  <c r="J35" i="22"/>
  <c r="J15" i="22"/>
  <c r="J27" i="22"/>
  <c r="J19" i="22"/>
  <c r="J26" i="22"/>
  <c r="I7" i="51"/>
  <c r="I8" i="51"/>
  <c r="L5" i="22" l="1"/>
  <c r="I5" i="16"/>
  <c r="C9" i="21"/>
  <c r="C9" i="8"/>
  <c r="B10" i="1"/>
  <c r="A7" i="22"/>
  <c r="F4" i="22"/>
  <c r="B15" i="16"/>
  <c r="B16" i="16"/>
  <c r="B17" i="16"/>
  <c r="B18" i="16"/>
  <c r="B19" i="16"/>
  <c r="B20" i="16"/>
  <c r="B21" i="16"/>
  <c r="B22" i="16"/>
  <c r="B23" i="16"/>
  <c r="B24" i="16"/>
  <c r="B25" i="16"/>
  <c r="B26" i="16"/>
  <c r="B27" i="16"/>
  <c r="B28" i="16"/>
  <c r="B29" i="16"/>
  <c r="B12" i="16"/>
  <c r="B13" i="16"/>
  <c r="B14" i="16"/>
  <c r="J19" i="8" l="1"/>
  <c r="B105" i="21"/>
  <c r="C109" i="21" s="1"/>
  <c r="B100" i="21"/>
  <c r="C104" i="21" s="1"/>
  <c r="B95" i="21"/>
  <c r="C99" i="21" s="1"/>
  <c r="B90" i="21"/>
  <c r="C94" i="21" s="1"/>
  <c r="B85" i="21"/>
  <c r="C89" i="21" s="1"/>
  <c r="B80" i="21"/>
  <c r="C84" i="21" s="1"/>
  <c r="B75" i="21"/>
  <c r="D77" i="21" s="1"/>
  <c r="B70" i="21"/>
  <c r="C74" i="21" s="1"/>
  <c r="B65" i="21"/>
  <c r="C69" i="21" s="1"/>
  <c r="B60" i="21"/>
  <c r="C64" i="21" s="1"/>
  <c r="B55" i="21"/>
  <c r="B50" i="21"/>
  <c r="C54" i="21" s="1"/>
  <c r="B45" i="21"/>
  <c r="C49" i="21" s="1"/>
  <c r="B40" i="21"/>
  <c r="C44" i="21" s="1"/>
  <c r="B35" i="21"/>
  <c r="C39" i="21" s="1"/>
  <c r="B30" i="21"/>
  <c r="C34" i="21" s="1"/>
  <c r="B25" i="21"/>
  <c r="C27" i="21" s="1"/>
  <c r="B20" i="21"/>
  <c r="C22" i="21" s="1"/>
  <c r="C111" i="21"/>
  <c r="D112" i="21"/>
  <c r="D107" i="21"/>
  <c r="D72" i="21"/>
  <c r="H9" i="21"/>
  <c r="C47" i="8"/>
  <c r="D36" i="8"/>
  <c r="N17" i="18"/>
  <c r="D20" i="83" s="1"/>
  <c r="N18" i="18"/>
  <c r="D20" i="84" s="1"/>
  <c r="N19" i="18"/>
  <c r="D20" i="85" s="1"/>
  <c r="N20" i="18"/>
  <c r="D20" i="86" s="1"/>
  <c r="N21" i="18"/>
  <c r="D20" i="87" s="1"/>
  <c r="N22" i="18"/>
  <c r="D20" i="88" s="1"/>
  <c r="N23" i="18"/>
  <c r="D20" i="89" s="1"/>
  <c r="N24" i="18"/>
  <c r="D20" i="90" s="1"/>
  <c r="N25" i="18"/>
  <c r="D20" i="91" s="1"/>
  <c r="N26" i="18"/>
  <c r="D20" i="92" s="1"/>
  <c r="N27" i="18"/>
  <c r="D20" i="93" s="1"/>
  <c r="N28" i="18"/>
  <c r="D20" i="94" s="1"/>
  <c r="D20" i="95"/>
  <c r="M11" i="18"/>
  <c r="M12" i="18"/>
  <c r="M13" i="18"/>
  <c r="M14" i="18"/>
  <c r="M15" i="18"/>
  <c r="M16" i="18"/>
  <c r="M17" i="18"/>
  <c r="M18" i="18"/>
  <c r="M19" i="18"/>
  <c r="M20" i="18"/>
  <c r="M21" i="18"/>
  <c r="M22" i="18"/>
  <c r="M23" i="18"/>
  <c r="M24" i="18"/>
  <c r="M25" i="18"/>
  <c r="M26" i="18"/>
  <c r="M27" i="18"/>
  <c r="M28" i="18"/>
  <c r="C20" i="95"/>
  <c r="D5" i="18"/>
  <c r="O5" i="18"/>
  <c r="N5" i="18"/>
  <c r="A10" i="1"/>
  <c r="C10" i="1" s="1"/>
  <c r="A9" i="1"/>
  <c r="B15" i="21"/>
  <c r="H52" i="19"/>
  <c r="C20" i="88" l="1"/>
  <c r="C23" i="16"/>
  <c r="C20" i="80"/>
  <c r="C15" i="16"/>
  <c r="C20" i="87"/>
  <c r="C22" i="16"/>
  <c r="C20" i="79"/>
  <c r="C14" i="16"/>
  <c r="C20" i="84"/>
  <c r="C19" i="16"/>
  <c r="C20" i="83"/>
  <c r="C18" i="16"/>
  <c r="C20" i="78"/>
  <c r="C13" i="16"/>
  <c r="C20" i="92"/>
  <c r="C27" i="16"/>
  <c r="C20" i="91"/>
  <c r="C26" i="16"/>
  <c r="C20" i="94"/>
  <c r="C29" i="16"/>
  <c r="C20" i="90"/>
  <c r="C25" i="16"/>
  <c r="C20" i="86"/>
  <c r="C21" i="16"/>
  <c r="C20" i="93"/>
  <c r="C28" i="16"/>
  <c r="C20" i="89"/>
  <c r="C24" i="16"/>
  <c r="C20" i="85"/>
  <c r="C20" i="16"/>
  <c r="C20" i="81"/>
  <c r="C16" i="16"/>
  <c r="C20" i="77"/>
  <c r="C12" i="16"/>
  <c r="C59" i="21"/>
  <c r="H59" i="21" s="1"/>
  <c r="H36" i="22"/>
  <c r="F36" i="22"/>
  <c r="G36" i="22"/>
  <c r="E36" i="22"/>
  <c r="I36" i="22"/>
  <c r="D36" i="22"/>
  <c r="H37" i="22"/>
  <c r="H35" i="22"/>
  <c r="I34" i="22"/>
  <c r="E35" i="22"/>
  <c r="E33" i="22"/>
  <c r="G35" i="22"/>
  <c r="D34" i="22"/>
  <c r="E34" i="22"/>
  <c r="I35" i="22"/>
  <c r="I33" i="22"/>
  <c r="G33" i="22"/>
  <c r="G31" i="22"/>
  <c r="D37" i="22"/>
  <c r="I31" i="22"/>
  <c r="F37" i="22"/>
  <c r="F34" i="22"/>
  <c r="F35" i="22"/>
  <c r="H31" i="22"/>
  <c r="G37" i="22"/>
  <c r="D31" i="22"/>
  <c r="F33" i="22"/>
  <c r="G34" i="22"/>
  <c r="D33" i="22"/>
  <c r="D35" i="22"/>
  <c r="E31" i="22"/>
  <c r="E37" i="22"/>
  <c r="H34" i="22"/>
  <c r="H33" i="22"/>
  <c r="F31" i="22"/>
  <c r="I37" i="22"/>
  <c r="AE54" i="21"/>
  <c r="H54" i="21"/>
  <c r="AA54" i="21"/>
  <c r="AE59" i="21"/>
  <c r="AE64" i="21"/>
  <c r="AA64" i="21"/>
  <c r="H64" i="21"/>
  <c r="AE69" i="21"/>
  <c r="H69" i="21"/>
  <c r="AA69" i="21"/>
  <c r="AE74" i="21"/>
  <c r="H74" i="21"/>
  <c r="AA74" i="21"/>
  <c r="C20" i="82"/>
  <c r="C17" i="16"/>
  <c r="AA111" i="21"/>
  <c r="H111" i="21"/>
  <c r="H22" i="21"/>
  <c r="AA22" i="21"/>
  <c r="AE84" i="21"/>
  <c r="H84" i="21"/>
  <c r="AA84" i="21"/>
  <c r="H27" i="21"/>
  <c r="AA27" i="21"/>
  <c r="AE89" i="21"/>
  <c r="AA89" i="21"/>
  <c r="H89" i="21"/>
  <c r="H34" i="21"/>
  <c r="AA34" i="21"/>
  <c r="AE94" i="21"/>
  <c r="H94" i="21"/>
  <c r="AA94" i="21"/>
  <c r="AA39" i="21"/>
  <c r="H39" i="21"/>
  <c r="AE99" i="21"/>
  <c r="AA99" i="21"/>
  <c r="H99" i="21"/>
  <c r="AE44" i="21"/>
  <c r="H44" i="21"/>
  <c r="AA44" i="21"/>
  <c r="AE104" i="21"/>
  <c r="H104" i="21"/>
  <c r="AA104" i="21"/>
  <c r="AA49" i="21"/>
  <c r="H49" i="21"/>
  <c r="AE109" i="21"/>
  <c r="AA109" i="21"/>
  <c r="H109" i="21"/>
  <c r="C56" i="21"/>
  <c r="P56" i="21" s="1"/>
  <c r="C51" i="21"/>
  <c r="C71" i="21"/>
  <c r="P71" i="21" s="1"/>
  <c r="D30" i="21"/>
  <c r="C32" i="21"/>
  <c r="P32" i="21" s="1"/>
  <c r="AE39" i="21"/>
  <c r="D22" i="16"/>
  <c r="D28" i="16"/>
  <c r="D20" i="16"/>
  <c r="D27" i="16"/>
  <c r="D19" i="16"/>
  <c r="AE111" i="21"/>
  <c r="D15" i="21"/>
  <c r="D23" i="16"/>
  <c r="D29" i="16"/>
  <c r="AE49" i="21"/>
  <c r="D26" i="16"/>
  <c r="D18" i="16"/>
  <c r="AE22" i="21"/>
  <c r="D21" i="16"/>
  <c r="D25" i="16"/>
  <c r="AE27" i="21"/>
  <c r="D24" i="16"/>
  <c r="AE34" i="21"/>
  <c r="D57" i="21"/>
  <c r="D92" i="21"/>
  <c r="D47" i="21"/>
  <c r="D31" i="21"/>
  <c r="C96" i="21"/>
  <c r="P39" i="21"/>
  <c r="P49" i="21"/>
  <c r="P22" i="21"/>
  <c r="P27" i="21"/>
  <c r="P34" i="21"/>
  <c r="D96" i="21"/>
  <c r="D49" i="21"/>
  <c r="C91" i="21"/>
  <c r="D97" i="21"/>
  <c r="D35" i="21"/>
  <c r="D21" i="21"/>
  <c r="D82" i="21"/>
  <c r="D102" i="21"/>
  <c r="C106" i="21"/>
  <c r="C81" i="21"/>
  <c r="C101" i="21"/>
  <c r="D104" i="21"/>
  <c r="D40" i="21"/>
  <c r="C86" i="21"/>
  <c r="C61" i="21"/>
  <c r="C66" i="21"/>
  <c r="D25" i="21"/>
  <c r="D32" i="21"/>
  <c r="D87" i="21"/>
  <c r="D42" i="21"/>
  <c r="D34" i="21"/>
  <c r="D44" i="21"/>
  <c r="D67" i="21"/>
  <c r="D52" i="21"/>
  <c r="C37" i="21"/>
  <c r="D37" i="21"/>
  <c r="D39" i="21"/>
  <c r="D38" i="21"/>
  <c r="C42" i="21"/>
  <c r="D62" i="21"/>
  <c r="C76" i="21"/>
  <c r="C79" i="21"/>
  <c r="D19" i="21"/>
  <c r="C19" i="21"/>
  <c r="AA19" i="21" s="1"/>
  <c r="C18" i="21"/>
  <c r="AA18" i="21" s="1"/>
  <c r="D24" i="21"/>
  <c r="C24" i="21"/>
  <c r="D29" i="21"/>
  <c r="C29" i="21"/>
  <c r="D110" i="21"/>
  <c r="C114" i="21"/>
  <c r="P104" i="21"/>
  <c r="P111" i="21"/>
  <c r="P74" i="21"/>
  <c r="I34" i="21"/>
  <c r="D28" i="21"/>
  <c r="D27" i="21"/>
  <c r="I27" i="21"/>
  <c r="D22" i="21"/>
  <c r="D20" i="21"/>
  <c r="D111" i="21"/>
  <c r="D114" i="21"/>
  <c r="C113" i="21"/>
  <c r="C110" i="21"/>
  <c r="D113" i="21"/>
  <c r="C112" i="21"/>
  <c r="D106" i="21"/>
  <c r="D109" i="21"/>
  <c r="C108" i="21"/>
  <c r="C105" i="21"/>
  <c r="D108" i="21"/>
  <c r="D105" i="21"/>
  <c r="C107" i="21"/>
  <c r="D101" i="21"/>
  <c r="C103" i="21"/>
  <c r="C100" i="21"/>
  <c r="D103" i="21"/>
  <c r="D100" i="21"/>
  <c r="C102" i="21"/>
  <c r="I104" i="21"/>
  <c r="D99" i="21"/>
  <c r="C98" i="21"/>
  <c r="C95" i="21"/>
  <c r="D98" i="21"/>
  <c r="D95" i="21"/>
  <c r="C97" i="21"/>
  <c r="D91" i="21"/>
  <c r="D94" i="21"/>
  <c r="C93" i="21"/>
  <c r="C90" i="21"/>
  <c r="D93" i="21"/>
  <c r="D90" i="21"/>
  <c r="C92" i="21"/>
  <c r="D86" i="21"/>
  <c r="D89" i="21"/>
  <c r="C88" i="21"/>
  <c r="C85" i="21"/>
  <c r="D88" i="21"/>
  <c r="D85" i="21"/>
  <c r="C87" i="21"/>
  <c r="D81" i="21"/>
  <c r="D84" i="21"/>
  <c r="C83" i="21"/>
  <c r="C80" i="21"/>
  <c r="D83" i="21"/>
  <c r="D80" i="21"/>
  <c r="C82" i="21"/>
  <c r="D76" i="21"/>
  <c r="D79" i="21"/>
  <c r="C78" i="21"/>
  <c r="C75" i="21"/>
  <c r="D78" i="21"/>
  <c r="D75" i="21"/>
  <c r="C77" i="21"/>
  <c r="D71" i="21"/>
  <c r="D74" i="21"/>
  <c r="C73" i="21"/>
  <c r="C70" i="21"/>
  <c r="D73" i="21"/>
  <c r="D70" i="21"/>
  <c r="C72" i="21"/>
  <c r="D66" i="21"/>
  <c r="D69" i="21"/>
  <c r="C68" i="21"/>
  <c r="C65" i="21"/>
  <c r="D68" i="21"/>
  <c r="D65" i="21"/>
  <c r="C67" i="21"/>
  <c r="D61" i="21"/>
  <c r="D64" i="21"/>
  <c r="C63" i="21"/>
  <c r="C60" i="21"/>
  <c r="D63" i="21"/>
  <c r="D60" i="21"/>
  <c r="C62" i="21"/>
  <c r="D56" i="21"/>
  <c r="D59" i="21"/>
  <c r="C58" i="21"/>
  <c r="C55" i="21"/>
  <c r="D58" i="21"/>
  <c r="D55" i="21"/>
  <c r="C57" i="21"/>
  <c r="D51" i="21"/>
  <c r="D54" i="21"/>
  <c r="C53" i="21"/>
  <c r="C50" i="21"/>
  <c r="D53" i="21"/>
  <c r="D50" i="21"/>
  <c r="C52" i="21"/>
  <c r="I44" i="21"/>
  <c r="P44" i="21"/>
  <c r="C23" i="21"/>
  <c r="C26" i="21"/>
  <c r="C33" i="21"/>
  <c r="C36" i="21"/>
  <c r="C43" i="21"/>
  <c r="C46" i="21"/>
  <c r="I22" i="21"/>
  <c r="C20" i="21"/>
  <c r="D23" i="21"/>
  <c r="D26" i="21"/>
  <c r="C30" i="21"/>
  <c r="D33" i="21"/>
  <c r="D36" i="21"/>
  <c r="C40" i="21"/>
  <c r="D43" i="21"/>
  <c r="D46" i="21"/>
  <c r="C21" i="21"/>
  <c r="C28" i="21"/>
  <c r="C31" i="21"/>
  <c r="C38" i="21"/>
  <c r="C41" i="21"/>
  <c r="C48" i="21"/>
  <c r="C25" i="21"/>
  <c r="C35" i="21"/>
  <c r="D41" i="21"/>
  <c r="C45" i="21"/>
  <c r="D48" i="21"/>
  <c r="I39" i="21"/>
  <c r="D45" i="21"/>
  <c r="C47" i="21"/>
  <c r="I49" i="21"/>
  <c r="D16" i="21"/>
  <c r="C15" i="21"/>
  <c r="D17" i="21"/>
  <c r="C16" i="21"/>
  <c r="D18" i="21"/>
  <c r="C17" i="21"/>
  <c r="E4" i="16"/>
  <c r="AA59" i="21" l="1"/>
  <c r="AE71" i="21"/>
  <c r="K34" i="22"/>
  <c r="K36" i="22"/>
  <c r="AA16" i="21"/>
  <c r="K37" i="22"/>
  <c r="K33" i="22"/>
  <c r="K35" i="22"/>
  <c r="K31" i="22"/>
  <c r="AE67" i="21"/>
  <c r="H67" i="21"/>
  <c r="AA67" i="21"/>
  <c r="AA101" i="21"/>
  <c r="H101" i="21"/>
  <c r="AE102" i="21"/>
  <c r="H102" i="21"/>
  <c r="AA102" i="21"/>
  <c r="AA81" i="21"/>
  <c r="H81" i="21"/>
  <c r="AE23" i="21"/>
  <c r="H23" i="21"/>
  <c r="AA23" i="21"/>
  <c r="AE83" i="21"/>
  <c r="AA83" i="21"/>
  <c r="H83" i="21"/>
  <c r="AA48" i="21"/>
  <c r="H48" i="21"/>
  <c r="AE58" i="21"/>
  <c r="AA58" i="21"/>
  <c r="H58" i="21"/>
  <c r="AE77" i="21"/>
  <c r="AA77" i="21"/>
  <c r="H77" i="21"/>
  <c r="AA90" i="21"/>
  <c r="H90" i="21"/>
  <c r="AE112" i="21"/>
  <c r="AA112" i="21"/>
  <c r="H112" i="21"/>
  <c r="AE106" i="21"/>
  <c r="H106" i="21"/>
  <c r="AA106" i="21"/>
  <c r="AA80" i="21"/>
  <c r="H80" i="21"/>
  <c r="AA30" i="21"/>
  <c r="H30" i="21"/>
  <c r="AE38" i="21"/>
  <c r="AA38" i="21"/>
  <c r="H38" i="21"/>
  <c r="AE87" i="21"/>
  <c r="AA87" i="21"/>
  <c r="H87" i="21"/>
  <c r="AA100" i="21"/>
  <c r="H100" i="21"/>
  <c r="I100" i="21" s="1"/>
  <c r="AA110" i="21"/>
  <c r="H110" i="21"/>
  <c r="AA76" i="21"/>
  <c r="H76" i="21"/>
  <c r="AA65" i="21"/>
  <c r="H65" i="21"/>
  <c r="AE79" i="21"/>
  <c r="AA79" i="21"/>
  <c r="H79" i="21"/>
  <c r="AA20" i="21"/>
  <c r="H20" i="21"/>
  <c r="AE68" i="21"/>
  <c r="H68" i="21"/>
  <c r="AA68" i="21"/>
  <c r="H31" i="21"/>
  <c r="AA31" i="21"/>
  <c r="AE62" i="21"/>
  <c r="AA62" i="21"/>
  <c r="H62" i="21"/>
  <c r="AA75" i="21"/>
  <c r="H75" i="21"/>
  <c r="AE103" i="21"/>
  <c r="H103" i="21"/>
  <c r="AA103" i="21"/>
  <c r="AE113" i="21"/>
  <c r="H113" i="21"/>
  <c r="AA113" i="21"/>
  <c r="H96" i="21"/>
  <c r="AA96" i="21"/>
  <c r="I32" i="21"/>
  <c r="AA32" i="21"/>
  <c r="H32" i="21"/>
  <c r="AA25" i="21"/>
  <c r="H25" i="21"/>
  <c r="AE93" i="21"/>
  <c r="H93" i="21"/>
  <c r="AA93" i="21"/>
  <c r="AE47" i="21"/>
  <c r="H47" i="21"/>
  <c r="AA47" i="21"/>
  <c r="AE28" i="21"/>
  <c r="H28" i="21"/>
  <c r="AA28" i="21"/>
  <c r="AA50" i="21"/>
  <c r="H50" i="21"/>
  <c r="AE78" i="21"/>
  <c r="AA78" i="21"/>
  <c r="H78" i="21"/>
  <c r="AE97" i="21"/>
  <c r="AA97" i="21"/>
  <c r="H97" i="21"/>
  <c r="AE114" i="21"/>
  <c r="AA114" i="21"/>
  <c r="H114" i="21"/>
  <c r="H42" i="21"/>
  <c r="AA42" i="21"/>
  <c r="AA52" i="21"/>
  <c r="H52" i="21"/>
  <c r="AA46" i="21"/>
  <c r="H46" i="21"/>
  <c r="AE53" i="21"/>
  <c r="AA53" i="21"/>
  <c r="H53" i="21"/>
  <c r="AE72" i="21"/>
  <c r="AA72" i="21"/>
  <c r="H72" i="21"/>
  <c r="AA85" i="21"/>
  <c r="H85" i="21"/>
  <c r="I85" i="21" s="1"/>
  <c r="AE107" i="21"/>
  <c r="AA107" i="21"/>
  <c r="H107" i="21"/>
  <c r="H66" i="21"/>
  <c r="AA66" i="21"/>
  <c r="AA71" i="21"/>
  <c r="H71" i="21"/>
  <c r="AA60" i="21"/>
  <c r="H60" i="21"/>
  <c r="AE88" i="21"/>
  <c r="AA88" i="21"/>
  <c r="H88" i="21"/>
  <c r="H29" i="21"/>
  <c r="AA29" i="21"/>
  <c r="AE61" i="21"/>
  <c r="AA61" i="21"/>
  <c r="H61" i="21"/>
  <c r="AA91" i="21"/>
  <c r="H91" i="21"/>
  <c r="I91" i="21" s="1"/>
  <c r="P51" i="21"/>
  <c r="AA51" i="21"/>
  <c r="H51" i="21"/>
  <c r="AA35" i="21"/>
  <c r="H35" i="21"/>
  <c r="AE43" i="21"/>
  <c r="H43" i="21"/>
  <c r="AA43" i="21"/>
  <c r="AA36" i="21"/>
  <c r="H36" i="21"/>
  <c r="I36" i="21" s="1"/>
  <c r="AA82" i="21"/>
  <c r="H82" i="21"/>
  <c r="I82" i="21" s="1"/>
  <c r="AA95" i="21"/>
  <c r="H95" i="21"/>
  <c r="I95" i="21" s="1"/>
  <c r="AA86" i="21"/>
  <c r="H86" i="21"/>
  <c r="AA56" i="21"/>
  <c r="H56" i="21"/>
  <c r="AA55" i="21"/>
  <c r="H55" i="21"/>
  <c r="AE63" i="21"/>
  <c r="AA63" i="21"/>
  <c r="H63" i="21"/>
  <c r="AE40" i="21"/>
  <c r="AA40" i="21"/>
  <c r="H40" i="21"/>
  <c r="AA57" i="21"/>
  <c r="H57" i="21"/>
  <c r="I57" i="21" s="1"/>
  <c r="AA70" i="21"/>
  <c r="H70" i="21"/>
  <c r="AE98" i="21"/>
  <c r="AA98" i="21"/>
  <c r="H98" i="21"/>
  <c r="AA105" i="21"/>
  <c r="H105" i="21"/>
  <c r="H24" i="21"/>
  <c r="AA24" i="21"/>
  <c r="AA37" i="21"/>
  <c r="H37" i="21"/>
  <c r="AE41" i="21"/>
  <c r="H41" i="21"/>
  <c r="AA41" i="21"/>
  <c r="H21" i="21"/>
  <c r="AA45" i="21"/>
  <c r="H45" i="21"/>
  <c r="AE33" i="21"/>
  <c r="AA33" i="21"/>
  <c r="H33" i="21"/>
  <c r="AA17" i="21"/>
  <c r="AA26" i="21"/>
  <c r="H26" i="21"/>
  <c r="AE73" i="21"/>
  <c r="AA73" i="21"/>
  <c r="H73" i="21"/>
  <c r="AE92" i="21"/>
  <c r="AA92" i="21"/>
  <c r="H92" i="21"/>
  <c r="AE108" i="21"/>
  <c r="H108" i="21"/>
  <c r="AA108" i="21"/>
  <c r="AE32" i="21"/>
  <c r="AE52" i="21"/>
  <c r="AE36" i="21"/>
  <c r="AE110" i="21"/>
  <c r="AE56" i="21"/>
  <c r="AE25" i="21"/>
  <c r="AE57" i="21"/>
  <c r="AE30" i="21"/>
  <c r="AE26" i="21"/>
  <c r="AE85" i="21"/>
  <c r="AE37" i="21"/>
  <c r="AE80" i="21"/>
  <c r="AE75" i="21"/>
  <c r="AE48" i="21"/>
  <c r="AE70" i="21"/>
  <c r="AE105" i="21"/>
  <c r="AE17" i="21"/>
  <c r="AE46" i="21"/>
  <c r="AE51" i="21"/>
  <c r="AE91" i="21"/>
  <c r="AE18" i="21"/>
  <c r="AE16" i="21"/>
  <c r="AE31" i="21"/>
  <c r="AE55" i="21"/>
  <c r="AE82" i="21"/>
  <c r="AE95" i="21"/>
  <c r="AE19" i="21"/>
  <c r="AE101" i="21"/>
  <c r="AE86" i="21"/>
  <c r="AE45" i="21"/>
  <c r="AE50" i="21"/>
  <c r="AE90" i="21"/>
  <c r="AE81" i="21"/>
  <c r="AE42" i="21"/>
  <c r="AE65" i="21"/>
  <c r="AE100" i="21"/>
  <c r="AE21" i="21"/>
  <c r="AE24" i="21"/>
  <c r="AE60" i="21"/>
  <c r="AE35" i="21"/>
  <c r="AE20" i="21"/>
  <c r="AE29" i="21"/>
  <c r="AE76" i="21"/>
  <c r="AE66" i="21"/>
  <c r="AE96" i="21"/>
  <c r="AA15" i="21"/>
  <c r="AE15" i="21"/>
  <c r="I48" i="21"/>
  <c r="I40" i="21"/>
  <c r="I90" i="21"/>
  <c r="I37" i="21"/>
  <c r="I75" i="21"/>
  <c r="P91" i="21"/>
  <c r="P96" i="21"/>
  <c r="P61" i="21"/>
  <c r="P29" i="21"/>
  <c r="P24" i="21"/>
  <c r="P42" i="21"/>
  <c r="P86" i="21"/>
  <c r="P101" i="21"/>
  <c r="P66" i="21"/>
  <c r="P76" i="21"/>
  <c r="P106" i="21"/>
  <c r="P37" i="21"/>
  <c r="P81" i="21"/>
  <c r="I24" i="21"/>
  <c r="I42" i="21"/>
  <c r="I29" i="21"/>
  <c r="P113" i="21"/>
  <c r="I113" i="21"/>
  <c r="P114" i="21"/>
  <c r="I114" i="21"/>
  <c r="P110" i="21"/>
  <c r="P112" i="21"/>
  <c r="P108" i="21"/>
  <c r="I108" i="21"/>
  <c r="P105" i="21"/>
  <c r="P109" i="21"/>
  <c r="I109" i="21"/>
  <c r="P107" i="21"/>
  <c r="I107" i="21"/>
  <c r="P100" i="21"/>
  <c r="P103" i="21"/>
  <c r="I103" i="21"/>
  <c r="P102" i="21"/>
  <c r="I102" i="21"/>
  <c r="P95" i="21"/>
  <c r="I98" i="21"/>
  <c r="P98" i="21"/>
  <c r="P97" i="21"/>
  <c r="I97" i="21"/>
  <c r="P99" i="21"/>
  <c r="I99" i="21"/>
  <c r="P93" i="21"/>
  <c r="I93" i="21"/>
  <c r="P90" i="21"/>
  <c r="P92" i="21"/>
  <c r="I92" i="21"/>
  <c r="P94" i="21"/>
  <c r="I94" i="21"/>
  <c r="P88" i="21"/>
  <c r="I88" i="21"/>
  <c r="P85" i="21"/>
  <c r="P87" i="21"/>
  <c r="I87" i="21"/>
  <c r="P89" i="21"/>
  <c r="I89" i="21"/>
  <c r="P83" i="21"/>
  <c r="I83" i="21"/>
  <c r="P80" i="21"/>
  <c r="P84" i="21"/>
  <c r="I84" i="21"/>
  <c r="P82" i="21"/>
  <c r="P78" i="21"/>
  <c r="I78" i="21"/>
  <c r="P75" i="21"/>
  <c r="P79" i="21"/>
  <c r="I79" i="21"/>
  <c r="P77" i="21"/>
  <c r="I77" i="21"/>
  <c r="P70" i="21"/>
  <c r="P73" i="21"/>
  <c r="P72" i="21"/>
  <c r="P68" i="21"/>
  <c r="I68" i="21"/>
  <c r="P67" i="21"/>
  <c r="I67" i="21"/>
  <c r="P69" i="21"/>
  <c r="I69" i="21"/>
  <c r="P65" i="21"/>
  <c r="P63" i="21"/>
  <c r="I63" i="21"/>
  <c r="P64" i="21"/>
  <c r="I64" i="21"/>
  <c r="P60" i="21"/>
  <c r="P62" i="21"/>
  <c r="I62" i="21"/>
  <c r="P58" i="21"/>
  <c r="I58" i="21"/>
  <c r="P55" i="21"/>
  <c r="P57" i="21"/>
  <c r="P59" i="21"/>
  <c r="I59" i="21"/>
  <c r="P53" i="21"/>
  <c r="I53" i="21"/>
  <c r="P50" i="21"/>
  <c r="P52" i="21"/>
  <c r="P54" i="21"/>
  <c r="I54" i="21"/>
  <c r="P48" i="21"/>
  <c r="P26" i="21"/>
  <c r="P40" i="21"/>
  <c r="P47" i="21"/>
  <c r="I47" i="21"/>
  <c r="P41" i="21"/>
  <c r="P20" i="21"/>
  <c r="P23" i="21"/>
  <c r="I23" i="21"/>
  <c r="P31" i="21"/>
  <c r="P30" i="21"/>
  <c r="P46" i="21"/>
  <c r="P38" i="21"/>
  <c r="I38" i="21"/>
  <c r="P28" i="21"/>
  <c r="I28" i="21"/>
  <c r="P21" i="21"/>
  <c r="P43" i="21"/>
  <c r="I43" i="21"/>
  <c r="P25" i="21"/>
  <c r="P36" i="21"/>
  <c r="P35" i="21"/>
  <c r="P45" i="21"/>
  <c r="P33" i="21"/>
  <c r="I33" i="21"/>
  <c r="I74" i="21"/>
  <c r="AF105" i="21" l="1"/>
  <c r="AB20" i="21"/>
  <c r="AF70" i="21"/>
  <c r="AF40" i="21"/>
  <c r="AF110" i="21"/>
  <c r="AF60" i="21"/>
  <c r="AF85" i="21"/>
  <c r="AF25" i="21"/>
  <c r="AF30" i="21"/>
  <c r="Q35" i="21"/>
  <c r="AF75" i="21"/>
  <c r="AF90" i="21"/>
  <c r="AF35" i="21"/>
  <c r="Q45" i="21"/>
  <c r="AF50" i="21"/>
  <c r="AF55" i="21"/>
  <c r="AF45" i="21"/>
  <c r="Q30" i="21"/>
  <c r="AF100" i="21"/>
  <c r="AF80" i="21"/>
  <c r="Q80" i="21"/>
  <c r="Q60" i="21"/>
  <c r="AF15" i="21"/>
  <c r="Q105" i="21"/>
  <c r="Q25" i="21"/>
  <c r="Q50" i="21"/>
  <c r="Q55" i="21"/>
  <c r="Q40" i="21"/>
  <c r="Q100" i="21"/>
  <c r="Q70" i="21"/>
  <c r="Q110" i="21"/>
  <c r="Q20" i="21"/>
  <c r="Q75" i="21"/>
  <c r="Q65" i="21"/>
  <c r="Q90" i="21"/>
  <c r="Q85" i="21"/>
  <c r="Q95" i="21"/>
  <c r="AF65" i="21"/>
  <c r="AF20" i="21"/>
  <c r="L20" i="77" s="1"/>
  <c r="AF95" i="21"/>
  <c r="L20" i="92" s="1"/>
  <c r="AB25" i="21"/>
  <c r="AB75" i="21"/>
  <c r="AB85" i="21"/>
  <c r="AB95" i="21"/>
  <c r="AB50" i="21"/>
  <c r="AB80" i="21"/>
  <c r="AB70" i="21"/>
  <c r="AB90" i="21"/>
  <c r="AB65" i="21"/>
  <c r="AB100" i="21"/>
  <c r="AB35" i="21"/>
  <c r="AB60" i="21"/>
  <c r="AB110" i="21"/>
  <c r="AB40" i="21"/>
  <c r="J20" i="77"/>
  <c r="AB105" i="21"/>
  <c r="AB55" i="21"/>
  <c r="AB45" i="21"/>
  <c r="AB30" i="21"/>
  <c r="J20" i="79" s="1"/>
  <c r="I45" i="21"/>
  <c r="I60" i="21"/>
  <c r="I61" i="21"/>
  <c r="I31" i="21"/>
  <c r="I55" i="21"/>
  <c r="I50" i="21"/>
  <c r="I65" i="21"/>
  <c r="I110" i="21"/>
  <c r="I86" i="21"/>
  <c r="J85" i="21" s="1"/>
  <c r="I51" i="21"/>
  <c r="I70" i="21"/>
  <c r="I76" i="21"/>
  <c r="J75" i="21" s="1"/>
  <c r="I81" i="21"/>
  <c r="I112" i="21"/>
  <c r="I26" i="21"/>
  <c r="I46" i="21"/>
  <c r="I73" i="21"/>
  <c r="I80" i="21"/>
  <c r="I52" i="21"/>
  <c r="I111" i="21"/>
  <c r="I106" i="21"/>
  <c r="I35" i="21"/>
  <c r="J35" i="21" s="1"/>
  <c r="I56" i="21"/>
  <c r="I101" i="21"/>
  <c r="J100" i="21" s="1"/>
  <c r="I105" i="21"/>
  <c r="I41" i="21"/>
  <c r="J40" i="21" s="1"/>
  <c r="I20" i="21"/>
  <c r="I66" i="21"/>
  <c r="I25" i="21"/>
  <c r="I21" i="21"/>
  <c r="I30" i="21"/>
  <c r="I71" i="21"/>
  <c r="I72" i="21"/>
  <c r="I96" i="21"/>
  <c r="J95" i="21" s="1"/>
  <c r="J90" i="21"/>
  <c r="J20" i="82" l="1"/>
  <c r="J20" i="84"/>
  <c r="J20" i="94"/>
  <c r="J20" i="81"/>
  <c r="J20" i="85"/>
  <c r="J20" i="80"/>
  <c r="J20" i="93"/>
  <c r="J20" i="86"/>
  <c r="J20" i="91"/>
  <c r="J20" i="87"/>
  <c r="J20" i="89"/>
  <c r="J20" i="83"/>
  <c r="J20" i="92"/>
  <c r="J20" i="90"/>
  <c r="J20" i="88"/>
  <c r="J20" i="78"/>
  <c r="L20" i="86"/>
  <c r="J20" i="102"/>
  <c r="J20" i="99"/>
  <c r="J20" i="100"/>
  <c r="J20" i="101"/>
  <c r="J20" i="103"/>
  <c r="L20" i="100"/>
  <c r="L20" i="102"/>
  <c r="L20" i="99"/>
  <c r="L20" i="101"/>
  <c r="L20" i="103"/>
  <c r="L20" i="94"/>
  <c r="L20" i="95"/>
  <c r="L20" i="97"/>
  <c r="L20" i="98"/>
  <c r="L20" i="96"/>
  <c r="L20" i="89"/>
  <c r="L20" i="93"/>
  <c r="L20" i="82"/>
  <c r="L20" i="84"/>
  <c r="L20" i="83"/>
  <c r="L20" i="80"/>
  <c r="L20" i="91"/>
  <c r="L20" i="88"/>
  <c r="L20" i="79"/>
  <c r="L20" i="78"/>
  <c r="L20" i="90"/>
  <c r="L20" i="85"/>
  <c r="L20" i="81"/>
  <c r="L20" i="87"/>
  <c r="J20" i="95"/>
  <c r="J20" i="98"/>
  <c r="J20" i="96"/>
  <c r="J20" i="97"/>
  <c r="J45" i="21"/>
  <c r="J60" i="21"/>
  <c r="J55" i="21"/>
  <c r="J80" i="21"/>
  <c r="J65" i="21"/>
  <c r="J30" i="21"/>
  <c r="J25" i="21"/>
  <c r="I14" i="16"/>
  <c r="C14" i="22" s="1"/>
  <c r="I20" i="16"/>
  <c r="C20" i="22" s="1"/>
  <c r="J105" i="21"/>
  <c r="J50" i="21"/>
  <c r="J110" i="21"/>
  <c r="J70" i="21"/>
  <c r="I20" i="22" l="1"/>
  <c r="H20" i="22"/>
  <c r="G20" i="22"/>
  <c r="F20" i="22"/>
  <c r="E20" i="22"/>
  <c r="D20" i="22"/>
  <c r="H14" i="22"/>
  <c r="F14" i="22"/>
  <c r="D14" i="22"/>
  <c r="I14" i="22"/>
  <c r="G14" i="22"/>
  <c r="E14" i="22"/>
  <c r="I24" i="16"/>
  <c r="C24" i="22" s="1"/>
  <c r="I12" i="16"/>
  <c r="C12" i="22" s="1"/>
  <c r="D12" i="22" s="1"/>
  <c r="I15" i="16"/>
  <c r="C15" i="22" s="1"/>
  <c r="I19" i="16"/>
  <c r="C19" i="22" s="1"/>
  <c r="I22" i="16"/>
  <c r="C22" i="22" s="1"/>
  <c r="I17" i="16"/>
  <c r="C17" i="22" s="1"/>
  <c r="I23" i="16"/>
  <c r="C23" i="22" s="1"/>
  <c r="I21" i="16"/>
  <c r="C21" i="22" s="1"/>
  <c r="I18" i="16"/>
  <c r="C18" i="22" s="1"/>
  <c r="I16" i="16"/>
  <c r="C16" i="22" s="1"/>
  <c r="I13" i="16"/>
  <c r="C13" i="22" s="1"/>
  <c r="I27" i="16"/>
  <c r="C27" i="22" s="1"/>
  <c r="E27" i="22" l="1"/>
  <c r="G27" i="22"/>
  <c r="I27" i="22"/>
  <c r="D27" i="22"/>
  <c r="F27" i="22"/>
  <c r="H27" i="22"/>
  <c r="G24" i="22"/>
  <c r="H24" i="22"/>
  <c r="E24" i="22"/>
  <c r="D24" i="22"/>
  <c r="I24" i="22"/>
  <c r="F24" i="22"/>
  <c r="G23" i="22"/>
  <c r="E23" i="22"/>
  <c r="H23" i="22"/>
  <c r="D23" i="22"/>
  <c r="I23" i="22"/>
  <c r="F23" i="22"/>
  <c r="F22" i="22"/>
  <c r="G22" i="22"/>
  <c r="H22" i="22"/>
  <c r="I22" i="22"/>
  <c r="E22" i="22"/>
  <c r="D22" i="22"/>
  <c r="D21" i="22"/>
  <c r="E21" i="22"/>
  <c r="F21" i="22"/>
  <c r="G21" i="22"/>
  <c r="H21" i="22"/>
  <c r="I21" i="22"/>
  <c r="K20" i="22"/>
  <c r="I19" i="22"/>
  <c r="H19" i="22"/>
  <c r="G19" i="22"/>
  <c r="F19" i="22"/>
  <c r="E19" i="22"/>
  <c r="D19" i="22"/>
  <c r="F18" i="22"/>
  <c r="G18" i="22"/>
  <c r="E18" i="22"/>
  <c r="D18" i="22"/>
  <c r="I18" i="22"/>
  <c r="H18" i="22"/>
  <c r="G17" i="22"/>
  <c r="F17" i="22"/>
  <c r="I17" i="22"/>
  <c r="E17" i="22"/>
  <c r="H17" i="22"/>
  <c r="D17" i="22"/>
  <c r="G16" i="22"/>
  <c r="D16" i="22"/>
  <c r="I16" i="22"/>
  <c r="F16" i="22"/>
  <c r="H16" i="22"/>
  <c r="E16" i="22"/>
  <c r="E15" i="22"/>
  <c r="G15" i="22"/>
  <c r="I15" i="22"/>
  <c r="D15" i="22"/>
  <c r="H15" i="22"/>
  <c r="F15" i="22"/>
  <c r="K14" i="22"/>
  <c r="H13" i="22"/>
  <c r="F13" i="22"/>
  <c r="G13" i="22"/>
  <c r="I13" i="22"/>
  <c r="E13" i="22"/>
  <c r="D13" i="22"/>
  <c r="H12" i="22"/>
  <c r="E12" i="22"/>
  <c r="I12" i="22"/>
  <c r="F12" i="22"/>
  <c r="G12" i="22"/>
  <c r="I30" i="16"/>
  <c r="C30" i="22" s="1"/>
  <c r="I29" i="16"/>
  <c r="C29" i="22" s="1"/>
  <c r="I28" i="16"/>
  <c r="C28" i="22" s="1"/>
  <c r="I26" i="16"/>
  <c r="C26" i="22" s="1"/>
  <c r="I25" i="16"/>
  <c r="C25" i="22" s="1"/>
  <c r="E45" i="8"/>
  <c r="F45" i="8"/>
  <c r="G45" i="8"/>
  <c r="H45" i="8"/>
  <c r="I45" i="8"/>
  <c r="D45" i="8"/>
  <c r="E42" i="8"/>
  <c r="F42" i="8"/>
  <c r="G42" i="8"/>
  <c r="H42" i="8"/>
  <c r="I42" i="8"/>
  <c r="D42" i="8"/>
  <c r="E36" i="8"/>
  <c r="F36" i="8"/>
  <c r="F44" i="8" s="1"/>
  <c r="G36" i="8"/>
  <c r="G44" i="8" s="1"/>
  <c r="H36" i="8"/>
  <c r="H44" i="8" s="1"/>
  <c r="I36" i="8"/>
  <c r="I44" i="8" s="1"/>
  <c r="H4" i="18"/>
  <c r="C4" i="18"/>
  <c r="E2" i="18"/>
  <c r="F30" i="22" l="1"/>
  <c r="E30" i="22"/>
  <c r="D30" i="22"/>
  <c r="I30" i="22"/>
  <c r="H30" i="22"/>
  <c r="G30" i="22"/>
  <c r="G29" i="22"/>
  <c r="F29" i="22"/>
  <c r="I29" i="22"/>
  <c r="E29" i="22"/>
  <c r="H29" i="22"/>
  <c r="D29" i="22"/>
  <c r="G28" i="22"/>
  <c r="D28" i="22"/>
  <c r="I28" i="22"/>
  <c r="F28" i="22"/>
  <c r="E28" i="22"/>
  <c r="H28" i="22"/>
  <c r="K27" i="22"/>
  <c r="H26" i="22"/>
  <c r="F26" i="22"/>
  <c r="D26" i="22"/>
  <c r="I26" i="22"/>
  <c r="G26" i="22"/>
  <c r="E26" i="22"/>
  <c r="H25" i="22"/>
  <c r="F25" i="22"/>
  <c r="D25" i="22"/>
  <c r="I25" i="22"/>
  <c r="G25" i="22"/>
  <c r="E25" i="22"/>
  <c r="K24" i="22"/>
  <c r="K23" i="22"/>
  <c r="K22" i="22"/>
  <c r="K21" i="22"/>
  <c r="K19" i="22"/>
  <c r="K18" i="22"/>
  <c r="K17" i="22"/>
  <c r="K16" i="22"/>
  <c r="K15" i="22"/>
  <c r="K13" i="22"/>
  <c r="K12" i="22"/>
  <c r="B11" i="22"/>
  <c r="C10" i="21"/>
  <c r="C8" i="21"/>
  <c r="A4" i="21"/>
  <c r="B43" i="20"/>
  <c r="B38" i="20"/>
  <c r="B33" i="20"/>
  <c r="B28" i="20"/>
  <c r="B23" i="20"/>
  <c r="B18" i="20"/>
  <c r="B13" i="20"/>
  <c r="C9" i="20"/>
  <c r="C8" i="20"/>
  <c r="A4" i="20"/>
  <c r="B18" i="19"/>
  <c r="C9" i="19"/>
  <c r="C8" i="19"/>
  <c r="A4" i="19"/>
  <c r="B43" i="19"/>
  <c r="B38" i="19"/>
  <c r="B33" i="19"/>
  <c r="B28" i="19"/>
  <c r="B23" i="19"/>
  <c r="B13" i="19"/>
  <c r="K30" i="22" l="1"/>
  <c r="K29" i="22"/>
  <c r="K28" i="22"/>
  <c r="K26" i="22"/>
  <c r="K25" i="22"/>
  <c r="C44" i="19"/>
  <c r="C43" i="19"/>
  <c r="C46" i="19"/>
  <c r="C45" i="19"/>
  <c r="C47" i="19"/>
  <c r="L47" i="19" s="1"/>
  <c r="C47" i="20"/>
  <c r="N47" i="20" s="1"/>
  <c r="C46" i="20"/>
  <c r="N46" i="20" s="1"/>
  <c r="C45" i="20"/>
  <c r="N45" i="20" s="1"/>
  <c r="C44" i="20"/>
  <c r="N44" i="20" s="1"/>
  <c r="C43" i="20"/>
  <c r="N43" i="20" s="1"/>
  <c r="C41" i="19"/>
  <c r="C40" i="19"/>
  <c r="C39" i="19"/>
  <c r="C38" i="19"/>
  <c r="C42" i="19"/>
  <c r="K42" i="19" s="1"/>
  <c r="D40" i="20"/>
  <c r="C39" i="20"/>
  <c r="N39" i="20" s="1"/>
  <c r="C38" i="20"/>
  <c r="N38" i="20" s="1"/>
  <c r="C42" i="20"/>
  <c r="N42" i="20" s="1"/>
  <c r="C41" i="20"/>
  <c r="N41" i="20" s="1"/>
  <c r="C40" i="20"/>
  <c r="C37" i="19"/>
  <c r="C36" i="19"/>
  <c r="C35" i="19"/>
  <c r="K35" i="19" s="1"/>
  <c r="C34" i="19"/>
  <c r="C33" i="19"/>
  <c r="D34" i="20"/>
  <c r="C37" i="20"/>
  <c r="N37" i="20" s="1"/>
  <c r="C36" i="20"/>
  <c r="N36" i="20" s="1"/>
  <c r="C35" i="20"/>
  <c r="N35" i="20" s="1"/>
  <c r="C34" i="20"/>
  <c r="N34" i="20" s="1"/>
  <c r="C33" i="20"/>
  <c r="N33" i="20" s="1"/>
  <c r="C28" i="19"/>
  <c r="C32" i="19"/>
  <c r="L32" i="19" s="1"/>
  <c r="C31" i="19"/>
  <c r="C30" i="19"/>
  <c r="C29" i="19"/>
  <c r="C31" i="20"/>
  <c r="N31" i="20" s="1"/>
  <c r="C30" i="20"/>
  <c r="N30" i="20" s="1"/>
  <c r="C29" i="20"/>
  <c r="N29" i="20" s="1"/>
  <c r="C28" i="20"/>
  <c r="N28" i="20" s="1"/>
  <c r="C32" i="20"/>
  <c r="N32" i="20" s="1"/>
  <c r="C23" i="20"/>
  <c r="N23" i="20" s="1"/>
  <c r="C27" i="20"/>
  <c r="N27" i="20" s="1"/>
  <c r="C26" i="20"/>
  <c r="N26" i="20" s="1"/>
  <c r="C25" i="20"/>
  <c r="N25" i="20" s="1"/>
  <c r="C24" i="20"/>
  <c r="N24" i="20" s="1"/>
  <c r="D25" i="19"/>
  <c r="C24" i="19"/>
  <c r="C27" i="19"/>
  <c r="C26" i="19"/>
  <c r="C23" i="19"/>
  <c r="C25" i="19"/>
  <c r="J25" i="19" s="1"/>
  <c r="C22" i="20"/>
  <c r="N22" i="20" s="1"/>
  <c r="C21" i="20"/>
  <c r="N21" i="20" s="1"/>
  <c r="C20" i="20"/>
  <c r="N20" i="20" s="1"/>
  <c r="C19" i="20"/>
  <c r="N19" i="20" s="1"/>
  <c r="C18" i="20"/>
  <c r="N18" i="20" s="1"/>
  <c r="C21" i="19"/>
  <c r="K21" i="19" s="1"/>
  <c r="C20" i="19"/>
  <c r="K20" i="19" s="1"/>
  <c r="C19" i="19"/>
  <c r="K19" i="19" s="1"/>
  <c r="C18" i="19"/>
  <c r="K18" i="19" s="1"/>
  <c r="C22" i="19"/>
  <c r="K22" i="19" s="1"/>
  <c r="D13" i="20"/>
  <c r="C17" i="20"/>
  <c r="N17" i="20" s="1"/>
  <c r="I19" i="21"/>
  <c r="D17" i="19"/>
  <c r="C17" i="19"/>
  <c r="D26" i="19"/>
  <c r="D31" i="20"/>
  <c r="D23" i="19"/>
  <c r="D24" i="19"/>
  <c r="D27" i="19"/>
  <c r="P23" i="20"/>
  <c r="P18" i="20"/>
  <c r="P38" i="20"/>
  <c r="C10" i="19"/>
  <c r="O23" i="19"/>
  <c r="O18" i="19"/>
  <c r="O33" i="19"/>
  <c r="O28" i="19"/>
  <c r="O13" i="19"/>
  <c r="O38" i="19"/>
  <c r="O43" i="19"/>
  <c r="P15" i="21"/>
  <c r="I18" i="21"/>
  <c r="D16" i="20"/>
  <c r="D14" i="20"/>
  <c r="D17" i="20"/>
  <c r="C13" i="20"/>
  <c r="N13" i="20" s="1"/>
  <c r="C14" i="20"/>
  <c r="N14" i="20" s="1"/>
  <c r="C15" i="20"/>
  <c r="N15" i="20" s="1"/>
  <c r="D15" i="20"/>
  <c r="C16" i="20"/>
  <c r="N16" i="20" s="1"/>
  <c r="D32" i="20"/>
  <c r="D28" i="20"/>
  <c r="P28" i="20"/>
  <c r="P43" i="20"/>
  <c r="D20" i="20"/>
  <c r="D44" i="20"/>
  <c r="D46" i="20"/>
  <c r="D43" i="20"/>
  <c r="D38" i="20"/>
  <c r="D24" i="20"/>
  <c r="D26" i="20"/>
  <c r="D23" i="20"/>
  <c r="D27" i="20"/>
  <c r="D36" i="20"/>
  <c r="D37" i="20"/>
  <c r="D22" i="20"/>
  <c r="D19" i="20"/>
  <c r="D18" i="20"/>
  <c r="D21" i="20"/>
  <c r="D25" i="20"/>
  <c r="D42" i="20"/>
  <c r="N40" i="20"/>
  <c r="D41" i="20"/>
  <c r="D39" i="20"/>
  <c r="D47" i="20"/>
  <c r="D33" i="20"/>
  <c r="D45" i="20"/>
  <c r="D35" i="20"/>
  <c r="C10" i="20"/>
  <c r="P13" i="20"/>
  <c r="D30" i="20"/>
  <c r="D29" i="20"/>
  <c r="P33" i="20"/>
  <c r="C14" i="19"/>
  <c r="C15" i="19"/>
  <c r="C16" i="19"/>
  <c r="D44" i="19"/>
  <c r="D16" i="19"/>
  <c r="C13" i="19"/>
  <c r="D41" i="19"/>
  <c r="D42" i="19"/>
  <c r="D43" i="19"/>
  <c r="D18" i="19"/>
  <c r="D36" i="19"/>
  <c r="D35" i="19"/>
  <c r="D15" i="19"/>
  <c r="D14" i="19"/>
  <c r="D13" i="19"/>
  <c r="D22" i="19"/>
  <c r="D21" i="19"/>
  <c r="D19" i="19"/>
  <c r="D33" i="19"/>
  <c r="D34" i="19"/>
  <c r="D37" i="19"/>
  <c r="D20" i="19"/>
  <c r="D32" i="19"/>
  <c r="D31" i="19"/>
  <c r="D30" i="19"/>
  <c r="D29" i="19"/>
  <c r="D28" i="19"/>
  <c r="D40" i="19"/>
  <c r="D39" i="19"/>
  <c r="D38" i="19"/>
  <c r="D47" i="19"/>
  <c r="D46" i="19"/>
  <c r="D45" i="19"/>
  <c r="J47" i="19" l="1"/>
  <c r="K47" i="19"/>
  <c r="J35" i="19"/>
  <c r="L42" i="19"/>
  <c r="L35" i="19"/>
  <c r="J32" i="19"/>
  <c r="J42" i="19"/>
  <c r="J22" i="19"/>
  <c r="K32" i="19"/>
  <c r="L22" i="19"/>
  <c r="J26" i="19"/>
  <c r="M42" i="19"/>
  <c r="M47" i="19"/>
  <c r="J37" i="19"/>
  <c r="J39" i="19"/>
  <c r="J46" i="19"/>
  <c r="J44" i="19"/>
  <c r="J43" i="19"/>
  <c r="J34" i="19"/>
  <c r="M32" i="19"/>
  <c r="J33" i="19"/>
  <c r="M22" i="19"/>
  <c r="J29" i="19"/>
  <c r="J36" i="19"/>
  <c r="L39" i="19"/>
  <c r="K39" i="19"/>
  <c r="J17" i="19"/>
  <c r="L17" i="19"/>
  <c r="K17" i="19"/>
  <c r="M17" i="19"/>
  <c r="K27" i="19"/>
  <c r="L27" i="19"/>
  <c r="J27" i="19"/>
  <c r="L28" i="19"/>
  <c r="K28" i="19"/>
  <c r="J28" i="19"/>
  <c r="K43" i="19"/>
  <c r="L43" i="19"/>
  <c r="K44" i="19"/>
  <c r="L44" i="19"/>
  <c r="K45" i="19"/>
  <c r="L45" i="19"/>
  <c r="J45" i="19"/>
  <c r="K30" i="19"/>
  <c r="L30" i="19"/>
  <c r="J30" i="19"/>
  <c r="K33" i="19"/>
  <c r="L33" i="19"/>
  <c r="K34" i="19"/>
  <c r="L34" i="19"/>
  <c r="K29" i="19"/>
  <c r="L29" i="19"/>
  <c r="K13" i="19"/>
  <c r="L13" i="19"/>
  <c r="K40" i="19"/>
  <c r="L40" i="19"/>
  <c r="J40" i="19"/>
  <c r="L14" i="19"/>
  <c r="K14" i="19"/>
  <c r="J23" i="19"/>
  <c r="J38" i="19"/>
  <c r="L24" i="19"/>
  <c r="K24" i="19"/>
  <c r="K25" i="19"/>
  <c r="L25" i="19"/>
  <c r="K26" i="19"/>
  <c r="L26" i="19"/>
  <c r="L23" i="19"/>
  <c r="K23" i="19"/>
  <c r="K31" i="19"/>
  <c r="L31" i="19"/>
  <c r="K41" i="19"/>
  <c r="L41" i="19"/>
  <c r="K15" i="19"/>
  <c r="L15" i="19"/>
  <c r="L38" i="19"/>
  <c r="K38" i="19"/>
  <c r="J41" i="19"/>
  <c r="L36" i="19"/>
  <c r="K36" i="19"/>
  <c r="J16" i="19"/>
  <c r="L16" i="19"/>
  <c r="K16" i="19"/>
  <c r="M16" i="19"/>
  <c r="J31" i="19"/>
  <c r="K46" i="19"/>
  <c r="L46" i="19"/>
  <c r="K37" i="19"/>
  <c r="L37" i="19"/>
  <c r="J24" i="19"/>
  <c r="P17" i="21"/>
  <c r="P16" i="21"/>
  <c r="H19" i="21"/>
  <c r="P19" i="21"/>
  <c r="H18" i="21"/>
  <c r="P18" i="21"/>
  <c r="L18" i="19"/>
  <c r="J18" i="19"/>
  <c r="L20" i="19"/>
  <c r="J20" i="19"/>
  <c r="J19" i="19"/>
  <c r="L19" i="19"/>
  <c r="J21" i="19"/>
  <c r="L21" i="19"/>
  <c r="J14" i="19"/>
  <c r="J15" i="19"/>
  <c r="J13" i="19"/>
  <c r="M35" i="19" l="1"/>
  <c r="Q15" i="21"/>
  <c r="M26" i="19"/>
  <c r="M43" i="19"/>
  <c r="M45" i="19"/>
  <c r="M36" i="19"/>
  <c r="M38" i="19"/>
  <c r="M40" i="19"/>
  <c r="M44" i="19"/>
  <c r="M13" i="19"/>
  <c r="M18" i="19"/>
  <c r="M37" i="19"/>
  <c r="M24" i="19"/>
  <c r="M46" i="19"/>
  <c r="M25" i="19"/>
  <c r="M29" i="19"/>
  <c r="M34" i="19"/>
  <c r="M33" i="19"/>
  <c r="M39" i="19"/>
  <c r="M41" i="19"/>
  <c r="M27" i="19"/>
  <c r="M23" i="19"/>
  <c r="M15" i="19"/>
  <c r="M14" i="19"/>
  <c r="M31" i="19"/>
  <c r="M30" i="19"/>
  <c r="M28" i="19"/>
  <c r="M21" i="19"/>
  <c r="M20" i="19"/>
  <c r="M19" i="19"/>
  <c r="N43" i="19" l="1"/>
  <c r="P43" i="19" s="1"/>
  <c r="N33" i="19"/>
  <c r="P33" i="19" s="1"/>
  <c r="N23" i="19"/>
  <c r="P23" i="19" s="1"/>
  <c r="N38" i="19"/>
  <c r="P38" i="19" s="1"/>
  <c r="N13" i="19"/>
  <c r="P13" i="19" s="1"/>
  <c r="N28" i="19"/>
  <c r="N18" i="19"/>
  <c r="P18" i="19" s="1"/>
  <c r="D39" i="8"/>
  <c r="I41" i="8"/>
  <c r="I38" i="8"/>
  <c r="I54" i="8"/>
  <c r="E54" i="8"/>
  <c r="E64" i="8" s="1"/>
  <c r="F54" i="8"/>
  <c r="G54" i="8"/>
  <c r="G64" i="8" s="1"/>
  <c r="H54" i="8"/>
  <c r="D54" i="8"/>
  <c r="D64" i="8" s="1"/>
  <c r="O43" i="20" l="1"/>
  <c r="Q43" i="20" s="1"/>
  <c r="O38" i="20"/>
  <c r="Q38" i="20" s="1"/>
  <c r="O18" i="20"/>
  <c r="Q18" i="20" s="1"/>
  <c r="O23" i="20"/>
  <c r="Q23" i="20" s="1"/>
  <c r="O33" i="20"/>
  <c r="Q33" i="20" s="1"/>
  <c r="O13" i="20"/>
  <c r="Q13" i="20" s="1"/>
  <c r="O28" i="20"/>
  <c r="Q28" i="20" s="1"/>
  <c r="P28" i="19"/>
  <c r="I39" i="8"/>
  <c r="I15" i="8" l="1"/>
  <c r="C11" i="8"/>
  <c r="N10" i="18"/>
  <c r="D11" i="16" s="1"/>
  <c r="B11" i="16"/>
  <c r="L20" i="8" l="1"/>
  <c r="J20" i="8"/>
  <c r="D18" i="8"/>
  <c r="C18" i="8"/>
  <c r="E18" i="8" s="1"/>
  <c r="D17" i="8"/>
  <c r="C17" i="8"/>
  <c r="E17" i="8" s="1"/>
  <c r="D20" i="8"/>
  <c r="D16" i="8"/>
  <c r="C16" i="8"/>
  <c r="E16" i="8" s="1"/>
  <c r="D19" i="8"/>
  <c r="C15" i="8"/>
  <c r="D15" i="8"/>
  <c r="C19" i="8"/>
  <c r="E19" i="8" s="1"/>
  <c r="L9" i="8"/>
  <c r="L10" i="8"/>
  <c r="L8" i="8"/>
  <c r="J15" i="8" s="1"/>
  <c r="M10" i="18"/>
  <c r="C20" i="8" s="1"/>
  <c r="C8" i="8"/>
  <c r="B4" i="8"/>
  <c r="G19" i="21" l="1"/>
  <c r="H19" i="8"/>
  <c r="G18" i="21"/>
  <c r="H18" i="8"/>
  <c r="G19" i="8"/>
  <c r="F19" i="8"/>
  <c r="G18" i="8"/>
  <c r="F18" i="8"/>
  <c r="C11" i="16"/>
  <c r="N13" i="18" l="1"/>
  <c r="D20" i="79" s="1"/>
  <c r="N16" i="18"/>
  <c r="D20" i="82" s="1"/>
  <c r="N12" i="18"/>
  <c r="D20" i="78" s="1"/>
  <c r="N14" i="18"/>
  <c r="D20" i="80" s="1"/>
  <c r="N11" i="18"/>
  <c r="D20" i="77" s="1"/>
  <c r="N15" i="18"/>
  <c r="D20" i="81" s="1"/>
  <c r="C9" i="1"/>
  <c r="D15" i="16" l="1"/>
  <c r="D17" i="16"/>
  <c r="D16" i="16"/>
  <c r="D12" i="16"/>
  <c r="D13" i="16"/>
  <c r="D14" i="16"/>
  <c r="D41" i="8"/>
  <c r="D38" i="8"/>
  <c r="G38" i="8"/>
  <c r="G41" i="8"/>
  <c r="F41" i="8"/>
  <c r="F38" i="8"/>
  <c r="H38" i="8"/>
  <c r="H41" i="8"/>
  <c r="E41" i="8"/>
  <c r="E39" i="8"/>
  <c r="E15" i="8" s="1"/>
  <c r="G15" i="8" s="1"/>
  <c r="E38" i="8"/>
  <c r="H39" i="8"/>
  <c r="G39" i="8"/>
  <c r="F39" i="8"/>
  <c r="I19" i="8" l="1"/>
  <c r="K19" i="8" s="1"/>
  <c r="G16" i="8"/>
  <c r="H16" i="8" s="1"/>
  <c r="F16" i="8"/>
  <c r="G16" i="21"/>
  <c r="H16" i="21" s="1"/>
  <c r="I16" i="21" s="1"/>
  <c r="F15" i="8" l="1"/>
  <c r="E20" i="8"/>
  <c r="K15" i="8" s="1"/>
  <c r="L15" i="8" s="1"/>
  <c r="H15" i="8"/>
  <c r="G15" i="21"/>
  <c r="G17" i="21"/>
  <c r="H17" i="21" s="1"/>
  <c r="I17" i="21" s="1"/>
  <c r="G17" i="8"/>
  <c r="H17" i="8" s="1"/>
  <c r="F17" i="8"/>
  <c r="H15" i="21" l="1"/>
  <c r="I15" i="21" s="1"/>
  <c r="J15" i="21" s="1"/>
  <c r="H20" i="8"/>
  <c r="G20" i="8"/>
  <c r="F20" i="8"/>
  <c r="I11" i="8" l="1"/>
  <c r="F11" i="16" l="1"/>
  <c r="I11" i="16" s="1"/>
  <c r="C11" i="22" s="1"/>
  <c r="I11" i="22" l="1"/>
  <c r="E11" i="22"/>
  <c r="H11" i="22"/>
  <c r="F11" i="22"/>
  <c r="D11" i="22"/>
  <c r="G11" i="22"/>
  <c r="K11" i="22" l="1"/>
  <c r="L20" i="22" s="1"/>
  <c r="L12" i="22" l="1"/>
  <c r="L24" i="22"/>
  <c r="L28" i="22"/>
  <c r="L35" i="22"/>
  <c r="L29" i="22"/>
  <c r="L23" i="22"/>
  <c r="L11" i="22"/>
  <c r="L36" i="22"/>
  <c r="L17" i="22"/>
  <c r="L34" i="22"/>
  <c r="L16" i="22"/>
  <c r="L38" i="22"/>
  <c r="L21" i="22"/>
  <c r="L27" i="22"/>
  <c r="L22" i="22"/>
  <c r="L26" i="22"/>
  <c r="L32" i="22"/>
  <c r="L13" i="22"/>
  <c r="L14" i="22"/>
  <c r="L33" i="22"/>
  <c r="L25" i="22"/>
  <c r="L30" i="22"/>
  <c r="L18" i="22"/>
  <c r="L19" i="22"/>
  <c r="L37" i="22"/>
  <c r="L31" i="22"/>
  <c r="L15"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0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0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0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0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0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0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0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1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1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1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1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1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1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1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3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3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3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3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3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3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3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4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4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4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4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4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4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4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<sst xmlns="http://schemas.openxmlformats.org/spreadsheetml/2006/main" count="5023" uniqueCount="587">
  <si>
    <t>ALCALDIA LOCAL DE KENNEDY</t>
  </si>
  <si>
    <t xml:space="preserve">OBJETO DEL CONTRATO: </t>
  </si>
  <si>
    <t>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t>
  </si>
  <si>
    <t xml:space="preserve">DATOS DEL PROCESO </t>
  </si>
  <si>
    <t xml:space="preserve">MODALIDAD DE CONTRATACION </t>
  </si>
  <si>
    <t>LICITACION PÚBLICA</t>
  </si>
  <si>
    <t>No. Del Proceso</t>
  </si>
  <si>
    <t>FDLK-LP-007-2024</t>
  </si>
  <si>
    <t>VALOR DEL PROCESO:</t>
  </si>
  <si>
    <t>PRESUPUESTO</t>
  </si>
  <si>
    <t>PLAZO:</t>
  </si>
  <si>
    <t>MESES</t>
  </si>
  <si>
    <t>PRESUPUESTO OFICIAL EN PESOS</t>
  </si>
  <si>
    <t>VALOR SMMLV</t>
  </si>
  <si>
    <t>PRESUPUESTO OFICIAL SMMLV</t>
  </si>
  <si>
    <t>VIGENCIA</t>
  </si>
  <si>
    <t>VALOR</t>
  </si>
  <si>
    <t>CODIGO UNSPSC</t>
  </si>
  <si>
    <t>DESCRIPCION</t>
  </si>
  <si>
    <t xml:space="preserve"> Servicios medioambientales Gestión medioambiental Servicios de asesoría ambiental_x000D_</t>
  </si>
  <si>
    <t xml:space="preserve"> Servicios de gestión, servicios profesionales de empresas y servicios administrativos  Servicios de asesoría a la gestión Gerencia de proyectos _x000D_</t>
  </si>
  <si>
    <t xml:space="preserve"> Servicios de gestión, servicios profesionales de empresas y servicios administrativos  Servicios de asesoría a la gestión Servicios de consultoría de negocios y administración corporativa </t>
  </si>
  <si>
    <t xml:space="preserve"> Servicios educativos y de formación Formación profesional Servicios de capacitación vocacional no científica</t>
  </si>
  <si>
    <t xml:space="preserve"> Servicios de gestión, servicios profesionales de empresa y servicios administrativos Servicios de administración de empresas Servicios de apoyo gerencial</t>
  </si>
  <si>
    <t xml:space="preserve"> Servicios políticos y de asuntos cívicos Servicios comunitarios y sociales Desarrollo de servicios sociales</t>
  </si>
  <si>
    <t xml:space="preserve"> Servicios políticos y de asuntos cívicos Servicios comunitarios y
sociales Población</t>
  </si>
  <si>
    <t>HABILITADO</t>
  </si>
  <si>
    <t>SI</t>
  </si>
  <si>
    <t>INHABILITADO</t>
  </si>
  <si>
    <t>NO</t>
  </si>
  <si>
    <t>N/A</t>
  </si>
  <si>
    <t>CUMPLE</t>
  </si>
  <si>
    <t>REPORTADO</t>
  </si>
  <si>
    <t>NO CUMPLE</t>
  </si>
  <si>
    <t>NO REPORTADO</t>
  </si>
  <si>
    <t>CONTRATO No. 1</t>
  </si>
  <si>
    <t>CONTRATO No. 2</t>
  </si>
  <si>
    <t>CONTRATO No. 3</t>
  </si>
  <si>
    <t>CONTRATO No. 4</t>
  </si>
  <si>
    <t>CONTRATO No. 5</t>
  </si>
  <si>
    <t>CONTRATO No. 6</t>
  </si>
  <si>
    <t>PLAZO</t>
  </si>
  <si>
    <t>INFORMACIÓN GENERAL DE LOS PROPONENTES GRUPO 1</t>
  </si>
  <si>
    <t>No.</t>
  </si>
  <si>
    <t>NOMBRE DEL PROPONENTE</t>
  </si>
  <si>
    <t>INTEGRANTE 1</t>
  </si>
  <si>
    <t>% PARTICIPACION</t>
  </si>
  <si>
    <t>INTEGRANTE 2</t>
  </si>
  <si>
    <t>INTEGRANTE 3</t>
  </si>
  <si>
    <t>INTEGRANTE 4</t>
  </si>
  <si>
    <t>INTEGRANTE 5</t>
  </si>
  <si>
    <t>TOTAL INTEGRANTES</t>
  </si>
  <si>
    <t>SUMATORIA 
%PARTICIPACIÓN</t>
  </si>
  <si>
    <t xml:space="preserve"> BOOST BUSINESS CONSULTING S.A.S.</t>
  </si>
  <si>
    <t xml:space="preserve"> CONSORCIO KENNEDY AMBIENTAL 2024</t>
  </si>
  <si>
    <t xml:space="preserve"> Cepagro sas</t>
  </si>
  <si>
    <t xml:space="preserve"> Fundaset</t>
  </si>
  <si>
    <t xml:space="preserve"> UNIÓN TEMPORAL SUEÑOS WM</t>
  </si>
  <si>
    <t xml:space="preserve"> Inversiones Para Desarrollo Empresarial S.A.S</t>
  </si>
  <si>
    <t xml:space="preserve"> Fundación WR Tejido Social</t>
  </si>
  <si>
    <t xml:space="preserve"> UNION TEMPORAL PROMOVER Y EMPRENDER EUFESS 2024</t>
  </si>
  <si>
    <t xml:space="preserve"> FUNDACIÓN DE EDUCACIÓN SUPERIOR SAN JOSÉ – FESSANJOSÉ</t>
  </si>
  <si>
    <t xml:space="preserve"> EUONIA SAS</t>
  </si>
  <si>
    <t xml:space="preserve"> UNION TEMPORAL PRACTICAS</t>
  </si>
  <si>
    <t xml:space="preserve">  ASOCIACION COLOMBIANA DE LAS MICRO PEQUEÑAS Y MEDIANAS INDUSTRIAS ACOPI - CALDAS</t>
  </si>
  <si>
    <t xml:space="preserve">  ASOCIACIÓN COLOMBIANA DE LAS MICRO, PEQUEÑAS Y MEDIANAS EMPRESAS DE ANTIOQUIA</t>
  </si>
  <si>
    <t>FONDO DE DESARROLLO LOCAL DE KENNEDY</t>
  </si>
  <si>
    <t>Ciudad</t>
  </si>
  <si>
    <t>BOGOTÁ D.C</t>
  </si>
  <si>
    <t>Fecha de Evaluación</t>
  </si>
  <si>
    <t>DATOS GENERALES</t>
  </si>
  <si>
    <t>OBJETO DE LA CONVOCATORIA</t>
  </si>
  <si>
    <t>VALOR DEL PROCESO EN PESOS</t>
  </si>
  <si>
    <t>PLAZO DEL CONTRATO (MESES)</t>
  </si>
  <si>
    <t>VALOR DEL PROCESO EN SMMLV</t>
  </si>
  <si>
    <t>ANTICIPO</t>
  </si>
  <si>
    <t>PROPONENTE</t>
  </si>
  <si>
    <t>INTEGRANTE</t>
  </si>
  <si>
    <t>%</t>
  </si>
  <si>
    <t>INDICE DE LIQUIDEZ</t>
  </si>
  <si>
    <t>MEJOR INGRESO OPERACIONAL DE LOS ULTIMOS 5 AÑOS</t>
  </si>
  <si>
    <t>VALOR TOTAL CONTRATOS CODIGO 72</t>
  </si>
  <si>
    <t>CANTIDAD DE SOCIOS Y PROFESIONALES DE LA ARQUITECTURA, INGENIERÍA Y GEOLOGÍA VINCULADOS</t>
  </si>
  <si>
    <t>SALDO DE CONTRATOS EN EJECUCIÓN</t>
  </si>
  <si>
    <t>PUNTAJE
EXPERIENCIA (E)</t>
  </si>
  <si>
    <t>CAPACIDAD FINANCIERA (CF)</t>
  </si>
  <si>
    <t>CAPACIDAD TECNICA (CT)</t>
  </si>
  <si>
    <t>K RESIDUAL</t>
  </si>
  <si>
    <t>K RESIDUAL ACREDITADO</t>
  </si>
  <si>
    <t>K RESIDUAL REQUERIDO</t>
  </si>
  <si>
    <t>CONCEPTO</t>
  </si>
  <si>
    <t>activo corriemte</t>
  </si>
  <si>
    <t>pasivo corriente</t>
  </si>
  <si>
    <t>Fecha de Cierre</t>
  </si>
  <si>
    <t>VALOR MINIMO A CERTIFICAR</t>
  </si>
  <si>
    <t>DE 1 HASTA 2</t>
  </si>
  <si>
    <t>DE 3 HASTA 4</t>
  </si>
  <si>
    <t>HASTA 5, 6 o 7</t>
  </si>
  <si>
    <t>CONCEPTO FINAL</t>
  </si>
  <si>
    <t>ACREDITACIÓN DE EXPERIENCIA FIGURA ASOCIATIVA</t>
  </si>
  <si>
    <t>MIEMBRO UNICO O INTEGRANTES DEL CONSORCIO O UNION TEMPORAL.</t>
  </si>
  <si>
    <t>% PARTICIPACIÓN</t>
  </si>
  <si>
    <t>EXPERIENCIA TOTAL APORTADA</t>
  </si>
  <si>
    <t>¿AL MENOS UNO APORTA EL 50% DE EXPERIENCIA?</t>
  </si>
  <si>
    <t>¿APORTA MÍNIMO EL 5% DE EXPERIENCIA?</t>
  </si>
  <si>
    <t>SI NO APORTA ¿TIENE COMO MAXIMO EL 10% DE PARTICIPACIÓN?</t>
  </si>
  <si>
    <t>TOTAL CONTRATOS VÁLIDOS</t>
  </si>
  <si>
    <t>VALOR TOTAL A ACREDITAR (SMMLV)</t>
  </si>
  <si>
    <t>VALOR TOTAL ACREDITADO (SMMLV)</t>
  </si>
  <si>
    <t xml:space="preserve"> EXP. ESPECIFICA ACREDITADA
(SMMLV)</t>
  </si>
  <si>
    <t xml:space="preserve"> EXP. ESPECIFICA SOLICITADA
(SMMLV)</t>
  </si>
  <si>
    <t>TOTAL</t>
  </si>
  <si>
    <t>EMPRENDIMIENTO 
MUJER</t>
  </si>
  <si>
    <t>MIPYME</t>
  </si>
  <si>
    <t>NÚMERO DE CERTIFICACIONES</t>
  </si>
  <si>
    <t xml:space="preserve">Máximo 5, 6 o 7 contratos </t>
  </si>
  <si>
    <t>CONTRATO No.7</t>
  </si>
  <si>
    <t>OBSERVACIONES</t>
  </si>
  <si>
    <t>INTEGRANTE 1 DEL CONTRATO APORTADO</t>
  </si>
  <si>
    <t>INTEGRANTE 2 DEL CONTRATO APORTADO</t>
  </si>
  <si>
    <t>INTEGRANTE 3 DEL CONTRATO APORTADO</t>
  </si>
  <si>
    <t>DATOS DEL CONTRATO</t>
  </si>
  <si>
    <t>N° del contrato y año de suscripción</t>
  </si>
  <si>
    <t xml:space="preserve"> 4600010889 de 2020</t>
  </si>
  <si>
    <t xml:space="preserve"> 067-2020 de 2020</t>
  </si>
  <si>
    <t xml:space="preserve"> 4600094524 de 2022</t>
  </si>
  <si>
    <t xml:space="preserve"> 4171.010.26.1.172 de 2021</t>
  </si>
  <si>
    <t>Objeto</t>
  </si>
  <si>
    <t xml:space="preserve"> Promover el fortalecimiento 
empresarial, la asociatividad y la 
formalización de las MIPYMES en el 
Departamento, por medio de la 
convocatoria de incentivos Antójate de 
Antioquia 2020.</t>
  </si>
  <si>
    <t xml:space="preserve">  EL CONTRATISTA se obliga para con INNPULSA COLOMBIA en el diseño y ejecución de una metodología para el programa de escalamiento creativo, en agrupaciones empresariales de los sectores culturales y creativos sector naranja, identificando los retos, sus soluciones y su implementación, generando nuevos modelos de negocio mediante procesos de innovación abierta, innovación colaborativa y acompañamiento emprensarial			</t>
  </si>
  <si>
    <t xml:space="preserve">  PRESTACIÓN DE SERVICIOS PARA LA 
IMPLEMENTACIÓN DEL PROGRAMA SOY MIPYME 
DIGITAL, 2022 ENFOCADO EN LA APROPIACIÓN DE 
HERRAMIENTAS DIGITALES PARA LAS PYMES DE 
MEDELLÍN</t>
  </si>
  <si>
    <t xml:space="preserve"> Brindar apoyo a la secretaría de desarrollo económico en el fortalecimiento de capacidades de gestión comercialización y competitividad de empresarios y emprendedores de las comunas 4 5 y 10 del distrito de Santiago de Cali de conformidad con los proyectos de inversión denominados fortalecimiento de los procesos de visibilizarían y comercialización de los emprendimientos y mipymes para la generación de ingreso en la comuna cuatro capacitación en habilidades y destrezas en el ecosistema de emprendimiento empresarial y social dirigido a emprendedores de la comunidad 5 y fortalecimiento a los emprendimientos empresariales con enfoque diferencial y de género de la comuna 10</t>
  </si>
  <si>
    <t>Fecha de iniciación del contrato. (dd/mm/aaaa)</t>
  </si>
  <si>
    <t>Fecha de terminación del contrato. (dd/mm/aaaa)</t>
  </si>
  <si>
    <t>Año de terminación para convertir en SMMLV</t>
  </si>
  <si>
    <t>Nombre o razón social del contratante</t>
  </si>
  <si>
    <t xml:space="preserve">  DEPARTAMENTO DE ANTIOQUIA – Secretaría de Productividad y Competitividad, actualmente, 
Secretaría de Desarrollo Económico, Innovación y Nuevas Economías.</t>
  </si>
  <si>
    <t xml:space="preserve"> Fideicomisos Sociedad Fiduciaria FIDUCOLDEX
actuando como vocera de INNPULSA Colombia_x000D_</t>
  </si>
  <si>
    <t xml:space="preserve"> DISTRITO ESPECIAL DE MEDELLÍN - SECRETARÍA 
DE SUMINISTROS Y SERVICIOS </t>
  </si>
  <si>
    <t xml:space="preserve"> ALCALDIA DE SANTIAGO DE CALI</t>
  </si>
  <si>
    <t>Nombre o razón social del contratista</t>
  </si>
  <si>
    <t xml:space="preserve"> BOOST BUSINESS CONSULTING SAS.</t>
  </si>
  <si>
    <t xml:space="preserve">  BOOST BUSINESS CONSULTING SAS.</t>
  </si>
  <si>
    <t xml:space="preserve">   BOOST BUSINESS CONSULTING SAS.</t>
  </si>
  <si>
    <t>No. Consecutivo RUP</t>
  </si>
  <si>
    <t>Valor final del contrato en SMMLV reportado en el RUP</t>
  </si>
  <si>
    <t>Valor final contrato en pesos</t>
  </si>
  <si>
    <t>Porcentaje de Participación INTEGRANTE 1</t>
  </si>
  <si>
    <t>Valor final según porcentaje de participación INTEGRANTE 1 EN PESOS</t>
  </si>
  <si>
    <t>Valor final según porcentaje de participación INTEGRANTE 1 en SMMLV</t>
  </si>
  <si>
    <t>Porcentaje de Participación INTEGRANTE 2</t>
  </si>
  <si>
    <t>Valor final según porcentaje de participación INTEGRANTE 2 EN PESOS</t>
  </si>
  <si>
    <t>Valor final según porcentaje de participación INTEGRANTE 2 en SMMLV</t>
  </si>
  <si>
    <t>Porcentaje de Participación INTEGRANTE 3</t>
  </si>
  <si>
    <t>Valor final según porcentaje de participación INTEGRANTE 3 EN PESOS</t>
  </si>
  <si>
    <t>Valor final según porcentaje de participación INTEGRANTE 3 en SMMLV</t>
  </si>
  <si>
    <t>REGISTRO UNICO DE PROPONENTES</t>
  </si>
  <si>
    <t>¿RUP vigente y en firme antes del cierre del proceso?</t>
  </si>
  <si>
    <t>CODIGO CIIU</t>
  </si>
  <si>
    <t>¿El contrato se encuentra clasificado en alguno de los anteriores códigos?</t>
  </si>
  <si>
    <t>A. Que hayan contenido la ejecución de:
PROYECTOS QUE CORRESPONDAN O HAYAN CONTENIDO UNA O ALGUNAS DE LAS SIGUIENTES ACTIVIDADES:
1. CONSTRUCCIÓN Y/O RECONSTRUCCIÓN Y/O AMPLIACIÓN Y/O TERMINACIÓN Y/O REHABILITACIÓN Y/O MEJORAMIENTO Y/O MANTENIMIENTO Y/O ADECUACIÓN DE PARQUES.
2. CONSTRUCCIÓN Y/O RECONSTRUCCIÓN Y/O AMPLIACIÓN Y/O TERMINACIÓN Y/O REHABILITACIÓN Y/O MEJORAMIENTO Y/O MANTENIMIENTO Y/O ADECUACIÓN DE ESPACIO PÚBLICO.
Nota 1: Para el caso de experiencia de ESPACIO PÚBLICO se excluyen de estos las vías destinadas al tránsito vehicular, así como la conservación y/o preservación de playas marítimas. 
Nota 2: Nota 2: En el caso en el cual el proceso de selección contemple actividades de dotación de mobiliario, la experiencia válida aportada deberá acreditar en por lo menos uno (1) de los contratos actividades de suministro e instalación de mobiliario.</t>
  </si>
  <si>
    <t>No será válida la experiencia acreditada para edificaciones que se encuentre relacionada con la ejecución de obras cuyo objeto o alcance sea alguna de las siguientes:
- Parqueaderos de un (1) piso (como uso exclusivo).
- Infraestructura de transporte, salvo que el Proceso de Contratación implique el mantenimiento de vías de circulación internas.
- Obras hidráulicas (represas, alcantarillados, acueductos, diques, canales, plantas de tratamiento).
- Obras de urbanismo y paisajismo, salvo que el proceso de selección implique el mantenimiento de zonas verdes y/o paisajismo al interior de un predio cuya
destinación es en una edificación de infraestructura social (tales como instituciones educativas, hospitales, planetarios, auditorios, entre otros).
Nota: Las consideraciones previamente relacionadas aplican para las actividades a contratar que correspondan a la intervención de edificaciones verticales únicamente.
Respecto de la experiencia requerida para los bienes y/o servicios adicionales a la obra pública de infraestructura social, no se podrán acreditar actividades exclusivamente asociadas al cumplimiento de Planes de Manejo Ambiental, Planes de Manejo de Tránsito o el Plan de Adaptación de la Guía Ambiental, puesto que estas actividades no son ajenas a la obra pública de infraestructura social.</t>
  </si>
  <si>
    <t>B. 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integrante.</t>
  </si>
  <si>
    <t>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t>
  </si>
  <si>
    <t>E. Para los contratos que sean aportados por personas jurídicas que no cuentan con más de tres (3) años de constituidas, que pretendan acreditar la experiencia de sus socios, accionistas o constituyentes, de conformidad con la posibilidad establecida en el numeral 2.5 del artículo 2.2.1.1.1.5.2. del Decreto 1082 de 2015, además del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
De acuerdo con el inciso anterior, en los casos en que se presente un Proponente Plural conformado por una persona jurídica, en conjunto con sus socios, accionistas o constituyentes, y se acrediten contratos en los que estos le hayan transferido experiencia a aquellas, los mismos solo podrán ser acreditados como experiencia en el Proceso de Contratación por uno de esos integrantes, de manera que el Proponente Plural solo podrá acreditar una misma experiencia una sola vez.</t>
  </si>
  <si>
    <t xml:space="preserve">3.5.5 DOCUMENTOS VÁLIDOS PARA LA ACREDITACIÓN DE LA EXPERIENCIA REQUERIDA
A. Acta de Liquidación
B. Acta de entrega, terminación, final o de Recibo definitivo
C. Certificación de Experiencia. Expedida con posterioridad a la fecha de terminación del contrato en la que conste el recibo a satisfacción de la obra contratada debidamente suscrita por quien esté en la capacidad u obligación de hacerlo.
D. Acta de inicio o la orden de inicio. La misma sólo será válida para efectos de acreditar la fecha de inicio.
E. Planos récord finales de obra.
F.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
G. Cualquier otro documento idóneo que acredite la experiencia exigida, tales como: el  Contrato y/o los Documentos del Proceso Contractual, los cuales deben estar suscritos por las personas que intervinieron en su formación o estar publicados en el SECOP. </t>
  </si>
  <si>
    <t>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t>
  </si>
  <si>
    <t xml:space="preserve">3.5.6 PARA SUBCONTRATOS
Para acreditar la experiencia de subcontratos, cuyo contrato principal fue suscrito con particulares, se aplicarán las disposiciones establecidas en el numeral anterior.
Para acreditar la experiencia de los contratos derivados de contratos suscritos con Entidades Estatales el Proponente deberá aportar los documentos que se enlistan a continuación:
A. Certificación del subcontrato. Certificación expedida con posterioridad a la fecha de terminación del subcontrato, la cual deberá estar suscrita por el representante legal del contratista del contrato principal, del Concesionario, o del EPC o Consorcio Constructor. Así mismo, debe contener la información requerida en el Pliego de Condiciones para efectos de la acreditación de la experiencia. 
B. Certificación expedida por la Entidad Estatal del contrato principal del cual se derivó el subcontrato. Esta certificación debe contener la información básica del contrato principal y la siguiente:
I. Alcance de las obras ejecutadas en el contrato principal. 
II. Información en la cual se evidencie que la figura de la subcontratación es permitida en el marco del contrato principal. En caso de que no requiera autorización para subcontratar, el Proponente podrá aportar con su propuesta alguno de los siguientes documentos que den cuenta de esa circunstancia: i) copia del contrato o ii) certificación emitida por la Entidad Estatal, donde acredite que para subcontratar no se requería autorización.
La información solicitada en el literal B únicamente se exige en relación con el contrato principal suscrito con la Entidad Estatal. </t>
  </si>
  <si>
    <r>
      <t xml:space="preserve">3.5.4 ACREDITACIÓN DE LA EXPERIENCIA REQUERIDA
</t>
    </r>
    <r>
      <rPr>
        <sz val="11"/>
        <rFont val="Calibri"/>
        <family val="2"/>
        <scheme val="minor"/>
      </rPr>
      <t xml:space="preserve">Los proponentes acreditarán para cada uno de los contratos aportados la siguiente información mediante alguno de los documentos señalados en la sección 3.5.5 del pliego de condiciones: 
</t>
    </r>
    <r>
      <rPr>
        <b/>
        <sz val="11"/>
        <rFont val="Calibri"/>
        <family val="2"/>
        <scheme val="minor"/>
      </rPr>
      <t>A. Contratante 
B. Objeto del contrato 
C. Principales actividades ejecutadas 
D. La magnitud, área intervenida o construida y demás condiciones de experiencia contenida en la matriz de experiencia aplicable en el proyecto de infraestructura social que permita establecer su alcance, en los casos que aplique.
E. La fecha de iniciación de la ejecución del contrato
F. La fecha de terminación de la ejecución del contrato
G. Nombre y cargo de la persona que expide la certificación.
H. El porcentaje de participación del integrante del contratista plural.</t>
    </r>
  </si>
  <si>
    <t>CONCEPTO POR CONTRATO</t>
  </si>
  <si>
    <t>EXPERIENCIA ESPECIFICA: Con la sumatoria de hasta máximo dos (2) de los contratos válidos aportados como experiencia general debe corresponder mínimo al (70%) del presupuesto oficial del presente proceso de selección.</t>
  </si>
  <si>
    <t>RUP VIGENTE Y EN FIRME</t>
  </si>
  <si>
    <t>BALANCE GENERAL Y CERTIFICACION DE ESTADOS FINANCIEROS</t>
  </si>
  <si>
    <t>ESTADO DE RESULTADOS</t>
  </si>
  <si>
    <t>INFORME DE AUDITORIA</t>
  </si>
  <si>
    <t xml:space="preserve">TARJETA PROFESIONAL Y CERTIFICADO DE ANTECEDENTES DEL CONTADOR, REVISOR FISCAL Y AUDITOR </t>
  </si>
  <si>
    <t>FORMATO 4 - CAPACIDAD FINANCIERA Y ORGANIZACIONAL PARA EXTRANJEROS</t>
  </si>
  <si>
    <t>FORMATO 5 - CAPACIDAD RESIDUAL EN EL SEGMENTO 72</t>
  </si>
  <si>
    <t>FORMATO 5 - CAPACIDAD TECNICA</t>
  </si>
  <si>
    <t>FORMATO 5 - SALDO DE CONTRATOS EN EJECUCIÓN</t>
  </si>
  <si>
    <t>K RESIDUAL DOCUMENTOS</t>
  </si>
  <si>
    <t>CONCEPTO
FINAL K RESIDUAL</t>
  </si>
  <si>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Se debe aportar el informe del revisor fiscal 
- Se deben aportar los documentos del revisor fiscal (TP y certificado de antecedentes)
- Debe corregir el Formato 5 - Saldo de contratos en ejecución, toda vez que la fecha de cierre reportada en el formato no coincide con la fecha del cierre del proceso de selección.</t>
    </r>
  </si>
  <si>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xml:space="preserve">- Se debe aportar el informe del revisor fiscal 
- Se deben aportar los documentos del revisor fiscal (TP y certificado de antecedentes)
</t>
    </r>
  </si>
  <si>
    <t xml:space="preserve">El CIVIL CONSTRUCTOR SAS, no presenta  el informe de auditoria correspondiente. </t>
  </si>
  <si>
    <t>Los integrantes del proponenete no presentan los formatos 5, ni los documentos solicitados en el numeral 3,10, motivo por el cual es imposible calcular el K residual.</t>
  </si>
  <si>
    <t>El contador Neil Constantino Zarate identificado con C.C. 79.055.708 no aporta un certificado de antecedentes de contador vigente, ya que el certificado que se adjunta a la oferta tiene fecha de expedición del 9 de agosto 2021 y estos certificados solamente tienen tres (3) meses de vigencia. Por lo tanto, el certificado aportado por el contador Neil Constantino Zarate, no está vigente a la fecha de la presentación de las ofertas cuya fecha de cierre fue el 26 de noviembre de 2021.
Lo anterior, se hace necesario indicar para dar cumplimiento a lo establecido en el pliego de condiciones y los demás documentos contractuales de la licitación pública FDLK-LP-12-2021.</t>
  </si>
  <si>
    <t>Los proponentes que conforman la UNION TEMPORAL KENNEDY VEHICULAR, NO aportan el informe de auditoría de los estados financieros debidamente suscrito por un revisor fiscal o un contador independiente.
Por otro lado, los dos proponentes que conforman al oferente UNION TEMPORAL KENNEDY VEHICULAR NO aportan la tarjeta profesional de los contadores que firman los documentos presentados en la propuesta, ni tampoco el certificado de antecedentes profesionales vigente de los contadores (certificado de la junta de contadores).
Lo anterior, se hace necesario indicar para dar cumplimiento a lo establecido en el pliego de condiciones y los demás documentos contractuales de la licitación pública FDLK-LP-12-2021.</t>
  </si>
  <si>
    <t>1600 DE 2016</t>
  </si>
  <si>
    <t xml:space="preserve">056 </t>
  </si>
  <si>
    <t>111 DE 2009</t>
  </si>
  <si>
    <t>268 DE 2014</t>
  </si>
  <si>
    <t xml:space="preserve">"Ejecutar el proyecto ReSA® Étnico en el territorio nacional para mejorar el acceso y el consumo de los alimentos de los
hogares focalizados por PROSPERIDAD SOCIAL"			</t>
  </si>
  <si>
    <t>Diseño y puesta en marcha de los procesos de capacitación, asistencia técnica y asesoría a las familias guarda bosques y
sus organizaciones, para el desarrollo de proyectos productivos alternativos y ambientales, que permitan recuperar, proteger
y manejar sosteniblemente los ecosistemas estratégicos del municipio de Mocoa (Putumayo)</t>
  </si>
  <si>
    <t xml:space="preserve">"Acciones para la restitución del derecho al trabajo en poblaciones vulnerables. Componente: Desarrollar acciones social
ambientales para la sensibilización ambiental y gestión del riesgo en la localidad de Santa Fe"			</t>
  </si>
  <si>
    <t>Aunar esfuerzos Técnicos, financieros, administrativos y operativos con la FUNDACIÓN PARA EL DESARROLLO
AGRÍCOLA SOCIAL Y TECNOLOGICO - FUNDASET encaminados a desarrollar el proyecto denominado " Mejoramiento de
la calidad de vida de la población víctima del conflicto armado en los municipios de Yacopí, Topaipí, El Peñon , Villagoméz,
Paime y la Palma con el fortalecimiento institucional y mecanismos de participación en el marco del subprograma atención
integral básica planes de retorno en el Departamento de Cundinamarca</t>
  </si>
  <si>
    <t xml:space="preserve"> 29/12/2014</t>
  </si>
  <si>
    <t>Departamento para
la Prosperidad
Social - DPS</t>
  </si>
  <si>
    <t>CERLALC</t>
  </si>
  <si>
    <t>Fondo de desarrollo
Local de Santa Fe</t>
  </si>
  <si>
    <t>Secretaria de
Gobierno del
Departamento de
Cundinamarca</t>
  </si>
  <si>
    <t>Unión Temporal Cosmovisión</t>
  </si>
  <si>
    <t>Fundaset</t>
  </si>
  <si>
    <t>1. Que hayan contenido la ejecución de fortalecimiento de MiPymes y/o emprendimientos y/o procesos sociales y/u organizacionales y/o desarrollo sostenible y/o capacitaciones y/o sensibilizaciones en procesos medioambientales y apoyo en la creación y/o diseño de proyectos.
2.Estar relacionados en el Formato - Experiencia mínima habilitante del proponente con el número consecutivo del contrato en el RUP. Los Proponentes Plurales deben indicar qué integrante aporta cada uno de los contratos señalados en el Formato - Experiencia mínima habilitante del proponente. Este documento debe presentarlo el Proponente Plural y no sus integrantes. El Formato - Experiencia mínima habilitante del proponente deberá aportarse diligenciado en formato Excel (…)</t>
  </si>
  <si>
    <t>2. Estar relacionados en el Formato - Experiencia mínima habilitante del proponente con el número consecutivo del contrato en el RUP. Los Proponentes Plurales deben indicar qué integrante aporta cada uno de los contratos señalados en el Formato - Experiencia mínima habilitante del proponente. Este documento debe presentarlo el Proponente Plural y no sus integrantes. El Formato - Experiencia mínima habilitante del proponente deberá aportarse diligenciado en formato Excel (…)</t>
  </si>
  <si>
    <t>CARLOS FERNANDO CORDOBA AVILES</t>
  </si>
  <si>
    <t>CCA INGENIEROS CONTRATISTAS Y COMPAÑÍA LTDA</t>
  </si>
  <si>
    <t>3784-2019</t>
  </si>
  <si>
    <t>3614-2019</t>
  </si>
  <si>
    <t>3376-2019</t>
  </si>
  <si>
    <t>20153301-2015</t>
  </si>
  <si>
    <t>Realizar por el sistema de  precios unitarios fijos las obras de construccion y adecuacion del Parque Metropolitano Tercer Milenio, identificado con COD. 03-085, con cargo al proyecto 1082 " Construccion y adecuaion de parques y equipamiento para todos</t>
  </si>
  <si>
    <t>Contratar por el sistema de precios unitarios, el mantenimiento, adecuacion y recuperacion de la infraestructura fisica de los parques que conforman el sistema distrital de parques</t>
  </si>
  <si>
    <t xml:space="preserve">Contratar a precios unitarios fijos, la recuperacion y mantenimiento de las superficies , pisos duros de los parques de escala zonales, metropolitano y regional debidamente certificados y georeferenciados por el idrd y el dadep y que componene el sistema distrital de parques </t>
  </si>
  <si>
    <t xml:space="preserve">Adecuacion y  mejoramiento de los espacios deportivos y recreativos del Parque Ejido ubicado en la comuna 2 del Municipio de Pasto </t>
  </si>
  <si>
    <t>INSTITUTO
DISTRITAL DE RECREACIÓN Y DEPORTE</t>
  </si>
  <si>
    <t>INSTITUTO DISTRITAL DE RECREACION Y DEPORTE</t>
  </si>
  <si>
    <t>MUNICIPIO DE PASTO</t>
  </si>
  <si>
    <t xml:space="preserve"> CONSORCIO CCA PARQUE TERCER MILENIO</t>
  </si>
  <si>
    <t>CONSORCIO CCA INFRAESTRUCTURA FISICA DE PARQUES</t>
  </si>
  <si>
    <t>CONSORCIO CCA PARQUES BOGOTA</t>
  </si>
  <si>
    <t>CONSORCIO CCA PASTO</t>
  </si>
  <si>
    <t>78 / 15</t>
  </si>
  <si>
    <t>73 / 14</t>
  </si>
  <si>
    <t>52 / 10</t>
  </si>
  <si>
    <t>EQUIVER SAS</t>
  </si>
  <si>
    <t>276-2018</t>
  </si>
  <si>
    <t>Realizar por el sistema de precios unitarios fijos las obras de construcción y adecuación del parque metropolitano Tercer Milenio, identificado con do. /ORO No. 03-085, con cargo al proyecto 1082 "Construcción y adecuación de parques y equipamiento para todos</t>
  </si>
  <si>
    <t>CONSORCIO CCA PARQUE TERCER MILENIO</t>
  </si>
  <si>
    <t>ARQINGCO SAS</t>
  </si>
  <si>
    <t>GUSTAVO PALACIOS RUBIANO</t>
  </si>
  <si>
    <t>PROYECTOS DE INGENIERIA PBS SAS</t>
  </si>
  <si>
    <t>127-2016</t>
  </si>
  <si>
    <t>021-2015</t>
  </si>
  <si>
    <t>090-2015</t>
  </si>
  <si>
    <t>3441-2018</t>
  </si>
  <si>
    <t>020-2015</t>
  </si>
  <si>
    <t>Contratar a precios unitarios fijos sin fórmula de reajuste las obras necesarias
para la construcción de la continuidad del Parque Lineal del Río Fucha en el tramo de la avenida carrera 14
a la avenida carrera 16 en la Localidad de Antonio Nariño de la ciudad de Bogotá D. C</t>
  </si>
  <si>
    <t>CONSTRUCCIÓN DE PARQUES RECREO-DEPORTIVOS EN URBANIZACIONES DONDE SE DESARROLLA EL PROGRAMADE 100.000 VIVIENDAS–ZONA NORTE GRUPO 7</t>
  </si>
  <si>
    <t>REALIZAR LA INTERVENCIÓN Y MEJORAMIENTO INTEGRAL DE LOS PARQUES DE LA LOCALIDAD DE BARRIOS UNIDOS</t>
  </si>
  <si>
    <t>REALIZAR POR EL SISTEMA DE PRECIOS UNITARIOS FIJOS LAS OBRAS DE CONSTRUCCIÓN DE LOS PARQUES VECINALES VILLA HELENA COD 09-026, URBANIZACION LOS ANGELES I SECTOR COD. 10-186, LAS GUACAMAYAS COD. 04-066, Y URBANIZACION PIAMONTE II SECTOR COD. 07-047 EN BOGOTÁ D.C.", CON CARGO AL PROYECTO 1082, “CONSTRUCCIÓN Y ADECUACIÓN DE PARQUES Y EQUIPAMIENTO PARA TODOS.</t>
  </si>
  <si>
    <t>CONSTRUCCIÓN DE PARQUES RECREO - DEPORTIVOS EN URBANIZACIONES DONDE SE DESARROLLA EL PROGRAMA DE 100.000 VIVIENDAS – ZONA NORTE GRUPO 8</t>
  </si>
  <si>
    <t>FONDO DE DESARROLLO LOCAL DE ANTONIO NARIÑO</t>
  </si>
  <si>
    <t>FINDETER</t>
  </si>
  <si>
    <t>FONDO DE DESARROLLO LOCAL DE BARRIOS UNIDOS</t>
  </si>
  <si>
    <t>IDRD</t>
  </si>
  <si>
    <t>CONSORCIO ARQING ANTONIO NARIÑO</t>
  </si>
  <si>
    <t>CONSORCIO ARQING CARTAGENA</t>
  </si>
  <si>
    <t>CONSORCIO ELISUR</t>
  </si>
  <si>
    <t>CONSORCIO ARQING PARQUES II</t>
  </si>
  <si>
    <t>CONSORCIO ARQING SINCELEJO</t>
  </si>
  <si>
    <t>ARQING 63
GPR 111
PBS 32</t>
  </si>
  <si>
    <t>ARQING 67
GPR 70
PBS 18</t>
  </si>
  <si>
    <t>GPR 62
PBS 17</t>
  </si>
  <si>
    <t>ARQING 66
GPR 118
PBS 28</t>
  </si>
  <si>
    <t>ARQING 68
GPR 71
PBS 19</t>
  </si>
  <si>
    <t xml:space="preserve">El acta de recibo final para validar la acreditación de la experiencia del contrato No. 090-2015, NO esta suscrito por la entidad contratante sino por la interventoría. Por lo cual, se solicita allegar la respectiva certificación suscrita por la entidad contratante que, de fe de lo consignado en esta, conforme lo establecido en los numerales 3.5.4. y 3.5.5. del pliego de condiciones definitivo.
En virtud de los anterior expuesto, el 14/09/2023 el proponente CONSORCIO ARQING PARQUES 2022 remitió esta entidad un oficio de subsanación a las observaciones del informe preliminar entre las cuales expone lo siguiente:
"Acorde con los formatos establecidos por el Fondo, el acta de terminación solo debe estar suscrita por allí participantes, es por esto por lo que se adjunta el contrato suscrito por la entidad".
Por esta razón, el FDLK dando cumplimiento a lo establecido en el numeral 1.11 del Pliego de Condiciones Definitivo del proceso FDLK-LP-010-2023 que establece lo siguiente: 
“1.11 INFORMACIÓN INEXACTA
La Entidad se reserva el derecho de verificar integralmente la información aportada por el Proponente. Para esto, se puede acudir a las autoridades, personas, empresas o entidades respectivas.
Cuando exista inconsistencia entre la información suministrada por el Proponente y la verificada por la Entidad, la información que se pretende demostrar se entenderá como no acreditada.
La Entidad remitirá copias a las autoridades competentes en aquellos eventos en los cuales la información aportada tenga inconsistencias sobre las cuales pueda existir una posible falsedad, sin que el Proponente haya demostrado lo contrario, y rechazará la oferta”.
Adicionalmente, de lo establecido en el literal G. del numeral 1.15 y el literal K. del numeral 3.5.2 del Pliego de Condiciones Definitivo del proceso FDLK-LP-010-2023, el FDLK procedió a consultar en la plataforma SECOP la información del contrato No. 090-2015 suscrito entre el Fondo de Desarrollo Local de Barrios Unidos y el Consorcio ELISUR (conformado por GUSTAVO PALACIOS RUBIANO y PROYECTOS DE INGENIERIA PBS SAS).
Una vez realizada esta consulta, se encontró que en el acta de liquidación suscrita el 16/04/2018 quedaron reportados los siguientes valores realmente ejecutados:
•	Valor Total del contrato: $1.801.578.809
•	Valor ejecutado efectivamente por el contratista: $1.688.895.762,36
•	Saldo sin ejecutar a favor del FDLBU: $112.638.046,46
Por consiguiente, se evidencia que hay discrepancia en la información suministrada por el proponente CONSORCIO ARQING PARQUES 2022 en el Formato 3 – Experiencia y los RUP en los cuales indican tener un valor final ejecutado del contrato No. 090-2015 de: 2.613,05 SMMLV. Sin embargo, al realizar la conversión a SMMLV del valor ejecutado efectivamente por el contratista en el acta de liquidación suscrita entre el FDLBU y el Consorcio ELISUR da un resultado de 2.449,6.
Así las cosas, con relación a los anteriores argumentos y de conformidad a lo establecido en el numeral 1.11, el literal G. del numeral 1.15 y el literal K. del numeral 3.5.2 del Pliego de Condiciones Definitivo del proceso FDLK-LP-010-2023, el FDLK rechaza la experiencia aportada en el contrato No. 090-2015 dadas sus irregularidades e inexactitud en la información suministrada por el oferente. </t>
  </si>
  <si>
    <t>INCIVILES ASOCIADOS SAS</t>
  </si>
  <si>
    <t>2709-2021</t>
  </si>
  <si>
    <t>REALIZAR LAS OBRAS DE CONSTRUCCIÓN DEL PARQUE VECINAL DESARROLLO BILBAO II SECTOR, CÓD IDRD NO. 11- 607, LOCALIDAD DE SUBA</t>
  </si>
  <si>
    <t>INCIVILES ASOCIADOS S.A.S</t>
  </si>
  <si>
    <t>LYD PROYECTOS S.A.S</t>
  </si>
  <si>
    <t>22010714-2022</t>
  </si>
  <si>
    <t>21014604-2022</t>
  </si>
  <si>
    <t>SUMINISTRO Y MANO DE OBRA A TODO COSTO PARA LA CONSTRUCCIÓN, MANTENIMIENTO Y RECUPERACIÓN DEL PARQUE LA MARGARITA</t>
  </si>
  <si>
    <t>EJECUTAR LA CONSTRUCCIÓN A TODO COSTO DE LOS DE PARQUES DE LA UNIDAD DE GESTION 4 Y UNIDAD DE GESTION 6 DE LA CARGA LOCAL DEL PROYECTO URBANISMO LA FELICIDAD</t>
  </si>
  <si>
    <t>CONSTRUCTORA COLPATRIA S.A.S</t>
  </si>
  <si>
    <t xml:space="preserve">En el contrato No. 21014604-2022 no aportan ninguno de los siguientes documentos requeridos en los numerales 3.5.4. y 3.5.5. del pliego de condiciones definitivo para acreditar la terminación del contrato y el recibo final del mismo por la entidad contratante:
A. Acta de liquidación.
B. Acta de entrega, terminación, final o de recibo definitivo.
C. Certificación de experiencia. Expedida con posterioridad a la fecha de terminación del Contrato en la que conste el recibo a satisfacción de la obra contratada debidamente suscrita por quien esté en capacidad u obligación de hacerlo.
En virtud de lo anterior expuesto, el 15/09/2023 el proponente CONSORCIO PARQUES D’L 10-23 remitió esta entidad un oficio de subsanación a las observaciones del informe preliminar entre las cuales expone lo siguiente:
“Sin embargo, y con la intención de dar más claridad a la entidad adjuntamos ACTA DE RECIBO FINAL DE OBRA donde se ratifica la información presentada en los documentos allegados junto con nuestra oferta en la fecha de cierre del presente proceso”.
Por consiguiente, la entidad procede a revisar el acta de recibo final de obra del contrato No. 21014604-2022 en cumplimiento de lo establecido en el literal I del numeral 3.5.2 del Pliego de Condiciones Definitivo del proceso FDLK-LP-010-2023 y encuentra que se acredita la experiencia de este contrato. </t>
  </si>
  <si>
    <t>PROCIVIN S.A.S</t>
  </si>
  <si>
    <t>EDILBERTO MATEUS ALVAREZ</t>
  </si>
  <si>
    <t>JOHN WILLIAM CASALLAS JURADO</t>
  </si>
  <si>
    <t>321-2020</t>
  </si>
  <si>
    <t>3841-2018</t>
  </si>
  <si>
    <t>240-2008</t>
  </si>
  <si>
    <t>2847-2017</t>
  </si>
  <si>
    <t>EJECUTAR A PRECIOS UNITARIOS FIJOS, LA CONTRUCCION DEL
PARQUE VECINAL BARRIO PRADERA NORTE (ANTES SALAZAR
GOMEZ), EN LA LOCALIDAD DE PUENTE ARANDA, Codigo idrd 16-
053, DE CONFORMIDAD CON LOS ESTUDIOS Y DISENOS.
ANEXOS TECNICOS, PLIEGOS DE CONDICIONES Y DEMAS DOCUMENTOS QUE
HACEN PARTE INTEGRAL DEL PROCESO Y DEL CONTRATO</t>
  </si>
  <si>
    <t>REALIZAR LAS OBRAS DE CONTRUCCION Y ADECUACION DEL
PARQUE ZONAL SIERRA MORENA, LOCALIDAD DE CIUDAD
BOLIVAR</t>
  </si>
  <si>
    <t>REALIZAR POR EL SISTEMA DE PRECIOS GLOBAL FIJO LOS
DISEÑOS Y ESTUDIOS Y POR EL SISTEMA DE PRECIOS UNITARIOS
FIJOS LA CONTRUCCION DE DIFERENTES PARQUES DE LA
LOCALIDAD DE SUBA DE BOGOTA</t>
  </si>
  <si>
    <t>CONTRATAR POR EL SISTEMA DE PRECIOS UNITARIOS FIJOS, LAS
OBRAS DE CONSTRUCCION Y/O ADECUACION DE PARQUES EN
LAS AREAS DE MEJORAMIENTO INTEGRAL PRIORIZADAS POR LA
SDHT EN EL MARCO DEL CONVENIO INTERADMINISTRATIVO
N°2018(2017-IDRD) DEL 20 DE ABRIL DE 2015 CON CARGO AL
PROYECTO DE INVERSION 1082: CONSTRUCCION Y ADECUACION
DE PARQUES Y EQUIPAMIENTO PARA TODOS</t>
  </si>
  <si>
    <t>FONDO DE DESARROLLO LOCAL
DE PUENTE ARANDA</t>
  </si>
  <si>
    <t>CONSORCIO SANTA BIBIANA</t>
  </si>
  <si>
    <t>CONSORCIO PARQUES ING</t>
  </si>
  <si>
    <t>CONSORCIO SAN BENITO 17</t>
  </si>
  <si>
    <t>EMA - 34
JWC - 21</t>
  </si>
  <si>
    <t>GBG SOCIEDAD POR ACCIONES SIMPLIFICADA</t>
  </si>
  <si>
    <t>L E P INGENIEROS SAS</t>
  </si>
  <si>
    <t>2019-02-1215 DE 2019</t>
  </si>
  <si>
    <t>615 DE 1999</t>
  </si>
  <si>
    <t>REALIZAR EL SUMINISTRO DE MOBILIARIO URBANO, ASI COMO LA CONSTRUCCION DE PARQUES PARA DIFERENTES CONJUNTOS RESIDENCIALES UBICADOS EN LA CIUDAD DE PITALITO HUILA</t>
  </si>
  <si>
    <t>El contratista se comprometa a ejecutar para el Instituto, por el sistema de precios unitarios fijos sin fórmula de ajuste, las obras para la construcción y remodelación de cuatro (4) parques zonales en las localidades de San Cristóbal, Antonio Nariño y Puente Aranda en el Distrito Capital, de acuerdo con las especificaciones técnicas contenidas en elpliego de condiciones.</t>
  </si>
  <si>
    <t>LEON AGUILERA S.A.</t>
  </si>
  <si>
    <t>INSTITUTO DISTRITAL PARA LA RECREACION Y EL DEPORTE - IDRD</t>
  </si>
  <si>
    <t>UNION TEMPORALPARQUES CAPITAL</t>
  </si>
  <si>
    <t>ECOFLORA S.A.S.</t>
  </si>
  <si>
    <t>098 DE 2013</t>
  </si>
  <si>
    <t>4600077649 de 2018</t>
  </si>
  <si>
    <t>107 DE 2017</t>
  </si>
  <si>
    <t>4600077652 de 2018</t>
  </si>
  <si>
    <t>UEL-IDRD No. 023-2006</t>
  </si>
  <si>
    <t>4600077653 de 2018</t>
  </si>
  <si>
    <t>4600077651 de 2018</t>
  </si>
  <si>
    <t>Realizar las obras demantenimiento y dotacion de varios parques vecinales y de bolsillo en lalocalidad de Chapinero, por el sistema de precios unitarios fijos sin formula de ajuste,de acuerdo con las especificaciones tecnicas establecidas</t>
  </si>
  <si>
    <t>PP- Acciones silviculturales y de recuperacion en retiros de quebradas para el aumento de la biodiversidad y conectividad ecologica en la ciudad lote 1</t>
  </si>
  <si>
    <t>Realizar a monto agotable, el diseño y construccion y/o mantenimiento y/o rehabilitacion de parques vecinales y de bolsillode la localidad de la Candelaria en Bogota D.C.</t>
  </si>
  <si>
    <t>PP- Acciones silviculturales y de recuperacion en retiros de quebradas para el aumento de la biodiversidad y conectividad ecologica en la ciudad lote 3</t>
  </si>
  <si>
    <t>Contratar por el sistema de precios unitarios fijos sin formula de ajuste la construccion, adecuacion y mejoramiento de parques de la localidad de Usaquen del Distrito Capital</t>
  </si>
  <si>
    <t>PP- Acciones silviculturales y de recuperacion en retiros de quebradas para el aumento de la biodiversidad y conectividad ecologica en la ciudad lote 4</t>
  </si>
  <si>
    <t>PP- Acciones silviculturales y de recuperacion en retiros de quebradas para el aumento de la biodiversidad y conectividad ecologica en la ciudad lote 2</t>
  </si>
  <si>
    <t>FONDO DE
DESARROLLO
LOCAL DE
CHAPINERO</t>
  </si>
  <si>
    <t>ALCALDÍA DE MEDELLÍN</t>
  </si>
  <si>
    <t>FONDO DE DESARROLLO LOCAL DE LA CANDELARIA</t>
  </si>
  <si>
    <t>INSTITUTO DISTRITAL DERE CREACION Y DEPORTE - IDRD</t>
  </si>
  <si>
    <t>CONSORCIO USAQUEN</t>
  </si>
  <si>
    <t>DIARQCO CONSTRUCTORES SAS</t>
  </si>
  <si>
    <t>202003306 DE 2020</t>
  </si>
  <si>
    <t>202003313 DE 2020</t>
  </si>
  <si>
    <t>ICCU-CTO-717 DE 2019</t>
  </si>
  <si>
    <t>CTO-JBB-1017-2019</t>
  </si>
  <si>
    <t>CONSTRUCCIÓN DE OBRAS DE URBANISMO, CERRAMIENTO Y OBRAS COMPLEMENTARIAS REQUERIDAS EN LAS INSTITUCIONES EDUCATIVAS A DESARROLLAR EN CUMPLIMIENTO DEL CONVENIO 1056 DE 2015 SUSCRITO ENTRE EL DEPARTAMENTO DEL ATLANTICO Y EL MINISTERIO DE EDUCACION NACIONAL, GRUPOS 4.</t>
  </si>
  <si>
    <t>CONSTRUCCIÓN DE OBRAS COMPLEMENTARIAS REQUERIDAS PARA LA OPERACIÓN DE LA INSTITUCIÓN EDUCATIVA JULIO PANTOJA MALDONADO DEL MUNICIPIO DE BARANOA, INSTITUCIÓN EDUCATIVA DE ALGODONAL MUNICIPIO DE SANTA LUCÍA, LA ESCUELA NORMAL SUPERIOR DE MANATÍ Y LA INSTITUCIÓN EDUCATIVA SAN PABLO DE POLO NUEVO EN EL DEPARTAMENTO DEL ATLÁNTICO</t>
  </si>
  <si>
    <t>EJECUTAR LA CONSTRUCCIÓN DE LAS OBRAS COMPLEMENTARIAS DE LA NUEVA SEDE DEL COLEGIO DEPARTAMENTAL JOSE MARÍA OBANDO DEL MUNICIPIO DE EL ROSAL CUNDINAMARCA Y LA CONSTRUCCIÓN DE OBRAS COMPLEMENTARIAS DE URBANISMO DEL COLEGIO DEPARTAMENTAL RICARDO GONZALEZ SEDE A DEL MUNICIPIO DE SUBACHOQUE, CUNDINAMARCA</t>
  </si>
  <si>
    <t>CONTRATAR LAS OBRAS CIVILES Y LA FABRICACIÓN DE ELEMENTOS ARTIFICIALES DE AMBIENTACIÓN, PARA LA INSTALACIÓN Y PUESTA EN FUNCIONAMIENTO DEL TROPICARIO DEL JARDÍN BOTÁNICO POR EL SISTEMA DE PRECIOS UNITARIOS FIJOS – LOTE 3. ALCANCE DEL OBJETO: OBRAS CIVILES DE URBANISMO Y ACABADOS EXTERIORES PARA EL TROPICARIO DEL JBBJCM, LOS CUALES INCLUYEN ADECUACIÓN DE LAS ÁREAS EXTERIORES Y OBRAS DE PAISAJISMO PARA EL EXTERIOR DEL PROYECTO DEL TROPICARIO; SENDEROS PEATONALES, ESPEJOS DE AGUA</t>
  </si>
  <si>
    <t>DEPARTAMENTO DEL ATLANTICO</t>
  </si>
  <si>
    <t>INSTITUTO DE INFRAESTRUCTURA Y CONCESIONES DE CUNDINAMARCA</t>
  </si>
  <si>
    <t>JARDÍN BOTÁNICO JOSÉ CELESTINO MUTIS</t>
  </si>
  <si>
    <t>Construcciones Kyoto S.A.S</t>
  </si>
  <si>
    <t>2276 DE 2013</t>
  </si>
  <si>
    <t>2361 DE 2013</t>
  </si>
  <si>
    <t>REALIZAR A PRECIOS UNITARIOS FIJOS SIN FORMULA DE AJUSTE LA DOTACION DEL MOBILIARIO URBANO, LA INSTALACION EL SUMINISTRO Y/O DESMONTE DE LAS PIEZAS
PARTES DE LOS JUEGOS INFANTILS ESTRUCTURAS DEPORTIVAS Y LOS DEMAS ELEMENTOS QUE COMPONEN TODO EL MOBILIARIO URBANO DEL SISTEMA DISTRTITAL DE PARQUES</t>
  </si>
  <si>
    <t>REALIZAR MEDIANTE EL SISTEMA DE PRECIOS UNITARIOS FIJOS SIN FORMULA DE REAJUSTE EL MANTENIMIENTO DE LA INFRAESTRUCTURA FISICA DE LOS PARQUES CATALOGADOS COMO ZONALES METROPOLITANOS Y REGIONALES QUE CONFORMAN EL SISTEMA DISTRITAL DE PARQUES</t>
  </si>
  <si>
    <t>INSTITUTO DISTRITAL DE RECREACIÓN Y DEPORTE</t>
  </si>
  <si>
    <t>CONSORCIO OBRAS PLANIFICADAS</t>
  </si>
  <si>
    <t>CONSORCIO OBRAS DOS</t>
  </si>
  <si>
    <t>EEI SAS</t>
  </si>
  <si>
    <t>ESTUDIOS, DISEÑOS Y CONSTRUCCION DE PROYECTOS DE INGENIERIA SAS</t>
  </si>
  <si>
    <t>296-FDLU-2018</t>
  </si>
  <si>
    <t>265-FDLU-2019</t>
  </si>
  <si>
    <t>REALIZAR POR EL SISTEMA DE PRECIOS UNITARIOS FIJOS, SIN FORMULA DE REAJUSTE LAS OBRAS DE CONSTRUCCION DEL PARQUES VECINAL URBANIZACION MIRAVALLE I, II Y III ETAPA, EL CORTIJO, SAN JUAN BAUTISTA Y SAN LUIS DE LA LOCALIDAD DE USME</t>
  </si>
  <si>
    <t>REALIZAR POR EL SISTEMA DE PRECIOS UNITARIOS FIJOS, SIN FORMULA DE REAJUSTE LA OBRA DE CONSTRUCCIÓN DE LA ETAPA II Y III DEL PARQUE VECINAL URBANIZACIÓN MIRAVALLE I, II Y III ETAPA, EL CORTIJO, SAN JUAN BAUTISTA Y SAN LUIS CÓD. 05-042 DE LA LOCALIDAD DE USME EN BOGOTÁ D.C.</t>
  </si>
  <si>
    <t>FONDO DE DESARROLLO LOCAL DE USME</t>
  </si>
  <si>
    <t>CONSORCIO PARQUES USME 2019</t>
  </si>
  <si>
    <t>CONSORCIO MIRAVALLE 2020</t>
  </si>
  <si>
    <t>79 y 72</t>
  </si>
  <si>
    <t>HN INGENIERIA SAS</t>
  </si>
  <si>
    <t>VÍCTOR RAÚL NEIRA DELVASTO</t>
  </si>
  <si>
    <t>2397-2013</t>
  </si>
  <si>
    <t>3674-2019</t>
  </si>
  <si>
    <t>097 DE 2014</t>
  </si>
  <si>
    <t>COP-200-2016</t>
  </si>
  <si>
    <t>CONTRATAR POR EL SISTEMA DE PRECIO GLOBAL FIJO LOS ESTUDIOS Y DISEÑOS TÉCNICOS Y POR EL SISTEMA DE PRECIOS UNITARIOS FIJOS SIN FÓRMULA DE AJUSTE, LAS OBRAS DE CONSTRUCCIÓN Y/O ADECUACIÓN DE PARQUES DE LA RED LOCAL DE BOGOTÁ, D.C., EN LAS ÁREAS DE MEJORAMIENTO INTEGRAL PRIORIZADAS POR LA SDHT EN EL MARCO DEL PLAN DE DESARROLLO 2012-2016 BOGOTÁ HUMANA.</t>
  </si>
  <si>
    <t>REALIZAR LA CONSTRUCCIÓN DEL PARQUE METROPOLITANO PLANTA DE TRATAMIENTO EL SALITRE PM-09, COMO COMPLEMENTO DE LA PLANTA DE TRATAMIENTO PTAR – SALITRE</t>
  </si>
  <si>
    <t xml:space="preserve">REALIZAR LAS OBRAS CIVILES NECESARIAS PARA EL MEJORAMIENTO, MANTENIMIENTO Y EQUIPAMENTO DE ANDENES, PARQUES Y ESCENARIOS DEPORTIVOS DE LA LOCALIDAD DE BARRIOS UNIDOS </t>
  </si>
  <si>
    <t xml:space="preserve">OBRAS DE CONSTRUCCION DE ESPACIO PUBLICO EN LA UPZ´S AMERICAS, BAVARIA CALANDAIMA, CARVAJAL, CASTILLA, GRAN BRITALIA, KENNEDY CENTRAL, PATIO BONITO, TIMIZA Y TINTAL NORTE DE LA LOCALIDAD DE KENNEDY </t>
  </si>
  <si>
    <t>FDL -BARRIOS UNIDOS</t>
  </si>
  <si>
    <t>FDL  KENNEDY</t>
  </si>
  <si>
    <t>UNIÓN TEMPORAL CONSTRUPARQUES</t>
  </si>
  <si>
    <t>CONSORCIO LEGO</t>
  </si>
  <si>
    <t>CONSORCIO ESPACIO PUBLICO HN</t>
  </si>
  <si>
    <t>CONSORCIO ESPACIO PUBLICO UPZ KENNEDY</t>
  </si>
  <si>
    <t>J&amp;G</t>
  </si>
  <si>
    <t xml:space="preserve">MARJAL S.A.S </t>
  </si>
  <si>
    <t>52-2018</t>
  </si>
  <si>
    <t>CONSTRUCCIONDEMEGAPARQUECADADIASOMOSMASENELCORREGIMIENTODEGUACAMAYAL,MUNICIPIODEZONA BANANERA.</t>
  </si>
  <si>
    <t>13/062018</t>
  </si>
  <si>
    <t>MUNCIPIO DE ZONA BANANERA</t>
  </si>
  <si>
    <t>J&amp;G INGENIERIA Y EQUIPOS SAS</t>
  </si>
  <si>
    <t>JESUS ELQUIN HERNANDEZ ROJAS</t>
  </si>
  <si>
    <t>253 - 2017</t>
  </si>
  <si>
    <t>219 - 2017</t>
  </si>
  <si>
    <t>178 - 2006</t>
  </si>
  <si>
    <t>241 - 2018</t>
  </si>
  <si>
    <t>REALIZAR EL MANTENIMIENTO Y/O
DOTACION DE PARQUES VECINALES Y/O DE BOLSILLO EN LA LOCALIDAD DE
ENGATIVA, POR EL SISTEMA DE PRECIOS UNITARIOS Y MONTO AGOTABLE.</t>
  </si>
  <si>
    <t>COMPLEMENTAR Y/O ACTUALIZAR Y/O AJUSTAR LOS ESTUDIOS Y DISEÑOS EXISTENTES Y CONSTRUIR LA MALLA VIAL Y ESPACIO PÚBLICO DE LA LOCALIDAD DE KENNEDY DE BOGOTÁ D.C.</t>
  </si>
  <si>
    <t>CONSTRUCCIÓN Y/O REHABILITACIÓN DE VIAS EN VARIAS LOCALIDADESEN BOGOTA D.C., GRUPO 2: LOCALIDADES DE SANTA FE USME, MARTIRES Y RAFAEL URIBE URIBE, EN BOGOTÁ . D.C.</t>
  </si>
  <si>
    <t>EJECUTAR POR EL SISTEMA DE PRECIOS UNITARIOS FIJOS SIN FORMULA DE REAJUSTE Y A MONTO AGOTABLE, LAS OBRAS Y ACTIVIDADES PARA LA CONSERVACIÓN DE LA MALLA VIAL Y ESPACIO PUBLICO ASOCIADO, DE LA LOCALIDAD DE BOSA - GRUPO No. 1</t>
  </si>
  <si>
    <t>FONDO DE DESARROLLO LOCAL DE ENGATIVÁ</t>
  </si>
  <si>
    <t>Fondo de Desarrollo Local de Kennedy</t>
  </si>
  <si>
    <t>INSTITUTO DE DESARROLLO URBANO IDU</t>
  </si>
  <si>
    <t>FONDO DE DESARROLLO LOCAL DE BOSA</t>
  </si>
  <si>
    <t>CONSORCIO SAN JOSE</t>
  </si>
  <si>
    <t>CONSORCIO MALLA VIAL 010</t>
  </si>
  <si>
    <t>CONSORCIO VIAS LOCALES 2007</t>
  </si>
  <si>
    <t>CONSORCIO HI BOSA</t>
  </si>
  <si>
    <t>GRU S.A.S.</t>
  </si>
  <si>
    <t>122 - 2009</t>
  </si>
  <si>
    <t>001 - 2009</t>
  </si>
  <si>
    <t>001 - 2010</t>
  </si>
  <si>
    <t>21731 - 2017</t>
  </si>
  <si>
    <t>Realizarporelsistemapreciosunitariosfijos,sinformuladeajuste,elmantenimiento,laremodelación,adecuaciónyrecuperaciónintegral,preventivaycorrectivadetodalainfraestructurafísicadelosparquesvecinalesydebolsillopertenecientesalsistemadistritaldeparquesyescenarios del distrito capital Bogotá D.C.</t>
  </si>
  <si>
    <t>Realizarporelsistemadepreciosunitariosfijossinformuladeajuste,laconstrucciónyadecuacióndelosparquescesióntipoA1yA5delaurbanización Andalucía de la localidad de Usaquén de Bogotá D.C.</t>
  </si>
  <si>
    <t>Contratar por el sistema de precio sunitarios fijos sin formula de ajuste, la construcción y adecuación de los parques cesión tipo A2,A3 y A4 de la urbanización Andalucía de la localidad de Usaquén de Bogotá D.C.</t>
  </si>
  <si>
    <t>Realizarporelsistemadeprecioglobalfijolosestudiosydiseñosdearquitecturaeingenieríayporelsistemadepreciosunitariofijos,lasobrasdeconstruccióndelasegundaetapadelaszonasdejuegosinfantilesygimnasioalairelibredelParqueMetropolitanoElTunalCÓD.:06-063,concargoalproyecto108"construcciónyadecuacióndeparquesyequipamientosparatodos”</t>
  </si>
  <si>
    <t>PROMOTORA DE PROYECTOS ANDALUCIA S.A</t>
  </si>
  <si>
    <t>CONSORCIO GRU-GC</t>
  </si>
  <si>
    <t>GESTION RURAL Y URBANA LTDA GRU</t>
  </si>
  <si>
    <t>GESTION RURAL Y URBANA SAS</t>
  </si>
  <si>
    <t>INVERSIONES GUERFOR S.A.S</t>
  </si>
  <si>
    <t>3471 - 2018</t>
  </si>
  <si>
    <t>3473 - 2018</t>
  </si>
  <si>
    <t>3364 - 2019</t>
  </si>
  <si>
    <t>176 - 2017</t>
  </si>
  <si>
    <t>“CONTRATAR MEDIANTE EL SISTEMA DE PRECIOS UNITARIOS FIJOS, EL MANTENIMIENTO, ADECUACIÓN Y RECUPERACIÓN DE LA INFRAESTRUCTURA FÍSICA, ASÍ COMO EL SUMINISTRO E INSTALACIÓN DEL MOBILIARIO DE LOS PARQUES VECINALES Y DE BOLSILLO QUE HACEN PARTE DEL SISTEMA DISTRITAL DE PARQUES.”</t>
  </si>
  <si>
    <t>“CONTRATAR MEDIANTE EL SISTEMA DE PRECIOS UNITARIOS FIJOS, EL MANTENIMIENTO, ADECUACIÓN Y RECUPERACIÓN DE LA INFRAESTRUCTURA FÍSICA, ASÍ COMO EL SUMINISTRO E INSTALACIÓN DEL MOBILIARIO DE LOS PARQUES VECINALES Y DE BOLSILLO QUE HACEN PARTE DEL SISTEMA DISTRITAL DE PARQUES.” GRUPO 3</t>
  </si>
  <si>
    <t>Contratar a precios unitarios fijos, mantenimiento, adecuación y recuperación, así como el suministro, desmonte e instalación de las piezas, y/o partes del mobiliario urbano, módulos de juegos infantiles y estructuras deportivas de los parques de escala regional, metropolitana y zonales del sistema distrital de parques</t>
  </si>
  <si>
    <t>CONTRATAR MEDIANTE EL SISTEMA DE PRECIOS UNITARIOS FIJOS, EL MANTENIMIENTO DE LA INISFRAESTRUCTURA FISICA, ASI COMO SUMINISTRO E INSTALACION DE MOBILIARIO URBANO DE LOS PARQUES VECINALES Y/O BOLSILLO DE LA LOCALIDAD DE FONTIBON DE ACUERDO CON LAS ESPECIFICACIONES TECNICAS REQUERIDAS</t>
  </si>
  <si>
    <t>INSTITUTO DISTRITAL DE RECREACIÓN Y EL DEPORTE</t>
  </si>
  <si>
    <t>UNION TEMPORAL SAN PEDR</t>
  </si>
  <si>
    <t>UNION TEMPORAL PARQUES SALUDABLES</t>
  </si>
  <si>
    <t>UNION TEMPORAL MOBILIARIO</t>
  </si>
  <si>
    <t>RETIN INGENIERIA S.A.S.</t>
  </si>
  <si>
    <t>133 - 2015</t>
  </si>
  <si>
    <t>126 - 2014</t>
  </si>
  <si>
    <t>EJECUTAR POR EL SISTEMA DE PRECIOS UNITARIOS FIJOS SIN FORMULA DE AJUSTE LA CONSTRUCCION MANTENIMIENTO ADECUACION Y DOTACION DE DE DIFERENTES PARQUES EN LA LOCALIDAD DE BOSA INCLUIDO EL ESPACIO PUBLICO ASOCIADO</t>
  </si>
  <si>
    <t>REALIZAR EL MANTENIMIENTO, ADECUACION, DOTACION Y/O CONSTRUCCION DE PARQUES DE ESCALA VECINAL EN LA LOCALIDAD DE BOSA</t>
  </si>
  <si>
    <t>SISTEMAS INTEGRALES DE MANEJO AMBIENTAL - SIMA LTDA</t>
  </si>
  <si>
    <t>2604 - 2019</t>
  </si>
  <si>
    <t>195 - 2019</t>
  </si>
  <si>
    <t>Realizar las obras de construccion inconclusas de los
parques vecinales en la UPZ 28 rincon de Suba en Bogotá
D.C, con cargos al proyecto 1082 "Construccion y
adecuacion de parques y equipamiento para todos</t>
  </si>
  <si>
    <t>Contratar a monto agotable sin formula de ajuste las obras
de intervención, mantenimiento, rehabilitación y
actualización del equipamiento y mobiliario del parque 01-
079 denominado urbanización el Toberín catalogado como
vecinal en la localidad de Usaquén en Bogotá D.C</t>
  </si>
  <si>
    <t>31/11/2019</t>
  </si>
  <si>
    <t>Instituto
Distrital de
Recreacion y
Deporte - IDRD</t>
  </si>
  <si>
    <t>FONDO DE
DESARROLLO
LOCAL DE
USAQUEN</t>
  </si>
  <si>
    <t>CONSORCIO SGI SUBA 2019</t>
  </si>
  <si>
    <t>FONDO DE DESARROLLO LOCAL DE USAQUEN</t>
  </si>
  <si>
    <t>SILCONS SAS</t>
  </si>
  <si>
    <t xml:space="preserve">BELISARIO ALFREDO DE LEON NARVAEZ </t>
  </si>
  <si>
    <t>0397 - 2007</t>
  </si>
  <si>
    <t>080 - 2007</t>
  </si>
  <si>
    <t>CONSTRUCCION DE OBRAS CIVILES DE MEJORAMIENTO DEL ESPACIO PUBLICO PEATONAL Y VEHICULAR DEL MUNICIPIO DE CHIA LOS CUALES COMPRENDEN LOS SIGUIENTES TRAMOS: 1) AVENIDA PRADILLA TRAMO DESDE PARQUE OSPINA A PANPAYA, GLORIETA KR 3, 2) KR 9 ENTRE PARQUE OSPINA ENTRADA LOS NOGALES Y 3) 2DO ANILLO ZONA HISTORICA</t>
  </si>
  <si>
    <t>CONSTRUCCION DE LA AVENIDA DE LA CONSTITUCION CHIA CUNDINAMARCA</t>
  </si>
  <si>
    <t>ORGANIZACIÓN DE ESTADOS IBEROAMERICANOS PARA LA EDUCACION LA CIENCIA Y LA CULTURA - OEI</t>
  </si>
  <si>
    <t>CENTRO MUNDIAL DE INVESTIGACION Y CAPACITACION
PARA LA SOLUCION DE CONFLICTOS</t>
  </si>
  <si>
    <t>UNION TEMPORAL CORREDORES VIALES</t>
  </si>
  <si>
    <t>UNION TEMPORAL SILCONS LTDA</t>
  </si>
  <si>
    <t>CONSTRUCTORA VALHER</t>
  </si>
  <si>
    <t>MAGDA HEYNNER UMAÑA TORRES</t>
  </si>
  <si>
    <t>225 DE 2017</t>
  </si>
  <si>
    <t>567 DE2017</t>
  </si>
  <si>
    <t>CONTRATAR MEDIANTE EL SISTEMA DE PRECIOS UNITARIOS FIJOS Y A MONTO AGOTABLE, EL SUMINISTRO E INSTALACIÓN DE MOBILIARIO URBANO, ASÍ COMO EL MANTENIMIENTO DE LA INFRAESTRUCTURA FÍSICA DE LOS PARQUES VECINALES Y DE BOLSILLO DE LA LOCALIDAD OCTAVA DE KENNEDY QUE CONFORMAN EL SISTEMA DISTRITAL DE PARQUES</t>
  </si>
  <si>
    <t>CONTRATAR LA EJECUCION DE OBRAS DE LAS INTERVENCIONES DE MEJORAMIENTOS EN LAS AREAS PRIORZADAS EN LASECRETARIA EN EL MARCO DEL PLAN DE DESARROLLO DISTRITAL 20162020 "BOGOTA MEJOR PARA TODOS".</t>
  </si>
  <si>
    <t>SECRETARIA DISTRITAL DEL HABITAT</t>
  </si>
  <si>
    <t xml:space="preserve"> CONSORCIO OBRAS MOBILIARIO 2018</t>
  </si>
  <si>
    <t xml:space="preserve"> CONSORCIO PARQUES 2017 </t>
  </si>
  <si>
    <t>ICOD S.A.S</t>
  </si>
  <si>
    <t>BYGGER SAS</t>
  </si>
  <si>
    <t>585 DE 2019</t>
  </si>
  <si>
    <t>300-2018</t>
  </si>
  <si>
    <t xml:space="preserve">REALIZAR LA CONSTRUCCION DE LAS OBRAS DE MEJORAMIENTO DE ESPACIO EN EL NODO COMERCIAL DEL TERRITORIO, CON OPORTUNIDAD CERROS NORORIENTALES </t>
  </si>
  <si>
    <t xml:space="preserve">REALIZAR LA CONSTRUCCIÓN DE LOS PARQUES VECINALESY DE BOLSILLO POR EL SISTEMA DE PRECIOS UNITARIOS FIJOS SIN FORMULA DE REAJUSTE A MONTO AGOTABLE EN LA LOCALIDAD DE CIUDAD BOLIVAR. </t>
  </si>
  <si>
    <t xml:space="preserve">SECRETARIA DE HABITAT </t>
  </si>
  <si>
    <t xml:space="preserve">ALCALDÍA LOCAL DE CIUDAD BOLIVAR </t>
  </si>
  <si>
    <t>ICOD SAS</t>
  </si>
  <si>
    <t>INGENIERIA Y DESARROLLO URBANISTICO SAS</t>
  </si>
  <si>
    <t>COP-190-2016</t>
  </si>
  <si>
    <t>236-2018</t>
  </si>
  <si>
    <t>300 DE 2019</t>
  </si>
  <si>
    <t>REALIZAR EL DISEÑO, LA CONSTRUCCION Y EL MANTENIMIENTO DE LOS PARQUES VECINALES Y DE BOLSILLO POR EL SISTEMA DE PRECIOS UNITARIOS FIJOS , SIN FORMULA DE REAJUSTE POR MONTO AGOTABLE EN LA LOCALIDAD DE CIUDAD BOLIVAR</t>
  </si>
  <si>
    <t>CONTRATAR MEDIANTE EL SISTEMA DE PRECIOS UNITARIOS FIJOS SIN FORMILA DE REAJUSTE, EL SUMINISTRO E INSTALACIÓN DE MOBILIARIO URBANO, ASI COMO EL MANTENIMIENTO DE LA INFRAESTRUCTURA FISICA DE LOS PARQUES VECINALES Y DE BOLSILLO QUE CONFORMAN EL SISTEMA LOCAL DE PARQUES</t>
  </si>
  <si>
    <t>CONTRATAR MEDIANTE EL SISTEMA DE PRECIOS UNITARIOS FIJOS SIN FORMULA DE REAJUSTE, EL SUMINISTRO E INSTALACION DE MOBILIARIO URBANO, ASI COMO EL MANTENIMIENTO DE LA INFRAESTRUCTURA FISICA DE LOS PARQUES VECINALES Y DE BOLSILLO QUE CONFORMAN EL SISTEMA LOCAL DE PARQUES.</t>
  </si>
  <si>
    <t>FONDO DE DESARROLLO LOCAL DE CIUDAD BOLIVAR</t>
  </si>
  <si>
    <t xml:space="preserve">FONDO DE DESARROLLO LOCAL DE SAN CRISTOBAL </t>
  </si>
  <si>
    <t>El contrato No. 300 de 2019 No cumple con las condiciones establecidas en el numeral 3.5.1. del Pliego de condiciones definitivo, denominado CARACTERÍSTICAS DE LOS CONTRATOS PRESENTADOS PARA ACREDITAR LA EXPERIENCIA EXIGIDA. Toda vez, que los documentos aportados no tienen la suficiente claridad para demostrar cuales actividades pertenecen a la experiencia requerida en el presente proceso (parques y/o espacio público).
Por lo anterior expuesto, es importante dar cumplimiento a lo establecido en el literal I del numeral 3.5.2. CONSIDERACIONES PARA LA VALIDEZ DE LA EXPERIENCIA REQUERIDA del Pliego de condiciones definitivo. Por lo tanto, se le solicita al proponente especificar los valores ejecutados y magnitudes intervenidas que sean solamente de parques y/o espacio público, en alguno de los documentos establecidos en el numeral 3.5.5 del Pliego de Condiciones. 
Para esto, es indispensable que el documento que se allegue para subsanar lo solicitado especifique cuanto del valor total de contrato corresponde a parques y/o espacio público. Adicionalmente, se solicita hacer la conversión a SMMLV con respecto al año de terminación de este contrato al valor total correspondiente solo a espacio público.</t>
  </si>
  <si>
    <t>INCITECO S.A.S.</t>
  </si>
  <si>
    <t>3200 DE 2017</t>
  </si>
  <si>
    <t>365 DE 2017</t>
  </si>
  <si>
    <t>3895 DE 2018</t>
  </si>
  <si>
    <t>156 DE 2015</t>
  </si>
  <si>
    <t>REALIZAR POR EL SISTEMA DE PRECIOS UNITARIOS FIJOS LAS OBRAS DE CONSTRUCCIÓN DE LA PRIMERA ETAPA DEL PARQUE ZONAL LAS MARGARITAS – GILMA JIMÉNEZ PZ 82, CON CARGO AL PROYECTO 1082 CONSTRUCCIÓN Y ADECUACIÓN DE PARQUES Y EQUIPAMIENTOS PARA TODOS</t>
  </si>
  <si>
    <t>CONSTRUCCIÓN DE LAS OBRAS REQUERIDAS PARA LA CONSOLIDACIÓN DEL PARQUE LINEAL RÍO DE ORO — BAVARIA 2, UBICADO EN EL ÁREA URBANA DEL MUNICIPIO DE BUCARAMANGA, EN EL BARRIO VILLAS DE SAN IGNACIO DE LA COMUNA 1</t>
  </si>
  <si>
    <t>REALIZAR LAS CONSTRUCCIONES DE LAS OBRAS INCONCLUSAS DEL PARQUE METROPOLITANO CIUDADELA PORVENIR ETAPA 1; LOCALIDAD DE BOSA EN BOGOTA D.C.</t>
  </si>
  <si>
    <t>CONTRATAR BAJO LA MODALIDAD DE PRECIOS UNITARIOS FIJOS, NO REAJUSTABLES, LA CONSTRUCCIÓN DE OBRAS EN ESPACIO PUBLICO ADYACENTES A LA QUEBRADA VAREJONES PRODUCTO DEL CONTRATO DE CONSULTORÍA 160 DE 2014 - FASE I, DE LA LOCALIDAD DE SAN CRISTÓBAL D.C.</t>
  </si>
  <si>
    <t xml:space="preserve"> 17/02/2016</t>
  </si>
  <si>
    <t>INSTITUTO DISTRITAL PARA LA RECREACION Y EL DEPORTE</t>
  </si>
  <si>
    <t>AREA METROPOLITANA DE BUCARAMANGA</t>
  </si>
  <si>
    <t>FONDO DE DESARROLLO LOCAL DE SAN CRISTOBAL</t>
  </si>
  <si>
    <t xml:space="preserve">TECTUM INGENIEROS SAS </t>
  </si>
  <si>
    <t>300-GAACOC-1512006</t>
  </si>
  <si>
    <t>REVESTIMIENTO DEL CANAL C.V.C. SECUNDARIO Y CONSTRUCCIÓN DEL PARQUE LINEAL ALAMEDA COMPARTIR Y OBRAS COMPLEMENTARIAS</t>
  </si>
  <si>
    <t>EMPRESAS MUNICIPALES DE CALI E.I.C.E. E.S.P</t>
  </si>
  <si>
    <t>TECTUM INGENIEROS S.A.S.</t>
  </si>
  <si>
    <t>P&amp;P INGENIERIA Y PROYECTOS SAS</t>
  </si>
  <si>
    <t>GRUPO EMPRESARIAL SAN CHARBEL S.A.S</t>
  </si>
  <si>
    <t>103-2017</t>
  </si>
  <si>
    <t>0135*2010*000272</t>
  </si>
  <si>
    <t>CONTRATAR A PRECIOS UNITARIOS SIN FORMULA DE REAJUSTE POR MONTO AGOTABLE EL DIAGNOSTICO Y LAS OBRAS DE ADECUACIÓN, MANTENIMIENTO Y DOTACIÓN DE MOBILIARIO DE PARQUES VECINALES Y DE BOLSILLO DE LA LOCALIDAD DE LOS MÁRTIRES</t>
  </si>
  <si>
    <t xml:space="preserve">CONSTRUCCIÓN DE CENTROS DE INTEGRACIÓN COMUNITARIA Y/O ACONDICIONAMIENTO DE LAS PLAZAS, PARQUES Y SU MANTENIMIENTO EN EL DEPARTAMENTO DEL ATLANTICO </t>
  </si>
  <si>
    <t>ALCALDIA LOCAL DE MARTIRES</t>
  </si>
  <si>
    <t>GOBERNACIÓN DEL ATLANTICO</t>
  </si>
  <si>
    <t>UNION TEMPORAL OLAM PIC</t>
  </si>
  <si>
    <t>COINSES S.A - UNION TEMPORAL PLAZAS Y PARQUES</t>
  </si>
  <si>
    <t>Alic Construcción SAS</t>
  </si>
  <si>
    <t>Consicivil SAS</t>
  </si>
  <si>
    <t>GRUPO EMPRESARIAL PROYECTAR INGENIERIA S.A.S.</t>
  </si>
  <si>
    <t>0040 de 2013</t>
  </si>
  <si>
    <t>2076 de 2019</t>
  </si>
  <si>
    <t>COP-MST-OP-008-2018</t>
  </si>
  <si>
    <t>Construcción de andenes y conservación de 
vías perimetrales en los parques corocito, 
centenario, central, san roque, de la loteria, 
venecia del Municipio de Sahagún en el 
Departamento de Córdoba.</t>
  </si>
  <si>
    <t>CONSTRUCCIÓN DEL PARQUE LINEAL DEL 
MUNICIPIO DE VILLAPINZÓN 
(CUNDINAMARCA) EN ZONA PARALELA AL 
RIO BOGOTÁ EN LA JURISDICCIÓN CAR</t>
  </si>
  <si>
    <t>MEJORAMIENTO URBANISTICO A LA 
AVENIDA PRIMERA DEL MUNICIPIO DE 
SANTIAGO DE TOLU, SUCRE</t>
  </si>
  <si>
    <t xml:space="preserve">MUNICIPIO DE SAHAGÚN </t>
  </si>
  <si>
    <t>CORPORACIÓN AUTÓNOMA 
REGIONAL DE CUNDINAMARCA</t>
  </si>
  <si>
    <t>ALCALDÍA DE SANTIAGO DE TOLÚ</t>
  </si>
  <si>
    <t>CONSORCIO CONSTRUCTORES ASOCIADOS</t>
  </si>
  <si>
    <t>CONSORCIO PARQUE CAR 2019</t>
  </si>
  <si>
    <t xml:space="preserve">CONSORCIO INFRAESTRUCTURAS TOLU
</t>
  </si>
  <si>
    <t>El contrato No. 0040 de 2013 No cumple con las condiciones establecidas en el numeral 3.5.1. del Pliego de condiciones definitivo, denominado CARACTERÍSTICAS DE LOS CONTRATOS PRESENTADOS PARA ACREDITAR LA EXPERIENCIA EXIGIDA. Toda vez, que los documentos aportados no tienen la suficiente claridad para demostrar cuales actividades pertenecen a la experiencia requerida en el presente proceso (parques y/o espacio público).
Por lo anterior expuesto, es importante dar cumplimiento a lo establecido en el literal I del numeral 3.5.2. CONSIDERACIONES PARA LA VALIDEZ DE LA EXPERIENCIA REQUERIDA del Pliego de condiciones definitivo. Por lo tanto, se le solicita al proponente especificar los valores ejecutados y magnitudes intervenidas que sean solamente de parques y/o espacio público, en alguno de los documentos establecidos en el numeral 3.5.5 del Pliego de Condiciones. 
Para esto, es indispensable que el documento que se allegue para subsanar lo solicitado especifique cuanto del valor total de contrato corresponde a parques y/o espacio público. Adicionalmente, se solicita hacer la conversión a SMMLV con respecto al año de terminación de este contrato al valor total correspondiente solo a espacio público.</t>
  </si>
  <si>
    <t xml:space="preserve">OBJETO DE CONTRATO </t>
  </si>
  <si>
    <t>VALOR DEL CONTRATO</t>
  </si>
  <si>
    <t>CANTIDAD DE INTEGRANTES</t>
  </si>
  <si>
    <t>ANALISIS K RESIDUAL</t>
  </si>
  <si>
    <t>EVALUACIÓN TÉCNICA</t>
  </si>
  <si>
    <t>EVALUACIÓN JURÍDICA</t>
  </si>
  <si>
    <t>EVALUACIÓN FINANCIERA</t>
  </si>
  <si>
    <t xml:space="preserve">RESULTADO EVALUACIÓN  </t>
  </si>
  <si>
    <t>COMITÉ EVALUADOR
 FONDO DE DESARROLLO LOCAL DE KENNEDY:</t>
  </si>
  <si>
    <t>PUNTAJE</t>
  </si>
  <si>
    <t>VINCULACIÓN DE PERSONAS CON DISCAPACIDAD</t>
  </si>
  <si>
    <t>FACTOR DE CALIDAD</t>
  </si>
  <si>
    <t>FACTOR DE SOSTENIBILIDAD TECNICO AMBIENTAL AGREGADO</t>
  </si>
  <si>
    <t>APOYO A LA INDUSTRIA NACIONAL</t>
  </si>
  <si>
    <t>EMPRENDIMIENTOS Y EMPRESAS DE MUJERES</t>
  </si>
  <si>
    <t>MIPYME DOMICILIADA EN COLOMBIA</t>
  </si>
  <si>
    <t>FORMATO 8 - VINCULACION DE PERSONAS CON DISCAPACIDAD</t>
  </si>
  <si>
    <t>¿APORTA CERTIFICADO DE DISCAPACIDAD VIGENTE?</t>
  </si>
  <si>
    <t>EXPERIENCIA QUE APORTA (SLMMV)</t>
  </si>
  <si>
    <t>¿APORTA POR LO MENOS EL 40% DE EXPERIENCIA?</t>
  </si>
  <si>
    <t>PUNTAJE VINCULACIÓN DE PERSONAS CON DISCAPACIDAD</t>
  </si>
  <si>
    <t>PUNTAJE TOTAL VINCULACIÓN DE PERSONAS CON DISCAPACIDAD</t>
  </si>
  <si>
    <t>FORMATO 7A - PROGRAMA DE GERENCIA DE PROYECTOS</t>
  </si>
  <si>
    <t>PUNTAJE IMPLEMENTACIÓN DEL PROGRAMA DE GERENCIA DE PROYECTOS</t>
  </si>
  <si>
    <t>FORMATO 7C - PLAN DE CALIDAD</t>
  </si>
  <si>
    <t>PUNTAJE PLAN DE CALIDAD</t>
  </si>
  <si>
    <t>REPORTE REGISTRO NACIONAL DE OBRAS CIVILES</t>
  </si>
  <si>
    <t>DESCUENTO PUNTAJE</t>
  </si>
  <si>
    <t>TOTAL PUNTAJE FACTOR DE CALIDAD</t>
  </si>
  <si>
    <t>FORMATO 12 - FACTOR DE SOSTENIBILIDAD TÉCNICO AMBIENTAL AGREGADO</t>
  </si>
  <si>
    <t>PUNTAJE FACTOR DE SOSTENIBILIDAD TÉCNICO AMBIENTAL AGREGADO</t>
  </si>
  <si>
    <t>FORMATO 9A - PROMOCION DE SERVICIOS NACIONALES O CON TRATO NACIONAL</t>
  </si>
  <si>
    <t>CEDULA DE CIUDADANIA Ó VISA DE RESIDENCIA Ó CERTIFICADO DE EXISTENCIA Y REPRESENTACION LEGAL</t>
  </si>
  <si>
    <t>PUNTAJE POR APOYO A LA INDUSTRIA NACIONAL</t>
  </si>
  <si>
    <t>FORMATO 13 – ACREDITACION DE EMPRENDIMIENTOS Y EMPRESAS DE MUJERES</t>
  </si>
  <si>
    <t>COPIA DE DOCUMENTO DE IDENTIDAD</t>
  </si>
  <si>
    <t>COPIA DE CONTRATO O CERTIFICACION LABORAL CON FUNCIONES O ACCIONISTA</t>
  </si>
  <si>
    <t>CERTIFICADO DE APORTES AL SISTEMA DE SEGURIDAD SOCIAL DEL ULTIMO AÑO  O ACCIONISTA</t>
  </si>
  <si>
    <t>PUNTAJE EMPRENDIMIENTOS Y EMPRESAS DE MUJERES</t>
  </si>
  <si>
    <t>PUNTAJE TOTAL EMPRENDIMIENTOS Y EMPRESAS DE MUJERES</t>
  </si>
  <si>
    <t>¿ACREDITA CONDICIÓN MIPYME EN EL RUP?</t>
  </si>
  <si>
    <t>¿RUP VIGENTE Y EN FIRME?</t>
  </si>
  <si>
    <t>PUNTAJE MIPYME DOMICILIADA EN COLOMBIA</t>
  </si>
  <si>
    <t>PUNTAJE TOTAL MIPYME DOMICILIADA EN COLOMBIA</t>
  </si>
  <si>
    <t>REQUISITOS HABILITANTES</t>
  </si>
  <si>
    <t>PUNTAJE FACTOR DE CALIDAD</t>
  </si>
  <si>
    <t>PUNTAJE APOYO A LA INDUSTRIA NACIONAL</t>
  </si>
  <si>
    <t>PUNTAJE OFERTA ECONÓMICA</t>
  </si>
  <si>
    <t>PUNTAJE TOTAL</t>
  </si>
  <si>
    <t>ORDEN DE ELEGIBILIDAD</t>
  </si>
  <si>
    <t>METODO</t>
  </si>
  <si>
    <t>TRM</t>
  </si>
  <si>
    <t>Desviación Estandar</t>
  </si>
  <si>
    <t>Me</t>
  </si>
  <si>
    <t>MG</t>
  </si>
  <si>
    <t>Promedio</t>
  </si>
  <si>
    <t>Mediana</t>
  </si>
  <si>
    <t>Vme</t>
  </si>
  <si>
    <t>Mas cercano</t>
  </si>
  <si>
    <t>Menor Valor</t>
  </si>
  <si>
    <t>DECIMAL</t>
  </si>
  <si>
    <t>Valor Mínimo Aceptable</t>
  </si>
  <si>
    <t>Media A. Baja</t>
  </si>
  <si>
    <t>CHEQUEO ARTIFICIALMENTE BAJO</t>
  </si>
  <si>
    <t>PUNTAJE MAX</t>
  </si>
  <si>
    <t>N°</t>
  </si>
  <si>
    <t>OFERENTE</t>
  </si>
  <si>
    <t>VALOR DE LA OFERTA ECONOMICA</t>
  </si>
  <si>
    <t>VALOR DE LA OFERTA ECONOMICA CORREGIDO</t>
  </si>
  <si>
    <t>¿ARTIFICIALMENTE BAJO?</t>
  </si>
  <si>
    <t>¿OFERTA ECONOMICA VÁLIDA?</t>
  </si>
  <si>
    <t>DIFERENCIA MEDIA GEOMETRICA</t>
  </si>
  <si>
    <t>VALOR OFERTA ECONOMICA PARA PUNTUAR</t>
  </si>
  <si>
    <t>MEDIANA CON VALOR ABSOLUTO PUNTAJE</t>
  </si>
  <si>
    <t>MEDIA GEOMETRICA PUNTAJE</t>
  </si>
  <si>
    <t>MEDIA ARITMETICA BAJA PUNTAJE</t>
  </si>
  <si>
    <t>MENOR VALOR 
PUNTAJE</t>
  </si>
  <si>
    <t>CONSORCIO KENNEDY AMBIENTAL</t>
  </si>
  <si>
    <t>x</t>
  </si>
  <si>
    <t>BOOST</t>
  </si>
  <si>
    <r>
      <t xml:space="preserve">No se otorga el puntaje de emprendimientos y empresas de mujeres,  ya que como se evidencia en el formato de acreditación de emprendimiento presentado por el Consorcio Kennedy Ambiental, el señor Alvaro Rodriguez Zambrano presenta certificado contractual de prestación de servicios y la planilla de aportes a parafiscales de manera independiente, contrario a lo establecido en el  Decreto 1860 del 2021 el cual indica que </t>
    </r>
    <r>
      <rPr>
        <b/>
        <i/>
        <sz val="11"/>
        <color theme="1"/>
        <rFont val="Calibri"/>
        <family val="2"/>
        <scheme val="minor"/>
      </rPr>
      <t>"La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r>
    <r>
      <rPr>
        <sz val="11"/>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</si>
</sst>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quot;$&quot;\ * #,##0_-;\-&quot;$&quot;\ * #,##0_-;_-&quot;$&quot;\ * &quot;-&quot;_-;_-@_-"/>
    <numFmt numFmtId="165" formatCode="_-[$$-240A]\ * #,##0.00_-;\-[$$-240A]\ * #,##0.00_-;_-[$$-240A]\ * &quot;-&quot;??_-;_-@_-"/>
    <numFmt numFmtId="166" formatCode="[$$-240A]#,##0.00;[Red]\([$$-240A]#,##0.00\)"/>
    <numFmt numFmtId="167" formatCode="#,##0;[Red]#,##0"/>
    <numFmt numFmtId="168" formatCode="_-&quot;$&quot;\ * #,##0.00_-;\-&quot;$&quot;\ * #,##0.00_-;_-&quot;$&quot;\ * &quot;-&quot;_-;_-@_-"/>
    <numFmt numFmtId="169" formatCode="0.00000"/>
    <numFmt numFmtId="170" formatCode="&quot;$&quot;\ #,##0"/>
    <numFmt numFmtId="171" formatCode="&quot;$&quot;#,##0"/>
    <numFmt numFmtId="172" formatCode="[$-240A]d&quot; de &quot;mmmm&quot; de &quot;yyyy;@"/>
    <numFmt numFmtId="173" formatCode="&quot;$&quot;#,##0.00"/>
    <numFmt numFmtId="174" formatCode="&quot;$&quot;\ #,##0.00"/>
    <numFmt numFmtId="175" formatCode="[$$-240A]\ #,##0.00000;[Red][$$-240A]\ #,##0.00000"/>
    <numFmt numFmtId="176" formatCode="0.0000000"/>
    <numFmt numFmtId="177" formatCode="_-&quot;$&quot;\ * #,##0.0000000_-;\-&quot;$&quot;\ * #,##0.0000000_-;_-&quot;$&quot;\ * &quot;-&quot;_-;_-@_-"/>
  </numFmts>
  <fonts count="40">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name val="Arial"/>
      <family val="2"/>
    </font>
    <font>
      <b/>
      <sz val="11"/>
      <name val="Calibri"/>
      <family val="2"/>
      <scheme val="minor"/>
    </font>
    <font>
      <sz val="11"/>
      <color theme="1"/>
      <name val="Calibri"/>
      <family val="2"/>
    </font>
    <font>
      <b/>
      <sz val="10"/>
      <name val="Calibri"/>
      <family val="2"/>
      <scheme val="minor"/>
    </font>
    <font>
      <b/>
      <sz val="10"/>
      <color theme="1"/>
      <name val="Calibri"/>
      <family val="2"/>
      <scheme val="minor"/>
    </font>
    <font>
      <sz val="10"/>
      <color theme="1"/>
      <name val="Calibri"/>
      <family val="2"/>
      <scheme val="minor"/>
    </font>
    <font>
      <sz val="11"/>
      <name val="Calibri"/>
      <family val="2"/>
      <scheme val="minor"/>
    </font>
    <font>
      <b/>
      <sz val="10"/>
      <color theme="0"/>
      <name val="Calibri"/>
      <family val="2"/>
      <scheme val="minor"/>
    </font>
    <font>
      <b/>
      <sz val="9"/>
      <color indexed="81"/>
      <name val="Tahoma"/>
      <family val="2"/>
    </font>
    <font>
      <sz val="9"/>
      <color indexed="81"/>
      <name val="Tahoma"/>
      <family val="2"/>
    </font>
    <font>
      <i/>
      <sz val="10"/>
      <name val="Arial"/>
      <family val="2"/>
    </font>
    <font>
      <sz val="18"/>
      <color theme="1"/>
      <name val="Calibri"/>
      <family val="2"/>
      <scheme val="minor"/>
    </font>
    <font>
      <sz val="8"/>
      <name val="Calibri"/>
      <family val="2"/>
      <scheme val="minor"/>
    </font>
    <font>
      <b/>
      <sz val="11"/>
      <color theme="0"/>
      <name val="Calibri"/>
      <family val="2"/>
      <scheme val="minor"/>
    </font>
    <font>
      <b/>
      <u/>
      <sz val="22"/>
      <name val="Calibri"/>
      <family val="2"/>
      <scheme val="minor"/>
    </font>
    <font>
      <sz val="18"/>
      <name val="Calibri"/>
      <family val="2"/>
      <scheme val="minor"/>
    </font>
    <font>
      <b/>
      <sz val="12"/>
      <color theme="0"/>
      <name val="Calibri"/>
      <family val="2"/>
      <scheme val="minor"/>
    </font>
    <font>
      <b/>
      <sz val="14"/>
      <color theme="0"/>
      <name val="Calibri"/>
      <family val="2"/>
      <scheme val="minor"/>
    </font>
    <font>
      <b/>
      <sz val="36"/>
      <color rgb="FF006100"/>
      <name val="Calibri"/>
      <family val="2"/>
      <scheme val="minor"/>
    </font>
    <font>
      <b/>
      <sz val="10"/>
      <name val="Arial"/>
      <family val="2"/>
    </font>
    <font>
      <b/>
      <sz val="10"/>
      <color theme="0"/>
      <name val="Arial"/>
      <family val="2"/>
      <charset val="1"/>
    </font>
    <font>
      <sz val="14"/>
      <color theme="1"/>
      <name val="Calibri"/>
      <family val="2"/>
      <scheme val="minor"/>
    </font>
    <font>
      <b/>
      <sz val="14"/>
      <name val="Calibri"/>
      <family val="2"/>
      <scheme val="minor"/>
    </font>
    <font>
      <b/>
      <sz val="16"/>
      <color theme="0"/>
      <name val="Calibri"/>
      <family val="2"/>
      <scheme val="minor"/>
    </font>
    <font>
      <sz val="16"/>
      <color theme="1"/>
      <name val="Calibri"/>
      <family val="2"/>
      <scheme val="minor"/>
    </font>
    <font>
      <i/>
      <sz val="11"/>
      <color theme="1"/>
      <name val="Calibri"/>
      <family val="2"/>
      <scheme val="minor"/>
    </font>
    <font>
      <b/>
      <sz val="24"/>
      <color theme="0"/>
      <name val="Calibri"/>
      <family val="2"/>
      <scheme val="minor"/>
    </font>
    <font>
      <b/>
      <sz val="20"/>
      <color theme="1"/>
      <name val="Calibri"/>
      <family val="2"/>
      <scheme val="minor"/>
    </font>
    <font>
      <sz val="9"/>
      <name val="Arial"/>
      <family val="2"/>
    </font>
    <font>
      <b/>
      <sz val="12"/>
      <color theme="1"/>
      <name val="Calibri"/>
      <family val="2"/>
      <scheme val="minor"/>
    </font>
    <font>
      <sz val="12"/>
      <color theme="1"/>
      <name val="Calibri"/>
      <family val="2"/>
      <scheme val="minor"/>
    </font>
    <font>
      <b/>
      <sz val="36"/>
      <name val="Calibri"/>
      <family val="2"/>
      <scheme val="minor"/>
    </font>
    <font>
      <b/>
      <sz val="9"/>
      <color theme="1"/>
      <name val="Calibri"/>
      <family val="2"/>
      <scheme val="minor"/>
    </font>
    <font>
      <sz val="11"/>
      <color rgb="FF242424"/>
      <name val="Aptos Narrow"/>
      <charset val="1"/>
    </font>
    <font>
      <b/>
      <sz val="12"/>
      <color theme="1"/>
      <name val="Arial Narrow"/>
      <family val="2"/>
    </font>
    <font>
      <b/>
      <i/>
      <sz val="11"/>
      <color theme="1"/>
      <name val="Calibri"/>
      <family val="2"/>
      <scheme val="minor"/>
    </font>
  </fonts>
  <fills count="10">
    <fill>
      <patternFill patternType="none"/>
    </fill>
    <fill>
      <patternFill patternType="gray125"/>
    </fill>
    <fill>
      <patternFill patternType="solid">
        <fgColor rgb="FFC6EFCE"/>
      </patternFill>
    </fill>
    <fill>
      <patternFill patternType="solid">
        <fgColor theme="9" tint="0.39997558519241921"/>
        <bgColor indexed="64"/>
      </patternFill>
    </fill>
    <fill>
      <patternFill patternType="solid">
        <fgColor indexed="26"/>
        <bgColor indexed="9"/>
      </patternFill>
    </fill>
    <fill>
      <patternFill patternType="solid">
        <fgColor rgb="FFFFFF99"/>
        <bgColor indexed="64"/>
      </patternFill>
    </fill>
    <fill>
      <patternFill patternType="solid">
        <fgColor rgb="FF0070C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5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diagonal/>
    </border>
    <border>
      <left style="thin">
        <color indexed="64"/>
      </left>
      <right/>
      <top/>
      <bottom style="thin">
        <color indexed="64"/>
      </bottom>
      <diagonal/>
    </border>
    <border>
      <left/>
      <right style="thin">
        <color auto="1"/>
      </right>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thin">
        <color auto="1"/>
      </top>
      <bottom/>
      <diagonal/>
    </border>
    <border>
      <left style="thin">
        <color auto="1"/>
      </left>
      <right style="medium">
        <color indexed="64"/>
      </right>
      <top/>
      <bottom style="thin">
        <color auto="1"/>
      </bottom>
      <diagonal/>
    </border>
    <border>
      <left style="thin">
        <color auto="1"/>
      </left>
      <right style="medium">
        <color indexed="64"/>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right/>
      <top style="thin">
        <color auto="1"/>
      </top>
      <bottom/>
      <diagonal/>
    </border>
    <border>
      <left style="thin">
        <color auto="1"/>
      </left>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indexed="64"/>
      </left>
      <right/>
      <top style="medium">
        <color indexed="64"/>
      </top>
      <bottom style="medium">
        <color indexed="64"/>
      </bottom>
      <diagonal/>
    </border>
    <border>
      <left style="thin">
        <color auto="1"/>
      </left>
      <right/>
      <top style="thin">
        <color auto="1"/>
      </top>
      <bottom style="medium">
        <color indexed="64"/>
      </bottom>
      <diagonal/>
    </border>
    <border>
      <left style="thin">
        <color rgb="FF000000"/>
      </left>
      <right/>
      <top style="thin">
        <color rgb="FF000000"/>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medium">
        <color rgb="FF000000"/>
      </right>
      <top style="medium">
        <color rgb="FF000000"/>
      </top>
      <bottom style="medium">
        <color indexed="64"/>
      </bottom>
      <diagonal/>
    </border>
    <border>
      <left style="medium">
        <color rgb="FF000000"/>
      </left>
      <right style="thin">
        <color auto="1"/>
      </right>
      <top style="thin">
        <color auto="1"/>
      </top>
      <bottom style="medium">
        <color rgb="FF000000"/>
      </bottom>
      <diagonal/>
    </border>
    <border>
      <left/>
      <right style="medium">
        <color rgb="FF000000"/>
      </right>
      <top/>
      <bottom style="medium">
        <color rgb="FF000000"/>
      </bottom>
      <diagonal/>
    </border>
  </borders>
  <cellStyleXfs count="6">
    <xf numFmtId="0" fontId="0" fillId="0" borderId="0"/>
    <xf numFmtId="164" fontId="1" fillId="0" borderId="0" applyFont="0" applyFill="0" applyBorder="0" applyAlignment="0" applyProtection="0"/>
    <xf numFmtId="0" fontId="2" fillId="2" borderId="0" applyNumberFormat="0" applyBorder="0" applyAlignment="0" applyProtection="0"/>
    <xf numFmtId="0" fontId="6" fillId="0" borderId="0"/>
    <xf numFmtId="9" fontId="1" fillId="0" borderId="0" applyFont="0" applyFill="0" applyBorder="0" applyAlignment="0" applyProtection="0"/>
    <xf numFmtId="164" fontId="1" fillId="0" borderId="0" applyFont="0" applyFill="0" applyBorder="0" applyAlignment="0" applyProtection="0"/>
  </cellStyleXfs>
  <cellXfs count="457">
    <xf numFmtId="0" fontId="0" fillId="0" borderId="0" xfId="0"/>
    <xf numFmtId="0" fontId="4" fillId="4" borderId="0" xfId="0" applyFont="1" applyFill="1" applyAlignment="1">
      <alignment horizontal="center"/>
    </xf>
    <xf numFmtId="0" fontId="7" fillId="0" borderId="13" xfId="3" applyFont="1" applyBorder="1" applyAlignment="1">
      <alignment horizontal="left" vertical="center" wrapText="1"/>
    </xf>
    <xf numFmtId="0" fontId="0" fillId="0" borderId="0" xfId="0" applyAlignment="1">
      <alignment wrapText="1"/>
    </xf>
    <xf numFmtId="0" fontId="10" fillId="0" borderId="0" xfId="0" applyFont="1"/>
    <xf numFmtId="167" fontId="5" fillId="0" borderId="0" xfId="0" applyNumberFormat="1" applyFont="1"/>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166" fontId="4" fillId="0" borderId="0" xfId="0" applyNumberFormat="1" applyFont="1" applyAlignment="1">
      <alignment horizontal="center"/>
    </xf>
    <xf numFmtId="166" fontId="10" fillId="0" borderId="0" xfId="0" applyNumberFormat="1" applyFont="1"/>
    <xf numFmtId="0" fontId="14"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3" fillId="0" borderId="13" xfId="0" applyFont="1" applyBorder="1" applyAlignment="1">
      <alignment horizont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xf numFmtId="0" fontId="0" fillId="0" borderId="1" xfId="0" applyBorder="1" applyAlignment="1">
      <alignment horizontal="left" vertical="center"/>
    </xf>
    <xf numFmtId="0" fontId="3" fillId="0" borderId="1" xfId="0" applyFont="1" applyBorder="1" applyAlignment="1">
      <alignment horizontal="center" vertical="center" wrapText="1"/>
    </xf>
    <xf numFmtId="168" fontId="5" fillId="0" borderId="1" xfId="1" applyNumberFormat="1" applyFont="1" applyBorder="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xf>
    <xf numFmtId="9" fontId="0" fillId="0" borderId="0" xfId="0" applyNumberFormat="1" applyAlignment="1">
      <alignment horizontal="center"/>
    </xf>
    <xf numFmtId="0" fontId="3" fillId="0" borderId="0" xfId="0" applyFont="1" applyAlignment="1">
      <alignment horizontal="center" vertical="center" wrapText="1"/>
    </xf>
    <xf numFmtId="0" fontId="4" fillId="0" borderId="0" xfId="0" applyFont="1" applyAlignment="1">
      <alignment horizontal="center"/>
    </xf>
    <xf numFmtId="0" fontId="9" fillId="0" borderId="0" xfId="0" applyFont="1"/>
    <xf numFmtId="169" fontId="9" fillId="0" borderId="0" xfId="0" applyNumberFormat="1" applyFont="1"/>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3" fillId="0" borderId="9" xfId="0" applyFont="1" applyBorder="1" applyAlignment="1">
      <alignment horizontal="center" vertical="center"/>
    </xf>
    <xf numFmtId="0" fontId="5" fillId="0" borderId="2" xfId="0" applyFont="1" applyBorder="1" applyAlignment="1">
      <alignment horizontal="center" vertical="center" wrapText="1"/>
    </xf>
    <xf numFmtId="0" fontId="3" fillId="0" borderId="1" xfId="0" applyFont="1" applyBorder="1" applyAlignment="1">
      <alignment horizontal="center" vertic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17" fillId="6" borderId="13" xfId="0" applyFont="1" applyFill="1" applyBorder="1" applyAlignment="1">
      <alignment horizontal="center" vertical="center" wrapText="1"/>
    </xf>
    <xf numFmtId="2" fontId="0" fillId="0" borderId="0" xfId="0" applyNumberFormat="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xf>
    <xf numFmtId="0" fontId="17" fillId="6" borderId="1" xfId="0" applyFont="1" applyFill="1" applyBorder="1" applyAlignment="1">
      <alignment horizontal="center" vertical="center" wrapText="1"/>
    </xf>
    <xf numFmtId="2" fontId="0" fillId="0" borderId="1" xfId="0" applyNumberFormat="1" applyBorder="1" applyAlignment="1">
      <alignment horizontal="center" vertical="center" wrapText="1"/>
    </xf>
    <xf numFmtId="9" fontId="0" fillId="0" borderId="1" xfId="4" applyFont="1" applyBorder="1" applyAlignment="1">
      <alignment horizontal="center" vertical="center" wrapText="1"/>
    </xf>
    <xf numFmtId="9" fontId="0" fillId="0" borderId="0" xfId="4" applyFont="1" applyAlignment="1">
      <alignment horizontal="center" vertical="center" wrapText="1"/>
    </xf>
    <xf numFmtId="0" fontId="0" fillId="5" borderId="1" xfId="0" applyFill="1" applyBorder="1" applyAlignment="1">
      <alignment horizontal="center" vertical="center" wrapText="1"/>
    </xf>
    <xf numFmtId="171" fontId="0" fillId="5" borderId="1" xfId="1" applyNumberFormat="1" applyFont="1" applyFill="1" applyBorder="1" applyAlignment="1">
      <alignment horizontal="center" vertical="center" wrapText="1"/>
    </xf>
    <xf numFmtId="14" fontId="0" fillId="0" borderId="7" xfId="0" applyNumberFormat="1" applyBorder="1"/>
    <xf numFmtId="14" fontId="0" fillId="0" borderId="14" xfId="0" applyNumberFormat="1" applyBorder="1"/>
    <xf numFmtId="0" fontId="17" fillId="6" borderId="2" xfId="0" applyFont="1" applyFill="1" applyBorder="1" applyAlignment="1">
      <alignment horizontal="center" vertical="center" wrapText="1"/>
    </xf>
    <xf numFmtId="0" fontId="0" fillId="0" borderId="11" xfId="0" applyBorder="1" applyAlignment="1">
      <alignment horizontal="center" vertical="center" wrapText="1"/>
    </xf>
    <xf numFmtId="9" fontId="0" fillId="0" borderId="11" xfId="4" applyFont="1" applyBorder="1" applyAlignment="1">
      <alignment horizontal="center" vertical="center" wrapText="1"/>
    </xf>
    <xf numFmtId="171" fontId="0" fillId="5" borderId="11" xfId="1" applyNumberFormat="1" applyFont="1" applyFill="1" applyBorder="1" applyAlignment="1">
      <alignment horizontal="center" vertical="center" wrapText="1"/>
    </xf>
    <xf numFmtId="0" fontId="0" fillId="5" borderId="11" xfId="0" applyFill="1" applyBorder="1" applyAlignment="1">
      <alignment horizontal="center" vertical="center" wrapText="1"/>
    </xf>
    <xf numFmtId="2" fontId="0" fillId="0" borderId="11" xfId="0" applyNumberFormat="1" applyBorder="1" applyAlignment="1">
      <alignment horizontal="center" vertical="center" wrapText="1"/>
    </xf>
    <xf numFmtId="0" fontId="0" fillId="0" borderId="16" xfId="0" applyBorder="1" applyAlignment="1">
      <alignment horizontal="center" vertical="center" wrapText="1"/>
    </xf>
    <xf numFmtId="9" fontId="0" fillId="0" borderId="16" xfId="4" applyFont="1" applyBorder="1" applyAlignment="1">
      <alignment horizontal="center" vertical="center" wrapText="1"/>
    </xf>
    <xf numFmtId="171" fontId="0" fillId="5" borderId="16" xfId="1" applyNumberFormat="1" applyFont="1" applyFill="1" applyBorder="1" applyAlignment="1">
      <alignment horizontal="center" vertical="center" wrapText="1"/>
    </xf>
    <xf numFmtId="0" fontId="0" fillId="5" borderId="16" xfId="0" applyFill="1" applyBorder="1" applyAlignment="1">
      <alignment horizontal="center" vertical="center" wrapText="1"/>
    </xf>
    <xf numFmtId="2" fontId="0" fillId="0" borderId="16" xfId="0" applyNumberFormat="1" applyBorder="1" applyAlignment="1">
      <alignment horizontal="center" vertical="center" wrapText="1"/>
    </xf>
    <xf numFmtId="0" fontId="0" fillId="5" borderId="11" xfId="4" applyNumberFormat="1" applyFont="1" applyFill="1" applyBorder="1" applyAlignment="1">
      <alignment horizontal="center" vertical="center" wrapText="1"/>
    </xf>
    <xf numFmtId="0" fontId="0" fillId="5" borderId="1" xfId="4" applyNumberFormat="1" applyFont="1" applyFill="1" applyBorder="1" applyAlignment="1">
      <alignment horizontal="center" vertical="center" wrapText="1"/>
    </xf>
    <xf numFmtId="0" fontId="0" fillId="5" borderId="16" xfId="4" applyNumberFormat="1" applyFont="1" applyFill="1" applyBorder="1" applyAlignment="1">
      <alignment horizontal="center" vertical="center" wrapText="1"/>
    </xf>
    <xf numFmtId="0" fontId="0" fillId="0" borderId="0" xfId="4" applyNumberFormat="1" applyFont="1" applyAlignment="1">
      <alignment horizontal="center" vertical="center" wrapText="1"/>
    </xf>
    <xf numFmtId="171" fontId="0" fillId="0" borderId="11" xfId="0" applyNumberFormat="1" applyBorder="1" applyAlignment="1">
      <alignment horizontal="center" vertical="center" wrapText="1"/>
    </xf>
    <xf numFmtId="171" fontId="0" fillId="0" borderId="1" xfId="1" applyNumberFormat="1" applyFont="1" applyBorder="1" applyAlignment="1">
      <alignment horizontal="center" vertical="center" wrapText="1"/>
    </xf>
    <xf numFmtId="170" fontId="7" fillId="3" borderId="1" xfId="1" applyNumberFormat="1" applyFont="1" applyFill="1" applyBorder="1" applyAlignment="1">
      <alignment vertical="center" wrapText="1"/>
    </xf>
    <xf numFmtId="2" fontId="7" fillId="3" borderId="1" xfId="1" applyNumberFormat="1" applyFont="1" applyFill="1" applyBorder="1" applyAlignment="1">
      <alignment vertical="center" wrapText="1"/>
    </xf>
    <xf numFmtId="1" fontId="7" fillId="3" borderId="1" xfId="1" applyNumberFormat="1" applyFont="1" applyFill="1" applyBorder="1" applyAlignment="1">
      <alignment horizontal="center" vertical="center" wrapText="1"/>
    </xf>
    <xf numFmtId="9" fontId="7" fillId="3" borderId="1" xfId="4" applyFont="1" applyFill="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0" fontId="0" fillId="0" borderId="0" xfId="4" applyNumberFormat="1" applyFont="1" applyFill="1" applyAlignment="1">
      <alignment horizontal="center" vertical="center" wrapText="1"/>
    </xf>
    <xf numFmtId="0" fontId="3" fillId="0" borderId="8" xfId="0" applyFont="1" applyBorder="1" applyAlignment="1">
      <alignment horizontal="center" vertical="center" wrapText="1"/>
    </xf>
    <xf numFmtId="2" fontId="0" fillId="0" borderId="0" xfId="0" applyNumberFormat="1" applyAlignment="1">
      <alignment vertical="center"/>
    </xf>
    <xf numFmtId="2" fontId="3" fillId="0" borderId="1" xfId="0" applyNumberFormat="1" applyFont="1" applyBorder="1" applyAlignment="1">
      <alignment horizontal="center" vertical="center" wrapText="1"/>
    </xf>
    <xf numFmtId="14" fontId="3" fillId="0" borderId="1" xfId="0" applyNumberFormat="1" applyFont="1" applyBorder="1" applyAlignment="1">
      <alignment horizontal="center"/>
    </xf>
    <xf numFmtId="14" fontId="0" fillId="0" borderId="9" xfId="0" applyNumberFormat="1" applyBorder="1" applyAlignment="1">
      <alignment horizontal="center"/>
    </xf>
    <xf numFmtId="0" fontId="17" fillId="6" borderId="1" xfId="0" applyFont="1" applyFill="1" applyBorder="1" applyAlignment="1">
      <alignment horizontal="center" vertical="center"/>
    </xf>
    <xf numFmtId="0" fontId="17" fillId="6" borderId="1" xfId="0" applyFont="1" applyFill="1" applyBorder="1"/>
    <xf numFmtId="166" fontId="23" fillId="0" borderId="1" xfId="0" applyNumberFormat="1" applyFont="1" applyBorder="1" applyAlignment="1">
      <alignment horizontal="center"/>
    </xf>
    <xf numFmtId="166" fontId="5" fillId="0" borderId="1" xfId="0" applyNumberFormat="1" applyFont="1" applyBorder="1"/>
    <xf numFmtId="0" fontId="24" fillId="6" borderId="26" xfId="0" applyFont="1" applyFill="1" applyBorder="1" applyAlignment="1">
      <alignment horizontal="center" vertical="center" wrapText="1"/>
    </xf>
    <xf numFmtId="0" fontId="24" fillId="6" borderId="35" xfId="0" applyFont="1" applyFill="1" applyBorder="1" applyAlignment="1">
      <alignment horizontal="center" vertical="center" wrapText="1"/>
    </xf>
    <xf numFmtId="0" fontId="4" fillId="0" borderId="28" xfId="0" applyFont="1" applyBorder="1" applyAlignment="1">
      <alignment horizontal="center"/>
    </xf>
    <xf numFmtId="166" fontId="4" fillId="0" borderId="40" xfId="0" applyNumberFormat="1" applyFont="1" applyBorder="1" applyAlignment="1">
      <alignment horizontal="center"/>
    </xf>
    <xf numFmtId="0" fontId="4" fillId="0" borderId="13" xfId="0" applyFont="1" applyBorder="1" applyAlignment="1">
      <alignment horizontal="center"/>
    </xf>
    <xf numFmtId="166" fontId="4" fillId="0" borderId="31" xfId="0" applyNumberFormat="1" applyFont="1" applyBorder="1" applyAlignment="1">
      <alignment horizontal="center"/>
    </xf>
    <xf numFmtId="0" fontId="17" fillId="6" borderId="26" xfId="0" applyFont="1" applyFill="1" applyBorder="1" applyAlignment="1">
      <alignment horizontal="center" vertical="center"/>
    </xf>
    <xf numFmtId="0" fontId="14" fillId="0" borderId="10" xfId="0" applyFont="1" applyBorder="1" applyAlignment="1">
      <alignment horizontal="center" vertical="center" wrapText="1"/>
    </xf>
    <xf numFmtId="172" fontId="0" fillId="5" borderId="1" xfId="0" applyNumberFormat="1" applyFill="1" applyBorder="1" applyAlignment="1">
      <alignment horizontal="center"/>
    </xf>
    <xf numFmtId="0" fontId="0" fillId="0" borderId="1" xfId="0" applyBorder="1"/>
    <xf numFmtId="172" fontId="0" fillId="5" borderId="1" xfId="0" applyNumberFormat="1" applyFill="1" applyBorder="1" applyAlignment="1" applyProtection="1">
      <alignment horizontal="center"/>
      <protection locked="0"/>
    </xf>
    <xf numFmtId="0" fontId="3" fillId="5" borderId="1" xfId="0"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protection locked="0"/>
    </xf>
    <xf numFmtId="2" fontId="3" fillId="5" borderId="1" xfId="0" applyNumberFormat="1" applyFont="1" applyFill="1" applyBorder="1" applyAlignment="1" applyProtection="1">
      <alignment horizontal="center" vertical="center" wrapText="1"/>
      <protection locked="0"/>
    </xf>
    <xf numFmtId="10" fontId="5" fillId="5" borderId="1" xfId="0" applyNumberFormat="1" applyFont="1" applyFill="1" applyBorder="1" applyAlignment="1" applyProtection="1">
      <alignment horizontal="center" vertical="center" wrapText="1"/>
      <protection locked="0"/>
    </xf>
    <xf numFmtId="14" fontId="5" fillId="5" borderId="1" xfId="0" applyNumberFormat="1"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0" fontId="27" fillId="6" borderId="1" xfId="0" applyFont="1" applyFill="1" applyBorder="1" applyAlignment="1">
      <alignment horizontal="center" vertical="center" wrapText="1"/>
    </xf>
    <xf numFmtId="172" fontId="0" fillId="0" borderId="1" xfId="0" applyNumberFormat="1" applyBorder="1" applyAlignment="1">
      <alignment horizontal="center"/>
    </xf>
    <xf numFmtId="0" fontId="5" fillId="0" borderId="1" xfId="0" applyFont="1" applyBorder="1" applyAlignment="1">
      <alignment horizontal="left" vertical="center" wrapText="1"/>
    </xf>
    <xf numFmtId="10"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71" fontId="3" fillId="0" borderId="1" xfId="1"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171" fontId="5" fillId="0" borderId="1" xfId="0" applyNumberFormat="1" applyFont="1" applyBorder="1" applyAlignment="1">
      <alignment horizontal="center" vertical="center"/>
    </xf>
    <xf numFmtId="0" fontId="28" fillId="5" borderId="1" xfId="0" applyFont="1" applyFill="1" applyBorder="1" applyAlignment="1" applyProtection="1">
      <alignment horizontal="center" vertical="center"/>
      <protection locked="0"/>
    </xf>
    <xf numFmtId="0" fontId="0" fillId="5" borderId="11" xfId="4" applyNumberFormat="1" applyFont="1" applyFill="1" applyBorder="1" applyAlignment="1" applyProtection="1">
      <alignment horizontal="center" vertical="center" wrapText="1"/>
      <protection locked="0"/>
    </xf>
    <xf numFmtId="171" fontId="0" fillId="5" borderId="11" xfId="1" applyNumberFormat="1" applyFont="1" applyFill="1" applyBorder="1" applyAlignment="1" applyProtection="1">
      <alignment horizontal="center" vertical="center" wrapText="1"/>
      <protection locked="0"/>
    </xf>
    <xf numFmtId="0" fontId="0" fillId="5" borderId="11" xfId="0" applyFill="1" applyBorder="1" applyAlignment="1" applyProtection="1">
      <alignment horizontal="center" vertical="center" wrapText="1"/>
      <protection locked="0"/>
    </xf>
    <xf numFmtId="2" fontId="0" fillId="5" borderId="11" xfId="0" applyNumberFormat="1" applyFill="1" applyBorder="1" applyAlignment="1" applyProtection="1">
      <alignment horizontal="center" vertical="center" wrapText="1"/>
      <protection locked="0"/>
    </xf>
    <xf numFmtId="171" fontId="0" fillId="5" borderId="11" xfId="0" applyNumberFormat="1" applyFill="1" applyBorder="1" applyAlignment="1" applyProtection="1">
      <alignment horizontal="center" vertical="center" wrapText="1"/>
      <protection locked="0"/>
    </xf>
    <xf numFmtId="0" fontId="0" fillId="5" borderId="1" xfId="4" applyNumberFormat="1" applyFont="1" applyFill="1" applyBorder="1" applyAlignment="1" applyProtection="1">
      <alignment horizontal="center" vertical="center" wrapText="1"/>
      <protection locked="0"/>
    </xf>
    <xf numFmtId="171" fontId="0" fillId="5" borderId="1" xfId="1" applyNumberFormat="1" applyFont="1"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2" fontId="0" fillId="5" borderId="1" xfId="0" applyNumberFormat="1" applyFill="1" applyBorder="1" applyAlignment="1" applyProtection="1">
      <alignment horizontal="center" vertical="center" wrapText="1"/>
      <protection locked="0"/>
    </xf>
    <xf numFmtId="0" fontId="0" fillId="5" borderId="16" xfId="4" applyNumberFormat="1" applyFont="1" applyFill="1" applyBorder="1" applyAlignment="1" applyProtection="1">
      <alignment horizontal="center" vertical="center" wrapText="1"/>
      <protection locked="0"/>
    </xf>
    <xf numFmtId="170" fontId="7" fillId="0" borderId="1" xfId="1" applyNumberFormat="1" applyFont="1" applyFill="1" applyBorder="1" applyAlignment="1">
      <alignment vertical="center" wrapText="1"/>
    </xf>
    <xf numFmtId="1"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vertical="center" wrapText="1"/>
    </xf>
    <xf numFmtId="9" fontId="7" fillId="0" borderId="1" xfId="4" applyFont="1" applyFill="1" applyBorder="1" applyAlignment="1">
      <alignment horizontal="center" vertical="center" wrapText="1"/>
    </xf>
    <xf numFmtId="4" fontId="0" fillId="0" borderId="11" xfId="4" applyNumberFormat="1" applyFont="1" applyFill="1" applyBorder="1" applyAlignment="1">
      <alignment horizontal="center" vertical="center" wrapText="1"/>
    </xf>
    <xf numFmtId="0" fontId="0" fillId="0" borderId="11" xfId="4" applyNumberFormat="1" applyFont="1" applyFill="1" applyBorder="1" applyAlignment="1">
      <alignment horizontal="center" vertical="center" wrapText="1"/>
    </xf>
    <xf numFmtId="2" fontId="0" fillId="0" borderId="1" xfId="4" applyNumberFormat="1" applyFont="1" applyFill="1" applyBorder="1" applyAlignment="1">
      <alignment horizontal="center" vertical="center" wrapText="1"/>
    </xf>
    <xf numFmtId="0" fontId="0" fillId="0" borderId="1" xfId="4" applyNumberFormat="1" applyFont="1" applyFill="1" applyBorder="1" applyAlignment="1">
      <alignment horizontal="center" vertical="center" wrapText="1"/>
    </xf>
    <xf numFmtId="2" fontId="0" fillId="0" borderId="16" xfId="4" applyNumberFormat="1" applyFont="1" applyFill="1" applyBorder="1" applyAlignment="1">
      <alignment horizontal="center" vertical="center" wrapText="1"/>
    </xf>
    <xf numFmtId="0" fontId="0" fillId="0" borderId="16" xfId="4" applyNumberFormat="1" applyFont="1" applyFill="1" applyBorder="1" applyAlignment="1">
      <alignment horizontal="center" vertical="center" wrapText="1"/>
    </xf>
    <xf numFmtId="173" fontId="0" fillId="5" borderId="1" xfId="1" applyNumberFormat="1" applyFont="1" applyFill="1" applyBorder="1" applyAlignment="1">
      <alignment horizontal="center" vertical="center" wrapText="1"/>
    </xf>
    <xf numFmtId="173" fontId="0" fillId="5" borderId="11" xfId="1" applyNumberFormat="1" applyFont="1" applyFill="1" applyBorder="1" applyAlignment="1">
      <alignment horizontal="center" vertical="center" wrapText="1"/>
    </xf>
    <xf numFmtId="2" fontId="0" fillId="5" borderId="1" xfId="4" applyNumberFormat="1" applyFont="1" applyFill="1" applyBorder="1" applyAlignment="1">
      <alignment horizontal="center" vertical="center" wrapText="1"/>
    </xf>
    <xf numFmtId="173" fontId="0" fillId="0" borderId="0" xfId="1" applyNumberFormat="1" applyFont="1" applyFill="1" applyBorder="1" applyAlignment="1">
      <alignment horizontal="center" vertical="center" wrapText="1"/>
    </xf>
    <xf numFmtId="10" fontId="28" fillId="5" borderId="1" xfId="0" applyNumberFormat="1" applyFont="1" applyFill="1" applyBorder="1" applyAlignment="1" applyProtection="1">
      <alignment horizontal="center" vertical="center"/>
      <protection locked="0"/>
    </xf>
    <xf numFmtId="9" fontId="28" fillId="5" borderId="1" xfId="4" applyFont="1" applyFill="1" applyBorder="1" applyAlignment="1" applyProtection="1">
      <alignment horizontal="center" vertical="center"/>
      <protection locked="0"/>
    </xf>
    <xf numFmtId="0" fontId="28" fillId="5" borderId="1" xfId="0" applyFont="1" applyFill="1" applyBorder="1" applyAlignment="1">
      <alignment horizontal="center" vertical="center"/>
    </xf>
    <xf numFmtId="9" fontId="28" fillId="5" borderId="1" xfId="4" applyFont="1" applyFill="1" applyBorder="1" applyAlignment="1">
      <alignment horizontal="center" vertical="center"/>
    </xf>
    <xf numFmtId="0" fontId="28" fillId="0" borderId="1" xfId="0" applyFont="1" applyBorder="1" applyAlignment="1">
      <alignment horizontal="center" vertical="center"/>
    </xf>
    <xf numFmtId="9" fontId="28" fillId="0" borderId="1" xfId="0" applyNumberFormat="1" applyFont="1" applyBorder="1" applyAlignment="1">
      <alignment horizontal="center" vertical="center"/>
    </xf>
    <xf numFmtId="0" fontId="9" fillId="0" borderId="0" xfId="0" applyFont="1" applyAlignment="1">
      <alignment horizontal="center" vertical="center"/>
    </xf>
    <xf numFmtId="0" fontId="28" fillId="5" borderId="1" xfId="0" applyFont="1" applyFill="1" applyBorder="1" applyAlignment="1" applyProtection="1">
      <alignment horizontal="center" vertical="center" wrapText="1"/>
      <protection locked="0"/>
    </xf>
    <xf numFmtId="0" fontId="0" fillId="0" borderId="0" xfId="0" applyAlignment="1">
      <alignment vertical="center"/>
    </xf>
    <xf numFmtId="0" fontId="17" fillId="6" borderId="32" xfId="0" applyFont="1" applyFill="1" applyBorder="1" applyAlignment="1">
      <alignment horizontal="center" vertical="center" wrapText="1"/>
    </xf>
    <xf numFmtId="1" fontId="19" fillId="0" borderId="1" xfId="2" applyNumberFormat="1" applyFont="1" applyFill="1" applyBorder="1" applyAlignment="1">
      <alignment horizontal="center" vertical="center" wrapText="1"/>
    </xf>
    <xf numFmtId="0" fontId="4" fillId="0" borderId="32" xfId="0" applyFont="1" applyBorder="1" applyAlignment="1">
      <alignment horizontal="center"/>
    </xf>
    <xf numFmtId="166" fontId="4" fillId="0" borderId="46" xfId="0" applyNumberFormat="1" applyFont="1" applyBorder="1" applyAlignment="1">
      <alignment horizontal="center"/>
    </xf>
    <xf numFmtId="0" fontId="18" fillId="0" borderId="1" xfId="3" applyFont="1" applyBorder="1" applyAlignment="1" applyProtection="1">
      <alignment horizontal="center" vertical="center" wrapText="1"/>
      <protection locked="0"/>
    </xf>
    <xf numFmtId="0" fontId="11" fillId="6" borderId="16" xfId="0" applyFont="1" applyFill="1" applyBorder="1" applyAlignment="1">
      <alignment horizontal="center" vertical="center" wrapText="1"/>
    </xf>
    <xf numFmtId="164" fontId="0" fillId="5" borderId="11" xfId="1" applyFont="1" applyFill="1" applyBorder="1" applyAlignment="1" applyProtection="1">
      <alignment horizontal="center" vertical="center" wrapText="1"/>
      <protection locked="0"/>
    </xf>
    <xf numFmtId="0" fontId="0" fillId="5" borderId="16" xfId="0" applyFill="1" applyBorder="1" applyAlignment="1" applyProtection="1">
      <alignment horizontal="center" vertical="center" wrapText="1"/>
      <protection locked="0"/>
    </xf>
    <xf numFmtId="9" fontId="0" fillId="0" borderId="1" xfId="0" applyNumberFormat="1" applyBorder="1" applyAlignment="1">
      <alignment horizontal="center" vertical="center"/>
    </xf>
    <xf numFmtId="0" fontId="5" fillId="0" borderId="1" xfId="0" applyFont="1" applyBorder="1"/>
    <xf numFmtId="175" fontId="10" fillId="0" borderId="0" xfId="0" applyNumberFormat="1" applyFont="1"/>
    <xf numFmtId="0" fontId="17" fillId="8" borderId="1" xfId="0" applyFont="1" applyFill="1" applyBorder="1" applyAlignment="1">
      <alignment horizontal="center" vertical="center" wrapText="1"/>
    </xf>
    <xf numFmtId="168" fontId="0" fillId="0" borderId="1" xfId="1" applyNumberFormat="1" applyFont="1" applyBorder="1" applyAlignment="1"/>
    <xf numFmtId="168" fontId="0" fillId="0" borderId="1" xfId="1" applyNumberFormat="1" applyFont="1" applyBorder="1"/>
    <xf numFmtId="168" fontId="0" fillId="0" borderId="1" xfId="0" applyNumberFormat="1" applyBorder="1"/>
    <xf numFmtId="2" fontId="0" fillId="5" borderId="1" xfId="0" applyNumberFormat="1" applyFill="1" applyBorder="1" applyAlignment="1" applyProtection="1">
      <alignment horizontal="center" vertical="center"/>
      <protection locked="0"/>
    </xf>
    <xf numFmtId="164" fontId="0" fillId="0" borderId="1" xfId="1" applyFont="1" applyBorder="1"/>
    <xf numFmtId="0" fontId="32" fillId="0" borderId="1" xfId="0" applyFont="1" applyBorder="1" applyAlignment="1">
      <alignment horizontal="center"/>
    </xf>
    <xf numFmtId="168" fontId="32" fillId="0" borderId="1" xfId="1" applyNumberFormat="1" applyFont="1" applyFill="1" applyBorder="1" applyAlignment="1">
      <alignment horizontal="center" vertical="center"/>
    </xf>
    <xf numFmtId="164" fontId="32" fillId="0" borderId="1" xfId="1" applyFont="1" applyFill="1" applyBorder="1" applyAlignment="1">
      <alignment horizontal="center" vertical="center"/>
    </xf>
    <xf numFmtId="176" fontId="0" fillId="0" borderId="1" xfId="0" applyNumberFormat="1" applyBorder="1" applyAlignment="1">
      <alignment horizontal="center" vertical="center"/>
    </xf>
    <xf numFmtId="177" fontId="0" fillId="0" borderId="1" xfId="0" applyNumberFormat="1" applyBorder="1" applyAlignment="1">
      <alignment vertical="center"/>
    </xf>
    <xf numFmtId="168" fontId="0" fillId="0" borderId="1" xfId="1" applyNumberFormat="1" applyFont="1" applyBorder="1" applyAlignment="1">
      <alignment horizontal="center"/>
    </xf>
    <xf numFmtId="168" fontId="0" fillId="0" borderId="1" xfId="0" applyNumberFormat="1" applyBorder="1" applyAlignment="1">
      <alignment horizontal="center"/>
    </xf>
    <xf numFmtId="0" fontId="0" fillId="5" borderId="7" xfId="0" applyFill="1" applyBorder="1" applyAlignment="1" applyProtection="1">
      <alignment horizontal="center"/>
      <protection locked="0"/>
    </xf>
    <xf numFmtId="0" fontId="0" fillId="5" borderId="8" xfId="0" applyFill="1" applyBorder="1" applyAlignment="1" applyProtection="1">
      <alignment horizontal="center"/>
      <protection locked="0"/>
    </xf>
    <xf numFmtId="2" fontId="19" fillId="0" borderId="1" xfId="2" applyNumberFormat="1" applyFont="1" applyFill="1" applyBorder="1" applyAlignment="1">
      <alignment horizontal="center" vertical="center" wrapText="1"/>
    </xf>
    <xf numFmtId="0" fontId="5" fillId="0" borderId="1" xfId="0" applyFont="1" applyBorder="1" applyAlignment="1">
      <alignment vertical="center" wrapText="1"/>
    </xf>
    <xf numFmtId="0" fontId="33" fillId="0" borderId="1" xfId="0" applyFont="1" applyBorder="1" applyAlignment="1">
      <alignment horizontal="center" vertical="center"/>
    </xf>
    <xf numFmtId="9" fontId="34" fillId="0" borderId="1" xfId="0" applyNumberFormat="1" applyFont="1" applyBorder="1" applyAlignment="1">
      <alignment horizontal="center" vertical="center"/>
    </xf>
    <xf numFmtId="2" fontId="34" fillId="0" borderId="1" xfId="0" applyNumberFormat="1" applyFont="1" applyBorder="1" applyAlignment="1">
      <alignment horizontal="center" vertical="center"/>
    </xf>
    <xf numFmtId="2" fontId="15" fillId="0" borderId="1" xfId="0" applyNumberFormat="1" applyFont="1" applyBorder="1" applyAlignment="1">
      <alignment horizontal="center" vertical="center"/>
    </xf>
    <xf numFmtId="0" fontId="11" fillId="6" borderId="52" xfId="0" applyFont="1" applyFill="1" applyBorder="1" applyAlignment="1">
      <alignment horizontal="center" vertical="center" wrapText="1"/>
    </xf>
    <xf numFmtId="0" fontId="0" fillId="0" borderId="49" xfId="0" applyBorder="1" applyAlignment="1">
      <alignment horizontal="center" vertical="center" wrapText="1"/>
    </xf>
    <xf numFmtId="0" fontId="0" fillId="0" borderId="9" xfId="0" applyBorder="1" applyAlignment="1">
      <alignment horizontal="center" vertical="center" wrapText="1"/>
    </xf>
    <xf numFmtId="0" fontId="0" fillId="0" borderId="52" xfId="0" applyBorder="1" applyAlignment="1">
      <alignment horizontal="center" vertical="center" wrapText="1"/>
    </xf>
    <xf numFmtId="0" fontId="28" fillId="5" borderId="1" xfId="0" applyFont="1" applyFill="1" applyBorder="1" applyAlignment="1">
      <alignment horizontal="center" vertical="center" wrapText="1"/>
    </xf>
    <xf numFmtId="0" fontId="3" fillId="5" borderId="9" xfId="0" applyFont="1" applyFill="1" applyBorder="1" applyAlignment="1" applyProtection="1">
      <alignment horizontal="center" vertical="center" wrapText="1"/>
      <protection locked="0"/>
    </xf>
    <xf numFmtId="49" fontId="8" fillId="5" borderId="1" xfId="0" applyNumberFormat="1" applyFont="1" applyFill="1" applyBorder="1" applyAlignment="1" applyProtection="1">
      <alignment horizontal="center" vertical="center" wrapText="1"/>
      <protection locked="0"/>
    </xf>
    <xf numFmtId="49" fontId="36" fillId="5" borderId="1" xfId="0" applyNumberFormat="1" applyFont="1" applyFill="1" applyBorder="1" applyAlignment="1" applyProtection="1">
      <alignment horizontal="center" vertical="center" wrapText="1"/>
      <protection locked="0"/>
    </xf>
    <xf numFmtId="0" fontId="3" fillId="9" borderId="1" xfId="0" applyFont="1" applyFill="1" applyBorder="1" applyAlignment="1">
      <alignment horizontal="center" vertical="center" wrapText="1"/>
    </xf>
    <xf numFmtId="169" fontId="3" fillId="7" borderId="1" xfId="0" applyNumberFormat="1" applyFont="1" applyFill="1" applyBorder="1" applyAlignment="1">
      <alignment horizontal="center" vertical="center" wrapText="1"/>
    </xf>
    <xf numFmtId="169" fontId="0" fillId="0" borderId="1" xfId="0" applyNumberFormat="1" applyBorder="1" applyAlignment="1">
      <alignment vertical="center"/>
    </xf>
    <xf numFmtId="164" fontId="0" fillId="0" borderId="0" xfId="0" applyNumberFormat="1"/>
    <xf numFmtId="0" fontId="17" fillId="6" borderId="1" xfId="0" applyFont="1" applyFill="1" applyBorder="1" applyAlignment="1">
      <alignment vertical="center" wrapText="1"/>
    </xf>
    <xf numFmtId="0" fontId="17" fillId="0" borderId="1" xfId="0" applyFont="1" applyBorder="1" applyAlignment="1">
      <alignment vertical="center" wrapText="1"/>
    </xf>
    <xf numFmtId="0" fontId="9" fillId="0" borderId="1" xfId="0" applyFont="1" applyBorder="1" applyAlignment="1">
      <alignment horizontal="center" vertical="center"/>
    </xf>
    <xf numFmtId="0" fontId="0" fillId="5" borderId="9" xfId="0" applyFill="1" applyBorder="1" applyAlignment="1" applyProtection="1">
      <alignment horizontal="center"/>
      <protection locked="0"/>
    </xf>
    <xf numFmtId="2" fontId="38" fillId="0" borderId="53" xfId="0" applyNumberFormat="1" applyFont="1" applyBorder="1" applyAlignment="1">
      <alignment horizontal="center" vertical="center" wrapText="1"/>
    </xf>
    <xf numFmtId="0" fontId="4" fillId="0" borderId="54" xfId="0" applyFont="1" applyBorder="1" applyAlignment="1">
      <alignment horizontal="center"/>
    </xf>
    <xf numFmtId="166" fontId="4" fillId="0" borderId="55" xfId="0" applyNumberFormat="1" applyFont="1" applyBorder="1" applyAlignment="1">
      <alignment horizontal="center"/>
    </xf>
    <xf numFmtId="0" fontId="4" fillId="0" borderId="56" xfId="0" applyFont="1" applyBorder="1" applyAlignment="1">
      <alignment horizontal="center"/>
    </xf>
    <xf numFmtId="166" fontId="4" fillId="0" borderId="57" xfId="0" applyNumberFormat="1" applyFont="1" applyBorder="1" applyAlignment="1">
      <alignment horizontal="center"/>
    </xf>
    <xf numFmtId="4" fontId="3" fillId="5" borderId="9" xfId="0" applyNumberFormat="1" applyFont="1" applyFill="1" applyBorder="1" applyAlignment="1" applyProtection="1">
      <alignment horizontal="center" vertical="center"/>
      <protection locked="0"/>
    </xf>
    <xf numFmtId="0" fontId="17" fillId="6"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0" fillId="0" borderId="1" xfId="0" applyBorder="1" applyAlignment="1">
      <alignment wrapText="1"/>
    </xf>
    <xf numFmtId="0" fontId="14" fillId="0" borderId="4" xfId="0" applyFont="1" applyBorder="1" applyAlignment="1">
      <alignment horizontal="center" vertical="center" wrapText="1"/>
    </xf>
    <xf numFmtId="0" fontId="14" fillId="0" borderId="4" xfId="0" applyFont="1" applyBorder="1" applyAlignment="1">
      <alignment horizontal="center" vertical="center"/>
    </xf>
    <xf numFmtId="0" fontId="14" fillId="0" borderId="40" xfId="0" applyFont="1" applyBorder="1" applyAlignment="1">
      <alignment horizontal="center" vertical="center"/>
    </xf>
    <xf numFmtId="0" fontId="17" fillId="6" borderId="9" xfId="0" applyFont="1" applyFill="1" applyBorder="1" applyAlignment="1">
      <alignment horizontal="center" vertical="center"/>
    </xf>
    <xf numFmtId="0" fontId="17" fillId="6" borderId="8" xfId="0" applyFont="1" applyFill="1" applyBorder="1" applyAlignment="1">
      <alignment horizontal="center" vertical="center"/>
    </xf>
    <xf numFmtId="1" fontId="5" fillId="0" borderId="9" xfId="0" applyNumberFormat="1" applyFont="1" applyBorder="1" applyAlignment="1">
      <alignment horizontal="center"/>
    </xf>
    <xf numFmtId="1" fontId="5" fillId="0" borderId="8" xfId="0" applyNumberFormat="1" applyFont="1" applyBorder="1" applyAlignment="1">
      <alignment horizontal="center"/>
    </xf>
    <xf numFmtId="164" fontId="17" fillId="6" borderId="18" xfId="1" applyFont="1" applyFill="1" applyBorder="1" applyAlignment="1">
      <alignment horizontal="center" vertical="center"/>
    </xf>
    <xf numFmtId="164" fontId="17" fillId="6" borderId="39" xfId="1" applyFont="1" applyFill="1" applyBorder="1" applyAlignment="1">
      <alignment horizontal="center" vertical="center"/>
    </xf>
    <xf numFmtId="164" fontId="17" fillId="6" borderId="19" xfId="1" applyFont="1" applyFill="1" applyBorder="1" applyAlignment="1">
      <alignment horizontal="center" vertical="center"/>
    </xf>
    <xf numFmtId="164" fontId="17" fillId="6" borderId="3" xfId="1" applyFont="1" applyFill="1" applyBorder="1" applyAlignment="1">
      <alignment horizontal="center" vertical="center"/>
    </xf>
    <xf numFmtId="0" fontId="5" fillId="0" borderId="18" xfId="0" applyFont="1" applyBorder="1" applyAlignment="1">
      <alignment horizontal="center" vertical="center"/>
    </xf>
    <xf numFmtId="0" fontId="5" fillId="0" borderId="39" xfId="0" applyFont="1" applyBorder="1" applyAlignment="1">
      <alignment horizontal="center" vertical="center"/>
    </xf>
    <xf numFmtId="0" fontId="5" fillId="0" borderId="19"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165" fontId="5" fillId="0" borderId="1" xfId="1" applyNumberFormat="1" applyFont="1" applyFill="1" applyBorder="1" applyAlignment="1">
      <alignment horizontal="center" vertical="center"/>
    </xf>
    <xf numFmtId="2" fontId="5" fillId="0" borderId="9" xfId="0" applyNumberFormat="1" applyFont="1" applyBorder="1" applyAlignment="1">
      <alignment horizontal="center"/>
    </xf>
    <xf numFmtId="2" fontId="5" fillId="0" borderId="8" xfId="0" applyNumberFormat="1" applyFont="1" applyBorder="1" applyAlignment="1">
      <alignment horizontal="center"/>
    </xf>
    <xf numFmtId="0" fontId="17" fillId="6" borderId="18" xfId="0" applyFont="1" applyFill="1" applyBorder="1" applyAlignment="1">
      <alignment horizontal="center" vertical="center"/>
    </xf>
    <xf numFmtId="0" fontId="17" fillId="6" borderId="19" xfId="0" applyFont="1" applyFill="1" applyBorder="1" applyAlignment="1">
      <alignment horizontal="center" vertical="center"/>
    </xf>
    <xf numFmtId="0" fontId="14" fillId="0" borderId="1"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7" fillId="6" borderId="1" xfId="0" applyFont="1" applyFill="1" applyBorder="1" applyAlignment="1">
      <alignment horizontal="center" vertical="center" wrapText="1"/>
    </xf>
    <xf numFmtId="0" fontId="10" fillId="0" borderId="5" xfId="0" applyFont="1" applyBorder="1" applyAlignment="1">
      <alignment horizontal="center" wrapText="1"/>
    </xf>
    <xf numFmtId="0" fontId="17" fillId="6" borderId="6" xfId="0" applyFont="1" applyFill="1" applyBorder="1" applyAlignment="1">
      <alignment horizontal="center" vertical="center" wrapText="1"/>
    </xf>
    <xf numFmtId="0" fontId="37"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17" fillId="6" borderId="8" xfId="0" applyFont="1" applyFill="1" applyBorder="1" applyAlignment="1">
      <alignment horizontal="center" wrapText="1"/>
    </xf>
    <xf numFmtId="0" fontId="17" fillId="6" borderId="1" xfId="0" applyFont="1" applyFill="1" applyBorder="1" applyAlignment="1">
      <alignment horizontal="center" wrapText="1"/>
    </xf>
    <xf numFmtId="0" fontId="17" fillId="6" borderId="27" xfId="0" applyFont="1" applyFill="1" applyBorder="1" applyAlignment="1">
      <alignment horizontal="center" vertical="center"/>
    </xf>
    <xf numFmtId="0" fontId="17" fillId="6" borderId="35" xfId="0" applyFont="1" applyFill="1" applyBorder="1" applyAlignment="1">
      <alignment horizontal="center" vertical="center"/>
    </xf>
    <xf numFmtId="0" fontId="5" fillId="0" borderId="7" xfId="0" applyFont="1" applyBorder="1" applyAlignment="1">
      <alignment horizontal="center"/>
    </xf>
    <xf numFmtId="0" fontId="14" fillId="0" borderId="1" xfId="0" applyFont="1" applyBorder="1" applyAlignment="1">
      <alignment horizontal="center" vertical="center"/>
    </xf>
    <xf numFmtId="0" fontId="14" fillId="0" borderId="31" xfId="0" applyFont="1" applyBorder="1" applyAlignment="1">
      <alignment horizontal="center" vertical="center"/>
    </xf>
    <xf numFmtId="164" fontId="17" fillId="6" borderId="1" xfId="1" applyFont="1" applyFill="1" applyBorder="1" applyAlignment="1">
      <alignment horizontal="center"/>
    </xf>
    <xf numFmtId="0" fontId="5" fillId="0" borderId="9" xfId="0" applyFont="1" applyBorder="1" applyAlignment="1">
      <alignment horizontal="center"/>
    </xf>
    <xf numFmtId="0" fontId="5" fillId="0" borderId="8" xfId="0" applyFont="1" applyBorder="1" applyAlignment="1">
      <alignment horizontal="center"/>
    </xf>
    <xf numFmtId="0" fontId="21" fillId="6" borderId="48" xfId="0" applyFont="1" applyFill="1" applyBorder="1" applyAlignment="1">
      <alignment horizontal="center" vertical="center" wrapText="1"/>
    </xf>
    <xf numFmtId="0" fontId="21" fillId="6" borderId="0" xfId="0" applyFont="1" applyFill="1" applyAlignment="1">
      <alignment horizontal="center" vertical="center" wrapText="1"/>
    </xf>
    <xf numFmtId="0" fontId="26" fillId="0" borderId="48" xfId="0" applyFont="1" applyBorder="1" applyAlignment="1">
      <alignment horizontal="center" vertical="center" wrapText="1"/>
    </xf>
    <xf numFmtId="0" fontId="26" fillId="0" borderId="0" xfId="0" applyFont="1" applyAlignment="1">
      <alignment horizontal="center" vertical="center" wrapText="1"/>
    </xf>
    <xf numFmtId="0" fontId="26" fillId="0" borderId="4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1" xfId="0" applyFont="1" applyBorder="1" applyAlignment="1">
      <alignment horizontal="center"/>
    </xf>
    <xf numFmtId="0" fontId="21" fillId="6" borderId="1" xfId="0" applyFont="1" applyFill="1" applyBorder="1" applyAlignment="1">
      <alignment horizontal="center" vertical="center" wrapText="1"/>
    </xf>
    <xf numFmtId="0" fontId="21" fillId="6" borderId="48" xfId="0" applyFont="1" applyFill="1" applyBorder="1" applyAlignment="1">
      <alignment horizontal="center" wrapText="1"/>
    </xf>
    <xf numFmtId="0" fontId="21" fillId="6" borderId="0" xfId="0" applyFont="1" applyFill="1" applyAlignment="1">
      <alignment horizontal="center" wrapText="1"/>
    </xf>
    <xf numFmtId="0" fontId="27" fillId="6" borderId="1" xfId="0" applyFont="1" applyFill="1" applyBorder="1" applyAlignment="1">
      <alignment horizontal="center"/>
    </xf>
    <xf numFmtId="0" fontId="21" fillId="6" borderId="18" xfId="0" applyFont="1" applyFill="1" applyBorder="1" applyAlignment="1">
      <alignment horizontal="center" vertical="center"/>
    </xf>
    <xf numFmtId="0" fontId="21" fillId="6" borderId="39" xfId="0" applyFont="1" applyFill="1" applyBorder="1" applyAlignment="1">
      <alignment horizontal="center" vertical="center"/>
    </xf>
    <xf numFmtId="0" fontId="21" fillId="6" borderId="19" xfId="0" applyFont="1" applyFill="1" applyBorder="1" applyAlignment="1">
      <alignment horizontal="center" vertical="center"/>
    </xf>
    <xf numFmtId="0" fontId="21" fillId="6" borderId="3" xfId="0" applyFont="1" applyFill="1" applyBorder="1" applyAlignment="1">
      <alignment horizontal="center" vertical="center"/>
    </xf>
    <xf numFmtId="0" fontId="21" fillId="6" borderId="1" xfId="0" applyFont="1" applyFill="1" applyBorder="1" applyAlignment="1">
      <alignment horizontal="center"/>
    </xf>
    <xf numFmtId="0" fontId="26" fillId="0" borderId="1" xfId="0" applyFont="1" applyBorder="1" applyAlignment="1">
      <alignment horizontal="center"/>
    </xf>
    <xf numFmtId="164" fontId="21" fillId="6" borderId="2" xfId="1" applyFont="1" applyFill="1" applyBorder="1" applyAlignment="1">
      <alignment horizontal="center"/>
    </xf>
    <xf numFmtId="0" fontId="26" fillId="0" borderId="48" xfId="0" applyFont="1" applyBorder="1" applyAlignment="1">
      <alignment horizontal="center"/>
    </xf>
    <xf numFmtId="0" fontId="26" fillId="0" borderId="0" xfId="0" applyFont="1" applyAlignment="1">
      <alignment horizontal="center"/>
    </xf>
    <xf numFmtId="0" fontId="26" fillId="0" borderId="39" xfId="0" applyFont="1" applyBorder="1" applyAlignment="1">
      <alignment horizontal="center" vertical="center" wrapText="1"/>
    </xf>
    <xf numFmtId="0" fontId="26" fillId="0" borderId="3" xfId="0" applyFont="1" applyBorder="1" applyAlignment="1">
      <alignment horizontal="center" vertical="center" wrapText="1"/>
    </xf>
    <xf numFmtId="164" fontId="21" fillId="6" borderId="1" xfId="1" applyFont="1" applyFill="1" applyBorder="1" applyAlignment="1">
      <alignment horizontal="center" vertical="center"/>
    </xf>
    <xf numFmtId="0" fontId="0" fillId="0" borderId="11" xfId="0" applyBorder="1" applyAlignment="1">
      <alignment horizontal="center" vertical="center" wrapText="1"/>
    </xf>
    <xf numFmtId="0" fontId="0" fillId="0" borderId="1" xfId="0" applyBorder="1" applyAlignment="1">
      <alignment horizontal="center" vertical="center" wrapText="1"/>
    </xf>
    <xf numFmtId="0" fontId="0" fillId="0" borderId="16"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171" fontId="0" fillId="0" borderId="42" xfId="0" applyNumberFormat="1" applyBorder="1" applyAlignment="1">
      <alignment horizontal="center" vertical="center" wrapText="1"/>
    </xf>
    <xf numFmtId="0" fontId="0" fillId="0" borderId="5" xfId="0" applyBorder="1" applyAlignment="1">
      <alignment horizontal="center" vertical="center" wrapText="1"/>
    </xf>
    <xf numFmtId="0" fontId="0" fillId="0" borderId="44" xfId="0" applyBorder="1" applyAlignment="1">
      <alignment horizontal="center" vertical="center" wrapText="1"/>
    </xf>
    <xf numFmtId="164" fontId="0" fillId="0" borderId="42" xfId="1" applyFont="1" applyBorder="1" applyAlignment="1">
      <alignment horizontal="center" vertical="center" wrapText="1"/>
    </xf>
    <xf numFmtId="164" fontId="0" fillId="0" borderId="5" xfId="1" applyFont="1" applyBorder="1" applyAlignment="1">
      <alignment horizontal="center" vertical="center" wrapText="1"/>
    </xf>
    <xf numFmtId="164" fontId="0" fillId="0" borderId="44" xfId="1"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4" xfId="0" applyFont="1" applyBorder="1" applyAlignment="1">
      <alignment horizontal="center" vertical="center" wrapText="1"/>
    </xf>
    <xf numFmtId="0" fontId="7" fillId="0" borderId="1" xfId="3" applyFont="1" applyBorder="1" applyAlignment="1">
      <alignment horizontal="center" vertical="center" wrapText="1"/>
    </xf>
    <xf numFmtId="170"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horizontal="center" vertical="center" wrapText="1"/>
    </xf>
    <xf numFmtId="14" fontId="0" fillId="0" borderId="9" xfId="0" applyNumberFormat="1" applyBorder="1" applyAlignment="1">
      <alignment horizontal="center"/>
    </xf>
    <xf numFmtId="14" fontId="0" fillId="0" borderId="7" xfId="0" applyNumberFormat="1" applyBorder="1" applyAlignment="1">
      <alignment horizontal="center"/>
    </xf>
    <xf numFmtId="14" fontId="0" fillId="0" borderId="8" xfId="0" applyNumberFormat="1" applyBorder="1" applyAlignment="1">
      <alignment horizontal="center"/>
    </xf>
    <xf numFmtId="0" fontId="7" fillId="0" borderId="1" xfId="0" applyFont="1" applyBorder="1" applyAlignment="1">
      <alignment horizontal="center" vertical="center" wrapText="1"/>
    </xf>
    <xf numFmtId="0" fontId="17" fillId="6" borderId="1" xfId="0" applyFont="1" applyFill="1" applyBorder="1" applyAlignment="1">
      <alignment horizontal="center"/>
    </xf>
    <xf numFmtId="14" fontId="3" fillId="0" borderId="1" xfId="0" applyNumberFormat="1" applyFont="1" applyBorder="1" applyAlignment="1">
      <alignment horizontal="center"/>
    </xf>
    <xf numFmtId="0" fontId="3" fillId="0" borderId="1" xfId="0" applyFont="1" applyBorder="1" applyAlignment="1">
      <alignment horizontal="center"/>
    </xf>
    <xf numFmtId="0" fontId="0" fillId="5" borderId="9"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0" fillId="5" borderId="9"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wrapText="1"/>
      <protection locked="0"/>
    </xf>
    <xf numFmtId="1" fontId="15" fillId="0" borderId="1" xfId="0" applyNumberFormat="1" applyFont="1" applyBorder="1" applyAlignment="1">
      <alignment horizontal="center" vertical="center"/>
    </xf>
    <xf numFmtId="2" fontId="19" fillId="0" borderId="1" xfId="2"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0" fillId="5" borderId="9" xfId="0" applyFill="1" applyBorder="1" applyAlignment="1" applyProtection="1">
      <alignment horizontal="center" vertical="top" wrapText="1"/>
      <protection locked="0"/>
    </xf>
    <xf numFmtId="0" fontId="0" fillId="5" borderId="8" xfId="0" applyFill="1" applyBorder="1" applyAlignment="1" applyProtection="1">
      <alignment horizontal="center" vertical="top"/>
      <protection locked="0"/>
    </xf>
    <xf numFmtId="0" fontId="5" fillId="0" borderId="25"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4" xfId="3" applyFont="1" applyBorder="1" applyAlignment="1">
      <alignment horizontal="center" vertical="center" wrapText="1"/>
    </xf>
    <xf numFmtId="0" fontId="17" fillId="6" borderId="25"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14" xfId="0" applyFont="1" applyFill="1" applyBorder="1" applyAlignment="1">
      <alignment horizontal="center" vertical="center"/>
    </xf>
    <xf numFmtId="0" fontId="22" fillId="2" borderId="1" xfId="2"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170" fontId="5" fillId="0" borderId="9" xfId="1" applyNumberFormat="1" applyFont="1" applyFill="1" applyBorder="1" applyAlignment="1">
      <alignment horizontal="left" vertical="center" wrapText="1"/>
    </xf>
    <xf numFmtId="170" fontId="5" fillId="0" borderId="7" xfId="1" applyNumberFormat="1" applyFont="1" applyFill="1" applyBorder="1" applyAlignment="1">
      <alignment horizontal="left" vertical="center" wrapText="1"/>
    </xf>
    <xf numFmtId="2" fontId="5" fillId="0" borderId="9" xfId="1" applyNumberFormat="1" applyFont="1" applyFill="1" applyBorder="1" applyAlignment="1">
      <alignment horizontal="left" vertical="center" wrapText="1"/>
    </xf>
    <xf numFmtId="2" fontId="5" fillId="0" borderId="7" xfId="1" applyNumberFormat="1" applyFont="1" applyFill="1" applyBorder="1" applyAlignment="1">
      <alignment horizontal="left" vertical="center" wrapText="1"/>
    </xf>
    <xf numFmtId="0" fontId="18" fillId="0" borderId="1" xfId="3" applyFont="1" applyBorder="1" applyAlignment="1" applyProtection="1">
      <alignment horizontal="center" vertical="center" wrapText="1"/>
      <protection locked="0"/>
    </xf>
    <xf numFmtId="0" fontId="21" fillId="6" borderId="23" xfId="0" applyFont="1" applyFill="1" applyBorder="1" applyAlignment="1">
      <alignment horizontal="center"/>
    </xf>
    <xf numFmtId="0" fontId="21" fillId="6" borderId="24" xfId="0" applyFont="1" applyFill="1" applyBorder="1" applyAlignment="1">
      <alignment horizontal="center"/>
    </xf>
    <xf numFmtId="0" fontId="21" fillId="6" borderId="30" xfId="0" applyFont="1" applyFill="1" applyBorder="1" applyAlignment="1">
      <alignment horizontal="center"/>
    </xf>
    <xf numFmtId="0" fontId="0" fillId="0" borderId="25"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21" fillId="6" borderId="25" xfId="0" applyFont="1" applyFill="1" applyBorder="1" applyAlignment="1">
      <alignment horizontal="center"/>
    </xf>
    <xf numFmtId="0" fontId="21" fillId="6" borderId="7" xfId="0" applyFont="1" applyFill="1" applyBorder="1" applyAlignment="1">
      <alignment horizontal="center"/>
    </xf>
    <xf numFmtId="0" fontId="21" fillId="6" borderId="14" xfId="0" applyFont="1" applyFill="1" applyBorder="1" applyAlignment="1">
      <alignment horizontal="center"/>
    </xf>
    <xf numFmtId="0" fontId="17" fillId="6" borderId="25" xfId="0" applyFont="1" applyFill="1" applyBorder="1" applyAlignment="1">
      <alignment horizontal="center"/>
    </xf>
    <xf numFmtId="0" fontId="17" fillId="6" borderId="7" xfId="0" applyFont="1" applyFill="1" applyBorder="1" applyAlignment="1">
      <alignment horizontal="center"/>
    </xf>
    <xf numFmtId="0" fontId="17" fillId="6" borderId="9" xfId="0" applyFont="1" applyFill="1" applyBorder="1" applyAlignment="1">
      <alignment horizontal="center"/>
    </xf>
    <xf numFmtId="0" fontId="17" fillId="6" borderId="8" xfId="0" applyFont="1" applyFill="1" applyBorder="1" applyAlignment="1">
      <alignment horizontal="center"/>
    </xf>
    <xf numFmtId="0" fontId="5" fillId="0" borderId="36" xfId="0" applyFont="1" applyBorder="1" applyAlignment="1">
      <alignment horizontal="justify" vertical="center" wrapText="1"/>
    </xf>
    <xf numFmtId="0" fontId="5" fillId="0" borderId="39" xfId="0" applyFont="1" applyBorder="1" applyAlignment="1">
      <alignment horizontal="justify" vertical="center" wrapText="1"/>
    </xf>
    <xf numFmtId="0" fontId="5" fillId="0" borderId="1" xfId="0" applyFont="1" applyBorder="1" applyAlignment="1">
      <alignment horizontal="justify" vertical="top" wrapText="1"/>
    </xf>
    <xf numFmtId="0" fontId="17" fillId="6" borderId="32" xfId="0" applyFont="1" applyFill="1" applyBorder="1" applyAlignment="1">
      <alignment horizontal="center" vertical="center"/>
    </xf>
    <xf numFmtId="0" fontId="17" fillId="6" borderId="33" xfId="0" applyFont="1" applyFill="1" applyBorder="1" applyAlignment="1">
      <alignment horizontal="center" vertical="center"/>
    </xf>
    <xf numFmtId="0" fontId="17" fillId="6" borderId="28" xfId="0" applyFont="1" applyFill="1" applyBorder="1" applyAlignment="1">
      <alignment horizontal="center" vertical="center"/>
    </xf>
    <xf numFmtId="0" fontId="5" fillId="0" borderId="25" xfId="0" applyFont="1" applyBorder="1" applyAlignment="1">
      <alignment horizontal="justify" vertical="top" wrapText="1"/>
    </xf>
    <xf numFmtId="0" fontId="5" fillId="0" borderId="8" xfId="0" applyFont="1" applyBorder="1" applyAlignment="1">
      <alignment horizontal="justify" vertical="top" wrapText="1"/>
    </xf>
    <xf numFmtId="0" fontId="35" fillId="0" borderId="1" xfId="0" applyFont="1" applyBorder="1" applyAlignment="1">
      <alignment horizontal="center" vertical="center" wrapText="1"/>
    </xf>
    <xf numFmtId="0" fontId="11" fillId="6" borderId="25"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7" fillId="6" borderId="32" xfId="0" applyFont="1" applyFill="1" applyBorder="1" applyAlignment="1">
      <alignment horizontal="center" vertical="center" wrapText="1"/>
    </xf>
    <xf numFmtId="0" fontId="17" fillId="6" borderId="33" xfId="0" applyFont="1" applyFill="1" applyBorder="1" applyAlignment="1">
      <alignment horizontal="center" vertical="center" wrapText="1"/>
    </xf>
    <xf numFmtId="0" fontId="17" fillId="6" borderId="28" xfId="0" applyFont="1" applyFill="1" applyBorder="1" applyAlignment="1">
      <alignment horizontal="center" vertical="center" wrapText="1"/>
    </xf>
    <xf numFmtId="0" fontId="5" fillId="0" borderId="34" xfId="0" applyFont="1" applyBorder="1" applyAlignment="1">
      <alignment horizontal="justify" vertical="center" wrapText="1"/>
    </xf>
    <xf numFmtId="0" fontId="5" fillId="0" borderId="20" xfId="0" applyFont="1" applyBorder="1" applyAlignment="1">
      <alignment horizontal="justify" vertical="center" wrapText="1"/>
    </xf>
    <xf numFmtId="0" fontId="0" fillId="0" borderId="2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30" fillId="6" borderId="23" xfId="0" applyFont="1" applyFill="1" applyBorder="1" applyAlignment="1">
      <alignment horizontal="center" vertical="center"/>
    </xf>
    <xf numFmtId="0" fontId="30" fillId="6" borderId="24" xfId="0" applyFont="1" applyFill="1" applyBorder="1" applyAlignment="1">
      <alignment horizontal="center" vertical="center"/>
    </xf>
    <xf numFmtId="0" fontId="30" fillId="6" borderId="37" xfId="0" applyFont="1" applyFill="1" applyBorder="1" applyAlignment="1">
      <alignment horizontal="center" vertical="center"/>
    </xf>
    <xf numFmtId="0" fontId="30" fillId="6" borderId="38" xfId="0" applyFont="1" applyFill="1" applyBorder="1" applyAlignment="1">
      <alignment horizontal="center" vertical="center"/>
    </xf>
    <xf numFmtId="0" fontId="20" fillId="6" borderId="1" xfId="0" applyFont="1" applyFill="1" applyBorder="1" applyAlignment="1">
      <alignment horizontal="center" vertical="center" wrapText="1"/>
    </xf>
    <xf numFmtId="0" fontId="17" fillId="6" borderId="24" xfId="0" applyFont="1" applyFill="1" applyBorder="1" applyAlignment="1">
      <alignment horizontal="center" vertical="center"/>
    </xf>
    <xf numFmtId="0" fontId="17" fillId="6" borderId="30" xfId="0" applyFont="1" applyFill="1" applyBorder="1" applyAlignment="1">
      <alignment horizontal="center" vertical="center"/>
    </xf>
    <xf numFmtId="2" fontId="7" fillId="3" borderId="1" xfId="1" applyNumberFormat="1" applyFont="1" applyFill="1" applyBorder="1" applyAlignment="1">
      <alignment horizontal="center" vertical="center" wrapText="1"/>
    </xf>
    <xf numFmtId="14" fontId="0" fillId="0" borderId="1" xfId="0" applyNumberFormat="1" applyBorder="1" applyAlignment="1">
      <alignment horizontal="center"/>
    </xf>
    <xf numFmtId="170" fontId="7" fillId="3" borderId="1" xfId="1"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0" fillId="0" borderId="43" xfId="0" applyBorder="1" applyAlignment="1" applyProtection="1">
      <alignment horizontal="justify" vertical="center" wrapText="1"/>
      <protection locked="0"/>
    </xf>
    <xf numFmtId="0" fontId="0" fillId="0" borderId="41" xfId="0" applyBorder="1" applyAlignment="1" applyProtection="1">
      <alignment horizontal="justify" vertical="center" wrapText="1"/>
      <protection locked="0"/>
    </xf>
    <xf numFmtId="0" fontId="0" fillId="0" borderId="45" xfId="0" applyBorder="1" applyAlignment="1" applyProtection="1">
      <alignment horizontal="justify" vertical="center" wrapText="1"/>
      <protection locked="0"/>
    </xf>
    <xf numFmtId="171" fontId="0" fillId="0" borderId="11" xfId="0" applyNumberFormat="1" applyBorder="1" applyAlignment="1">
      <alignment horizontal="center" vertical="center" wrapText="1"/>
    </xf>
    <xf numFmtId="164" fontId="0" fillId="0" borderId="11" xfId="1" applyFont="1" applyBorder="1" applyAlignment="1">
      <alignment horizontal="center" vertical="center" wrapText="1"/>
    </xf>
    <xf numFmtId="164" fontId="0" fillId="0" borderId="1" xfId="1" applyFont="1" applyBorder="1" applyAlignment="1">
      <alignment horizontal="center" vertical="center" wrapText="1"/>
    </xf>
    <xf numFmtId="164" fontId="0" fillId="0" borderId="16" xfId="1" applyFont="1" applyBorder="1" applyAlignment="1">
      <alignment horizontal="center"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0" fillId="0" borderId="43" xfId="0" quotePrefix="1" applyBorder="1" applyAlignment="1" applyProtection="1">
      <alignment horizontal="justify" vertical="center" wrapText="1"/>
      <protection locked="0"/>
    </xf>
    <xf numFmtId="0" fontId="5" fillId="0" borderId="25"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35" fillId="0" borderId="9" xfId="0" applyFont="1" applyBorder="1" applyAlignment="1">
      <alignment horizontal="center" vertical="center" wrapText="1"/>
    </xf>
    <xf numFmtId="0" fontId="35" fillId="0" borderId="8" xfId="0" applyFont="1" applyBorder="1" applyAlignment="1">
      <alignment horizontal="center" vertical="center" wrapText="1"/>
    </xf>
    <xf numFmtId="0" fontId="5" fillId="0" borderId="9" xfId="0" applyFont="1" applyBorder="1" applyAlignment="1">
      <alignment horizontal="justify" vertical="top" wrapText="1"/>
    </xf>
    <xf numFmtId="0" fontId="0" fillId="5" borderId="9" xfId="0" applyFill="1" applyBorder="1" applyAlignment="1" applyProtection="1">
      <alignment horizontal="center" wrapText="1"/>
      <protection locked="0"/>
    </xf>
    <xf numFmtId="0" fontId="0" fillId="5" borderId="8" xfId="0" applyFill="1" applyBorder="1" applyAlignment="1" applyProtection="1">
      <alignment horizontal="center" wrapText="1"/>
      <protection locked="0"/>
    </xf>
    <xf numFmtId="0" fontId="0" fillId="5" borderId="18" xfId="0" applyFill="1" applyBorder="1" applyAlignment="1" applyProtection="1">
      <alignment horizontal="center" vertical="top" wrapText="1"/>
      <protection locked="0"/>
    </xf>
    <xf numFmtId="0" fontId="0" fillId="5" borderId="39" xfId="0" applyFill="1" applyBorder="1" applyAlignment="1" applyProtection="1">
      <alignment horizontal="center" vertical="top" wrapText="1"/>
      <protection locked="0"/>
    </xf>
    <xf numFmtId="0" fontId="0" fillId="5" borderId="48" xfId="0" applyFill="1" applyBorder="1" applyAlignment="1" applyProtection="1">
      <alignment horizontal="center" vertical="top" wrapText="1"/>
      <protection locked="0"/>
    </xf>
    <xf numFmtId="0" fontId="0" fillId="5" borderId="20" xfId="0" applyFill="1" applyBorder="1" applyAlignment="1" applyProtection="1">
      <alignment horizontal="center" vertical="top" wrapText="1"/>
      <protection locked="0"/>
    </xf>
    <xf numFmtId="0" fontId="0" fillId="5" borderId="19" xfId="0" applyFill="1" applyBorder="1" applyAlignment="1" applyProtection="1">
      <alignment horizontal="center" vertical="top" wrapText="1"/>
      <protection locked="0"/>
    </xf>
    <xf numFmtId="0" fontId="0" fillId="5" borderId="3" xfId="0" applyFill="1" applyBorder="1" applyAlignment="1" applyProtection="1">
      <alignment horizontal="center" vertical="top" wrapText="1"/>
      <protection locked="0"/>
    </xf>
    <xf numFmtId="0" fontId="17" fillId="6" borderId="1" xfId="0" applyFont="1" applyFill="1" applyBorder="1" applyAlignment="1">
      <alignment horizontal="center" vertical="center"/>
    </xf>
    <xf numFmtId="0" fontId="0" fillId="0" borderId="0" xfId="0" applyAlignment="1">
      <alignment horizontal="center" vertical="center"/>
    </xf>
    <xf numFmtId="0" fontId="0" fillId="0" borderId="20" xfId="0" applyBorder="1" applyAlignment="1">
      <alignment horizontal="center" vertical="center"/>
    </xf>
    <xf numFmtId="0" fontId="3" fillId="0" borderId="1" xfId="0" applyFont="1" applyBorder="1" applyAlignment="1">
      <alignment horizontal="justify" vertical="center" wrapText="1"/>
    </xf>
    <xf numFmtId="0" fontId="0" fillId="0" borderId="0" xfId="0" applyAlignment="1">
      <alignment horizontal="center"/>
    </xf>
    <xf numFmtId="1" fontId="3" fillId="0" borderId="9"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0" fontId="0" fillId="0" borderId="1" xfId="0" applyBorder="1" applyAlignment="1">
      <alignment horizontal="center" vertical="center"/>
    </xf>
    <xf numFmtId="2" fontId="0" fillId="0" borderId="42" xfId="0" applyNumberFormat="1" applyBorder="1" applyAlignment="1">
      <alignment horizontal="center" vertical="center" wrapText="1"/>
    </xf>
    <xf numFmtId="2" fontId="0" fillId="0" borderId="5" xfId="0" applyNumberFormat="1" applyBorder="1" applyAlignment="1">
      <alignment horizontal="center" vertical="center" wrapText="1"/>
    </xf>
    <xf numFmtId="2" fontId="0" fillId="0" borderId="44" xfId="0" applyNumberFormat="1" applyBorder="1" applyAlignment="1">
      <alignment horizontal="center" vertical="center" wrapText="1"/>
    </xf>
    <xf numFmtId="164" fontId="0" fillId="5" borderId="42" xfId="1" applyFont="1" applyFill="1" applyBorder="1" applyAlignment="1" applyProtection="1">
      <alignment horizontal="center" vertical="center" wrapText="1"/>
      <protection locked="0"/>
    </xf>
    <xf numFmtId="164" fontId="0" fillId="5" borderId="5" xfId="1" applyFont="1" applyFill="1" applyBorder="1" applyAlignment="1" applyProtection="1">
      <alignment horizontal="center" vertical="center" wrapText="1"/>
      <protection locked="0"/>
    </xf>
    <xf numFmtId="164" fontId="0" fillId="5" borderId="44" xfId="1" applyFont="1" applyFill="1" applyBorder="1" applyAlignment="1" applyProtection="1">
      <alignment horizontal="center" vertical="center" wrapText="1"/>
      <protection locked="0"/>
    </xf>
    <xf numFmtId="0" fontId="0" fillId="0" borderId="42" xfId="0" applyBorder="1" applyAlignment="1">
      <alignment horizontal="center" vertical="center" wrapText="1"/>
    </xf>
    <xf numFmtId="0" fontId="0" fillId="0" borderId="12" xfId="0" quotePrefix="1" applyBorder="1" applyAlignment="1" applyProtection="1">
      <alignment horizontal="center" vertical="center" wrapText="1"/>
      <protection locked="0"/>
    </xf>
    <xf numFmtId="0" fontId="0" fillId="0" borderId="31"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171" fontId="0" fillId="5" borderId="11" xfId="1" applyNumberFormat="1" applyFont="1" applyFill="1" applyBorder="1" applyAlignment="1" applyProtection="1">
      <alignment horizontal="center" vertical="center" wrapText="1"/>
      <protection locked="0"/>
    </xf>
    <xf numFmtId="171" fontId="0" fillId="5" borderId="1" xfId="1" applyNumberFormat="1" applyFont="1" applyFill="1" applyBorder="1" applyAlignment="1" applyProtection="1">
      <alignment horizontal="center" vertical="center" wrapText="1"/>
      <protection locked="0"/>
    </xf>
    <xf numFmtId="171" fontId="0" fillId="5" borderId="16" xfId="1" applyNumberFormat="1" applyFont="1" applyFill="1" applyBorder="1" applyAlignment="1" applyProtection="1">
      <alignment horizontal="center" vertical="center" wrapText="1"/>
      <protection locked="0"/>
    </xf>
    <xf numFmtId="2" fontId="0" fillId="0" borderId="11" xfId="0" applyNumberFormat="1" applyBorder="1" applyAlignment="1">
      <alignment horizontal="center" vertical="center" wrapText="1"/>
    </xf>
    <xf numFmtId="2" fontId="0" fillId="0" borderId="1" xfId="0" applyNumberFormat="1" applyBorder="1" applyAlignment="1">
      <alignment horizontal="center" vertical="center" wrapText="1"/>
    </xf>
    <xf numFmtId="2" fontId="0" fillId="0" borderId="16" xfId="0" applyNumberFormat="1" applyBorder="1" applyAlignment="1">
      <alignment horizontal="center" vertical="center" wrapText="1"/>
    </xf>
    <xf numFmtId="0" fontId="11" fillId="8" borderId="49" xfId="0" applyFont="1" applyFill="1" applyBorder="1" applyAlignment="1">
      <alignment horizontal="center" vertical="center" wrapText="1"/>
    </xf>
    <xf numFmtId="0" fontId="11" fillId="8" borderId="24" xfId="0" applyFont="1" applyFill="1" applyBorder="1" applyAlignment="1">
      <alignment horizontal="center" vertical="center" wrapText="1"/>
    </xf>
    <xf numFmtId="0" fontId="11" fillId="8" borderId="50" xfId="0" applyFont="1" applyFill="1" applyBorder="1" applyAlignment="1">
      <alignment horizontal="center" vertical="center" wrapText="1"/>
    </xf>
    <xf numFmtId="0" fontId="0" fillId="0" borderId="12" xfId="0" applyBorder="1" applyAlignment="1" applyProtection="1">
      <alignment horizontal="center" vertical="center" wrapText="1"/>
      <protection locked="0"/>
    </xf>
    <xf numFmtId="170" fontId="7" fillId="0" borderId="9" xfId="1" applyNumberFormat="1" applyFont="1" applyFill="1" applyBorder="1" applyAlignment="1">
      <alignment horizontal="center" vertical="center" wrapText="1"/>
    </xf>
    <xf numFmtId="170" fontId="7" fillId="0" borderId="8" xfId="1" applyNumberFormat="1" applyFont="1" applyFill="1" applyBorder="1" applyAlignment="1">
      <alignment horizontal="center" vertical="center" wrapText="1"/>
    </xf>
    <xf numFmtId="2" fontId="7" fillId="0" borderId="9" xfId="1" applyNumberFormat="1" applyFont="1" applyFill="1" applyBorder="1" applyAlignment="1">
      <alignment horizontal="center" vertical="center" wrapText="1"/>
    </xf>
    <xf numFmtId="2" fontId="7" fillId="0" borderId="8" xfId="1" applyNumberFormat="1"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17" xfId="0" applyFont="1" applyFill="1" applyBorder="1" applyAlignment="1">
      <alignment horizontal="center" vertical="center" wrapText="1"/>
    </xf>
    <xf numFmtId="1" fontId="7" fillId="0" borderId="1" xfId="1" applyNumberFormat="1" applyFont="1" applyFill="1" applyBorder="1" applyAlignment="1">
      <alignment horizontal="center" vertical="center" wrapText="1"/>
    </xf>
    <xf numFmtId="9" fontId="7" fillId="0" borderId="1" xfId="4" applyFont="1" applyFill="1" applyBorder="1" applyAlignment="1">
      <alignment horizontal="center" vertical="center" wrapText="1"/>
    </xf>
    <xf numFmtId="0" fontId="30" fillId="6" borderId="26" xfId="0" applyFont="1" applyFill="1" applyBorder="1" applyAlignment="1">
      <alignment horizontal="center" vertical="center"/>
    </xf>
    <xf numFmtId="0" fontId="30" fillId="6" borderId="27" xfId="0" applyFont="1" applyFill="1" applyBorder="1" applyAlignment="1">
      <alignment horizontal="center" vertical="center"/>
    </xf>
    <xf numFmtId="0" fontId="30" fillId="6" borderId="51" xfId="0" applyFont="1" applyFill="1" applyBorder="1" applyAlignment="1">
      <alignment horizontal="center" vertical="center"/>
    </xf>
    <xf numFmtId="0" fontId="30" fillId="6" borderId="35" xfId="0" applyFont="1" applyFill="1" applyBorder="1" applyAlignment="1">
      <alignment horizontal="center" vertical="center"/>
    </xf>
    <xf numFmtId="174" fontId="7" fillId="0" borderId="1" xfId="1" applyNumberFormat="1" applyFont="1" applyFill="1" applyBorder="1" applyAlignment="1">
      <alignment horizontal="center" vertical="center" wrapText="1"/>
    </xf>
    <xf numFmtId="0" fontId="11" fillId="8" borderId="11"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5" xfId="0" applyFont="1" applyFill="1" applyBorder="1" applyAlignment="1">
      <alignment horizontal="center" vertical="center" wrapText="1"/>
    </xf>
    <xf numFmtId="9" fontId="11" fillId="8" borderId="11" xfId="4" applyFont="1" applyFill="1" applyBorder="1" applyAlignment="1">
      <alignment horizontal="center" vertical="center" wrapText="1"/>
    </xf>
    <xf numFmtId="0" fontId="0" fillId="0" borderId="12" xfId="0" applyBorder="1" applyAlignment="1" applyProtection="1">
      <alignment horizontal="center" vertical="top" wrapText="1"/>
      <protection locked="0"/>
    </xf>
    <xf numFmtId="0" fontId="0" fillId="0" borderId="31" xfId="0" applyBorder="1" applyAlignment="1" applyProtection="1">
      <alignment horizontal="center" vertical="top" wrapText="1"/>
      <protection locked="0"/>
    </xf>
    <xf numFmtId="0" fontId="0" fillId="0" borderId="17" xfId="0" applyBorder="1" applyAlignment="1" applyProtection="1">
      <alignment horizontal="center" vertical="top" wrapText="1"/>
      <protection locked="0"/>
    </xf>
    <xf numFmtId="0" fontId="0" fillId="0" borderId="2" xfId="0" applyBorder="1" applyAlignment="1">
      <alignment horizontal="center" vertical="center"/>
    </xf>
    <xf numFmtId="0" fontId="17" fillId="6" borderId="48" xfId="0" applyFont="1" applyFill="1" applyBorder="1" applyAlignment="1">
      <alignment horizontal="center" vertical="center"/>
    </xf>
    <xf numFmtId="0" fontId="17" fillId="6" borderId="0" xfId="0" applyFont="1" applyFill="1" applyBorder="1" applyAlignment="1">
      <alignment horizontal="center" vertical="center"/>
    </xf>
    <xf numFmtId="168" fontId="5" fillId="0" borderId="1" xfId="1"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0" fillId="0" borderId="9"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3" xfId="0" applyBorder="1" applyAlignment="1">
      <alignment horizontal="center" vertical="center"/>
    </xf>
    <xf numFmtId="0" fontId="31" fillId="0" borderId="7" xfId="0" applyFont="1" applyBorder="1" applyAlignment="1">
      <alignment horizontal="center" vertical="center"/>
    </xf>
    <xf numFmtId="0" fontId="31" fillId="0" borderId="8" xfId="0" applyFont="1" applyBorder="1" applyAlignment="1">
      <alignment horizontal="center" vertical="center"/>
    </xf>
    <xf numFmtId="0" fontId="21" fillId="6" borderId="9" xfId="0" applyFont="1" applyFill="1" applyBorder="1" applyAlignment="1">
      <alignment horizontal="center" vertical="center" wrapText="1"/>
    </xf>
    <xf numFmtId="0" fontId="21" fillId="6" borderId="8" xfId="0" applyFont="1" applyFill="1" applyBorder="1" applyAlignment="1">
      <alignment horizontal="center" vertical="center" wrapText="1"/>
    </xf>
    <xf numFmtId="176" fontId="0" fillId="0" borderId="1" xfId="0" applyNumberFormat="1" applyBorder="1" applyAlignment="1">
      <alignment horizontal="center"/>
    </xf>
    <xf numFmtId="0" fontId="31" fillId="0" borderId="9" xfId="0" applyFont="1" applyBorder="1" applyAlignment="1">
      <alignment horizontal="center" vertical="center"/>
    </xf>
    <xf numFmtId="0" fontId="0" fillId="0" borderId="18"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19" xfId="0" applyBorder="1" applyAlignment="1">
      <alignment horizontal="center"/>
    </xf>
    <xf numFmtId="0" fontId="0" fillId="0" borderId="6" xfId="0" applyBorder="1" applyAlignment="1">
      <alignment horizontal="center"/>
    </xf>
    <xf numFmtId="1" fontId="27" fillId="8" borderId="9" xfId="0" applyNumberFormat="1" applyFont="1" applyFill="1" applyBorder="1" applyAlignment="1">
      <alignment horizontal="center" vertical="center"/>
    </xf>
    <xf numFmtId="1" fontId="27" fillId="8" borderId="7" xfId="0" applyNumberFormat="1" applyFont="1" applyFill="1" applyBorder="1" applyAlignment="1">
      <alignment horizontal="center" vertical="center"/>
    </xf>
    <xf numFmtId="1" fontId="27" fillId="8" borderId="8" xfId="0" applyNumberFormat="1" applyFont="1" applyFill="1" applyBorder="1" applyAlignment="1">
      <alignment horizontal="center" vertical="center"/>
    </xf>
    <xf numFmtId="0" fontId="0" fillId="0" borderId="39" xfId="0" applyBorder="1" applyAlignment="1">
      <alignment horizontal="center"/>
    </xf>
    <xf numFmtId="0" fontId="0" fillId="0" borderId="20"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169" fontId="0" fillId="0" borderId="1" xfId="0" applyNumberFormat="1" applyBorder="1" applyAlignment="1">
      <alignment horizontal="center"/>
    </xf>
  </cellXfs>
  <cellStyles count="6">
    <cellStyle name="Bueno" xfId="2" builtinId="26"/>
    <cellStyle name="Moneda [0]" xfId="1" builtinId="7"/>
    <cellStyle name="Moneda [0] 2" xfId="5" xr:uid="{00000000-0005-0000-0000-000002000000}"/>
    <cellStyle name="Normal" xfId="0" builtinId="0"/>
    <cellStyle name="Normal 2" xfId="3" xr:uid="{00000000-0005-0000-0000-000004000000}"/>
    <cellStyle name="Porcentaje" xfId="4" builtinId="5"/>
  </cellStyles>
  <dxfs count="1305">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patternType="none">
          <bgColor auto="1"/>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285750</xdr:rowOff>
    </xdr:from>
    <xdr:to>
      <xdr:col>0</xdr:col>
      <xdr:colOff>2133600</xdr:colOff>
      <xdr:row>2</xdr:row>
      <xdr:rowOff>3029</xdr:rowOff>
    </xdr:to>
    <xdr:pic>
      <xdr:nvPicPr>
        <xdr:cNvPr id="2" name="Imagen 2">
          <a:extLst>
            <a:ext uri="{FF2B5EF4-FFF2-40B4-BE49-F238E27FC236}">
              <a16:creationId xmlns:a16="http://schemas.microsoft.com/office/drawing/2014/main" id="{E97B8CF1-896F-4A53-BA39-5CB5AE4755BA}"/>
            </a:ext>
          </a:extLst>
        </xdr:cNvPr>
        <xdr:cNvPicPr>
          <a:picLocks noChangeAspect="1"/>
        </xdr:cNvPicPr>
      </xdr:nvPicPr>
      <xdr:blipFill rotWithShape="1">
        <a:blip xmlns:r="http://schemas.openxmlformats.org/officeDocument/2006/relationships" r:embed="rId1"/>
        <a:srcRect l="23542" t="48182" r="56132" b="38879"/>
        <a:stretch/>
      </xdr:blipFill>
      <xdr:spPr>
        <a:xfrm>
          <a:off x="800100" y="933450"/>
          <a:ext cx="2095500" cy="8761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367391</xdr:colOff>
      <xdr:row>1</xdr:row>
      <xdr:rowOff>176894</xdr:rowOff>
    </xdr:from>
    <xdr:to>
      <xdr:col>1</xdr:col>
      <xdr:colOff>2789464</xdr:colOff>
      <xdr:row>2</xdr:row>
      <xdr:rowOff>127720</xdr:rowOff>
    </xdr:to>
    <xdr:pic>
      <xdr:nvPicPr>
        <xdr:cNvPr id="2" name="Imagen 1">
          <a:extLst>
            <a:ext uri="{FF2B5EF4-FFF2-40B4-BE49-F238E27FC236}">
              <a16:creationId xmlns:a16="http://schemas.microsoft.com/office/drawing/2014/main" id="{7284BD5A-4410-4238-8161-7971124EA18C}"/>
            </a:ext>
          </a:extLst>
        </xdr:cNvPr>
        <xdr:cNvPicPr>
          <a:picLocks noChangeAspect="1"/>
        </xdr:cNvPicPr>
      </xdr:nvPicPr>
      <xdr:blipFill rotWithShape="1">
        <a:blip xmlns:r="http://schemas.openxmlformats.org/officeDocument/2006/relationships" r:embed="rId1"/>
        <a:srcRect l="23542" t="48182" r="56132" b="38879"/>
        <a:stretch/>
      </xdr:blipFill>
      <xdr:spPr>
        <a:xfrm>
          <a:off x="367391" y="367394"/>
          <a:ext cx="2803073" cy="9033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224220</xdr:colOff>
      <xdr:row>3</xdr:row>
      <xdr:rowOff>202425</xdr:rowOff>
    </xdr:from>
    <xdr:to>
      <xdr:col>1</xdr:col>
      <xdr:colOff>2768015</xdr:colOff>
      <xdr:row>4</xdr:row>
      <xdr:rowOff>357162</xdr:rowOff>
    </xdr:to>
    <xdr:pic>
      <xdr:nvPicPr>
        <xdr:cNvPr id="2" name="Imagen 1">
          <a:extLst>
            <a:ext uri="{FF2B5EF4-FFF2-40B4-BE49-F238E27FC236}">
              <a16:creationId xmlns:a16="http://schemas.microsoft.com/office/drawing/2014/main" id="{31F28FEB-64C8-463B-B6DF-67CF64E1C5EE}"/>
            </a:ext>
          </a:extLst>
        </xdr:cNvPr>
        <xdr:cNvPicPr>
          <a:picLocks noChangeAspect="1"/>
        </xdr:cNvPicPr>
      </xdr:nvPicPr>
      <xdr:blipFill rotWithShape="1">
        <a:blip xmlns:r="http://schemas.openxmlformats.org/officeDocument/2006/relationships" r:embed="rId1"/>
        <a:srcRect l="24137" t="48182" r="56472" b="38879"/>
        <a:stretch/>
      </xdr:blipFill>
      <xdr:spPr>
        <a:xfrm>
          <a:off x="224220" y="814746"/>
          <a:ext cx="2965616" cy="10936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478220</xdr:colOff>
      <xdr:row>3</xdr:row>
      <xdr:rowOff>265925</xdr:rowOff>
    </xdr:from>
    <xdr:to>
      <xdr:col>1</xdr:col>
      <xdr:colOff>2945815</xdr:colOff>
      <xdr:row>4</xdr:row>
      <xdr:rowOff>420662</xdr:rowOff>
    </xdr:to>
    <xdr:pic>
      <xdr:nvPicPr>
        <xdr:cNvPr id="4" name="Imagen 3">
          <a:extLst>
            <a:ext uri="{FF2B5EF4-FFF2-40B4-BE49-F238E27FC236}">
              <a16:creationId xmlns:a16="http://schemas.microsoft.com/office/drawing/2014/main" id="{969FBE42-6E7F-4924-9B62-F763F8BEC20C}"/>
            </a:ext>
          </a:extLst>
        </xdr:cNvPr>
        <xdr:cNvPicPr>
          <a:picLocks noChangeAspect="1"/>
        </xdr:cNvPicPr>
      </xdr:nvPicPr>
      <xdr:blipFill rotWithShape="1">
        <a:blip xmlns:r="http://schemas.openxmlformats.org/officeDocument/2006/relationships" r:embed="rId1"/>
        <a:srcRect l="24137" t="48182" r="56472" b="38879"/>
        <a:stretch/>
      </xdr:blipFill>
      <xdr:spPr>
        <a:xfrm>
          <a:off x="478220" y="885050"/>
          <a:ext cx="2959720" cy="10913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9"/>
  <sheetViews>
    <sheetView view="pageBreakPreview" zoomScale="70" zoomScaleNormal="100" zoomScaleSheetLayoutView="70" workbookViewId="0">
      <pane ySplit="6" topLeftCell="A20" activePane="bottomLeft" state="frozenSplit"/>
      <selection pane="bottomLeft" activeCell="D27" sqref="D27"/>
    </sheetView>
  </sheetViews>
  <sheetFormatPr baseColWidth="10" defaultColWidth="11.42578125" defaultRowHeight="15"/>
  <cols>
    <col min="1" max="1" width="32.5703125" style="4" customWidth="1"/>
    <col min="2" max="2" width="25.140625" style="4" customWidth="1"/>
    <col min="3" max="3" width="11.85546875" style="4" customWidth="1"/>
    <col min="4" max="4" width="17.85546875" style="4" customWidth="1"/>
    <col min="5" max="6" width="11.42578125" style="4"/>
    <col min="7" max="7" width="13.85546875" style="4" customWidth="1"/>
    <col min="8" max="8" width="12.85546875" style="4" customWidth="1"/>
    <col min="9" max="9" width="17.42578125" style="4" customWidth="1"/>
    <col min="10" max="16384" width="11.42578125" style="4"/>
  </cols>
  <sheetData>
    <row r="1" spans="1:9">
      <c r="A1" s="225" t="s">
        <v>0</v>
      </c>
      <c r="B1" s="225"/>
      <c r="C1" s="225"/>
      <c r="D1" s="225"/>
      <c r="E1" s="225"/>
      <c r="F1" s="225"/>
      <c r="G1" s="225"/>
      <c r="H1" s="225"/>
      <c r="I1" s="225"/>
    </row>
    <row r="2" spans="1:9" ht="91.5" customHeight="1">
      <c r="A2" s="226"/>
      <c r="B2" s="227" t="s">
        <v>1</v>
      </c>
      <c r="C2" s="227"/>
      <c r="D2" s="228" t="s">
        <v>2</v>
      </c>
      <c r="E2" s="229"/>
      <c r="F2" s="229"/>
      <c r="G2" s="229"/>
      <c r="H2" s="229"/>
      <c r="I2" s="229"/>
    </row>
    <row r="3" spans="1:9">
      <c r="A3" s="226"/>
      <c r="B3" s="230" t="s">
        <v>3</v>
      </c>
      <c r="C3" s="231"/>
      <c r="D3" s="231"/>
      <c r="E3" s="231"/>
      <c r="F3" s="231"/>
      <c r="G3" s="231"/>
      <c r="H3" s="231"/>
      <c r="I3" s="231"/>
    </row>
    <row r="4" spans="1:9" ht="15.75" customHeight="1">
      <c r="A4" s="76" t="s">
        <v>4</v>
      </c>
      <c r="B4" s="234" t="s">
        <v>5</v>
      </c>
      <c r="C4" s="234"/>
      <c r="D4" s="234"/>
      <c r="E4" s="237" t="s">
        <v>6</v>
      </c>
      <c r="F4" s="237"/>
      <c r="G4" s="238" t="s">
        <v>7</v>
      </c>
      <c r="H4" s="234"/>
      <c r="I4" s="239"/>
    </row>
    <row r="5" spans="1:9">
      <c r="A5" s="219" t="s">
        <v>8</v>
      </c>
      <c r="B5" s="169" t="s">
        <v>9</v>
      </c>
      <c r="C5" s="216">
        <v>3807405444</v>
      </c>
      <c r="D5" s="216"/>
      <c r="E5" s="206" t="s">
        <v>10</v>
      </c>
      <c r="F5" s="207"/>
      <c r="G5" s="210">
        <v>10</v>
      </c>
      <c r="H5" s="211"/>
      <c r="I5" s="214" t="s">
        <v>11</v>
      </c>
    </row>
    <row r="6" spans="1:9">
      <c r="A6" s="220"/>
      <c r="B6" s="151"/>
      <c r="C6" s="216"/>
      <c r="D6" s="216"/>
      <c r="E6" s="208"/>
      <c r="F6" s="209"/>
      <c r="G6" s="212"/>
      <c r="H6" s="213"/>
      <c r="I6" s="215"/>
    </row>
    <row r="8" spans="1:9">
      <c r="A8" s="38" t="s">
        <v>12</v>
      </c>
      <c r="B8" s="75" t="s">
        <v>13</v>
      </c>
      <c r="C8" s="202" t="s">
        <v>14</v>
      </c>
      <c r="D8" s="203"/>
    </row>
    <row r="9" spans="1:9">
      <c r="A9" s="77">
        <f>C5</f>
        <v>3807405444</v>
      </c>
      <c r="B9" s="78">
        <v>1300000</v>
      </c>
      <c r="C9" s="204">
        <f>A9/B9</f>
        <v>2928.7734184615383</v>
      </c>
      <c r="D9" s="205"/>
    </row>
    <row r="10" spans="1:9">
      <c r="A10" s="77">
        <f>+C6</f>
        <v>0</v>
      </c>
      <c r="B10" s="78">
        <f>B41</f>
        <v>1000000</v>
      </c>
      <c r="C10" s="217">
        <f>A10/B10</f>
        <v>0</v>
      </c>
      <c r="D10" s="218"/>
    </row>
    <row r="11" spans="1:9" ht="15.75" thickBot="1">
      <c r="A11" s="8"/>
      <c r="B11" s="9"/>
      <c r="C11" s="5"/>
    </row>
    <row r="12" spans="1:9" ht="15.75" thickBot="1">
      <c r="A12" s="79" t="s">
        <v>15</v>
      </c>
      <c r="B12" s="80" t="s">
        <v>16</v>
      </c>
      <c r="C12" s="5"/>
    </row>
    <row r="13" spans="1:9">
      <c r="A13" s="81">
        <v>1984</v>
      </c>
      <c r="B13" s="82">
        <v>11298</v>
      </c>
      <c r="C13" s="5"/>
    </row>
    <row r="14" spans="1:9">
      <c r="A14" s="81">
        <v>1995</v>
      </c>
      <c r="B14" s="82">
        <v>118934</v>
      </c>
      <c r="C14" s="5"/>
    </row>
    <row r="15" spans="1:9">
      <c r="A15" s="83">
        <v>1996</v>
      </c>
      <c r="B15" s="84">
        <v>142125</v>
      </c>
      <c r="C15" s="5"/>
      <c r="D15" s="152"/>
    </row>
    <row r="16" spans="1:9">
      <c r="A16" s="83">
        <v>1997</v>
      </c>
      <c r="B16" s="84">
        <v>172005</v>
      </c>
      <c r="C16" s="5"/>
    </row>
    <row r="17" spans="1:9">
      <c r="A17" s="83">
        <v>1998</v>
      </c>
      <c r="B17" s="84">
        <v>203826</v>
      </c>
      <c r="C17" s="5"/>
    </row>
    <row r="18" spans="1:9">
      <c r="A18" s="83">
        <v>1999</v>
      </c>
      <c r="B18" s="84">
        <v>236460</v>
      </c>
      <c r="C18" s="5"/>
    </row>
    <row r="19" spans="1:9" ht="15.75" thickBot="1">
      <c r="A19" s="83">
        <v>2000</v>
      </c>
      <c r="B19" s="84">
        <v>260100</v>
      </c>
    </row>
    <row r="20" spans="1:9">
      <c r="A20" s="83">
        <v>2001</v>
      </c>
      <c r="B20" s="84">
        <v>286000</v>
      </c>
      <c r="D20" s="85" t="s">
        <v>17</v>
      </c>
      <c r="E20" s="232" t="s">
        <v>18</v>
      </c>
      <c r="F20" s="232"/>
      <c r="G20" s="232"/>
      <c r="H20" s="232"/>
      <c r="I20" s="233"/>
    </row>
    <row r="21" spans="1:9" ht="42.75" customHeight="1">
      <c r="A21" s="83">
        <v>2002</v>
      </c>
      <c r="B21" s="84">
        <v>309000</v>
      </c>
      <c r="D21" s="86">
        <v>70101700</v>
      </c>
      <c r="E21" s="199" t="s">
        <v>19</v>
      </c>
      <c r="F21" s="200"/>
      <c r="G21" s="200"/>
      <c r="H21" s="200"/>
      <c r="I21" s="201"/>
    </row>
    <row r="22" spans="1:9" ht="24.75" customHeight="1">
      <c r="A22" s="83">
        <v>2003</v>
      </c>
      <c r="B22" s="84">
        <v>332000</v>
      </c>
      <c r="D22" s="6">
        <v>80101600</v>
      </c>
      <c r="E22" s="199" t="s">
        <v>20</v>
      </c>
      <c r="F22" s="200"/>
      <c r="G22" s="200"/>
      <c r="H22" s="200"/>
      <c r="I22" s="201"/>
    </row>
    <row r="23" spans="1:9" ht="29.25" customHeight="1">
      <c r="A23" s="83">
        <v>2004</v>
      </c>
      <c r="B23" s="84">
        <v>358000</v>
      </c>
      <c r="D23" s="6">
        <v>80101500</v>
      </c>
      <c r="E23" s="199" t="s">
        <v>21</v>
      </c>
      <c r="F23" s="200"/>
      <c r="G23" s="200"/>
      <c r="H23" s="200"/>
      <c r="I23" s="201"/>
    </row>
    <row r="24" spans="1:9" ht="45.75" customHeight="1">
      <c r="A24" s="83">
        <v>2005</v>
      </c>
      <c r="B24" s="84">
        <v>381500</v>
      </c>
      <c r="D24" s="6">
        <v>86101700</v>
      </c>
      <c r="E24" s="221" t="s">
        <v>22</v>
      </c>
      <c r="F24" s="221"/>
      <c r="G24" s="221"/>
      <c r="H24" s="221"/>
      <c r="I24" s="222"/>
    </row>
    <row r="25" spans="1:9" ht="31.5" customHeight="1">
      <c r="A25" s="83">
        <v>2006</v>
      </c>
      <c r="B25" s="84">
        <v>408000</v>
      </c>
      <c r="D25" s="6">
        <v>80161500</v>
      </c>
      <c r="E25" s="221" t="s">
        <v>23</v>
      </c>
      <c r="F25" s="235"/>
      <c r="G25" s="235"/>
      <c r="H25" s="235"/>
      <c r="I25" s="236"/>
    </row>
    <row r="26" spans="1:9" ht="15" customHeight="1">
      <c r="A26" s="83">
        <v>2007</v>
      </c>
      <c r="B26" s="84">
        <v>433700</v>
      </c>
      <c r="D26" s="6">
        <v>93141500</v>
      </c>
      <c r="E26" s="221" t="s">
        <v>24</v>
      </c>
      <c r="F26" s="221"/>
      <c r="G26" s="221"/>
      <c r="H26" s="221"/>
      <c r="I26" s="222"/>
    </row>
    <row r="27" spans="1:9" ht="15" customHeight="1">
      <c r="A27" s="83">
        <v>2008</v>
      </c>
      <c r="B27" s="84">
        <v>461500</v>
      </c>
      <c r="D27" s="7">
        <v>93141600</v>
      </c>
      <c r="E27" s="223" t="s">
        <v>25</v>
      </c>
      <c r="F27" s="223"/>
      <c r="G27" s="223"/>
      <c r="H27" s="223"/>
      <c r="I27" s="224"/>
    </row>
    <row r="28" spans="1:9">
      <c r="A28" s="83">
        <v>2009</v>
      </c>
      <c r="B28" s="84">
        <v>496900</v>
      </c>
    </row>
    <row r="29" spans="1:9">
      <c r="A29" s="83">
        <v>2010</v>
      </c>
      <c r="B29" s="84">
        <v>515000</v>
      </c>
      <c r="D29" s="10"/>
      <c r="E29" s="11"/>
      <c r="F29" s="11"/>
      <c r="G29" s="11"/>
      <c r="H29" s="11"/>
      <c r="I29" s="11"/>
    </row>
    <row r="30" spans="1:9">
      <c r="A30" s="83">
        <v>2011</v>
      </c>
      <c r="B30" s="84">
        <v>535600</v>
      </c>
      <c r="D30" s="10"/>
      <c r="E30" s="12"/>
      <c r="F30" s="12"/>
      <c r="G30" s="12"/>
      <c r="H30" s="12"/>
      <c r="I30" s="12"/>
    </row>
    <row r="31" spans="1:9">
      <c r="A31" s="83">
        <v>2012</v>
      </c>
      <c r="B31" s="84">
        <v>566700</v>
      </c>
      <c r="D31" s="10"/>
      <c r="E31" s="12"/>
      <c r="F31" s="12"/>
      <c r="G31" s="12"/>
      <c r="H31" s="12"/>
      <c r="I31" s="12"/>
    </row>
    <row r="32" spans="1:9">
      <c r="A32" s="83">
        <v>2013</v>
      </c>
      <c r="B32" s="84">
        <v>589500</v>
      </c>
      <c r="D32" s="10"/>
      <c r="E32" s="11"/>
      <c r="F32" s="11"/>
      <c r="G32" s="11"/>
      <c r="H32" s="11"/>
      <c r="I32" s="11"/>
    </row>
    <row r="33" spans="1:9">
      <c r="A33" s="83">
        <v>2014</v>
      </c>
      <c r="B33" s="84">
        <v>616000</v>
      </c>
      <c r="D33" s="10"/>
      <c r="E33" s="11"/>
      <c r="F33" s="11"/>
      <c r="G33" s="11"/>
      <c r="H33" s="11"/>
      <c r="I33" s="11"/>
    </row>
    <row r="34" spans="1:9">
      <c r="A34" s="83">
        <v>2015</v>
      </c>
      <c r="B34" s="84">
        <v>644350</v>
      </c>
    </row>
    <row r="35" spans="1:9">
      <c r="A35" s="83">
        <v>2016</v>
      </c>
      <c r="B35" s="84">
        <v>689455</v>
      </c>
    </row>
    <row r="36" spans="1:9">
      <c r="A36" s="83">
        <v>2017</v>
      </c>
      <c r="B36" s="84">
        <v>737717</v>
      </c>
    </row>
    <row r="37" spans="1:9">
      <c r="A37" s="83">
        <v>2018</v>
      </c>
      <c r="B37" s="84">
        <v>781242</v>
      </c>
    </row>
    <row r="38" spans="1:9">
      <c r="A38" s="83">
        <v>2019</v>
      </c>
      <c r="B38" s="84">
        <v>828116</v>
      </c>
    </row>
    <row r="39" spans="1:9">
      <c r="A39" s="83">
        <v>2020</v>
      </c>
      <c r="B39" s="84">
        <v>877803</v>
      </c>
    </row>
    <row r="40" spans="1:9">
      <c r="A40" s="144">
        <v>2021</v>
      </c>
      <c r="B40" s="145">
        <v>908526</v>
      </c>
    </row>
    <row r="41" spans="1:9">
      <c r="A41" s="191">
        <v>2022</v>
      </c>
      <c r="B41" s="192">
        <v>1000000</v>
      </c>
    </row>
    <row r="42" spans="1:9">
      <c r="A42" s="193">
        <v>2023</v>
      </c>
      <c r="B42" s="194">
        <v>1160000</v>
      </c>
    </row>
    <row r="43" spans="1:9">
      <c r="A43" s="24"/>
      <c r="B43" s="8"/>
    </row>
    <row r="44" spans="1:9">
      <c r="A44" s="4" t="s">
        <v>26</v>
      </c>
      <c r="C44" s="4" t="s">
        <v>27</v>
      </c>
    </row>
    <row r="45" spans="1:9">
      <c r="A45" s="4" t="s">
        <v>28</v>
      </c>
      <c r="C45" s="4" t="s">
        <v>29</v>
      </c>
    </row>
    <row r="46" spans="1:9">
      <c r="A46" s="4" t="s">
        <v>30</v>
      </c>
      <c r="C46" s="4" t="s">
        <v>30</v>
      </c>
    </row>
    <row r="47" spans="1:9">
      <c r="A47" s="1"/>
    </row>
    <row r="49" spans="1:3">
      <c r="A49" s="4" t="s">
        <v>31</v>
      </c>
      <c r="C49" s="4" t="s">
        <v>32</v>
      </c>
    </row>
    <row r="50" spans="1:3">
      <c r="A50" s="4" t="s">
        <v>33</v>
      </c>
      <c r="C50" s="4" t="s">
        <v>34</v>
      </c>
    </row>
    <row r="51" spans="1:3">
      <c r="A51" s="4" t="s">
        <v>30</v>
      </c>
    </row>
    <row r="53" spans="1:3">
      <c r="A53" s="21" t="s">
        <v>35</v>
      </c>
    </row>
    <row r="54" spans="1:3">
      <c r="A54" s="21" t="s">
        <v>36</v>
      </c>
    </row>
    <row r="55" spans="1:3">
      <c r="A55" s="21" t="s">
        <v>37</v>
      </c>
    </row>
    <row r="56" spans="1:3">
      <c r="A56" s="21" t="s">
        <v>38</v>
      </c>
    </row>
    <row r="57" spans="1:3">
      <c r="A57" s="21" t="s">
        <v>39</v>
      </c>
    </row>
    <row r="58" spans="1:3">
      <c r="A58" s="21" t="s">
        <v>40</v>
      </c>
    </row>
    <row r="59" spans="1:3">
      <c r="A59" s="20"/>
    </row>
  </sheetData>
  <mergeCells count="25">
    <mergeCell ref="A5:A6"/>
    <mergeCell ref="E26:I26"/>
    <mergeCell ref="E27:I27"/>
    <mergeCell ref="A1:I1"/>
    <mergeCell ref="A2:A3"/>
    <mergeCell ref="B2:C2"/>
    <mergeCell ref="D2:I2"/>
    <mergeCell ref="B3:I3"/>
    <mergeCell ref="E20:I20"/>
    <mergeCell ref="B4:D4"/>
    <mergeCell ref="E24:I24"/>
    <mergeCell ref="E25:I25"/>
    <mergeCell ref="E4:F4"/>
    <mergeCell ref="G4:I4"/>
    <mergeCell ref="E21:I21"/>
    <mergeCell ref="E22:I22"/>
    <mergeCell ref="E23:I23"/>
    <mergeCell ref="C8:D8"/>
    <mergeCell ref="C9:D9"/>
    <mergeCell ref="E5:F6"/>
    <mergeCell ref="G5:H6"/>
    <mergeCell ref="I5:I6"/>
    <mergeCell ref="C5:D5"/>
    <mergeCell ref="C6:D6"/>
    <mergeCell ref="C10:D10"/>
  </mergeCells>
  <pageMargins left="0.7" right="0.7" top="0.75" bottom="0.75" header="0.3" footer="0.3"/>
  <pageSetup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2"/>
  <sheetViews>
    <sheetView view="pageBreakPreview" zoomScale="55" zoomScaleNormal="70" zoomScaleSheetLayoutView="55" workbookViewId="0">
      <pane ySplit="9" topLeftCell="A10" activePane="bottomLeft" state="frozen"/>
      <selection pane="bottomLeft" activeCell="E14" sqref="E14"/>
    </sheetView>
  </sheetViews>
  <sheetFormatPr baseColWidth="10" defaultColWidth="11.42578125" defaultRowHeight="12.75"/>
  <cols>
    <col min="1" max="1" width="5.7109375" style="25" customWidth="1"/>
    <col min="2" max="2" width="48.28515625" style="25" customWidth="1"/>
    <col min="3" max="3" width="53.5703125" style="25" customWidth="1"/>
    <col min="4" max="4" width="23.28515625" style="25" customWidth="1"/>
    <col min="5" max="5" width="51.5703125" style="25" customWidth="1"/>
    <col min="6" max="6" width="23.140625" style="25" customWidth="1"/>
    <col min="7" max="7" width="39.5703125" style="25" bestFit="1" customWidth="1"/>
    <col min="8" max="8" width="22.7109375" style="25" customWidth="1"/>
    <col min="9" max="9" width="28.42578125" style="25" customWidth="1"/>
    <col min="10" max="10" width="20.85546875" style="25" customWidth="1"/>
    <col min="11" max="11" width="23.140625" style="25" customWidth="1"/>
    <col min="12" max="12" width="14.7109375" style="25" customWidth="1"/>
    <col min="13" max="13" width="20.28515625" style="25" customWidth="1"/>
    <col min="14" max="14" width="23.5703125" style="25" customWidth="1"/>
    <col min="15" max="15" width="21.140625" style="25" customWidth="1"/>
    <col min="16" max="16" width="16.7109375" style="25" customWidth="1"/>
    <col min="17" max="16384" width="11.42578125" style="25"/>
  </cols>
  <sheetData>
    <row r="1" spans="1:16" ht="15" customHeight="1">
      <c r="A1" s="240" t="s">
        <v>0</v>
      </c>
      <c r="B1" s="241"/>
      <c r="C1" s="241"/>
      <c r="D1" s="241"/>
      <c r="E1" s="241"/>
      <c r="F1" s="241"/>
      <c r="G1" s="241"/>
      <c r="H1" s="241"/>
      <c r="I1" s="241"/>
      <c r="J1" s="241"/>
      <c r="K1" s="241"/>
      <c r="L1" s="241"/>
      <c r="M1" s="241"/>
      <c r="N1" s="241"/>
      <c r="O1" s="241"/>
      <c r="P1" s="241"/>
    </row>
    <row r="2" spans="1:16" ht="75" customHeight="1">
      <c r="A2" s="246"/>
      <c r="B2" s="246"/>
      <c r="C2" s="247" t="s">
        <v>1</v>
      </c>
      <c r="D2" s="247"/>
      <c r="E2" s="242"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F2" s="243"/>
      <c r="G2" s="243"/>
      <c r="H2" s="243"/>
      <c r="I2" s="243"/>
      <c r="J2" s="243"/>
      <c r="K2" s="243"/>
      <c r="L2" s="243"/>
      <c r="M2" s="243"/>
      <c r="N2" s="243"/>
      <c r="O2" s="243"/>
      <c r="P2" s="243"/>
    </row>
    <row r="3" spans="1:16" ht="18.75">
      <c r="A3" s="246"/>
      <c r="B3" s="246"/>
      <c r="C3" s="248" t="s">
        <v>3</v>
      </c>
      <c r="D3" s="249"/>
      <c r="E3" s="249"/>
      <c r="F3" s="249"/>
      <c r="G3" s="249"/>
      <c r="H3" s="249"/>
      <c r="I3" s="249"/>
      <c r="J3" s="249"/>
      <c r="K3" s="249"/>
      <c r="L3" s="249"/>
      <c r="M3" s="249"/>
      <c r="N3" s="249"/>
      <c r="O3" s="249"/>
    </row>
    <row r="4" spans="1:16" ht="18.75">
      <c r="A4" s="255" t="s">
        <v>4</v>
      </c>
      <c r="B4" s="255"/>
      <c r="C4" s="256" t="str">
        <f>+'DATOS INICIALES'!B4</f>
        <v>LICITACION PÚBLICA</v>
      </c>
      <c r="D4" s="256"/>
      <c r="E4" s="256"/>
      <c r="F4" s="257" t="s">
        <v>6</v>
      </c>
      <c r="G4" s="257"/>
      <c r="H4" s="258" t="str">
        <f>+'DATOS INICIALES'!G4</f>
        <v>FDLK-LP-007-2024</v>
      </c>
      <c r="I4" s="259"/>
      <c r="J4" s="259"/>
      <c r="K4" s="259"/>
      <c r="L4" s="259"/>
      <c r="M4" s="259"/>
      <c r="N4" s="259"/>
      <c r="O4" s="259"/>
    </row>
    <row r="5" spans="1:16" ht="18.75" customHeight="1">
      <c r="A5" s="251" t="s">
        <v>8</v>
      </c>
      <c r="B5" s="252"/>
      <c r="C5" s="169" t="str">
        <f>+'DATOS INICIALES'!B5</f>
        <v>PRESUPUESTO</v>
      </c>
      <c r="D5" s="216">
        <f>+'DATOS INICIALES'!C5</f>
        <v>3807405444</v>
      </c>
      <c r="E5" s="216"/>
      <c r="F5" s="262" t="s">
        <v>41</v>
      </c>
      <c r="G5" s="262"/>
      <c r="H5" s="262"/>
      <c r="I5" s="262"/>
      <c r="J5" s="262"/>
      <c r="K5" s="262"/>
      <c r="L5" s="262"/>
      <c r="M5" s="262"/>
      <c r="N5" s="244">
        <f>+'DATOS INICIALES'!G5</f>
        <v>10</v>
      </c>
      <c r="O5" s="260" t="str">
        <f>+'DATOS INICIALES'!I5</f>
        <v>MESES</v>
      </c>
    </row>
    <row r="6" spans="1:16" ht="18.75" customHeight="1">
      <c r="A6" s="253"/>
      <c r="B6" s="254"/>
      <c r="C6" s="151"/>
      <c r="D6" s="216"/>
      <c r="E6" s="216"/>
      <c r="F6" s="262"/>
      <c r="G6" s="262"/>
      <c r="H6" s="262"/>
      <c r="I6" s="262"/>
      <c r="J6" s="262"/>
      <c r="K6" s="262"/>
      <c r="L6" s="262"/>
      <c r="M6" s="262"/>
      <c r="N6" s="245"/>
      <c r="O6" s="261"/>
    </row>
    <row r="7" spans="1:16">
      <c r="D7" s="26"/>
    </row>
    <row r="8" spans="1:16" ht="21">
      <c r="A8" s="250" t="s">
        <v>42</v>
      </c>
      <c r="B8" s="250"/>
      <c r="C8" s="250"/>
      <c r="D8" s="250"/>
      <c r="E8" s="250"/>
      <c r="F8" s="250"/>
      <c r="G8" s="250"/>
      <c r="H8" s="250"/>
      <c r="I8" s="250"/>
      <c r="J8" s="250"/>
      <c r="K8" s="250"/>
      <c r="L8" s="250"/>
      <c r="M8" s="250"/>
      <c r="N8" s="250"/>
    </row>
    <row r="9" spans="1:16" ht="63">
      <c r="A9" s="98" t="s">
        <v>43</v>
      </c>
      <c r="B9" s="98" t="s">
        <v>44</v>
      </c>
      <c r="C9" s="98" t="s">
        <v>45</v>
      </c>
      <c r="D9" s="98" t="s">
        <v>46</v>
      </c>
      <c r="E9" s="98" t="s">
        <v>47</v>
      </c>
      <c r="F9" s="98" t="s">
        <v>46</v>
      </c>
      <c r="G9" s="98" t="s">
        <v>48</v>
      </c>
      <c r="H9" s="98" t="s">
        <v>46</v>
      </c>
      <c r="I9" s="98" t="s">
        <v>49</v>
      </c>
      <c r="J9" s="98" t="s">
        <v>46</v>
      </c>
      <c r="K9" s="98" t="s">
        <v>50</v>
      </c>
      <c r="L9" s="98" t="s">
        <v>46</v>
      </c>
      <c r="M9" s="98" t="s">
        <v>51</v>
      </c>
      <c r="N9" s="98" t="s">
        <v>52</v>
      </c>
    </row>
    <row r="10" spans="1:16" s="139" customFormat="1" ht="51.75" customHeight="1">
      <c r="A10" s="108">
        <v>1</v>
      </c>
      <c r="B10" s="140" t="s">
        <v>53</v>
      </c>
      <c r="C10" s="140" t="s">
        <v>53</v>
      </c>
      <c r="D10" s="133">
        <v>1</v>
      </c>
      <c r="E10" s="140"/>
      <c r="F10" s="134"/>
      <c r="G10" s="135"/>
      <c r="H10" s="136"/>
      <c r="I10" s="135"/>
      <c r="J10" s="136"/>
      <c r="K10" s="135"/>
      <c r="L10" s="136"/>
      <c r="M10" s="137">
        <f>+COUNTIF(C10:L10,"*")</f>
        <v>1</v>
      </c>
      <c r="N10" s="138">
        <f>+SUM(D10,F10,H10,J10,L10)</f>
        <v>1</v>
      </c>
    </row>
    <row r="11" spans="1:16" s="139" customFormat="1" ht="40.5" customHeight="1">
      <c r="A11" s="108">
        <v>2</v>
      </c>
      <c r="B11" s="140" t="s">
        <v>54</v>
      </c>
      <c r="C11" s="140" t="s">
        <v>55</v>
      </c>
      <c r="D11" s="133">
        <v>0.86</v>
      </c>
      <c r="E11" s="140" t="s">
        <v>56</v>
      </c>
      <c r="F11" s="134">
        <v>0.14000000000000001</v>
      </c>
      <c r="G11" s="135"/>
      <c r="H11" s="136"/>
      <c r="I11" s="135"/>
      <c r="J11" s="136"/>
      <c r="K11" s="135"/>
      <c r="L11" s="136"/>
      <c r="M11" s="137">
        <f t="shared" ref="M11:M37" si="0">+COUNTIF(C11:L11,"*")</f>
        <v>2</v>
      </c>
      <c r="N11" s="138">
        <f t="shared" ref="N11:N37" si="1">+SUM(D11,F11,H11,J11,L11)</f>
        <v>1</v>
      </c>
    </row>
    <row r="12" spans="1:16" s="139" customFormat="1" ht="40.5" customHeight="1">
      <c r="A12" s="108">
        <v>3</v>
      </c>
      <c r="B12" s="140" t="s">
        <v>57</v>
      </c>
      <c r="C12" s="140" t="s">
        <v>58</v>
      </c>
      <c r="D12" s="133">
        <v>0.5</v>
      </c>
      <c r="E12" s="140" t="s">
        <v>59</v>
      </c>
      <c r="F12" s="134">
        <v>0.5</v>
      </c>
      <c r="G12" s="135"/>
      <c r="H12" s="136"/>
      <c r="I12" s="135"/>
      <c r="J12" s="136"/>
      <c r="K12" s="135"/>
      <c r="L12" s="136"/>
      <c r="M12" s="137">
        <f t="shared" si="0"/>
        <v>2</v>
      </c>
      <c r="N12" s="138">
        <f t="shared" si="1"/>
        <v>1</v>
      </c>
    </row>
    <row r="13" spans="1:16" s="139" customFormat="1" ht="46.5" customHeight="1">
      <c r="A13" s="108">
        <v>4</v>
      </c>
      <c r="B13" s="140" t="s">
        <v>60</v>
      </c>
      <c r="C13" s="140" t="s">
        <v>61</v>
      </c>
      <c r="D13" s="133">
        <v>0.5</v>
      </c>
      <c r="E13" s="140" t="s">
        <v>62</v>
      </c>
      <c r="F13" s="134">
        <v>0.5</v>
      </c>
      <c r="G13" s="135"/>
      <c r="H13" s="136"/>
      <c r="I13" s="135"/>
      <c r="J13" s="136"/>
      <c r="K13" s="135"/>
      <c r="L13" s="136"/>
      <c r="M13" s="137">
        <f t="shared" si="0"/>
        <v>2</v>
      </c>
      <c r="N13" s="138">
        <f t="shared" si="1"/>
        <v>1</v>
      </c>
    </row>
    <row r="14" spans="1:16" s="139" customFormat="1" ht="63">
      <c r="A14" s="108">
        <v>5</v>
      </c>
      <c r="B14" s="140" t="s">
        <v>63</v>
      </c>
      <c r="C14" s="140" t="s">
        <v>64</v>
      </c>
      <c r="D14" s="133">
        <v>0.09</v>
      </c>
      <c r="E14" s="140" t="s">
        <v>65</v>
      </c>
      <c r="F14" s="134">
        <v>0.91</v>
      </c>
      <c r="G14" s="178"/>
      <c r="H14" s="136"/>
      <c r="I14" s="135"/>
      <c r="J14" s="136"/>
      <c r="K14" s="135"/>
      <c r="L14" s="136"/>
      <c r="M14" s="137">
        <f t="shared" si="0"/>
        <v>2</v>
      </c>
      <c r="N14" s="138">
        <f t="shared" si="1"/>
        <v>1</v>
      </c>
    </row>
    <row r="15" spans="1:16" s="139" customFormat="1" ht="40.5" hidden="1" customHeight="1">
      <c r="A15" s="108">
        <v>6</v>
      </c>
      <c r="B15" s="140"/>
      <c r="C15" s="140"/>
      <c r="D15" s="133"/>
      <c r="E15" s="140"/>
      <c r="F15" s="134"/>
      <c r="G15" s="135"/>
      <c r="H15" s="136"/>
      <c r="I15" s="135"/>
      <c r="J15" s="136"/>
      <c r="K15" s="135"/>
      <c r="L15" s="136"/>
      <c r="M15" s="137">
        <f t="shared" si="0"/>
        <v>0</v>
      </c>
      <c r="N15" s="138">
        <f t="shared" si="1"/>
        <v>0</v>
      </c>
    </row>
    <row r="16" spans="1:16" s="139" customFormat="1" ht="54.75" hidden="1" customHeight="1">
      <c r="A16" s="108">
        <v>7</v>
      </c>
      <c r="B16" s="140"/>
      <c r="C16" s="140"/>
      <c r="D16" s="133"/>
      <c r="E16" s="140"/>
      <c r="F16" s="134"/>
      <c r="G16" s="135"/>
      <c r="H16" s="136"/>
      <c r="I16" s="135"/>
      <c r="J16" s="136"/>
      <c r="K16" s="135"/>
      <c r="L16" s="136"/>
      <c r="M16" s="137">
        <f t="shared" si="0"/>
        <v>0</v>
      </c>
      <c r="N16" s="138">
        <f t="shared" si="1"/>
        <v>0</v>
      </c>
    </row>
    <row r="17" spans="1:14" s="139" customFormat="1" ht="54.75" hidden="1" customHeight="1">
      <c r="A17" s="108">
        <v>8</v>
      </c>
      <c r="B17" s="140"/>
      <c r="C17" s="140"/>
      <c r="D17" s="133"/>
      <c r="E17" s="140"/>
      <c r="F17" s="134"/>
      <c r="G17" s="135"/>
      <c r="H17" s="136"/>
      <c r="I17" s="135"/>
      <c r="J17" s="136"/>
      <c r="K17" s="135"/>
      <c r="L17" s="136"/>
      <c r="M17" s="137">
        <f t="shared" si="0"/>
        <v>0</v>
      </c>
      <c r="N17" s="138">
        <f t="shared" si="1"/>
        <v>0</v>
      </c>
    </row>
    <row r="18" spans="1:14" s="139" customFormat="1" ht="40.5" hidden="1" customHeight="1">
      <c r="A18" s="108">
        <v>9</v>
      </c>
      <c r="B18" s="140"/>
      <c r="C18" s="140"/>
      <c r="D18" s="133"/>
      <c r="E18" s="140"/>
      <c r="F18" s="134"/>
      <c r="G18" s="135"/>
      <c r="H18" s="136"/>
      <c r="I18" s="135"/>
      <c r="J18" s="136"/>
      <c r="K18" s="135"/>
      <c r="L18" s="136"/>
      <c r="M18" s="137">
        <f t="shared" si="0"/>
        <v>0</v>
      </c>
      <c r="N18" s="138">
        <f t="shared" si="1"/>
        <v>0</v>
      </c>
    </row>
    <row r="19" spans="1:14" s="139" customFormat="1" ht="40.5" hidden="1" customHeight="1">
      <c r="A19" s="108">
        <v>10</v>
      </c>
      <c r="B19" s="140"/>
      <c r="C19" s="140"/>
      <c r="D19" s="133"/>
      <c r="E19" s="140"/>
      <c r="F19" s="134"/>
      <c r="G19" s="135"/>
      <c r="H19" s="136"/>
      <c r="I19" s="135"/>
      <c r="J19" s="136"/>
      <c r="K19" s="135"/>
      <c r="L19" s="136"/>
      <c r="M19" s="137">
        <f t="shared" si="0"/>
        <v>0</v>
      </c>
      <c r="N19" s="138">
        <f t="shared" si="1"/>
        <v>0</v>
      </c>
    </row>
    <row r="20" spans="1:14" s="139" customFormat="1" ht="40.5" hidden="1" customHeight="1">
      <c r="A20" s="108">
        <v>11</v>
      </c>
      <c r="B20" s="140"/>
      <c r="C20" s="140"/>
      <c r="D20" s="133"/>
      <c r="E20" s="140"/>
      <c r="F20" s="134"/>
      <c r="G20" s="135"/>
      <c r="H20" s="136"/>
      <c r="I20" s="135"/>
      <c r="J20" s="136"/>
      <c r="K20" s="135"/>
      <c r="L20" s="136"/>
      <c r="M20" s="137">
        <f t="shared" si="0"/>
        <v>0</v>
      </c>
      <c r="N20" s="138">
        <f t="shared" si="1"/>
        <v>0</v>
      </c>
    </row>
    <row r="21" spans="1:14" s="139" customFormat="1" ht="40.5" hidden="1" customHeight="1">
      <c r="A21" s="108">
        <v>12</v>
      </c>
      <c r="B21" s="140"/>
      <c r="C21" s="140"/>
      <c r="D21" s="133"/>
      <c r="E21" s="140"/>
      <c r="F21" s="134"/>
      <c r="G21" s="135"/>
      <c r="H21" s="136"/>
      <c r="I21" s="135"/>
      <c r="J21" s="136"/>
      <c r="K21" s="135"/>
      <c r="L21" s="136"/>
      <c r="M21" s="137">
        <f t="shared" si="0"/>
        <v>0</v>
      </c>
      <c r="N21" s="138">
        <f t="shared" si="1"/>
        <v>0</v>
      </c>
    </row>
    <row r="22" spans="1:14" s="139" customFormat="1" ht="40.5" hidden="1" customHeight="1">
      <c r="A22" s="108">
        <v>13</v>
      </c>
      <c r="B22" s="140"/>
      <c r="C22" s="140"/>
      <c r="D22" s="133"/>
      <c r="E22" s="140"/>
      <c r="F22" s="134"/>
      <c r="G22" s="135"/>
      <c r="H22" s="136"/>
      <c r="I22" s="135"/>
      <c r="J22" s="136"/>
      <c r="K22" s="135"/>
      <c r="L22" s="136"/>
      <c r="M22" s="137">
        <f t="shared" si="0"/>
        <v>0</v>
      </c>
      <c r="N22" s="138">
        <f t="shared" si="1"/>
        <v>0</v>
      </c>
    </row>
    <row r="23" spans="1:14" s="139" customFormat="1" ht="40.5" hidden="1" customHeight="1">
      <c r="A23" s="108">
        <v>14</v>
      </c>
      <c r="B23" s="140"/>
      <c r="C23" s="140"/>
      <c r="D23" s="133"/>
      <c r="E23" s="140"/>
      <c r="F23" s="134"/>
      <c r="G23" s="135"/>
      <c r="H23" s="136"/>
      <c r="I23" s="135"/>
      <c r="J23" s="136"/>
      <c r="K23" s="135"/>
      <c r="L23" s="136"/>
      <c r="M23" s="137">
        <f t="shared" si="0"/>
        <v>0</v>
      </c>
      <c r="N23" s="138">
        <f t="shared" si="1"/>
        <v>0</v>
      </c>
    </row>
    <row r="24" spans="1:14" s="139" customFormat="1" ht="40.5" hidden="1" customHeight="1">
      <c r="A24" s="108">
        <v>15</v>
      </c>
      <c r="B24" s="140"/>
      <c r="C24" s="140"/>
      <c r="D24" s="133"/>
      <c r="E24" s="140"/>
      <c r="F24" s="134"/>
      <c r="G24" s="135"/>
      <c r="H24" s="136"/>
      <c r="I24" s="135"/>
      <c r="J24" s="136"/>
      <c r="K24" s="135"/>
      <c r="L24" s="136"/>
      <c r="M24" s="137">
        <f t="shared" si="0"/>
        <v>0</v>
      </c>
      <c r="N24" s="138">
        <f t="shared" si="1"/>
        <v>0</v>
      </c>
    </row>
    <row r="25" spans="1:14" s="139" customFormat="1" ht="40.5" hidden="1" customHeight="1">
      <c r="A25" s="108">
        <v>16</v>
      </c>
      <c r="B25" s="140"/>
      <c r="C25" s="140"/>
      <c r="D25" s="133"/>
      <c r="E25" s="140"/>
      <c r="F25" s="134"/>
      <c r="G25" s="135"/>
      <c r="H25" s="136"/>
      <c r="I25" s="135"/>
      <c r="J25" s="136"/>
      <c r="K25" s="135"/>
      <c r="L25" s="136"/>
      <c r="M25" s="137">
        <f t="shared" si="0"/>
        <v>0</v>
      </c>
      <c r="N25" s="138">
        <f t="shared" si="1"/>
        <v>0</v>
      </c>
    </row>
    <row r="26" spans="1:14" s="139" customFormat="1" ht="54.75" hidden="1" customHeight="1">
      <c r="A26" s="108">
        <v>17</v>
      </c>
      <c r="B26" s="140"/>
      <c r="C26" s="140"/>
      <c r="D26" s="133"/>
      <c r="E26" s="140"/>
      <c r="F26" s="134"/>
      <c r="G26" s="135"/>
      <c r="H26" s="136"/>
      <c r="I26" s="135"/>
      <c r="J26" s="136"/>
      <c r="K26" s="135"/>
      <c r="L26" s="136"/>
      <c r="M26" s="137">
        <f t="shared" si="0"/>
        <v>0</v>
      </c>
      <c r="N26" s="138">
        <f t="shared" si="1"/>
        <v>0</v>
      </c>
    </row>
    <row r="27" spans="1:14" s="139" customFormat="1" ht="54.75" hidden="1" customHeight="1">
      <c r="A27" s="108">
        <v>18</v>
      </c>
      <c r="B27" s="140"/>
      <c r="C27" s="140"/>
      <c r="D27" s="133"/>
      <c r="E27" s="140"/>
      <c r="F27" s="134"/>
      <c r="G27" s="135"/>
      <c r="H27" s="136"/>
      <c r="I27" s="135"/>
      <c r="J27" s="136"/>
      <c r="K27" s="135"/>
      <c r="L27" s="136"/>
      <c r="M27" s="137">
        <f t="shared" si="0"/>
        <v>0</v>
      </c>
      <c r="N27" s="138">
        <f t="shared" si="1"/>
        <v>0</v>
      </c>
    </row>
    <row r="28" spans="1:14" s="139" customFormat="1" ht="54.75" hidden="1" customHeight="1">
      <c r="A28" s="108">
        <v>19</v>
      </c>
      <c r="B28" s="140"/>
      <c r="C28" s="140"/>
      <c r="D28" s="133"/>
      <c r="E28" s="140"/>
      <c r="F28" s="134"/>
      <c r="G28" s="135"/>
      <c r="H28" s="136"/>
      <c r="I28" s="135"/>
      <c r="J28" s="136"/>
      <c r="K28" s="135"/>
      <c r="L28" s="136"/>
      <c r="M28" s="137">
        <f t="shared" si="0"/>
        <v>0</v>
      </c>
      <c r="N28" s="138">
        <f t="shared" si="1"/>
        <v>0</v>
      </c>
    </row>
    <row r="29" spans="1:14" s="139" customFormat="1" ht="54.75" hidden="1" customHeight="1">
      <c r="A29" s="108">
        <v>20</v>
      </c>
      <c r="B29" s="140"/>
      <c r="C29" s="140"/>
      <c r="D29" s="133"/>
      <c r="E29" s="140"/>
      <c r="F29" s="134"/>
      <c r="G29" s="135"/>
      <c r="H29" s="136"/>
      <c r="I29" s="135"/>
      <c r="J29" s="136"/>
      <c r="K29" s="135"/>
      <c r="L29" s="136"/>
      <c r="M29" s="137">
        <f t="shared" si="0"/>
        <v>0</v>
      </c>
      <c r="N29" s="138">
        <f t="shared" si="1"/>
        <v>0</v>
      </c>
    </row>
    <row r="30" spans="1:14" s="139" customFormat="1" ht="54.75" hidden="1" customHeight="1">
      <c r="A30" s="108">
        <v>21</v>
      </c>
      <c r="B30" s="140"/>
      <c r="C30" s="140"/>
      <c r="D30" s="133"/>
      <c r="E30" s="140"/>
      <c r="F30" s="134"/>
      <c r="G30" s="135"/>
      <c r="H30" s="136"/>
      <c r="I30" s="135"/>
      <c r="J30" s="136"/>
      <c r="K30" s="135"/>
      <c r="L30" s="136"/>
      <c r="M30" s="137">
        <f t="shared" si="0"/>
        <v>0</v>
      </c>
      <c r="N30" s="138">
        <f t="shared" si="1"/>
        <v>0</v>
      </c>
    </row>
    <row r="31" spans="1:14" s="139" customFormat="1" ht="54.75" hidden="1" customHeight="1">
      <c r="A31" s="108">
        <v>22</v>
      </c>
      <c r="B31" s="140"/>
      <c r="C31" s="140"/>
      <c r="D31" s="133"/>
      <c r="E31" s="140"/>
      <c r="F31" s="134"/>
      <c r="G31" s="135"/>
      <c r="H31" s="136"/>
      <c r="I31" s="135"/>
      <c r="J31" s="136"/>
      <c r="K31" s="135"/>
      <c r="L31" s="136"/>
      <c r="M31" s="137">
        <f t="shared" si="0"/>
        <v>0</v>
      </c>
      <c r="N31" s="138">
        <f t="shared" si="1"/>
        <v>0</v>
      </c>
    </row>
    <row r="32" spans="1:14" s="139" customFormat="1" ht="54.75" hidden="1" customHeight="1">
      <c r="A32" s="108">
        <v>23</v>
      </c>
      <c r="B32" s="140"/>
      <c r="C32" s="140"/>
      <c r="D32" s="133"/>
      <c r="E32" s="140"/>
      <c r="F32" s="134"/>
      <c r="G32" s="135"/>
      <c r="H32" s="136"/>
      <c r="I32" s="135"/>
      <c r="J32" s="136"/>
      <c r="K32" s="135"/>
      <c r="L32" s="136"/>
      <c r="M32" s="137">
        <f t="shared" si="0"/>
        <v>0</v>
      </c>
      <c r="N32" s="138">
        <f t="shared" si="1"/>
        <v>0</v>
      </c>
    </row>
    <row r="33" spans="1:15" s="139" customFormat="1" ht="54.75" hidden="1" customHeight="1">
      <c r="A33" s="108">
        <v>24</v>
      </c>
      <c r="B33" s="140"/>
      <c r="C33" s="140"/>
      <c r="D33" s="133"/>
      <c r="E33" s="140"/>
      <c r="F33" s="134"/>
      <c r="G33" s="135"/>
      <c r="H33" s="136"/>
      <c r="I33" s="135"/>
      <c r="J33" s="136"/>
      <c r="K33" s="135"/>
      <c r="L33" s="136"/>
      <c r="M33" s="137">
        <f t="shared" si="0"/>
        <v>0</v>
      </c>
      <c r="N33" s="138">
        <f t="shared" si="1"/>
        <v>0</v>
      </c>
    </row>
    <row r="34" spans="1:15" s="139" customFormat="1" ht="54.75" hidden="1" customHeight="1">
      <c r="A34" s="108">
        <v>25</v>
      </c>
      <c r="B34" s="140"/>
      <c r="C34" s="140"/>
      <c r="D34" s="133"/>
      <c r="E34" s="140"/>
      <c r="F34" s="134"/>
      <c r="G34" s="135"/>
      <c r="H34" s="136"/>
      <c r="I34" s="135"/>
      <c r="J34" s="136"/>
      <c r="K34" s="135"/>
      <c r="L34" s="136"/>
      <c r="M34" s="137">
        <f t="shared" si="0"/>
        <v>0</v>
      </c>
      <c r="N34" s="138">
        <f t="shared" si="1"/>
        <v>0</v>
      </c>
    </row>
    <row r="35" spans="1:15" s="139" customFormat="1" ht="54.75" hidden="1" customHeight="1">
      <c r="A35" s="108">
        <v>26</v>
      </c>
      <c r="B35" s="140"/>
      <c r="C35" s="140"/>
      <c r="D35" s="133"/>
      <c r="E35" s="140"/>
      <c r="F35" s="134"/>
      <c r="G35" s="135"/>
      <c r="H35" s="136"/>
      <c r="I35" s="135"/>
      <c r="J35" s="136"/>
      <c r="K35" s="135"/>
      <c r="L35" s="136"/>
      <c r="M35" s="137">
        <f t="shared" si="0"/>
        <v>0</v>
      </c>
      <c r="N35" s="138">
        <f t="shared" si="1"/>
        <v>0</v>
      </c>
    </row>
    <row r="36" spans="1:15" s="139" customFormat="1" ht="54.75" hidden="1" customHeight="1">
      <c r="A36" s="108">
        <v>27</v>
      </c>
      <c r="B36" s="140"/>
      <c r="C36" s="140"/>
      <c r="D36" s="133"/>
      <c r="E36" s="140"/>
      <c r="F36" s="134"/>
      <c r="G36" s="135"/>
      <c r="H36" s="136"/>
      <c r="I36" s="135"/>
      <c r="J36" s="136"/>
      <c r="K36" s="135"/>
      <c r="L36" s="136"/>
      <c r="M36" s="137">
        <f t="shared" si="0"/>
        <v>0</v>
      </c>
      <c r="N36" s="138">
        <f t="shared" si="1"/>
        <v>0</v>
      </c>
    </row>
    <row r="37" spans="1:15" s="139" customFormat="1" ht="68.25" hidden="1" customHeight="1">
      <c r="A37" s="108">
        <v>28</v>
      </c>
      <c r="B37" s="140"/>
      <c r="C37" s="140"/>
      <c r="D37" s="133"/>
      <c r="E37" s="140"/>
      <c r="F37" s="134"/>
      <c r="G37" s="178"/>
      <c r="H37" s="136"/>
      <c r="I37" s="178"/>
      <c r="J37" s="136">
        <v>0.1</v>
      </c>
      <c r="K37" s="135"/>
      <c r="L37" s="136"/>
      <c r="M37" s="137">
        <f t="shared" si="0"/>
        <v>0</v>
      </c>
      <c r="N37" s="138">
        <f t="shared" si="1"/>
        <v>0.1</v>
      </c>
    </row>
    <row r="38" spans="1:15" s="139" customFormat="1" ht="54.75" customHeight="1">
      <c r="A38" s="25"/>
      <c r="B38" s="25"/>
      <c r="C38" s="25"/>
      <c r="D38" s="25"/>
      <c r="E38" s="25"/>
      <c r="F38" s="25"/>
      <c r="G38" s="25"/>
      <c r="H38" s="25"/>
      <c r="I38" s="25"/>
      <c r="J38" s="25"/>
      <c r="K38" s="25"/>
      <c r="L38" s="25"/>
      <c r="M38" s="25"/>
      <c r="N38" s="25"/>
      <c r="O38" s="25"/>
    </row>
    <row r="39" spans="1:15" s="139" customFormat="1" ht="54.75" customHeight="1">
      <c r="A39" s="25"/>
      <c r="B39" s="25"/>
      <c r="C39" s="25"/>
      <c r="D39" s="25"/>
      <c r="E39" s="25"/>
      <c r="F39" s="25"/>
      <c r="G39" s="25"/>
      <c r="H39" s="25"/>
      <c r="I39" s="25"/>
      <c r="J39" s="25"/>
      <c r="K39" s="25"/>
      <c r="L39" s="25"/>
      <c r="M39" s="25"/>
      <c r="N39" s="25"/>
      <c r="O39" s="25"/>
    </row>
    <row r="40" spans="1:15" s="139" customFormat="1" ht="54.75" customHeight="1">
      <c r="A40" s="25"/>
      <c r="B40" s="25"/>
      <c r="C40" s="25"/>
      <c r="D40" s="25"/>
      <c r="E40" s="25"/>
      <c r="F40" s="25"/>
      <c r="G40" s="25"/>
      <c r="H40" s="25"/>
      <c r="I40" s="25"/>
      <c r="J40" s="25"/>
      <c r="K40" s="25"/>
      <c r="L40" s="25"/>
      <c r="M40" s="25"/>
      <c r="N40" s="25"/>
      <c r="O40" s="25"/>
    </row>
    <row r="41" spans="1:15" s="139" customFormat="1" ht="54.75" customHeight="1">
      <c r="A41" s="25"/>
      <c r="B41" s="25"/>
      <c r="C41" s="25"/>
      <c r="D41" s="25"/>
      <c r="E41" s="25"/>
      <c r="F41" s="25"/>
      <c r="G41" s="25"/>
      <c r="H41" s="25"/>
      <c r="I41" s="25"/>
      <c r="J41" s="25"/>
      <c r="K41" s="25"/>
      <c r="L41" s="25"/>
      <c r="M41" s="25"/>
      <c r="N41" s="25"/>
      <c r="O41" s="25"/>
    </row>
    <row r="42" spans="1:15" s="139" customFormat="1" ht="54.75" customHeight="1">
      <c r="A42" s="25"/>
      <c r="B42" s="25"/>
      <c r="C42" s="25"/>
      <c r="D42" s="25"/>
      <c r="E42" s="25"/>
      <c r="F42" s="25"/>
      <c r="G42" s="25"/>
      <c r="H42" s="25"/>
      <c r="I42" s="25"/>
      <c r="J42" s="25"/>
      <c r="K42" s="25"/>
      <c r="L42" s="25"/>
      <c r="M42" s="25"/>
      <c r="N42" s="25"/>
      <c r="O42" s="25"/>
    </row>
  </sheetData>
  <mergeCells count="16">
    <mergeCell ref="A8:N8"/>
    <mergeCell ref="A5:B6"/>
    <mergeCell ref="D5:E5"/>
    <mergeCell ref="D6:E6"/>
    <mergeCell ref="A4:B4"/>
    <mergeCell ref="C4:E4"/>
    <mergeCell ref="F4:G4"/>
    <mergeCell ref="H4:O4"/>
    <mergeCell ref="O5:O6"/>
    <mergeCell ref="F5:M6"/>
    <mergeCell ref="A1:P1"/>
    <mergeCell ref="E2:P2"/>
    <mergeCell ref="N5:N6"/>
    <mergeCell ref="A2:B3"/>
    <mergeCell ref="C2:D2"/>
    <mergeCell ref="C3:O3"/>
  </mergeCells>
  <phoneticPr fontId="16" type="noConversion"/>
  <conditionalFormatting sqref="N10:N37">
    <cfRule type="cellIs" dxfId="1304" priority="9" operator="equal">
      <formula>0</formula>
    </cfRule>
    <cfRule type="cellIs" dxfId="1303" priority="10" operator="lessThan">
      <formula>1</formula>
    </cfRule>
    <cfRule type="cellIs" dxfId="1302" priority="11" operator="greaterThan">
      <formula>1</formula>
    </cfRule>
    <cfRule type="cellIs" dxfId="1301" priority="12" operator="equal">
      <formula>1</formula>
    </cfRule>
  </conditionalFormatting>
  <pageMargins left="0.7" right="0.7" top="0.75" bottom="0.75" header="0.3" footer="0.3"/>
  <pageSetup scale="2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2"/>
  <sheetViews>
    <sheetView zoomScale="70" zoomScaleNormal="70" workbookViewId="0">
      <selection activeCell="E22" sqref="E22"/>
    </sheetView>
  </sheetViews>
  <sheetFormatPr baseColWidth="10" defaultColWidth="11.42578125" defaultRowHeight="15"/>
  <cols>
    <col min="1" max="1" width="4.140625" style="16" customWidth="1"/>
    <col min="2" max="2" width="26.85546875" style="16" customWidth="1"/>
    <col min="3" max="3" width="22.7109375" style="16" customWidth="1"/>
    <col min="4" max="4" width="12" style="41" customWidth="1"/>
    <col min="5" max="5" width="12" style="60" customWidth="1"/>
    <col min="6" max="6" width="29.85546875" style="16" customWidth="1"/>
    <col min="7" max="7" width="21.85546875" style="16" customWidth="1"/>
    <col min="8" max="8" width="26.42578125" style="16" customWidth="1"/>
    <col min="9" max="12" width="16.42578125" style="16" customWidth="1"/>
    <col min="13" max="13" width="16.42578125" style="16" bestFit="1" customWidth="1"/>
    <col min="14" max="14" width="19.5703125" style="16" customWidth="1"/>
    <col min="15" max="15" width="26.42578125" style="16" customWidth="1"/>
    <col min="16" max="16384" width="11.42578125" style="16"/>
  </cols>
  <sheetData>
    <row r="1" spans="1:16">
      <c r="B1"/>
      <c r="C1"/>
      <c r="D1"/>
      <c r="E1"/>
      <c r="F1"/>
      <c r="G1"/>
      <c r="H1"/>
      <c r="I1"/>
      <c r="J1"/>
      <c r="K1"/>
      <c r="L1"/>
      <c r="M1"/>
      <c r="N1"/>
      <c r="O1"/>
    </row>
    <row r="2" spans="1:16" ht="18.75">
      <c r="A2" s="255" t="s">
        <v>66</v>
      </c>
      <c r="B2" s="255"/>
      <c r="C2" s="255"/>
      <c r="D2" s="255"/>
      <c r="E2" s="255"/>
      <c r="F2" s="255"/>
      <c r="G2" s="255"/>
      <c r="H2" s="255"/>
      <c r="I2" s="255"/>
      <c r="J2" s="255"/>
      <c r="K2" s="255"/>
      <c r="L2" s="255"/>
      <c r="M2" s="255"/>
      <c r="N2" s="255"/>
      <c r="O2" s="255"/>
      <c r="P2" s="255"/>
    </row>
    <row r="3" spans="1:16">
      <c r="A3" s="264"/>
      <c r="B3" s="264"/>
      <c r="C3" s="264"/>
      <c r="D3" s="264"/>
      <c r="E3" s="264"/>
      <c r="F3" s="264"/>
      <c r="G3" s="264"/>
      <c r="H3" s="264"/>
      <c r="I3" s="264"/>
      <c r="J3" s="264"/>
      <c r="K3" s="264"/>
      <c r="L3" s="264"/>
      <c r="M3" s="264"/>
      <c r="N3" s="264"/>
      <c r="O3" s="264"/>
      <c r="P3" s="264"/>
    </row>
    <row r="4" spans="1:16" ht="18.75">
      <c r="A4" s="255" t="str">
        <f>'DATOS INICIALES'!G4</f>
        <v>FDLK-LP-007-2024</v>
      </c>
      <c r="B4" s="255"/>
      <c r="C4" s="255"/>
      <c r="D4" s="255"/>
      <c r="E4" s="255"/>
      <c r="F4" s="255"/>
      <c r="G4" s="255"/>
      <c r="H4" s="255"/>
      <c r="I4" s="255"/>
      <c r="J4" s="255"/>
      <c r="K4" s="255"/>
      <c r="L4" s="255"/>
      <c r="M4" s="255"/>
      <c r="N4" s="255"/>
      <c r="O4" s="255"/>
      <c r="P4" s="255"/>
    </row>
    <row r="5" spans="1:16">
      <c r="A5" s="264"/>
      <c r="B5" s="264"/>
      <c r="C5" s="264"/>
      <c r="D5" s="264"/>
      <c r="E5" s="264"/>
      <c r="F5" s="264"/>
      <c r="G5" s="264"/>
      <c r="H5" s="264"/>
      <c r="I5" s="264"/>
      <c r="J5" s="264"/>
      <c r="K5" s="264"/>
      <c r="L5" s="264"/>
      <c r="M5" s="264"/>
      <c r="N5" s="264"/>
      <c r="O5" s="264"/>
      <c r="P5" s="264"/>
    </row>
    <row r="6" spans="1:16">
      <c r="A6" s="287" t="s">
        <v>67</v>
      </c>
      <c r="B6" s="287"/>
      <c r="C6" s="67" t="s">
        <v>68</v>
      </c>
      <c r="D6" s="286" t="s">
        <v>69</v>
      </c>
      <c r="E6" s="286"/>
      <c r="F6" s="286"/>
      <c r="G6" s="87">
        <v>44498</v>
      </c>
      <c r="H6" s="281"/>
      <c r="I6" s="282"/>
      <c r="J6" s="282"/>
      <c r="K6" s="282"/>
      <c r="L6" s="282"/>
      <c r="M6" s="282"/>
      <c r="N6" s="282"/>
      <c r="O6" s="282"/>
      <c r="P6" s="283"/>
    </row>
    <row r="7" spans="1:16">
      <c r="A7" s="285" t="s">
        <v>70</v>
      </c>
      <c r="B7" s="285"/>
      <c r="C7" s="285"/>
      <c r="D7" s="285"/>
      <c r="E7" s="285"/>
      <c r="F7" s="285"/>
      <c r="G7" s="285"/>
      <c r="H7" s="285"/>
      <c r="I7" s="285"/>
      <c r="J7" s="285"/>
      <c r="K7" s="285"/>
      <c r="L7" s="285"/>
      <c r="M7" s="285"/>
      <c r="N7" s="285"/>
      <c r="O7" s="285"/>
      <c r="P7" s="285"/>
    </row>
    <row r="8" spans="1:16" ht="36" customHeight="1">
      <c r="A8" s="278" t="s">
        <v>71</v>
      </c>
      <c r="B8" s="278"/>
      <c r="C8" s="28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284"/>
      <c r="E8" s="284"/>
      <c r="F8" s="284"/>
      <c r="G8" s="284"/>
      <c r="H8" s="284"/>
      <c r="I8" s="284"/>
      <c r="J8" s="284"/>
      <c r="K8" s="284"/>
      <c r="L8" s="284"/>
      <c r="M8" s="284"/>
      <c r="N8" s="284"/>
      <c r="O8" s="284"/>
      <c r="P8" s="284"/>
    </row>
    <row r="9" spans="1:16">
      <c r="A9" s="278" t="s">
        <v>72</v>
      </c>
      <c r="B9" s="278"/>
      <c r="C9" s="279">
        <f>+'DATOS INICIALES'!C6</f>
        <v>0</v>
      </c>
      <c r="D9" s="279"/>
      <c r="E9" s="279"/>
      <c r="F9" s="119" t="s">
        <v>73</v>
      </c>
      <c r="G9" s="120">
        <v>4</v>
      </c>
      <c r="H9" s="279"/>
      <c r="I9" s="279"/>
      <c r="J9" s="279"/>
      <c r="K9" s="279"/>
      <c r="L9" s="279"/>
      <c r="M9" s="279"/>
      <c r="N9" s="279"/>
      <c r="O9" s="279"/>
      <c r="P9" s="279"/>
    </row>
    <row r="10" spans="1:16">
      <c r="A10" s="278" t="s">
        <v>74</v>
      </c>
      <c r="B10" s="278"/>
      <c r="C10" s="280">
        <f>C9/'DATOS INICIALES'!B41</f>
        <v>0</v>
      </c>
      <c r="D10" s="280"/>
      <c r="E10" s="280"/>
      <c r="F10" s="121" t="s">
        <v>75</v>
      </c>
      <c r="G10" s="122">
        <v>0</v>
      </c>
      <c r="H10" s="280"/>
      <c r="I10" s="280"/>
      <c r="J10" s="280"/>
      <c r="K10" s="280"/>
      <c r="L10" s="280"/>
      <c r="M10" s="280"/>
      <c r="N10" s="280"/>
      <c r="O10" s="280"/>
      <c r="P10" s="280"/>
    </row>
    <row r="11" spans="1:16" ht="9" customHeight="1">
      <c r="E11" s="41"/>
    </row>
    <row r="12" spans="1:16" ht="86.25" customHeight="1" thickBot="1">
      <c r="A12" s="46" t="s">
        <v>43</v>
      </c>
      <c r="B12" s="46" t="s">
        <v>76</v>
      </c>
      <c r="C12" s="46" t="s">
        <v>77</v>
      </c>
      <c r="D12" s="46" t="s">
        <v>78</v>
      </c>
      <c r="E12" s="46" t="s">
        <v>79</v>
      </c>
      <c r="F12" s="46" t="s">
        <v>80</v>
      </c>
      <c r="G12" s="46" t="s">
        <v>81</v>
      </c>
      <c r="H12" s="46" t="s">
        <v>82</v>
      </c>
      <c r="I12" s="46" t="s">
        <v>83</v>
      </c>
      <c r="J12" s="46" t="s">
        <v>84</v>
      </c>
      <c r="K12" s="46" t="s">
        <v>85</v>
      </c>
      <c r="L12" s="46" t="s">
        <v>86</v>
      </c>
      <c r="M12" s="46" t="s">
        <v>87</v>
      </c>
      <c r="N12" s="46" t="s">
        <v>88</v>
      </c>
      <c r="O12" s="46" t="s">
        <v>89</v>
      </c>
      <c r="P12" s="46" t="s">
        <v>90</v>
      </c>
    </row>
    <row r="13" spans="1:16" ht="48" customHeight="1">
      <c r="A13" s="266">
        <v>1</v>
      </c>
      <c r="B13" s="263" t="str">
        <f>+PROPONENTES!B10</f>
        <v xml:space="preserve"> BOOST BUSINESS CONSULTING S.A.S.</v>
      </c>
      <c r="C13" s="47" t="str">
        <f>IF(VLOOKUP(B13,PROPONENTES!$B$10:$N$16,2,FALSE)="","",VLOOKUP(B13,PROPONENTES!$B$10:$N$16,2,FALSE))</f>
        <v xml:space="preserve"> BOOST BUSINESS CONSULTING S.A.S.</v>
      </c>
      <c r="D13" s="48">
        <f>VLOOKUP(B13,PROPONENTES!$B$10:$N$16,3,FALSE)</f>
        <v>1</v>
      </c>
      <c r="E13" s="57">
        <v>7.69</v>
      </c>
      <c r="F13" s="49">
        <v>1143587893</v>
      </c>
      <c r="G13" s="130">
        <v>47581519005.089996</v>
      </c>
      <c r="H13" s="50">
        <v>1</v>
      </c>
      <c r="I13" s="49">
        <v>114692409</v>
      </c>
      <c r="J13" s="51" t="e">
        <f>IF(C13="","",IF(AND((G13/($C$9*D13))&gt;0,(G13/($C$9*D13))&lt;=3),60,IF(AND((G13/($C$9*D13))&gt;3,(G13/($C$9*D13))&lt;=6),80,IF(AND((G13/($C$9*D13))&gt;6,(G13/($C$9*D13))&lt;=10),100,IF((G13/($C$9*D13))&gt;10,120,)))))</f>
        <v>#DIV/0!</v>
      </c>
      <c r="K13" s="51">
        <f>IF(C13="","",IF(AND(E13&gt;0,E13&lt;=0.5),20,IF(AND(E13&gt;0.5,E13&lt;=0.75),25,IF(AND(E13&gt;0.75,E13&lt;=1),30,IF(AND(E13&gt;1,E13&lt;=1.5),35,IF(E13&gt;1.5,40))))))</f>
        <v>40</v>
      </c>
      <c r="L13" s="51">
        <f>IF(C13="","",IF(AND(H13&gt;=1,H13&lt;=5),20,IF(AND(H13&gt;=6,H13&lt;=10),30,IF(H13&gt;=11,40,))))</f>
        <v>20</v>
      </c>
      <c r="M13" s="61" t="e">
        <f>+IF(C13="","",(F13*(J13+K13+L13)/100)-I13)</f>
        <v>#DIV/0!</v>
      </c>
      <c r="N13" s="269" t="e">
        <f>SUM(M13:M17)</f>
        <v>#DIV/0!</v>
      </c>
      <c r="O13" s="272">
        <f>IF($G$9&lt;=12,$C$9-$G$10*$C$9,(($C$9-$G$10)/$G$9)*12)</f>
        <v>0</v>
      </c>
      <c r="P13" s="275" t="e">
        <f>IF(N13&gt;=O13,"CUMPLE","NO CUMPLE")</f>
        <v>#DIV/0!</v>
      </c>
    </row>
    <row r="14" spans="1:16" ht="64.5" customHeight="1">
      <c r="A14" s="267"/>
      <c r="B14" s="264"/>
      <c r="C14" s="27" t="str">
        <f>IF(VLOOKUP(B13,PROPONENTES!$B$10:$N$16,4,FALSE)="","",VLOOKUP(B13,PROPONENTES!$B$10:$N$16,4,FALSE))</f>
        <v/>
      </c>
      <c r="D14" s="40">
        <f>VLOOKUP(B13,PROPONENTES!$B$10:$N$16,5,FALSE)</f>
        <v>0</v>
      </c>
      <c r="E14" s="131">
        <v>4.93</v>
      </c>
      <c r="F14" s="129">
        <v>126050742.52</v>
      </c>
      <c r="G14" s="129">
        <v>20725184508.040001</v>
      </c>
      <c r="H14" s="42">
        <v>1</v>
      </c>
      <c r="I14" s="43">
        <v>473451635</v>
      </c>
      <c r="J14" s="39" t="str">
        <f t="shared" ref="J14:J47" si="0">IF(C14="","",IF(AND((G14/($C$9*D14))&gt;0,(G14/($C$9*D14))&lt;=3),60,IF(AND((G14/($C$9*D14))&gt;3,(G14/($C$9*D14))&lt;=6),80,IF(AND((G14/($C$9*D14))&gt;6,(G14/($C$9*D14))&lt;=10),100,IF((G14/($C$9*D14))&gt;10,120,)))))</f>
        <v/>
      </c>
      <c r="K14" s="39" t="str">
        <f t="shared" ref="K14:K47" si="1">IF(C14="","",IF(AND(E14&gt;0,E14&lt;=0.5),20,IF(AND(E14&gt;0.5,E14&lt;=0.75),25,IF(AND(E14&gt;0.75,E14&lt;=1),30,IF(AND(E14&gt;1,E14&lt;=1.5),35,IF(E14&gt;1.5,40))))))</f>
        <v/>
      </c>
      <c r="L14" s="39" t="str">
        <f t="shared" ref="L14:L18" si="2">IF(C14="","",IF(AND(H14&gt;=1,H14&lt;=5),20,IF(AND(H14&gt;=6,H14&lt;=10),30,IF(H14&gt;=11,40,))))</f>
        <v/>
      </c>
      <c r="M14" s="62" t="str">
        <f t="shared" ref="M14:M18" si="3">+IF(C14="","",(F14*(J14+K14+L14)/100)-I14)</f>
        <v/>
      </c>
      <c r="N14" s="270"/>
      <c r="O14" s="273"/>
      <c r="P14" s="276"/>
    </row>
    <row r="15" spans="1:16">
      <c r="A15" s="267"/>
      <c r="B15" s="264"/>
      <c r="C15" s="27" t="str">
        <f>IF(VLOOKUP(B13,PROPONENTES!$B$10:$N$16,6,FALSE)="","",VLOOKUP(B13,PROPONENTES!$B$10:$N$16,6,FALSE))</f>
        <v/>
      </c>
      <c r="D15" s="40">
        <f>VLOOKUP(B13,PROPONENTES!$B$10:$N$16,7,FALSE)</f>
        <v>0</v>
      </c>
      <c r="E15" s="58"/>
      <c r="F15" s="43"/>
      <c r="G15" s="43"/>
      <c r="H15" s="42"/>
      <c r="I15" s="43"/>
      <c r="J15" s="39" t="str">
        <f t="shared" si="0"/>
        <v/>
      </c>
      <c r="K15" s="39" t="str">
        <f t="shared" si="1"/>
        <v/>
      </c>
      <c r="L15" s="39" t="str">
        <f t="shared" si="2"/>
        <v/>
      </c>
      <c r="M15" s="62" t="str">
        <f t="shared" si="3"/>
        <v/>
      </c>
      <c r="N15" s="270"/>
      <c r="O15" s="273"/>
      <c r="P15" s="276"/>
    </row>
    <row r="16" spans="1:16">
      <c r="A16" s="267"/>
      <c r="B16" s="264"/>
      <c r="C16" s="27" t="str">
        <f>IF(VLOOKUP(B13,PROPONENTES!$B$10:$N$16,8,FALSE)="","",VLOOKUP(B13,PROPONENTES!$B$10:$N$16,8,FALSE))</f>
        <v/>
      </c>
      <c r="D16" s="40">
        <f>VLOOKUP(B13,PROPONENTES!$B$10:$N$16,9,FALSE)</f>
        <v>0</v>
      </c>
      <c r="E16" s="58"/>
      <c r="F16" s="43"/>
      <c r="G16" s="43"/>
      <c r="H16" s="42"/>
      <c r="I16" s="43"/>
      <c r="J16" s="39" t="str">
        <f t="shared" si="0"/>
        <v/>
      </c>
      <c r="K16" s="39" t="str">
        <f t="shared" si="1"/>
        <v/>
      </c>
      <c r="L16" s="39" t="str">
        <f t="shared" si="2"/>
        <v/>
      </c>
      <c r="M16" s="27" t="str">
        <f t="shared" si="3"/>
        <v/>
      </c>
      <c r="N16" s="270"/>
      <c r="O16" s="273"/>
      <c r="P16" s="276"/>
    </row>
    <row r="17" spans="1:16" ht="15.75" thickBot="1">
      <c r="A17" s="268"/>
      <c r="B17" s="265"/>
      <c r="C17" s="52" t="str">
        <f>IF(VLOOKUP(B13,PROPONENTES!$B$10:$N$16,8,FALSE)="","",VLOOKUP(B13,PROPONENTES!$B$10:$N$16,10,FALSE))</f>
        <v/>
      </c>
      <c r="D17" s="53">
        <f>VLOOKUP(B13,PROPONENTES!$B$10:$N$16,11,FALSE)</f>
        <v>0</v>
      </c>
      <c r="E17" s="59"/>
      <c r="F17" s="54"/>
      <c r="G17" s="54"/>
      <c r="H17" s="55"/>
      <c r="I17" s="54"/>
      <c r="J17" s="56" t="str">
        <f t="shared" si="0"/>
        <v/>
      </c>
      <c r="K17" s="56" t="str">
        <f t="shared" si="1"/>
        <v/>
      </c>
      <c r="L17" s="56" t="str">
        <f t="shared" si="2"/>
        <v/>
      </c>
      <c r="M17" s="52" t="str">
        <f t="shared" si="3"/>
        <v/>
      </c>
      <c r="N17" s="271"/>
      <c r="O17" s="274"/>
      <c r="P17" s="277"/>
    </row>
    <row r="18" spans="1:16">
      <c r="A18" s="266">
        <v>2</v>
      </c>
      <c r="B18" s="263" t="str">
        <f>+PROPONENTES!B11</f>
        <v xml:space="preserve"> CONSORCIO KENNEDY AMBIENTAL 2024</v>
      </c>
      <c r="C18" s="47" t="str">
        <f>IF(VLOOKUP(B18,PROPONENTES!$B$10:$N$16,2,FALSE)="","",VLOOKUP(B18,PROPONENTES!$B$10:$N$16,2,FALSE))</f>
        <v xml:space="preserve"> Cepagro sas</v>
      </c>
      <c r="D18" s="48">
        <f>VLOOKUP(B18,PROPONENTES!$B$10:$N$16,3,FALSE)</f>
        <v>0.86</v>
      </c>
      <c r="E18" s="57">
        <v>9.36</v>
      </c>
      <c r="F18" s="49">
        <v>3939642522</v>
      </c>
      <c r="G18" s="49">
        <v>22662094014.450001</v>
      </c>
      <c r="H18" s="50">
        <v>9</v>
      </c>
      <c r="I18" s="49">
        <v>0</v>
      </c>
      <c r="J18" s="47" t="e">
        <f t="shared" si="0"/>
        <v>#DIV/0!</v>
      </c>
      <c r="K18" s="51">
        <f t="shared" si="1"/>
        <v>40</v>
      </c>
      <c r="L18" s="51">
        <f t="shared" si="2"/>
        <v>30</v>
      </c>
      <c r="M18" s="61" t="e">
        <f t="shared" si="3"/>
        <v>#DIV/0!</v>
      </c>
      <c r="N18" s="269" t="e">
        <f t="shared" ref="N18" si="4">SUM(M18:M22)</f>
        <v>#DIV/0!</v>
      </c>
      <c r="O18" s="272">
        <f t="shared" ref="O18" si="5">IF($G$9&lt;=12,$C$9-$G$10*$C$9,(($C$9-$G$10)/$G$9)*12)</f>
        <v>0</v>
      </c>
      <c r="P18" s="275" t="e">
        <f>IF(B18="","",IF(N18&gt;=O18,"CUMPLE","NO CUMPLE"))</f>
        <v>#DIV/0!</v>
      </c>
    </row>
    <row r="19" spans="1:16">
      <c r="A19" s="267"/>
      <c r="B19" s="264"/>
      <c r="C19" s="27" t="str">
        <f>IF(VLOOKUP(B18,PROPONENTES!$B$10:$N$16,4,FALSE)="","",VLOOKUP(B18,PROPONENTES!$B$10:$N$16,4,FALSE))</f>
        <v xml:space="preserve"> Fundaset</v>
      </c>
      <c r="D19" s="40">
        <f>VLOOKUP(B18,PROPONENTES!$B$10:$N$16,5,FALSE)</f>
        <v>0.14000000000000001</v>
      </c>
      <c r="E19" s="58"/>
      <c r="F19" s="43"/>
      <c r="G19" s="43"/>
      <c r="H19" s="42"/>
      <c r="I19" s="43"/>
      <c r="J19" s="27" t="e">
        <f t="shared" si="0"/>
        <v>#DIV/0!</v>
      </c>
      <c r="K19" s="39" t="b">
        <f t="shared" si="1"/>
        <v>0</v>
      </c>
      <c r="L19" s="39">
        <f t="shared" ref="L19:L47" si="6">IF(C19="","",IF(AND(H19&gt;=1,H19&lt;=5),20,IF(AND(H19&gt;=6,H19&lt;=10),30,IF(H19&gt;=11,40,))))</f>
        <v>0</v>
      </c>
      <c r="M19" s="62" t="e">
        <f t="shared" ref="M19:M47" si="7">+IF(C19="","",(F19*(J19+K19+L19)/100)-I19)</f>
        <v>#DIV/0!</v>
      </c>
      <c r="N19" s="270"/>
      <c r="O19" s="273"/>
      <c r="P19" s="276"/>
    </row>
    <row r="20" spans="1:16">
      <c r="A20" s="267"/>
      <c r="B20" s="264"/>
      <c r="C20" s="27" t="str">
        <f>IF(VLOOKUP(B18,PROPONENTES!$B$10:$N$16,6,FALSE)="","",VLOOKUP(B18,PROPONENTES!$B$10:$N$16,6,FALSE))</f>
        <v/>
      </c>
      <c r="D20" s="40">
        <f>VLOOKUP(B18,PROPONENTES!$B$10:$N$16,7,FALSE)</f>
        <v>0</v>
      </c>
      <c r="E20" s="58"/>
      <c r="F20" s="43"/>
      <c r="G20" s="43"/>
      <c r="H20" s="42"/>
      <c r="I20" s="43"/>
      <c r="J20" s="27" t="str">
        <f t="shared" si="0"/>
        <v/>
      </c>
      <c r="K20" s="39" t="str">
        <f t="shared" si="1"/>
        <v/>
      </c>
      <c r="L20" s="39" t="str">
        <f t="shared" si="6"/>
        <v/>
      </c>
      <c r="M20" s="62" t="str">
        <f t="shared" si="7"/>
        <v/>
      </c>
      <c r="N20" s="270"/>
      <c r="O20" s="273"/>
      <c r="P20" s="276"/>
    </row>
    <row r="21" spans="1:16">
      <c r="A21" s="267"/>
      <c r="B21" s="264"/>
      <c r="C21" s="27" t="str">
        <f>IF(VLOOKUP(B18,PROPONENTES!$B$10:$N$16,8,FALSE)="","",VLOOKUP(B18,PROPONENTES!$B$10:$N$16,8,FALSE))</f>
        <v/>
      </c>
      <c r="D21" s="40">
        <f>VLOOKUP(B18,PROPONENTES!$B$10:$N$16,9,FALSE)</f>
        <v>0</v>
      </c>
      <c r="E21" s="58"/>
      <c r="F21" s="43"/>
      <c r="G21" s="43"/>
      <c r="H21" s="42"/>
      <c r="I21" s="43"/>
      <c r="J21" s="27" t="str">
        <f t="shared" si="0"/>
        <v/>
      </c>
      <c r="K21" s="39" t="str">
        <f t="shared" si="1"/>
        <v/>
      </c>
      <c r="L21" s="39" t="str">
        <f t="shared" si="6"/>
        <v/>
      </c>
      <c r="M21" s="27" t="str">
        <f t="shared" si="7"/>
        <v/>
      </c>
      <c r="N21" s="270"/>
      <c r="O21" s="273"/>
      <c r="P21" s="276"/>
    </row>
    <row r="22" spans="1:16" ht="15.75" thickBot="1">
      <c r="A22" s="268"/>
      <c r="B22" s="265"/>
      <c r="C22" s="52" t="str">
        <f>IF(VLOOKUP(B18,PROPONENTES!$B$10:$N$16,8,FALSE)="","",VLOOKUP(B18,PROPONENTES!$B$10:$N$16,10,FALSE))</f>
        <v/>
      </c>
      <c r="D22" s="53">
        <f>VLOOKUP(B18,PROPONENTES!$B$10:$N$16,11,FALSE)</f>
        <v>0</v>
      </c>
      <c r="E22" s="59"/>
      <c r="F22" s="54"/>
      <c r="G22" s="54"/>
      <c r="H22" s="55"/>
      <c r="I22" s="54"/>
      <c r="J22" s="52" t="str">
        <f t="shared" si="0"/>
        <v/>
      </c>
      <c r="K22" s="56" t="str">
        <f t="shared" si="1"/>
        <v/>
      </c>
      <c r="L22" s="56" t="str">
        <f t="shared" si="6"/>
        <v/>
      </c>
      <c r="M22" s="52" t="str">
        <f t="shared" si="7"/>
        <v/>
      </c>
      <c r="N22" s="271"/>
      <c r="O22" s="274"/>
      <c r="P22" s="277"/>
    </row>
    <row r="23" spans="1:16" ht="45">
      <c r="A23" s="266">
        <v>3</v>
      </c>
      <c r="B23" s="263" t="str">
        <f>+PROPONENTES!B12</f>
        <v xml:space="preserve"> UNIÓN TEMPORAL SUEÑOS WM</v>
      </c>
      <c r="C23" s="47" t="str">
        <f>IF(VLOOKUP(B23,PROPONENTES!$B$10:$N$16,2,FALSE)="","",VLOOKUP(B23,PROPONENTES!$B$10:$N$16,2,FALSE))</f>
        <v xml:space="preserve"> Inversiones Para Desarrollo Empresarial S.A.S</v>
      </c>
      <c r="D23" s="48">
        <f>VLOOKUP(B23,PROPONENTES!$B$10:$N$16,3,FALSE)</f>
        <v>0.5</v>
      </c>
      <c r="E23" s="57">
        <v>61.61</v>
      </c>
      <c r="F23" s="49">
        <v>2950600000</v>
      </c>
      <c r="G23" s="49">
        <v>18288204552.619999</v>
      </c>
      <c r="H23" s="50">
        <v>1</v>
      </c>
      <c r="I23" s="49">
        <v>370167215.69999999</v>
      </c>
      <c r="J23" s="47" t="e">
        <f t="shared" si="0"/>
        <v>#DIV/0!</v>
      </c>
      <c r="K23" s="51">
        <f t="shared" si="1"/>
        <v>40</v>
      </c>
      <c r="L23" s="51">
        <f t="shared" si="6"/>
        <v>20</v>
      </c>
      <c r="M23" s="61" t="e">
        <f t="shared" si="7"/>
        <v>#DIV/0!</v>
      </c>
      <c r="N23" s="269" t="e">
        <f t="shared" ref="N23" si="8">SUM(M23:M27)</f>
        <v>#DIV/0!</v>
      </c>
      <c r="O23" s="272">
        <f t="shared" ref="O23" si="9">IF($G$9&lt;=12,$C$9-$G$10*$C$9,(($C$9-$G$10)/$G$9)*12)</f>
        <v>0</v>
      </c>
      <c r="P23" s="275" t="e">
        <f t="shared" ref="P23" si="10">IF(N23&gt;=O23,"CUMPLE","NO CUMPLE")</f>
        <v>#DIV/0!</v>
      </c>
    </row>
    <row r="24" spans="1:16" ht="30">
      <c r="A24" s="267"/>
      <c r="B24" s="264"/>
      <c r="C24" s="27" t="str">
        <f>IF(VLOOKUP(B23,PROPONENTES!$B$10:$N$16,4,FALSE)="","",VLOOKUP(B23,PROPONENTES!$B$10:$N$16,4,FALSE))</f>
        <v xml:space="preserve"> Fundación WR Tejido Social</v>
      </c>
      <c r="D24" s="40">
        <f>VLOOKUP(B23,PROPONENTES!$B$10:$N$16,5,FALSE)</f>
        <v>0.5</v>
      </c>
      <c r="E24" s="58"/>
      <c r="F24" s="43"/>
      <c r="G24" s="43"/>
      <c r="H24" s="42"/>
      <c r="I24" s="43"/>
      <c r="J24" s="27" t="e">
        <f t="shared" si="0"/>
        <v>#DIV/0!</v>
      </c>
      <c r="K24" s="39" t="b">
        <f t="shared" si="1"/>
        <v>0</v>
      </c>
      <c r="L24" s="39">
        <f t="shared" si="6"/>
        <v>0</v>
      </c>
      <c r="M24" s="62" t="e">
        <f t="shared" si="7"/>
        <v>#DIV/0!</v>
      </c>
      <c r="N24" s="270"/>
      <c r="O24" s="273"/>
      <c r="P24" s="276"/>
    </row>
    <row r="25" spans="1:16">
      <c r="A25" s="267"/>
      <c r="B25" s="264"/>
      <c r="C25" s="27" t="str">
        <f>IF(VLOOKUP(B23,PROPONENTES!$B$10:$N$16,6,FALSE)="","",VLOOKUP(B23,PROPONENTES!$B$10:$N$16,6,FALSE))</f>
        <v/>
      </c>
      <c r="D25" s="40">
        <f>VLOOKUP(B23,PROPONENTES!$B$10:$N$16,7,FALSE)</f>
        <v>0</v>
      </c>
      <c r="E25" s="58"/>
      <c r="F25" s="43"/>
      <c r="G25" s="43"/>
      <c r="H25" s="42"/>
      <c r="I25" s="43"/>
      <c r="J25" s="27" t="str">
        <f t="shared" si="0"/>
        <v/>
      </c>
      <c r="K25" s="39" t="str">
        <f t="shared" si="1"/>
        <v/>
      </c>
      <c r="L25" s="39" t="str">
        <f t="shared" si="6"/>
        <v/>
      </c>
      <c r="M25" s="62" t="str">
        <f t="shared" si="7"/>
        <v/>
      </c>
      <c r="N25" s="270"/>
      <c r="O25" s="273"/>
      <c r="P25" s="276"/>
    </row>
    <row r="26" spans="1:16">
      <c r="A26" s="267"/>
      <c r="B26" s="264"/>
      <c r="C26" s="27" t="str">
        <f>IF(VLOOKUP(B23,PROPONENTES!$B$10:$N$16,8,FALSE)="","",VLOOKUP(B23,PROPONENTES!$B$10:$N$16,8,FALSE))</f>
        <v/>
      </c>
      <c r="D26" s="40">
        <f>VLOOKUP(B23,PROPONENTES!$B$10:$N$16,9,FALSE)</f>
        <v>0</v>
      </c>
      <c r="E26" s="58"/>
      <c r="F26" s="43"/>
      <c r="G26" s="43"/>
      <c r="H26" s="42"/>
      <c r="I26" s="43"/>
      <c r="J26" s="27" t="str">
        <f t="shared" si="0"/>
        <v/>
      </c>
      <c r="K26" s="39" t="str">
        <f t="shared" si="1"/>
        <v/>
      </c>
      <c r="L26" s="39" t="str">
        <f t="shared" si="6"/>
        <v/>
      </c>
      <c r="M26" s="27" t="str">
        <f t="shared" si="7"/>
        <v/>
      </c>
      <c r="N26" s="270"/>
      <c r="O26" s="273"/>
      <c r="P26" s="276"/>
    </row>
    <row r="27" spans="1:16" ht="15.75" thickBot="1">
      <c r="A27" s="268"/>
      <c r="B27" s="265"/>
      <c r="C27" s="52" t="str">
        <f>IF(VLOOKUP(B23,PROPONENTES!$B$10:$N$16,8,FALSE)="","",VLOOKUP(B23,PROPONENTES!$B$10:$N$16,10,FALSE))</f>
        <v/>
      </c>
      <c r="D27" s="53">
        <f>VLOOKUP(B23,PROPONENTES!$B$10:$N$16,11,FALSE)</f>
        <v>0</v>
      </c>
      <c r="E27" s="59"/>
      <c r="F27" s="54"/>
      <c r="G27" s="54"/>
      <c r="H27" s="55"/>
      <c r="I27" s="54"/>
      <c r="J27" s="52" t="str">
        <f t="shared" si="0"/>
        <v/>
      </c>
      <c r="K27" s="56" t="str">
        <f t="shared" si="1"/>
        <v/>
      </c>
      <c r="L27" s="56" t="str">
        <f t="shared" si="6"/>
        <v/>
      </c>
      <c r="M27" s="52" t="str">
        <f t="shared" si="7"/>
        <v/>
      </c>
      <c r="N27" s="271"/>
      <c r="O27" s="274"/>
      <c r="P27" s="277"/>
    </row>
    <row r="28" spans="1:16" ht="45">
      <c r="A28" s="266">
        <v>4</v>
      </c>
      <c r="B28" s="263" t="str">
        <f>+PROPONENTES!B13</f>
        <v xml:space="preserve"> UNION TEMPORAL PROMOVER Y EMPRENDER EUFESS 2024</v>
      </c>
      <c r="C28" s="47" t="str">
        <f>IF(VLOOKUP(B28,PROPONENTES!$B$10:$N$16,2,FALSE)="","",VLOOKUP(B28,PROPONENTES!$B$10:$N$16,2,FALSE))</f>
        <v xml:space="preserve"> FUNDACIÓN DE EDUCACIÓN SUPERIOR SAN JOSÉ – FESSANJOSÉ</v>
      </c>
      <c r="D28" s="48">
        <f>VLOOKUP(B28,PROPONENTES!$B$10:$N$16,3,FALSE)</f>
        <v>0.5</v>
      </c>
      <c r="E28" s="57">
        <v>64.510000000000005</v>
      </c>
      <c r="F28" s="49">
        <v>626253000</v>
      </c>
      <c r="G28" s="49">
        <v>672215398.5</v>
      </c>
      <c r="H28" s="50">
        <v>1</v>
      </c>
      <c r="I28" s="49">
        <v>0</v>
      </c>
      <c r="J28" s="47" t="e">
        <f t="shared" si="0"/>
        <v>#DIV/0!</v>
      </c>
      <c r="K28" s="51">
        <f t="shared" si="1"/>
        <v>40</v>
      </c>
      <c r="L28" s="51">
        <f t="shared" si="6"/>
        <v>20</v>
      </c>
      <c r="M28" s="61" t="e">
        <f t="shared" si="7"/>
        <v>#DIV/0!</v>
      </c>
      <c r="N28" s="269" t="e">
        <f t="shared" ref="N28" si="11">SUM(M28:M32)</f>
        <v>#DIV/0!</v>
      </c>
      <c r="O28" s="272">
        <f t="shared" ref="O28" si="12">IF($G$9&lt;=12,$C$9-$G$10*$C$9,(($C$9-$G$10)/$G$9)*12)</f>
        <v>0</v>
      </c>
      <c r="P28" s="275" t="e">
        <f t="shared" ref="P28" si="13">IF(N28&gt;=O28,"CUMPLE","NO CUMPLE")</f>
        <v>#DIV/0!</v>
      </c>
    </row>
    <row r="29" spans="1:16">
      <c r="A29" s="267"/>
      <c r="B29" s="264"/>
      <c r="C29" s="27" t="str">
        <f>IF(VLOOKUP(B28,PROPONENTES!$B$10:$N$16,4,FALSE)="","",VLOOKUP(B28,PROPONENTES!$B$10:$N$16,4,FALSE))</f>
        <v xml:space="preserve"> EUONIA SAS</v>
      </c>
      <c r="D29" s="40">
        <f>VLOOKUP(B28,PROPONENTES!$B$10:$N$16,5,FALSE)</f>
        <v>0.5</v>
      </c>
      <c r="E29" s="58">
        <v>0</v>
      </c>
      <c r="F29" s="43">
        <v>12710667</v>
      </c>
      <c r="G29" s="43">
        <v>50115776593</v>
      </c>
      <c r="H29" s="42">
        <v>11</v>
      </c>
      <c r="I29" s="43">
        <v>0</v>
      </c>
      <c r="J29" s="27" t="e">
        <f t="shared" si="0"/>
        <v>#DIV/0!</v>
      </c>
      <c r="K29" s="39" t="b">
        <f t="shared" si="1"/>
        <v>0</v>
      </c>
      <c r="L29" s="39">
        <f t="shared" si="6"/>
        <v>40</v>
      </c>
      <c r="M29" s="62" t="e">
        <f t="shared" si="7"/>
        <v>#DIV/0!</v>
      </c>
      <c r="N29" s="270"/>
      <c r="O29" s="273"/>
      <c r="P29" s="276"/>
    </row>
    <row r="30" spans="1:16">
      <c r="A30" s="267"/>
      <c r="B30" s="264"/>
      <c r="C30" s="27" t="str">
        <f>IF(VLOOKUP(B28,PROPONENTES!$B$10:$N$16,6,FALSE)="","",VLOOKUP(B28,PROPONENTES!$B$10:$N$16,6,FALSE))</f>
        <v/>
      </c>
      <c r="D30" s="40">
        <f>VLOOKUP(B28,PROPONENTES!$B$10:$N$16,7,FALSE)</f>
        <v>0</v>
      </c>
      <c r="E30" s="58"/>
      <c r="F30" s="43"/>
      <c r="G30" s="43"/>
      <c r="H30" s="42"/>
      <c r="I30" s="43"/>
      <c r="J30" s="27" t="str">
        <f t="shared" si="0"/>
        <v/>
      </c>
      <c r="K30" s="39" t="str">
        <f t="shared" si="1"/>
        <v/>
      </c>
      <c r="L30" s="39" t="str">
        <f t="shared" si="6"/>
        <v/>
      </c>
      <c r="M30" s="62" t="str">
        <f t="shared" si="7"/>
        <v/>
      </c>
      <c r="N30" s="270"/>
      <c r="O30" s="273"/>
      <c r="P30" s="276"/>
    </row>
    <row r="31" spans="1:16">
      <c r="A31" s="267"/>
      <c r="B31" s="264"/>
      <c r="C31" s="27" t="str">
        <f>IF(VLOOKUP(B28,PROPONENTES!$B$10:$N$16,8,FALSE)="","",VLOOKUP(B28,PROPONENTES!$B$10:$N$16,8,FALSE))</f>
        <v/>
      </c>
      <c r="D31" s="40">
        <f>VLOOKUP(B28,PROPONENTES!$B$10:$N$16,9,FALSE)</f>
        <v>0</v>
      </c>
      <c r="E31" s="58"/>
      <c r="F31" s="43"/>
      <c r="G31" s="43"/>
      <c r="H31" s="42"/>
      <c r="I31" s="43"/>
      <c r="J31" s="27" t="str">
        <f t="shared" si="0"/>
        <v/>
      </c>
      <c r="K31" s="39" t="str">
        <f t="shared" si="1"/>
        <v/>
      </c>
      <c r="L31" s="39" t="str">
        <f t="shared" si="6"/>
        <v/>
      </c>
      <c r="M31" s="27" t="str">
        <f t="shared" si="7"/>
        <v/>
      </c>
      <c r="N31" s="270"/>
      <c r="O31" s="273"/>
      <c r="P31" s="276"/>
    </row>
    <row r="32" spans="1:16" ht="15.75" thickBot="1">
      <c r="A32" s="268"/>
      <c r="B32" s="265"/>
      <c r="C32" s="52" t="str">
        <f>IF(VLOOKUP(B28,PROPONENTES!$B$10:$N$16,8,FALSE)="","",VLOOKUP(B28,PROPONENTES!$B$10:$N$16,10,FALSE))</f>
        <v/>
      </c>
      <c r="D32" s="53">
        <f>VLOOKUP(B28,PROPONENTES!$B$10:$N$16,11,FALSE)</f>
        <v>0</v>
      </c>
      <c r="E32" s="59"/>
      <c r="F32" s="54"/>
      <c r="G32" s="54"/>
      <c r="H32" s="55"/>
      <c r="I32" s="54"/>
      <c r="J32" s="52" t="str">
        <f t="shared" si="0"/>
        <v/>
      </c>
      <c r="K32" s="56" t="str">
        <f t="shared" si="1"/>
        <v/>
      </c>
      <c r="L32" s="56" t="str">
        <f t="shared" si="6"/>
        <v/>
      </c>
      <c r="M32" s="52" t="str">
        <f t="shared" si="7"/>
        <v/>
      </c>
      <c r="N32" s="271"/>
      <c r="O32" s="274"/>
      <c r="P32" s="277"/>
    </row>
    <row r="33" spans="1:16" ht="75">
      <c r="A33" s="266">
        <v>5</v>
      </c>
      <c r="B33" s="263" t="str">
        <f>+PROPONENTES!B14</f>
        <v xml:space="preserve"> UNION TEMPORAL PRACTICAS</v>
      </c>
      <c r="C33" s="47" t="str">
        <f>IF(VLOOKUP(B33,PROPONENTES!$B$10:$N$16,2,FALSE)="","",VLOOKUP(B33,PROPONENTES!$B$10:$N$16,2,FALSE))</f>
        <v xml:space="preserve">  ASOCIACION COLOMBIANA DE LAS MICRO PEQUEÑAS Y MEDIANAS INDUSTRIAS ACOPI - CALDAS</v>
      </c>
      <c r="D33" s="48">
        <f>VLOOKUP(B33,PROPONENTES!$B$10:$N$16,3,FALSE)</f>
        <v>0.09</v>
      </c>
      <c r="E33" s="57"/>
      <c r="F33" s="49"/>
      <c r="G33" s="49"/>
      <c r="H33" s="50"/>
      <c r="I33" s="49"/>
      <c r="J33" s="47" t="e">
        <f t="shared" si="0"/>
        <v>#DIV/0!</v>
      </c>
      <c r="K33" s="51" t="b">
        <f t="shared" si="1"/>
        <v>0</v>
      </c>
      <c r="L33" s="51">
        <f t="shared" si="6"/>
        <v>0</v>
      </c>
      <c r="M33" s="61" t="e">
        <f t="shared" si="7"/>
        <v>#DIV/0!</v>
      </c>
      <c r="N33" s="269" t="e">
        <f t="shared" ref="N33" si="14">SUM(M33:M37)</f>
        <v>#DIV/0!</v>
      </c>
      <c r="O33" s="272">
        <f t="shared" ref="O33" si="15">IF($G$9&lt;=12,$C$9-$G$10*$C$9,(($C$9-$G$10)/$G$9)*12)</f>
        <v>0</v>
      </c>
      <c r="P33" s="275" t="e">
        <f t="shared" ref="P33" si="16">IF(N33&gt;=O33,"CUMPLE","NO CUMPLE")</f>
        <v>#DIV/0!</v>
      </c>
    </row>
    <row r="34" spans="1:16" ht="49.5" customHeight="1">
      <c r="A34" s="267"/>
      <c r="B34" s="264"/>
      <c r="C34" s="27" t="str">
        <f>IF(VLOOKUP(B33,PROPONENTES!$B$10:$N$16,4,FALSE)="","",VLOOKUP(B33,PROPONENTES!$B$10:$N$16,4,FALSE))</f>
        <v xml:space="preserve">  ASOCIACIÓN COLOMBIANA DE LAS MICRO, PEQUEÑAS Y MEDIANAS EMPRESAS DE ANTIOQUIA</v>
      </c>
      <c r="D34" s="40">
        <f>VLOOKUP(B33,PROPONENTES!$B$10:$N$16,5,FALSE)</f>
        <v>0.91</v>
      </c>
      <c r="E34" s="58"/>
      <c r="F34" s="43"/>
      <c r="G34" s="43"/>
      <c r="H34" s="42"/>
      <c r="I34" s="43"/>
      <c r="J34" s="27" t="e">
        <f t="shared" si="0"/>
        <v>#DIV/0!</v>
      </c>
      <c r="K34" s="39" t="b">
        <f t="shared" si="1"/>
        <v>0</v>
      </c>
      <c r="L34" s="39">
        <f t="shared" si="6"/>
        <v>0</v>
      </c>
      <c r="M34" s="62" t="e">
        <f t="shared" si="7"/>
        <v>#DIV/0!</v>
      </c>
      <c r="N34" s="270"/>
      <c r="O34" s="273"/>
      <c r="P34" s="276"/>
    </row>
    <row r="35" spans="1:16">
      <c r="A35" s="267"/>
      <c r="B35" s="264"/>
      <c r="C35" s="27" t="str">
        <f>IF(VLOOKUP(B33,PROPONENTES!$B$10:$N$16,6,FALSE)="","",VLOOKUP(B33,PROPONENTES!$B$10:$N$16,6,FALSE))</f>
        <v/>
      </c>
      <c r="D35" s="40">
        <f>VLOOKUP(B33,PROPONENTES!$B$10:$N$16,7,FALSE)</f>
        <v>0</v>
      </c>
      <c r="E35" s="58"/>
      <c r="F35" s="43"/>
      <c r="G35" s="43"/>
      <c r="H35" s="42"/>
      <c r="I35" s="43"/>
      <c r="J35" s="27" t="str">
        <f t="shared" si="0"/>
        <v/>
      </c>
      <c r="K35" s="39" t="str">
        <f t="shared" si="1"/>
        <v/>
      </c>
      <c r="L35" s="39" t="str">
        <f t="shared" si="6"/>
        <v/>
      </c>
      <c r="M35" s="62" t="str">
        <f t="shared" si="7"/>
        <v/>
      </c>
      <c r="N35" s="270"/>
      <c r="O35" s="273"/>
      <c r="P35" s="276"/>
    </row>
    <row r="36" spans="1:16">
      <c r="A36" s="267"/>
      <c r="B36" s="264"/>
      <c r="C36" s="27" t="str">
        <f>IF(VLOOKUP(B33,PROPONENTES!$B$10:$N$16,8,FALSE)="","",VLOOKUP(B33,PROPONENTES!$B$10:$N$16,8,FALSE))</f>
        <v/>
      </c>
      <c r="D36" s="40">
        <f>VLOOKUP(B33,PROPONENTES!$B$10:$N$16,9,FALSE)</f>
        <v>0</v>
      </c>
      <c r="E36" s="58"/>
      <c r="F36" s="43"/>
      <c r="G36" s="43"/>
      <c r="H36" s="42"/>
      <c r="I36" s="43"/>
      <c r="J36" s="27" t="str">
        <f t="shared" si="0"/>
        <v/>
      </c>
      <c r="K36" s="39" t="str">
        <f t="shared" si="1"/>
        <v/>
      </c>
      <c r="L36" s="39" t="str">
        <f t="shared" si="6"/>
        <v/>
      </c>
      <c r="M36" s="27" t="str">
        <f t="shared" si="7"/>
        <v/>
      </c>
      <c r="N36" s="270"/>
      <c r="O36" s="273"/>
      <c r="P36" s="276"/>
    </row>
    <row r="37" spans="1:16" ht="15.75" thickBot="1">
      <c r="A37" s="268"/>
      <c r="B37" s="265"/>
      <c r="C37" s="52" t="str">
        <f>IF(VLOOKUP(B33,PROPONENTES!$B$10:$N$16,8,FALSE)="","",VLOOKUP(B33,PROPONENTES!$B$10:$N$16,10,FALSE))</f>
        <v/>
      </c>
      <c r="D37" s="53">
        <f>VLOOKUP(B33,PROPONENTES!$B$10:$N$16,11,FALSE)</f>
        <v>0</v>
      </c>
      <c r="E37" s="59"/>
      <c r="F37" s="54"/>
      <c r="G37" s="54"/>
      <c r="H37" s="55"/>
      <c r="I37" s="54"/>
      <c r="J37" s="52" t="str">
        <f t="shared" si="0"/>
        <v/>
      </c>
      <c r="K37" s="56" t="str">
        <f t="shared" si="1"/>
        <v/>
      </c>
      <c r="L37" s="56" t="str">
        <f t="shared" si="6"/>
        <v/>
      </c>
      <c r="M37" s="52" t="str">
        <f t="shared" si="7"/>
        <v/>
      </c>
      <c r="N37" s="271"/>
      <c r="O37" s="274"/>
      <c r="P37" s="277"/>
    </row>
    <row r="38" spans="1:16">
      <c r="A38" s="266">
        <v>6</v>
      </c>
      <c r="B38" s="263">
        <f>+PROPONENTES!B15</f>
        <v>0</v>
      </c>
      <c r="C38" s="47" t="e">
        <f>IF(VLOOKUP(B38,PROPONENTES!$B$10:$N$16,2,FALSE)="","",VLOOKUP(B38,PROPONENTES!$B$10:$N$16,2,FALSE))</f>
        <v>#N/A</v>
      </c>
      <c r="D38" s="48" t="e">
        <f>VLOOKUP(B38,PROPONENTES!$B$10:$N$16,3,FALSE)</f>
        <v>#N/A</v>
      </c>
      <c r="E38" s="57">
        <v>4.04</v>
      </c>
      <c r="F38" s="49">
        <v>4188826509</v>
      </c>
      <c r="G38" s="49">
        <v>40534858108.996201</v>
      </c>
      <c r="H38" s="50">
        <v>3</v>
      </c>
      <c r="I38" s="49">
        <v>0</v>
      </c>
      <c r="J38" s="47" t="e">
        <f t="shared" si="0"/>
        <v>#N/A</v>
      </c>
      <c r="K38" s="51" t="e">
        <f t="shared" si="1"/>
        <v>#N/A</v>
      </c>
      <c r="L38" s="51" t="e">
        <f t="shared" si="6"/>
        <v>#N/A</v>
      </c>
      <c r="M38" s="61" t="e">
        <f t="shared" si="7"/>
        <v>#N/A</v>
      </c>
      <c r="N38" s="269" t="e">
        <f t="shared" ref="N38" si="17">SUM(M38:M42)</f>
        <v>#N/A</v>
      </c>
      <c r="O38" s="272">
        <f t="shared" ref="O38" si="18">IF($G$9&lt;=12,$C$9-$G$10*$C$9,(($C$9-$G$10)/$G$9)*12)</f>
        <v>0</v>
      </c>
      <c r="P38" s="275" t="e">
        <f t="shared" ref="P38" si="19">IF(N38&gt;=O38,"CUMPLE","NO CUMPLE")</f>
        <v>#N/A</v>
      </c>
    </row>
    <row r="39" spans="1:16">
      <c r="A39" s="267"/>
      <c r="B39" s="264"/>
      <c r="C39" s="27" t="e">
        <f>IF(VLOOKUP(B38,PROPONENTES!$B$10:$N$16,4,FALSE)="","",VLOOKUP(B38,PROPONENTES!$B$10:$N$16,4,FALSE))</f>
        <v>#N/A</v>
      </c>
      <c r="D39" s="40" t="e">
        <f>VLOOKUP(B38,PROPONENTES!$B$10:$N$16,5,FALSE)</f>
        <v>#N/A</v>
      </c>
      <c r="E39" s="58"/>
      <c r="F39" s="43"/>
      <c r="G39" s="43"/>
      <c r="H39" s="42"/>
      <c r="I39" s="43"/>
      <c r="J39" s="27" t="e">
        <f t="shared" si="0"/>
        <v>#N/A</v>
      </c>
      <c r="K39" s="39" t="e">
        <f t="shared" si="1"/>
        <v>#N/A</v>
      </c>
      <c r="L39" s="39" t="e">
        <f t="shared" si="6"/>
        <v>#N/A</v>
      </c>
      <c r="M39" s="62" t="e">
        <f t="shared" si="7"/>
        <v>#N/A</v>
      </c>
      <c r="N39" s="270"/>
      <c r="O39" s="273"/>
      <c r="P39" s="276"/>
    </row>
    <row r="40" spans="1:16">
      <c r="A40" s="267"/>
      <c r="B40" s="264"/>
      <c r="C40" s="27" t="e">
        <f>IF(VLOOKUP(B38,PROPONENTES!$B$10:$N$16,6,FALSE)="","",VLOOKUP(B38,PROPONENTES!$B$10:$N$16,6,FALSE))</f>
        <v>#N/A</v>
      </c>
      <c r="D40" s="40" t="e">
        <f>VLOOKUP(B38,PROPONENTES!$B$10:$N$16,7,FALSE)</f>
        <v>#N/A</v>
      </c>
      <c r="E40" s="58"/>
      <c r="F40" s="43"/>
      <c r="G40" s="43"/>
      <c r="H40" s="42"/>
      <c r="I40" s="43"/>
      <c r="J40" s="27" t="e">
        <f t="shared" si="0"/>
        <v>#N/A</v>
      </c>
      <c r="K40" s="39" t="e">
        <f t="shared" si="1"/>
        <v>#N/A</v>
      </c>
      <c r="L40" s="39" t="e">
        <f t="shared" si="6"/>
        <v>#N/A</v>
      </c>
      <c r="M40" s="62" t="e">
        <f t="shared" si="7"/>
        <v>#N/A</v>
      </c>
      <c r="N40" s="270"/>
      <c r="O40" s="273"/>
      <c r="P40" s="276"/>
    </row>
    <row r="41" spans="1:16">
      <c r="A41" s="267"/>
      <c r="B41" s="264"/>
      <c r="C41" s="27" t="e">
        <f>IF(VLOOKUP(B38,PROPONENTES!$B$10:$N$16,8,FALSE)="","",VLOOKUP(B38,PROPONENTES!$B$10:$N$16,8,FALSE))</f>
        <v>#N/A</v>
      </c>
      <c r="D41" s="40" t="e">
        <f>VLOOKUP(B38,PROPONENTES!$B$10:$N$16,9,FALSE)</f>
        <v>#N/A</v>
      </c>
      <c r="E41" s="58"/>
      <c r="F41" s="43"/>
      <c r="G41" s="43"/>
      <c r="H41" s="42"/>
      <c r="I41" s="43"/>
      <c r="J41" s="27" t="e">
        <f t="shared" si="0"/>
        <v>#N/A</v>
      </c>
      <c r="K41" s="39" t="e">
        <f t="shared" si="1"/>
        <v>#N/A</v>
      </c>
      <c r="L41" s="39" t="e">
        <f t="shared" si="6"/>
        <v>#N/A</v>
      </c>
      <c r="M41" s="27" t="e">
        <f t="shared" si="7"/>
        <v>#N/A</v>
      </c>
      <c r="N41" s="270"/>
      <c r="O41" s="273"/>
      <c r="P41" s="276"/>
    </row>
    <row r="42" spans="1:16" ht="15.75" thickBot="1">
      <c r="A42" s="268"/>
      <c r="B42" s="265"/>
      <c r="C42" s="52" t="e">
        <f>IF(VLOOKUP(B38,PROPONENTES!$B$10:$N$16,8,FALSE)="","",VLOOKUP(B38,PROPONENTES!$B$10:$N$16,10,FALSE))</f>
        <v>#N/A</v>
      </c>
      <c r="D42" s="53" t="e">
        <f>VLOOKUP(B38,PROPONENTES!$B$10:$N$16,11,FALSE)</f>
        <v>#N/A</v>
      </c>
      <c r="E42" s="59"/>
      <c r="F42" s="54"/>
      <c r="G42" s="54"/>
      <c r="H42" s="55"/>
      <c r="I42" s="54"/>
      <c r="J42" s="52" t="e">
        <f t="shared" si="0"/>
        <v>#N/A</v>
      </c>
      <c r="K42" s="56" t="e">
        <f t="shared" si="1"/>
        <v>#N/A</v>
      </c>
      <c r="L42" s="56" t="e">
        <f t="shared" si="6"/>
        <v>#N/A</v>
      </c>
      <c r="M42" s="52" t="e">
        <f t="shared" si="7"/>
        <v>#N/A</v>
      </c>
      <c r="N42" s="271"/>
      <c r="O42" s="274"/>
      <c r="P42" s="277"/>
    </row>
    <row r="43" spans="1:16">
      <c r="A43" s="266">
        <v>7</v>
      </c>
      <c r="B43" s="263">
        <f>+PROPONENTES!B16</f>
        <v>0</v>
      </c>
      <c r="C43" s="47" t="e">
        <f>IF(VLOOKUP(B43,PROPONENTES!$B$10:$N$16,2,FALSE)="","",VLOOKUP(B43,PROPONENTES!$B$10:$N$16,2,FALSE))</f>
        <v>#N/A</v>
      </c>
      <c r="D43" s="48" t="e">
        <f>VLOOKUP(B43,PROPONENTES!$B$10:$N$16,3,FALSE)</f>
        <v>#N/A</v>
      </c>
      <c r="E43" s="57">
        <v>4.4000000000000004</v>
      </c>
      <c r="F43" s="49">
        <v>1953936784</v>
      </c>
      <c r="G43" s="49">
        <v>11553130875.139999</v>
      </c>
      <c r="H43" s="50">
        <v>11</v>
      </c>
      <c r="I43" s="49">
        <v>0</v>
      </c>
      <c r="J43" s="47" t="e">
        <f t="shared" si="0"/>
        <v>#N/A</v>
      </c>
      <c r="K43" s="51" t="e">
        <f t="shared" si="1"/>
        <v>#N/A</v>
      </c>
      <c r="L43" s="51" t="e">
        <f t="shared" si="6"/>
        <v>#N/A</v>
      </c>
      <c r="M43" s="61" t="e">
        <f t="shared" si="7"/>
        <v>#N/A</v>
      </c>
      <c r="N43" s="269" t="e">
        <f t="shared" ref="N43" si="20">SUM(M43:M47)</f>
        <v>#N/A</v>
      </c>
      <c r="O43" s="272">
        <f t="shared" ref="O43" si="21">IF($G$9&lt;=12,$C$9-$G$10*$C$9,(($C$9-$G$10)/$G$9)*12)</f>
        <v>0</v>
      </c>
      <c r="P43" s="275" t="e">
        <f t="shared" ref="P43" si="22">IF(N43&gt;=O43,"CUMPLE","NO CUMPLE")</f>
        <v>#N/A</v>
      </c>
    </row>
    <row r="44" spans="1:16">
      <c r="A44" s="267"/>
      <c r="B44" s="264"/>
      <c r="C44" s="27" t="e">
        <f>IF(VLOOKUP(B43,PROPONENTES!$B$10:$N$16,4,FALSE)="","",VLOOKUP(B43,PROPONENTES!$B$10:$N$16,4,FALSE))</f>
        <v>#N/A</v>
      </c>
      <c r="D44" s="40" t="e">
        <f>VLOOKUP(B43,PROPONENTES!$B$10:$N$16,5,FALSE)</f>
        <v>#N/A</v>
      </c>
      <c r="E44" s="58">
        <v>2.81</v>
      </c>
      <c r="F44" s="43">
        <v>1742165766</v>
      </c>
      <c r="G44" s="43">
        <v>137270119527.75</v>
      </c>
      <c r="H44" s="42">
        <v>11</v>
      </c>
      <c r="I44" s="43">
        <v>0</v>
      </c>
      <c r="J44" s="27" t="e">
        <f t="shared" si="0"/>
        <v>#N/A</v>
      </c>
      <c r="K44" s="39" t="e">
        <f t="shared" si="1"/>
        <v>#N/A</v>
      </c>
      <c r="L44" s="39" t="e">
        <f t="shared" si="6"/>
        <v>#N/A</v>
      </c>
      <c r="M44" s="62" t="e">
        <f t="shared" si="7"/>
        <v>#N/A</v>
      </c>
      <c r="N44" s="270"/>
      <c r="O44" s="273"/>
      <c r="P44" s="276"/>
    </row>
    <row r="45" spans="1:16">
      <c r="A45" s="267"/>
      <c r="B45" s="264"/>
      <c r="C45" s="27" t="e">
        <f>IF(VLOOKUP(B43,PROPONENTES!$B$10:$N$16,6,FALSE)="","",VLOOKUP(B43,PROPONENTES!$B$10:$N$16,6,FALSE))</f>
        <v>#N/A</v>
      </c>
      <c r="D45" s="40" t="e">
        <f>VLOOKUP(B43,PROPONENTES!$B$10:$N$16,7,FALSE)</f>
        <v>#N/A</v>
      </c>
      <c r="E45" s="58"/>
      <c r="F45" s="43"/>
      <c r="G45" s="43"/>
      <c r="H45" s="42"/>
      <c r="I45" s="43"/>
      <c r="J45" s="27" t="e">
        <f t="shared" si="0"/>
        <v>#N/A</v>
      </c>
      <c r="K45" s="39" t="e">
        <f t="shared" si="1"/>
        <v>#N/A</v>
      </c>
      <c r="L45" s="39" t="e">
        <f t="shared" si="6"/>
        <v>#N/A</v>
      </c>
      <c r="M45" s="62" t="e">
        <f t="shared" si="7"/>
        <v>#N/A</v>
      </c>
      <c r="N45" s="270"/>
      <c r="O45" s="273"/>
      <c r="P45" s="276"/>
    </row>
    <row r="46" spans="1:16">
      <c r="A46" s="267"/>
      <c r="B46" s="264"/>
      <c r="C46" s="27" t="e">
        <f>IF(VLOOKUP(B43,PROPONENTES!$B$10:$N$16,8,FALSE)="","",VLOOKUP(B43,PROPONENTES!$B$10:$N$16,8,FALSE))</f>
        <v>#N/A</v>
      </c>
      <c r="D46" s="40" t="e">
        <f>VLOOKUP(B43,PROPONENTES!$B$10:$N$16,9,FALSE)</f>
        <v>#N/A</v>
      </c>
      <c r="E46" s="58"/>
      <c r="F46" s="43"/>
      <c r="G46" s="43"/>
      <c r="H46" s="42"/>
      <c r="I46" s="43"/>
      <c r="J46" s="27" t="e">
        <f t="shared" si="0"/>
        <v>#N/A</v>
      </c>
      <c r="K46" s="39" t="e">
        <f t="shared" si="1"/>
        <v>#N/A</v>
      </c>
      <c r="L46" s="39" t="e">
        <f t="shared" si="6"/>
        <v>#N/A</v>
      </c>
      <c r="M46" s="27" t="e">
        <f t="shared" si="7"/>
        <v>#N/A</v>
      </c>
      <c r="N46" s="270"/>
      <c r="O46" s="273"/>
      <c r="P46" s="276"/>
    </row>
    <row r="47" spans="1:16" ht="15.75" thickBot="1">
      <c r="A47" s="268"/>
      <c r="B47" s="265"/>
      <c r="C47" s="52" t="e">
        <f>IF(VLOOKUP(B43,PROPONENTES!$B$10:$N$16,8,FALSE)="","",VLOOKUP(B43,PROPONENTES!$B$10:$N$16,10,FALSE))</f>
        <v>#N/A</v>
      </c>
      <c r="D47" s="53" t="e">
        <f>VLOOKUP(B43,PROPONENTES!$B$10:$N$16,11,FALSE)</f>
        <v>#N/A</v>
      </c>
      <c r="E47" s="59"/>
      <c r="F47" s="54"/>
      <c r="G47" s="54"/>
      <c r="H47" s="55"/>
      <c r="I47" s="54"/>
      <c r="J47" s="52" t="e">
        <f t="shared" si="0"/>
        <v>#N/A</v>
      </c>
      <c r="K47" s="56" t="e">
        <f t="shared" si="1"/>
        <v>#N/A</v>
      </c>
      <c r="L47" s="56" t="e">
        <f t="shared" si="6"/>
        <v>#N/A</v>
      </c>
      <c r="M47" s="52" t="e">
        <f t="shared" si="7"/>
        <v>#N/A</v>
      </c>
      <c r="N47" s="271"/>
      <c r="O47" s="274"/>
      <c r="P47" s="277"/>
    </row>
    <row r="51" spans="6:8">
      <c r="F51" s="16" t="s">
        <v>91</v>
      </c>
      <c r="G51" s="132">
        <v>102730148</v>
      </c>
    </row>
    <row r="52" spans="6:8">
      <c r="F52" s="16" t="s">
        <v>92</v>
      </c>
      <c r="G52" s="132">
        <v>0</v>
      </c>
      <c r="H52" s="16" t="e">
        <f>G51/G52</f>
        <v>#DIV/0!</v>
      </c>
    </row>
  </sheetData>
  <mergeCells count="51">
    <mergeCell ref="A2:P2"/>
    <mergeCell ref="A3:P3"/>
    <mergeCell ref="A4:P4"/>
    <mergeCell ref="A5:P5"/>
    <mergeCell ref="D6:F6"/>
    <mergeCell ref="A6:B6"/>
    <mergeCell ref="A9:B9"/>
    <mergeCell ref="A10:B10"/>
    <mergeCell ref="H9:P9"/>
    <mergeCell ref="H10:P10"/>
    <mergeCell ref="H6:P6"/>
    <mergeCell ref="C9:E9"/>
    <mergeCell ref="C10:E10"/>
    <mergeCell ref="C8:P8"/>
    <mergeCell ref="A7:P7"/>
    <mergeCell ref="A8:B8"/>
    <mergeCell ref="N43:N47"/>
    <mergeCell ref="O43:O47"/>
    <mergeCell ref="P43:P47"/>
    <mergeCell ref="N33:N37"/>
    <mergeCell ref="O33:O37"/>
    <mergeCell ref="P33:P37"/>
    <mergeCell ref="N38:N42"/>
    <mergeCell ref="O38:O42"/>
    <mergeCell ref="P38:P42"/>
    <mergeCell ref="N13:N17"/>
    <mergeCell ref="O13:O17"/>
    <mergeCell ref="P13:P17"/>
    <mergeCell ref="N18:N22"/>
    <mergeCell ref="O18:O22"/>
    <mergeCell ref="P18:P22"/>
    <mergeCell ref="N23:N27"/>
    <mergeCell ref="O23:O27"/>
    <mergeCell ref="P23:P27"/>
    <mergeCell ref="N28:N32"/>
    <mergeCell ref="O28:O32"/>
    <mergeCell ref="P28:P32"/>
    <mergeCell ref="A43:A47"/>
    <mergeCell ref="B43:B47"/>
    <mergeCell ref="A28:A32"/>
    <mergeCell ref="B28:B32"/>
    <mergeCell ref="A33:A37"/>
    <mergeCell ref="B33:B37"/>
    <mergeCell ref="A38:A42"/>
    <mergeCell ref="B38:B42"/>
    <mergeCell ref="B13:B17"/>
    <mergeCell ref="A13:A17"/>
    <mergeCell ref="A18:A22"/>
    <mergeCell ref="B18:B22"/>
    <mergeCell ref="A23:A27"/>
    <mergeCell ref="B23:B27"/>
  </mergeCells>
  <conditionalFormatting sqref="P13">
    <cfRule type="cellIs" dxfId="1300" priority="4" operator="equal">
      <formula>"CUMPLE"</formula>
    </cfRule>
    <cfRule type="cellIs" dxfId="1299" priority="5" operator="equal">
      <formula>"NO CUMPLE"</formula>
    </cfRule>
    <cfRule type="cellIs" dxfId="1298" priority="6" operator="equal">
      <formula>"""CUMPLE"""</formula>
    </cfRule>
  </conditionalFormatting>
  <conditionalFormatting sqref="P18 P23 P28 P33 P38 P43">
    <cfRule type="cellIs" dxfId="1297" priority="1" operator="equal">
      <formula>"CUMPLE"</formula>
    </cfRule>
    <cfRule type="cellIs" dxfId="1296" priority="2" operator="equal">
      <formula>"NO CUMPLE"</formula>
    </cfRule>
    <cfRule type="cellIs" dxfId="1295" priority="3" operator="equal">
      <formula>"""CUMPLE"""</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65"/>
  <sheetViews>
    <sheetView view="pageBreakPreview" zoomScale="55" zoomScaleNormal="55" zoomScaleSheetLayoutView="55" workbookViewId="0">
      <pane ySplit="11" topLeftCell="A27" activePane="bottomLeft" state="frozenSplit"/>
      <selection activeCell="J19" sqref="J19"/>
      <selection pane="bottomLeft" activeCell="E31" sqref="E31"/>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2196.75</v>
      </c>
    </row>
    <row r="9" spans="2:12" ht="28.5" customHeight="1">
      <c r="B9" s="2" t="s">
        <v>72</v>
      </c>
      <c r="C9" s="306">
        <f>+'DATOS INICIALES'!C5</f>
        <v>3807405444</v>
      </c>
      <c r="D9" s="307"/>
      <c r="E9" s="307"/>
      <c r="F9" s="307"/>
      <c r="G9" s="307"/>
      <c r="H9" s="307"/>
      <c r="I9" s="307"/>
      <c r="J9" s="170" t="s">
        <v>96</v>
      </c>
      <c r="K9" s="171">
        <v>1.2</v>
      </c>
      <c r="L9" s="172">
        <f t="shared" ref="L9:L10" si="0">K9*$C$10</f>
        <v>3514.7999999999997</v>
      </c>
    </row>
    <row r="10" spans="2:12" ht="25.5" customHeight="1">
      <c r="B10" s="2" t="s">
        <v>74</v>
      </c>
      <c r="C10" s="308">
        <v>2929</v>
      </c>
      <c r="D10" s="309"/>
      <c r="E10" s="309"/>
      <c r="F10" s="309"/>
      <c r="G10" s="309"/>
      <c r="H10" s="309"/>
      <c r="I10" s="309"/>
      <c r="J10" s="170" t="s">
        <v>97</v>
      </c>
      <c r="K10" s="171">
        <v>1.5</v>
      </c>
      <c r="L10" s="172">
        <f t="shared" si="0"/>
        <v>4393.5</v>
      </c>
    </row>
    <row r="11" spans="2:12" ht="59.25" customHeight="1">
      <c r="B11" s="2" t="s">
        <v>76</v>
      </c>
      <c r="C11" s="310" t="str">
        <f>+PROPONENTES!B10</f>
        <v xml:space="preserve"> BOOST BUSINESS CONSULTING S.A.S.</v>
      </c>
      <c r="D11" s="310"/>
      <c r="E11" s="310"/>
      <c r="F11" s="310"/>
      <c r="G11" s="310"/>
      <c r="H11" s="146" t="s">
        <v>98</v>
      </c>
      <c r="I11" s="303" t="str">
        <f>IF(AND(F20="CUMPLE",G20="CUMPLE",H20="CUMPLE",L15="CUMPLE",K19="CUMPLE"),"CUMPLE","NO CUMPLE")</f>
        <v>CUMPLE</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str">
        <f>IF(VLOOKUP(C11,PROPONENTES!B10:N39,2,FALSE)=0,"",VLOOKUP(C11,PROPONENTES!B10:N39,2,FALSE))</f>
        <v xml:space="preserve"> BOOST BUSINESS CONSULTING S.A.S.</v>
      </c>
      <c r="D15" s="101">
        <f>IF(VLOOKUP(C11,PROPONENTES!B10:N39,3,FALSE)=0,"",VLOOKUP(C11,PROPONENTES!B10:N39,3,FALSE))</f>
        <v>1</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2785.83</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2">
        <f>COUNTIF(D64:I64,"CUMPLE")</f>
        <v>2</v>
      </c>
      <c r="J15" s="293">
        <f>IF(AND(I15&gt;=1,I15&lt;=2),L8,IF(AND(I15&gt;=3,I15&lt;=4),L9,IF(AND(I15&gt;=5,I15&lt;=7),L10)))</f>
        <v>2196.75</v>
      </c>
      <c r="K15" s="293">
        <f>+E20</f>
        <v>2785.83</v>
      </c>
      <c r="L15" s="294" t="str">
        <f>IF(K15&gt;=J15,"CUMPLE","NO CUMPLE")</f>
        <v>CUMPLE</v>
      </c>
    </row>
    <row r="16" spans="2:12" ht="33.75" customHeight="1">
      <c r="B16" s="347"/>
      <c r="C16" s="100" t="str">
        <f>IF(VLOOKUP(C11,PROPONENTES!B10:N39,4,FALSE)=0,"",VLOOKUP(C11,PROPONENTES!B10:N39,4,FALSE))</f>
        <v/>
      </c>
      <c r="D16" s="101" t="str">
        <f>IF(VLOOKUP(C11,PROPONENTES!B10:N39,5,FALSE)=0,"",VLOOKUP(C11,PROPONENTES!B10:N39,5,FALSE))</f>
        <v/>
      </c>
      <c r="E16" s="102" t="str">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
      </c>
      <c r="F16" s="103" t="str">
        <f t="shared" si="1"/>
        <v/>
      </c>
      <c r="G16" s="104" t="str">
        <f t="shared" si="2"/>
        <v/>
      </c>
      <c r="H16" s="104" t="str">
        <f>IF(C16="","",IF(AND(G16="NO APORTA EXPERIENCIA",D16&lt;=10%),"SI",IF(G16="SI","NO APLICA","NO - PORCENTAJE MAYOR AL 10%")))</f>
        <v/>
      </c>
      <c r="I16" s="292"/>
      <c r="J16" s="293"/>
      <c r="K16" s="293"/>
      <c r="L16" s="294"/>
    </row>
    <row r="17" spans="2:14" ht="33.75" customHeight="1">
      <c r="B17" s="347"/>
      <c r="C17" s="100" t="str">
        <f>IF(VLOOKUP(C11,PROPONENTES!B10:N39,6,FALSE)=0,"",VLOOKUP(C11,PROPONENTES!B10:N39,6,FALSE))</f>
        <v/>
      </c>
      <c r="D17" s="101" t="str">
        <f>IF(VLOOKUP(C11,PROPONENTES!B10:N39,7,FALSE)=0,"",VLOOKUP(C11,PROPONENTES!B10:N39,7,FALSE))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2"/>
      <c r="J17" s="293"/>
      <c r="K17" s="293"/>
      <c r="L17" s="294"/>
    </row>
    <row r="18" spans="2:14" ht="50.25" customHeight="1">
      <c r="B18" s="347"/>
      <c r="C18" s="100" t="str">
        <f>IF(VLOOKUP(C11,PROPONENTES!B10:N39,8,FALSE)=0,"",VLOOKUP(C11,PROPONENTES!B10:N39,8,FALSE))</f>
        <v/>
      </c>
      <c r="D18" s="101" t="str">
        <f>IF(VLOOKUP(C11,PROPONENTES!B10:N39,9,FALSE)=0,"",VLOOKUP(C11,PROPONENTES!B10:N39,9,FALSE))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8" t="s">
        <v>109</v>
      </c>
      <c r="J18" s="38" t="s">
        <v>110</v>
      </c>
      <c r="K18" s="225" t="s">
        <v>90</v>
      </c>
      <c r="L18" s="225"/>
    </row>
    <row r="19" spans="2:14" ht="33.75" customHeight="1">
      <c r="B19" s="347"/>
      <c r="C19" s="100" t="str">
        <f>IF(VLOOKUP(C11,PROPONENTES!B10:N39,10,FALSE)=0,"",VLOOKUP(C11,PROPONENTES!B10:N39,10,FALSE))</f>
        <v/>
      </c>
      <c r="D19" s="101" t="str">
        <f>IF(VLOOKUP(C11,PROPONENTES!B10:N39,11,FALSE)=0,"",VLOOKUP(C11,PROPONENTES!B10:N39,11,FALSE))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73">
        <f>SUMIF(D65:J65,"CUMPLE",D39:J39)+SUMIF(D65:J65,"CUMPLE",D42:J42)+SUMIF(D65:J65,"CUMPLE",D45:J45)</f>
        <v>4174.42</v>
      </c>
      <c r="J19" s="168">
        <f>70%*C10</f>
        <v>2050.2999999999997</v>
      </c>
      <c r="K19" s="294" t="str">
        <f>IF(I19&gt;=J19,"CUMPLE","NO CUMPLE")</f>
        <v>CUMPLE</v>
      </c>
      <c r="L19" s="294"/>
    </row>
    <row r="20" spans="2:14" ht="84.75" customHeight="1">
      <c r="B20" s="33" t="s">
        <v>111</v>
      </c>
      <c r="C20" s="27">
        <f>+VLOOKUP(C11,PROPONENTES!B10:N39,12,FALSE)</f>
        <v>1</v>
      </c>
      <c r="D20" s="101">
        <f>+VLOOKUP(C11,PROPONENTES!B10:N39,13,FALSE)</f>
        <v>1</v>
      </c>
      <c r="E20" s="39">
        <f>SUM(E15:E19)</f>
        <v>2785.83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38" t="s">
        <v>112</v>
      </c>
      <c r="J20" s="143" t="str">
        <f>IF(VLOOKUP(C11,PUNTAJE!B15:AF129,27,FALSE)=0.25,"SI","NO")</f>
        <v>SI</v>
      </c>
      <c r="K20" s="38" t="s">
        <v>113</v>
      </c>
      <c r="L20" s="143" t="str">
        <f>IF(VLOOKUP(C11,PUNTAJE!B15:AF129,31,FALSE)=0.25,"SI","NO")</f>
        <v>SI</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53</v>
      </c>
      <c r="E24" s="90" t="s">
        <v>53</v>
      </c>
      <c r="F24" s="90" t="s">
        <v>53</v>
      </c>
      <c r="G24" s="90" t="s">
        <v>53</v>
      </c>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123</v>
      </c>
      <c r="E27" s="91" t="s">
        <v>124</v>
      </c>
      <c r="F27" s="91" t="s">
        <v>125</v>
      </c>
      <c r="G27" s="91" t="s">
        <v>126</v>
      </c>
      <c r="H27" s="91"/>
      <c r="I27" s="91"/>
      <c r="J27" s="91"/>
      <c r="K27" s="288"/>
      <c r="L27" s="289"/>
    </row>
    <row r="28" spans="2:14" ht="156.75" customHeight="1">
      <c r="B28" s="336"/>
      <c r="C28" s="28" t="s">
        <v>127</v>
      </c>
      <c r="D28" s="91" t="s">
        <v>128</v>
      </c>
      <c r="E28" s="91" t="s">
        <v>129</v>
      </c>
      <c r="F28" s="91" t="s">
        <v>130</v>
      </c>
      <c r="G28" s="91" t="s">
        <v>131</v>
      </c>
      <c r="H28" s="91"/>
      <c r="I28" s="91"/>
      <c r="J28" s="91"/>
      <c r="K28" s="288"/>
      <c r="L28" s="289"/>
    </row>
    <row r="29" spans="2:14" ht="52.5" customHeight="1">
      <c r="B29" s="336"/>
      <c r="C29" s="28" t="s">
        <v>132</v>
      </c>
      <c r="D29" s="95">
        <v>44092</v>
      </c>
      <c r="E29" s="95">
        <v>44146</v>
      </c>
      <c r="F29" s="95">
        <v>44768</v>
      </c>
      <c r="G29" s="95">
        <v>44388</v>
      </c>
      <c r="H29" s="95"/>
      <c r="I29" s="95"/>
      <c r="J29" s="95"/>
      <c r="K29" s="288"/>
      <c r="L29" s="289"/>
    </row>
    <row r="30" spans="2:14" ht="54.75" customHeight="1">
      <c r="B30" s="336"/>
      <c r="C30" s="28" t="s">
        <v>133</v>
      </c>
      <c r="D30" s="95">
        <v>44180</v>
      </c>
      <c r="E30" s="95">
        <v>44958</v>
      </c>
      <c r="F30" s="95">
        <v>45232</v>
      </c>
      <c r="G30" s="95">
        <v>44530</v>
      </c>
      <c r="H30" s="95"/>
      <c r="I30" s="95"/>
      <c r="J30" s="95"/>
      <c r="K30" s="288"/>
      <c r="L30" s="289"/>
    </row>
    <row r="31" spans="2:14" ht="41.25" customHeight="1">
      <c r="B31" s="336"/>
      <c r="C31" s="28" t="s">
        <v>134</v>
      </c>
      <c r="D31" s="92">
        <v>2020</v>
      </c>
      <c r="E31" s="92"/>
      <c r="F31" s="92"/>
      <c r="G31" s="92">
        <v>2021</v>
      </c>
      <c r="H31" s="92"/>
      <c r="I31" s="92"/>
      <c r="J31" s="92"/>
      <c r="K31" s="288"/>
      <c r="L31" s="289"/>
    </row>
    <row r="32" spans="2:14" ht="63" customHeight="1">
      <c r="B32" s="336"/>
      <c r="C32" s="28" t="s">
        <v>135</v>
      </c>
      <c r="D32" s="91" t="s">
        <v>136</v>
      </c>
      <c r="E32" s="91" t="s">
        <v>137</v>
      </c>
      <c r="F32" s="91" t="s">
        <v>138</v>
      </c>
      <c r="G32" s="91" t="s">
        <v>139</v>
      </c>
      <c r="H32" s="91"/>
      <c r="I32" s="91"/>
      <c r="J32" s="91"/>
      <c r="K32" s="288"/>
      <c r="L32" s="289"/>
    </row>
    <row r="33" spans="2:12" ht="46.5" customHeight="1">
      <c r="B33" s="336"/>
      <c r="C33" s="28" t="s">
        <v>140</v>
      </c>
      <c r="D33" s="91" t="s">
        <v>141</v>
      </c>
      <c r="E33" s="91" t="s">
        <v>141</v>
      </c>
      <c r="F33" s="91" t="s">
        <v>142</v>
      </c>
      <c r="G33" s="91" t="s">
        <v>143</v>
      </c>
      <c r="H33" s="91"/>
      <c r="I33" s="91"/>
      <c r="J33" s="91"/>
      <c r="K33" s="288"/>
      <c r="L33" s="289"/>
    </row>
    <row r="34" spans="2:12" ht="27.75" customHeight="1">
      <c r="B34" s="336"/>
      <c r="C34" s="30" t="s">
        <v>144</v>
      </c>
      <c r="D34" s="96">
        <v>68</v>
      </c>
      <c r="E34" s="96">
        <v>69</v>
      </c>
      <c r="F34" s="96">
        <v>70</v>
      </c>
      <c r="G34" s="97">
        <v>71</v>
      </c>
      <c r="H34" s="97"/>
      <c r="I34" s="97"/>
      <c r="J34" s="97"/>
      <c r="K34" s="288"/>
      <c r="L34" s="289"/>
    </row>
    <row r="35" spans="2:12" ht="102.75" customHeight="1">
      <c r="B35" s="336"/>
      <c r="C35" s="28" t="s">
        <v>145</v>
      </c>
      <c r="D35" s="93">
        <v>1704.14</v>
      </c>
      <c r="E35" s="93">
        <v>1081.69</v>
      </c>
      <c r="F35" s="93">
        <v>1134.8399999999999</v>
      </c>
      <c r="G35" s="93">
        <v>253.75</v>
      </c>
      <c r="H35" s="93"/>
      <c r="I35" s="93"/>
      <c r="J35" s="93"/>
      <c r="K35" s="290"/>
      <c r="L35" s="291"/>
    </row>
    <row r="36" spans="2:12" ht="48" customHeight="1">
      <c r="B36" s="336"/>
      <c r="C36" s="28" t="s">
        <v>146</v>
      </c>
      <c r="D36" s="105">
        <f>IFERROR(D35*VLOOKUP(D31,'DATOS INICIALES'!$A$12:$B$41,2,0),"0")</f>
        <v>1495899204.4200001</v>
      </c>
      <c r="E36" s="105" t="str">
        <f>IFERROR(E35*VLOOKUP(E31,'DATOS INICIALES'!$A$12:$B$41,2,0),"0")</f>
        <v>0</v>
      </c>
      <c r="F36" s="105" t="str">
        <f>IFERROR(F35*VLOOKUP(F31,'DATOS INICIALES'!$A$12:$B$41,2,0),"0")</f>
        <v>0</v>
      </c>
      <c r="G36" s="105">
        <f>IFERROR(G35*VLOOKUP(G31,'DATOS INICIALES'!$A$12:$B$41,2,0),"0")</f>
        <v>230538472.5</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v>1</v>
      </c>
      <c r="F37" s="94">
        <v>1</v>
      </c>
      <c r="G37" s="94">
        <v>1</v>
      </c>
      <c r="H37" s="94"/>
      <c r="I37" s="94"/>
      <c r="J37" s="94"/>
      <c r="K37" s="288"/>
      <c r="L37" s="289"/>
    </row>
    <row r="38" spans="2:12" ht="48.75" customHeight="1">
      <c r="B38" s="336"/>
      <c r="C38" s="28" t="s">
        <v>148</v>
      </c>
      <c r="D38" s="105">
        <f t="shared" ref="D38:J38" si="3">IF(D24="","0",D37*D36)</f>
        <v>1495899204.4200001</v>
      </c>
      <c r="E38" s="105">
        <f t="shared" si="3"/>
        <v>0</v>
      </c>
      <c r="F38" s="105">
        <f t="shared" si="3"/>
        <v>0</v>
      </c>
      <c r="G38" s="105">
        <f t="shared" si="3"/>
        <v>230538472.5</v>
      </c>
      <c r="H38" s="105" t="str">
        <f t="shared" si="3"/>
        <v>0</v>
      </c>
      <c r="I38" s="105" t="str">
        <f t="shared" si="3"/>
        <v>0</v>
      </c>
      <c r="J38" s="105" t="str">
        <f t="shared" si="3"/>
        <v>0</v>
      </c>
      <c r="K38" s="288"/>
      <c r="L38" s="289"/>
    </row>
    <row r="39" spans="2:12" ht="65.25" customHeight="1">
      <c r="B39" s="336"/>
      <c r="C39" s="28" t="s">
        <v>149</v>
      </c>
      <c r="D39" s="106">
        <f t="shared" ref="D39:J39" si="4">IFERROR(D35*D37,"0")</f>
        <v>1704.14</v>
      </c>
      <c r="E39" s="106">
        <f t="shared" si="4"/>
        <v>1081.69</v>
      </c>
      <c r="F39" s="106">
        <f t="shared" si="4"/>
        <v>1134.8399999999999</v>
      </c>
      <c r="G39" s="106">
        <f t="shared" si="4"/>
        <v>253.75</v>
      </c>
      <c r="H39" s="106">
        <f t="shared" si="4"/>
        <v>0</v>
      </c>
      <c r="I39" s="106">
        <f t="shared" si="4"/>
        <v>0</v>
      </c>
      <c r="J39" s="106">
        <f t="shared" si="4"/>
        <v>0</v>
      </c>
      <c r="K39" s="288"/>
      <c r="L39" s="289"/>
    </row>
    <row r="40" spans="2:12" ht="65.25" customHeight="1">
      <c r="B40" s="336"/>
      <c r="C40" s="28" t="s">
        <v>150</v>
      </c>
      <c r="D40" s="94">
        <v>0</v>
      </c>
      <c r="E40" s="94">
        <v>0</v>
      </c>
      <c r="F40" s="94">
        <v>0</v>
      </c>
      <c r="G40" s="94">
        <v>0</v>
      </c>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v>0</v>
      </c>
      <c r="E43" s="94">
        <v>0</v>
      </c>
      <c r="F43" s="94">
        <v>0</v>
      </c>
      <c r="G43" s="94">
        <v>0</v>
      </c>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29</v>
      </c>
      <c r="E47" s="96" t="s">
        <v>29</v>
      </c>
      <c r="F47" s="96" t="s">
        <v>29</v>
      </c>
      <c r="G47" s="96" t="s">
        <v>29</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29</v>
      </c>
      <c r="F49" s="96" t="s">
        <v>27</v>
      </c>
      <c r="G49" s="96" t="s">
        <v>27</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t="s">
        <v>29</v>
      </c>
      <c r="E51" s="96" t="s">
        <v>27</v>
      </c>
      <c r="F51" s="96" t="s">
        <v>27</v>
      </c>
      <c r="G51" s="96" t="s">
        <v>27</v>
      </c>
      <c r="H51" s="96"/>
      <c r="I51" s="96"/>
      <c r="J51" s="97"/>
      <c r="K51" s="288"/>
      <c r="L51" s="289"/>
    </row>
    <row r="52" spans="2:12" ht="24.75" customHeight="1">
      <c r="B52" s="328"/>
      <c r="C52" s="31">
        <f>+'DATOS INICIALES'!D26</f>
        <v>93141500</v>
      </c>
      <c r="D52" s="96" t="s">
        <v>27</v>
      </c>
      <c r="E52" s="96" t="s">
        <v>27</v>
      </c>
      <c r="F52" s="96" t="s">
        <v>29</v>
      </c>
      <c r="G52" s="96" t="s">
        <v>27</v>
      </c>
      <c r="H52" s="96"/>
      <c r="I52" s="96"/>
      <c r="J52" s="97"/>
      <c r="K52" s="288"/>
      <c r="L52" s="289"/>
    </row>
    <row r="53" spans="2:12" ht="24.75" customHeight="1">
      <c r="B53" s="328"/>
      <c r="C53" s="31">
        <v>93141600</v>
      </c>
      <c r="D53" s="96" t="s">
        <v>27</v>
      </c>
      <c r="E53" s="96" t="s">
        <v>27</v>
      </c>
      <c r="F53" s="96" t="s">
        <v>27</v>
      </c>
      <c r="G53" s="96" t="s">
        <v>27</v>
      </c>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30</v>
      </c>
      <c r="E59" s="90" t="s">
        <v>30</v>
      </c>
      <c r="F59" s="90" t="s">
        <v>30</v>
      </c>
      <c r="G59" s="90" t="s">
        <v>30</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30</v>
      </c>
      <c r="E61" s="90" t="s">
        <v>30</v>
      </c>
      <c r="F61" s="90" t="s">
        <v>30</v>
      </c>
      <c r="G61" s="90" t="s">
        <v>30</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IF(F24="","N/A",IF(AND(F46="CUMPLE",F54="CUMPLE",F55="CUMPLE",F56="CUMPLE",F57="CUMPLE",F58="CUMPLE",OR(F59="CUMPLE",F59="N/A"),F60="CUMPLE",OR(F61="CUMPLE",F61="N/A"),F63="CUMPLE",OR(F62="CUMPLE",F62="N/A")),"CUMPLE","NO CUMPLE"))</f>
        <v>NO CUMPLE</v>
      </c>
      <c r="G64" s="18" t="str">
        <f t="shared" ref="G64:J64" si="10">IF(G24="","N/A",IF(AND(G46="CUMPLE",G54="CUMPLE",G55="CUMPLE",G56="CUMPLE",G57="CUMPLE",G58="CUMPLE",OR(G59="CUMPLE",G59="N/A"),G60="CUMPLE",OR(G61="CUMPLE",G61="N/A"),G63="CUMPLE",OR(G62="CUMPLE",G62="N/A")),"CUMPLE","NO CUMPLE"))</f>
        <v>NO CUMPLE</v>
      </c>
      <c r="H64" s="18" t="str">
        <f t="shared" si="10"/>
        <v>N/A</v>
      </c>
      <c r="I64" s="18" t="str">
        <f t="shared" si="10"/>
        <v>N/A</v>
      </c>
      <c r="J64" s="18" t="str">
        <f t="shared" si="10"/>
        <v>N/A</v>
      </c>
      <c r="K64" s="166"/>
      <c r="L64" s="167"/>
    </row>
    <row r="65" spans="2:12" ht="81.75" customHeight="1">
      <c r="B65" s="229" t="s">
        <v>170</v>
      </c>
      <c r="C65" s="229"/>
      <c r="D65" s="90" t="s">
        <v>31</v>
      </c>
      <c r="E65" s="90" t="s">
        <v>31</v>
      </c>
      <c r="F65" s="90" t="s">
        <v>31</v>
      </c>
      <c r="G65" s="90" t="s">
        <v>31</v>
      </c>
      <c r="H65" s="90"/>
      <c r="I65" s="90"/>
      <c r="J65" s="90"/>
      <c r="K65" s="288"/>
      <c r="L65" s="289"/>
    </row>
  </sheetData>
  <sheetProtection formatCells="0" formatColumns="0" formatRows="0"/>
  <mergeCells count="80">
    <mergeCell ref="B24:C24"/>
    <mergeCell ref="B60:C60"/>
    <mergeCell ref="B61:C61"/>
    <mergeCell ref="K15:K17"/>
    <mergeCell ref="L15:L17"/>
    <mergeCell ref="K18:L18"/>
    <mergeCell ref="B21:L21"/>
    <mergeCell ref="B22:L22"/>
    <mergeCell ref="B14:B19"/>
    <mergeCell ref="K50:L50"/>
    <mergeCell ref="K51:L51"/>
    <mergeCell ref="K23:L23"/>
    <mergeCell ref="K24:L24"/>
    <mergeCell ref="K25:L25"/>
    <mergeCell ref="K26:L26"/>
    <mergeCell ref="B25:C25"/>
    <mergeCell ref="B26:C26"/>
    <mergeCell ref="B27:B45"/>
    <mergeCell ref="K28:L28"/>
    <mergeCell ref="K29:L29"/>
    <mergeCell ref="K32:L32"/>
    <mergeCell ref="K33:L33"/>
    <mergeCell ref="K34:L34"/>
    <mergeCell ref="K44:L44"/>
    <mergeCell ref="K35:L35"/>
    <mergeCell ref="K36:L36"/>
    <mergeCell ref="K37:L37"/>
    <mergeCell ref="K38:L38"/>
    <mergeCell ref="K39:L39"/>
    <mergeCell ref="B65:C65"/>
    <mergeCell ref="B58:C58"/>
    <mergeCell ref="B62:C62"/>
    <mergeCell ref="B57:C57"/>
    <mergeCell ref="B47:B54"/>
    <mergeCell ref="B55:C55"/>
    <mergeCell ref="B56:C56"/>
    <mergeCell ref="B63:C63"/>
    <mergeCell ref="B64:C64"/>
    <mergeCell ref="B59:C59"/>
    <mergeCell ref="B2:L2"/>
    <mergeCell ref="B3:L3"/>
    <mergeCell ref="B4:L4"/>
    <mergeCell ref="B5:L5"/>
    <mergeCell ref="B7:I7"/>
    <mergeCell ref="J7:L7"/>
    <mergeCell ref="B12:L12"/>
    <mergeCell ref="B13:L13"/>
    <mergeCell ref="I11:L11"/>
    <mergeCell ref="C8:I8"/>
    <mergeCell ref="C9:I9"/>
    <mergeCell ref="C10:I10"/>
    <mergeCell ref="C11:G11"/>
    <mergeCell ref="K56:L56"/>
    <mergeCell ref="K55:L55"/>
    <mergeCell ref="K40:L40"/>
    <mergeCell ref="K41:L41"/>
    <mergeCell ref="K42:L42"/>
    <mergeCell ref="K43:L43"/>
    <mergeCell ref="I15:I17"/>
    <mergeCell ref="J15:J17"/>
    <mergeCell ref="K30:L30"/>
    <mergeCell ref="K19:L19"/>
    <mergeCell ref="K31:L31"/>
    <mergeCell ref="K27:L27"/>
    <mergeCell ref="K65:L65"/>
    <mergeCell ref="K45:L45"/>
    <mergeCell ref="K46:L46"/>
    <mergeCell ref="K47:L47"/>
    <mergeCell ref="K48:L48"/>
    <mergeCell ref="K49:L49"/>
    <mergeCell ref="K61:L61"/>
    <mergeCell ref="K62:L62"/>
    <mergeCell ref="K63:L63"/>
    <mergeCell ref="K57:L57"/>
    <mergeCell ref="K58:L58"/>
    <mergeCell ref="K59:L59"/>
    <mergeCell ref="K60:L60"/>
    <mergeCell ref="K52:L52"/>
    <mergeCell ref="K53:L53"/>
    <mergeCell ref="K54:L54"/>
  </mergeCells>
  <conditionalFormatting sqref="D25:J35">
    <cfRule type="containsBlanks" dxfId="1294" priority="17">
      <formula>LEN(TRIM(D25))=0</formula>
    </cfRule>
    <cfRule type="notContainsErrors" dxfId="1293" priority="18">
      <formula>NOT(ISERROR(D25))</formula>
    </cfRule>
  </conditionalFormatting>
  <conditionalFormatting sqref="D34:J34 D24:K24">
    <cfRule type="containsBlanks" dxfId="1292" priority="19">
      <formula>LEN(TRIM(D24))=0</formula>
    </cfRule>
  </conditionalFormatting>
  <conditionalFormatting sqref="D37:J37">
    <cfRule type="containsBlanks" dxfId="1291" priority="15">
      <formula>LEN(TRIM(D37))=0</formula>
    </cfRule>
    <cfRule type="notContainsErrors" dxfId="1290" priority="16">
      <formula>NOT(ISERROR(D37))</formula>
    </cfRule>
  </conditionalFormatting>
  <conditionalFormatting sqref="D40:J40">
    <cfRule type="containsBlanks" dxfId="1289" priority="13">
      <formula>LEN(TRIM(D40))=0</formula>
    </cfRule>
    <cfRule type="notContainsErrors" dxfId="1288" priority="14">
      <formula>NOT(ISERROR(D40))</formula>
    </cfRule>
  </conditionalFormatting>
  <conditionalFormatting sqref="D43:J43 K64:L64">
    <cfRule type="notContainsErrors" dxfId="1287" priority="48">
      <formula>NOT(ISERROR(D43))</formula>
    </cfRule>
    <cfRule type="containsBlanks" dxfId="1286" priority="47">
      <formula>LEN(TRIM(D43))=0</formula>
    </cfRule>
  </conditionalFormatting>
  <conditionalFormatting sqref="D46:J53">
    <cfRule type="cellIs" dxfId="1285" priority="9" operator="equal">
      <formula>"NO CUMPLE"</formula>
    </cfRule>
    <cfRule type="cellIs" dxfId="1284" priority="10" operator="equal">
      <formula>"CUMPLE"</formula>
    </cfRule>
    <cfRule type="containsBlanks" dxfId="1283" priority="11">
      <formula>LEN(TRIM(D46))=0</formula>
    </cfRule>
    <cfRule type="notContainsErrors" dxfId="1282" priority="12">
      <formula>NOT(ISERROR(D46))</formula>
    </cfRule>
  </conditionalFormatting>
  <conditionalFormatting sqref="D54:J54">
    <cfRule type="cellIs" dxfId="1281" priority="66" operator="equal">
      <formula>"N/A"</formula>
    </cfRule>
    <cfRule type="cellIs" dxfId="1280" priority="87" operator="equal">
      <formula>"""CUMPLE"""</formula>
    </cfRule>
    <cfRule type="cellIs" dxfId="1279" priority="86" operator="equal">
      <formula>"NO CUMPLE"</formula>
    </cfRule>
    <cfRule type="cellIs" dxfId="1278" priority="85" operator="equal">
      <formula>"CUMPLE"</formula>
    </cfRule>
  </conditionalFormatting>
  <conditionalFormatting sqref="D55:J63">
    <cfRule type="cellIs" dxfId="1277" priority="5" operator="equal">
      <formula>"NO CUMPLE"</formula>
    </cfRule>
    <cfRule type="cellIs" dxfId="1276" priority="6" operator="equal">
      <formula>"CUMPLE"</formula>
    </cfRule>
    <cfRule type="containsBlanks" dxfId="1275" priority="7">
      <formula>LEN(TRIM(D55))=0</formula>
    </cfRule>
    <cfRule type="notContainsErrors" dxfId="1274" priority="8">
      <formula>NOT(ISERROR(D55))</formula>
    </cfRule>
  </conditionalFormatting>
  <conditionalFormatting sqref="D64:J64">
    <cfRule type="cellIs" dxfId="1273" priority="62" operator="equal">
      <formula>"N/A"</formula>
    </cfRule>
    <cfRule type="cellIs" dxfId="1272" priority="63" operator="equal">
      <formula>"CUMPLE"</formula>
    </cfRule>
    <cfRule type="cellIs" dxfId="1271" priority="65" operator="equal">
      <formula>"""CUMPLE"""</formula>
    </cfRule>
    <cfRule type="cellIs" dxfId="1270" priority="64" operator="equal">
      <formula>"NO CUMPLE"</formula>
    </cfRule>
  </conditionalFormatting>
  <conditionalFormatting sqref="D65:J65">
    <cfRule type="cellIs" dxfId="1269" priority="2" operator="equal">
      <formula>"CUMPLE"</formula>
    </cfRule>
    <cfRule type="cellIs" dxfId="1268" priority="1" operator="equal">
      <formula>"NO CUMPLE"</formula>
    </cfRule>
  </conditionalFormatting>
  <conditionalFormatting sqref="D24:K24 D34:J34">
    <cfRule type="notContainsErrors" dxfId="1267" priority="20">
      <formula>NOT(ISERROR(D24))</formula>
    </cfRule>
  </conditionalFormatting>
  <conditionalFormatting sqref="D65:K65">
    <cfRule type="containsBlanks" dxfId="1266" priority="3">
      <formula>LEN(TRIM(D65))=0</formula>
    </cfRule>
    <cfRule type="notContainsErrors" dxfId="1265" priority="4">
      <formula>NOT(ISERROR(D65))</formula>
    </cfRule>
  </conditionalFormatting>
  <conditionalFormatting sqref="F20:H20">
    <cfRule type="cellIs" dxfId="1264" priority="102" operator="equal">
      <formula>"CUMPLE"</formula>
    </cfRule>
    <cfRule type="cellIs" dxfId="1263" priority="103" operator="equal">
      <formula>"NO CUMPLE"</formula>
    </cfRule>
    <cfRule type="cellIs" dxfId="1262" priority="104" operator="equal">
      <formula>"""CUMPLE"""</formula>
    </cfRule>
  </conditionalFormatting>
  <conditionalFormatting sqref="I11">
    <cfRule type="containsText" dxfId="1261" priority="127" operator="containsText" text="INHABILITADO">
      <formula>NOT(ISERROR(SEARCH("INHABILITADO",I11)))</formula>
    </cfRule>
    <cfRule type="containsText" dxfId="1260" priority="128" operator="containsText" text="HABILITADO">
      <formula>NOT(ISERROR(SEARCH("HABILITADO",I11)))</formula>
    </cfRule>
    <cfRule type="containsText" dxfId="1259" priority="129" operator="containsText" text="HABILITADO">
      <formula>NOT(ISERROR(SEARCH("HABILITADO",I11)))</formula>
    </cfRule>
    <cfRule type="containsText" dxfId="1258" priority="142" operator="containsText" text="NO CUMPLE">
      <formula>NOT(ISERROR(SEARCH("NO CUMPLE",I11)))</formula>
    </cfRule>
  </conditionalFormatting>
  <conditionalFormatting sqref="J20">
    <cfRule type="cellIs" dxfId="1257" priority="36" operator="equal">
      <formula>"SI"</formula>
    </cfRule>
    <cfRule type="cellIs" dxfId="1256" priority="35" operator="equal">
      <formula>"NO"</formula>
    </cfRule>
  </conditionalFormatting>
  <conditionalFormatting sqref="K19">
    <cfRule type="cellIs" dxfId="1255" priority="71" operator="equal">
      <formula>"CUMPLE"</formula>
    </cfRule>
    <cfRule type="cellIs" dxfId="1254" priority="72" operator="equal">
      <formula>"NO CUMPLE"</formula>
    </cfRule>
    <cfRule type="cellIs" dxfId="1253" priority="73" operator="equal">
      <formula>"""CUMPLE"""</formula>
    </cfRule>
  </conditionalFormatting>
  <conditionalFormatting sqref="K25:K63">
    <cfRule type="notContainsErrors" dxfId="1252" priority="22">
      <formula>NOT(ISERROR(K25))</formula>
    </cfRule>
    <cfRule type="containsBlanks" dxfId="1251" priority="21">
      <formula>LEN(TRIM(K25))=0</formula>
    </cfRule>
  </conditionalFormatting>
  <conditionalFormatting sqref="L15">
    <cfRule type="cellIs" dxfId="1250" priority="99" operator="equal">
      <formula>"CUMPLE"</formula>
    </cfRule>
    <cfRule type="cellIs" dxfId="1249" priority="100" operator="equal">
      <formula>"NO CUMPLE"</formula>
    </cfRule>
    <cfRule type="cellIs" dxfId="1248" priority="101" operator="equal">
      <formula>"""CUMPLE"""</formula>
    </cfRule>
  </conditionalFormatting>
  <conditionalFormatting sqref="L20">
    <cfRule type="cellIs" dxfId="1247" priority="32" operator="equal">
      <formula>"SI"</formula>
    </cfRule>
    <cfRule type="cellIs" dxfId="1246" priority="31" operator="equal">
      <formula>"NO"</formula>
    </cfRule>
  </conditionalFormatting>
  <dataValidations count="3">
    <dataValidation type="list" allowBlank="1" showInputMessage="1" showErrorMessage="1" sqref="D65:I65" xr:uid="{00000000-0002-0000-0200-000000000000}">
      <formula1>"CUMPLE,NO CUMPLE"</formula1>
    </dataValidation>
    <dataValidation type="list" allowBlank="1" showInputMessage="1" showErrorMessage="1" sqref="D24:J26" xr:uid="{00000000-0002-0000-0200-000001000000}">
      <formula1>$C$15:$C$19</formula1>
    </dataValidation>
    <dataValidation type="list" allowBlank="1" showInputMessage="1" showErrorMessage="1" sqref="L57:L64" xr:uid="{00000000-0002-0000-02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3000000}">
          <x14:formula1>
            <xm:f>'DATOS INICIALES'!$A$13:$A$41</xm:f>
          </x14:formula1>
          <xm:sqref>D31:I31</xm:sqref>
        </x14:dataValidation>
        <x14:dataValidation type="list" allowBlank="1" showInputMessage="1" showErrorMessage="1" xr:uid="{00000000-0002-0000-0200-000004000000}">
          <x14:formula1>
            <xm:f>'DATOS INICIALES'!$D$21:$D$25</xm:f>
          </x14:formula1>
          <xm:sqref>M47:M54</xm:sqref>
        </x14:dataValidation>
        <x14:dataValidation type="list" allowBlank="1" showInputMessage="1" showErrorMessage="1" xr:uid="{00000000-0002-0000-0200-000005000000}">
          <x14:formula1>
            <xm:f>'DATOS INICIALES'!$A$53:$A$58</xm:f>
          </x14:formula1>
          <xm:sqref>D23:I23</xm:sqref>
        </x14:dataValidation>
        <x14:dataValidation type="list" allowBlank="1" showInputMessage="1" showErrorMessage="1" xr:uid="{00000000-0002-0000-0200-000006000000}">
          <x14:formula1>
            <xm:f>'DATOS INICIALES'!$A$49:$A$51</xm:f>
          </x14:formula1>
          <xm:sqref>D46:J46 D58:J63 J55:J56 D55:I57</xm:sqref>
        </x14:dataValidation>
        <x14:dataValidation type="list" allowBlank="1" showInputMessage="1" showErrorMessage="1" xr:uid="{00000000-0002-0000-0200-000007000000}">
          <x14:formula1>
            <xm:f>'DATOS INICIALES'!$C$44:$C$45</xm:f>
          </x14:formula1>
          <xm:sqref>J47:J52 D47:I53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7"/>
  <sheetViews>
    <sheetView zoomScale="55" zoomScaleNormal="55" workbookViewId="0">
      <pane ySplit="12" topLeftCell="A38" activePane="bottomLeft" state="frozen"/>
      <selection activeCell="E20" sqref="E20"/>
      <selection pane="bottomLeft" activeCell="A13" sqref="A13:A17"/>
    </sheetView>
  </sheetViews>
  <sheetFormatPr baseColWidth="10" defaultColWidth="11.42578125" defaultRowHeight="15"/>
  <cols>
    <col min="1" max="1" width="4.140625" style="16" customWidth="1"/>
    <col min="2" max="2" width="26.85546875" style="16" customWidth="1"/>
    <col min="3" max="3" width="26.7109375" style="16" customWidth="1"/>
    <col min="4" max="4" width="7.85546875" style="41" customWidth="1"/>
    <col min="5" max="5" width="12" style="69" customWidth="1"/>
    <col min="6" max="6" width="29.85546875" style="16" customWidth="1"/>
    <col min="7" max="7" width="26.28515625" style="16" customWidth="1"/>
    <col min="8" max="8" width="26.42578125" style="16" customWidth="1"/>
    <col min="9" max="9" width="23.42578125" style="16" customWidth="1"/>
    <col min="10" max="10" width="24.7109375" style="16" customWidth="1"/>
    <col min="11" max="11" width="20.28515625" style="16" customWidth="1"/>
    <col min="12" max="12" width="16.42578125" style="16" customWidth="1"/>
    <col min="13" max="13" width="16.42578125" style="16" bestFit="1" customWidth="1"/>
    <col min="14" max="14" width="16.42578125" style="16" customWidth="1"/>
    <col min="15" max="15" width="18.7109375" style="16" customWidth="1"/>
    <col min="16" max="16" width="16.28515625" style="16" customWidth="1"/>
    <col min="17" max="17" width="16.42578125" style="16" customWidth="1"/>
    <col min="18" max="18" width="48.5703125" style="16" customWidth="1"/>
    <col min="19" max="16384" width="11.42578125" style="16"/>
  </cols>
  <sheetData>
    <row r="1" spans="1:18">
      <c r="A1" s="27"/>
      <c r="B1" s="88"/>
      <c r="C1" s="88"/>
      <c r="D1" s="88"/>
      <c r="E1" s="88"/>
      <c r="F1" s="88"/>
      <c r="G1" s="88"/>
      <c r="H1" s="88"/>
      <c r="I1" s="88"/>
      <c r="J1" s="88"/>
      <c r="K1" s="88"/>
      <c r="L1" s="88"/>
      <c r="M1" s="88"/>
      <c r="N1" s="88"/>
      <c r="O1" s="88"/>
      <c r="P1" s="88"/>
      <c r="Q1" s="27"/>
      <c r="R1" s="27"/>
    </row>
    <row r="2" spans="1:18" ht="18.75">
      <c r="A2" s="255" t="s">
        <v>66</v>
      </c>
      <c r="B2" s="255"/>
      <c r="C2" s="255"/>
      <c r="D2" s="255"/>
      <c r="E2" s="255"/>
      <c r="F2" s="255"/>
      <c r="G2" s="255"/>
      <c r="H2" s="255"/>
      <c r="I2" s="255"/>
      <c r="J2" s="255"/>
      <c r="K2" s="255"/>
      <c r="L2" s="255"/>
      <c r="M2" s="255"/>
      <c r="N2" s="255"/>
      <c r="O2" s="255"/>
      <c r="P2" s="255"/>
      <c r="Q2" s="255"/>
      <c r="R2" s="255"/>
    </row>
    <row r="3" spans="1:18">
      <c r="A3" s="264"/>
      <c r="B3" s="264"/>
      <c r="C3" s="264"/>
      <c r="D3" s="264"/>
      <c r="E3" s="264"/>
      <c r="F3" s="264"/>
      <c r="G3" s="264"/>
      <c r="H3" s="264"/>
      <c r="I3" s="264"/>
      <c r="J3" s="264"/>
      <c r="K3" s="264"/>
      <c r="L3" s="264"/>
      <c r="M3" s="264"/>
      <c r="N3" s="264"/>
      <c r="O3" s="264"/>
      <c r="P3" s="264"/>
      <c r="Q3" s="264"/>
      <c r="R3" s="264"/>
    </row>
    <row r="4" spans="1:18" ht="18.75">
      <c r="A4" s="255" t="str">
        <f>'DATOS INICIALES'!G4</f>
        <v>FDLK-LP-007-2024</v>
      </c>
      <c r="B4" s="255"/>
      <c r="C4" s="255"/>
      <c r="D4" s="255"/>
      <c r="E4" s="255"/>
      <c r="F4" s="255"/>
      <c r="G4" s="255"/>
      <c r="H4" s="255"/>
      <c r="I4" s="255"/>
      <c r="J4" s="255"/>
      <c r="K4" s="255"/>
      <c r="L4" s="255"/>
      <c r="M4" s="255"/>
      <c r="N4" s="255"/>
      <c r="O4" s="255"/>
      <c r="P4" s="255"/>
      <c r="Q4" s="255"/>
      <c r="R4" s="255"/>
    </row>
    <row r="5" spans="1:18">
      <c r="A5" s="264"/>
      <c r="B5" s="264"/>
      <c r="C5" s="264"/>
      <c r="D5" s="264"/>
      <c r="E5" s="264"/>
      <c r="F5" s="264"/>
      <c r="G5" s="264"/>
      <c r="H5" s="264"/>
      <c r="I5" s="264"/>
      <c r="J5" s="264"/>
      <c r="K5" s="264"/>
      <c r="L5" s="264"/>
      <c r="M5" s="264"/>
      <c r="N5" s="264"/>
      <c r="O5" s="264"/>
      <c r="P5" s="264"/>
      <c r="Q5" s="264"/>
      <c r="R5" s="264"/>
    </row>
    <row r="6" spans="1:18">
      <c r="A6" s="287" t="s">
        <v>67</v>
      </c>
      <c r="B6" s="287"/>
      <c r="C6" s="67" t="s">
        <v>68</v>
      </c>
      <c r="D6" s="286" t="s">
        <v>69</v>
      </c>
      <c r="E6" s="286"/>
      <c r="F6" s="286"/>
      <c r="G6" s="87">
        <v>44498</v>
      </c>
      <c r="H6" s="351"/>
      <c r="I6" s="351"/>
      <c r="J6" s="351"/>
      <c r="K6" s="351"/>
      <c r="L6" s="351"/>
      <c r="M6" s="351"/>
      <c r="N6" s="351"/>
      <c r="O6" s="351"/>
      <c r="P6" s="351"/>
      <c r="Q6" s="351"/>
      <c r="R6" s="351"/>
    </row>
    <row r="7" spans="1:18">
      <c r="A7" s="285" t="s">
        <v>70</v>
      </c>
      <c r="B7" s="285"/>
      <c r="C7" s="285"/>
      <c r="D7" s="285"/>
      <c r="E7" s="285"/>
      <c r="F7" s="285"/>
      <c r="G7" s="285"/>
      <c r="H7" s="285"/>
      <c r="I7" s="285"/>
      <c r="J7" s="285"/>
      <c r="K7" s="285"/>
      <c r="L7" s="285"/>
      <c r="M7" s="285"/>
      <c r="N7" s="285"/>
      <c r="O7" s="285"/>
      <c r="P7" s="285"/>
      <c r="Q7" s="285"/>
      <c r="R7" s="285"/>
    </row>
    <row r="8" spans="1:18" ht="36" customHeight="1">
      <c r="A8" s="278" t="s">
        <v>71</v>
      </c>
      <c r="B8" s="278"/>
      <c r="C8" s="353"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53"/>
      <c r="E8" s="353"/>
      <c r="F8" s="353"/>
      <c r="G8" s="353"/>
      <c r="H8" s="353"/>
      <c r="I8" s="353"/>
      <c r="J8" s="353"/>
      <c r="K8" s="353"/>
      <c r="L8" s="353"/>
      <c r="M8" s="353"/>
      <c r="N8" s="353"/>
      <c r="O8" s="353"/>
      <c r="P8" s="353"/>
      <c r="Q8" s="353"/>
      <c r="R8" s="353"/>
    </row>
    <row r="9" spans="1:18">
      <c r="A9" s="278" t="s">
        <v>72</v>
      </c>
      <c r="B9" s="278"/>
      <c r="C9" s="352">
        <f>+'DATOS INICIALES'!C6</f>
        <v>0</v>
      </c>
      <c r="D9" s="352"/>
      <c r="E9" s="352"/>
      <c r="F9" s="63" t="s">
        <v>73</v>
      </c>
      <c r="G9" s="65">
        <v>4</v>
      </c>
      <c r="H9" s="352"/>
      <c r="I9" s="352"/>
      <c r="J9" s="352"/>
      <c r="K9" s="352"/>
      <c r="L9" s="352"/>
      <c r="M9" s="352"/>
      <c r="N9" s="352"/>
      <c r="O9" s="352"/>
      <c r="P9" s="352"/>
      <c r="Q9" s="352"/>
      <c r="R9" s="352"/>
    </row>
    <row r="10" spans="1:18">
      <c r="A10" s="278" t="s">
        <v>74</v>
      </c>
      <c r="B10" s="278"/>
      <c r="C10" s="350">
        <f>C9/'DATOS INICIALES'!B41</f>
        <v>0</v>
      </c>
      <c r="D10" s="350"/>
      <c r="E10" s="350"/>
      <c r="F10" s="64" t="s">
        <v>75</v>
      </c>
      <c r="G10" s="66">
        <v>0</v>
      </c>
      <c r="H10" s="350"/>
      <c r="I10" s="350"/>
      <c r="J10" s="350"/>
      <c r="K10" s="350"/>
      <c r="L10" s="350"/>
      <c r="M10" s="350"/>
      <c r="N10" s="350"/>
      <c r="O10" s="350"/>
      <c r="P10" s="350"/>
      <c r="Q10" s="350"/>
      <c r="R10" s="350"/>
    </row>
    <row r="11" spans="1:18" ht="9" customHeight="1">
      <c r="E11" s="41"/>
    </row>
    <row r="12" spans="1:18" ht="75.75" thickBot="1">
      <c r="A12" s="46" t="s">
        <v>43</v>
      </c>
      <c r="B12" s="46" t="s">
        <v>76</v>
      </c>
      <c r="C12" s="46" t="s">
        <v>77</v>
      </c>
      <c r="D12" s="46" t="s">
        <v>78</v>
      </c>
      <c r="E12" s="46" t="s">
        <v>171</v>
      </c>
      <c r="F12" s="46" t="s">
        <v>172</v>
      </c>
      <c r="G12" s="46" t="s">
        <v>173</v>
      </c>
      <c r="H12" s="46" t="s">
        <v>174</v>
      </c>
      <c r="I12" s="46" t="s">
        <v>175</v>
      </c>
      <c r="J12" s="46" t="s">
        <v>176</v>
      </c>
      <c r="K12" s="46" t="s">
        <v>177</v>
      </c>
      <c r="L12" s="46" t="s">
        <v>178</v>
      </c>
      <c r="M12" s="46" t="s">
        <v>179</v>
      </c>
      <c r="N12" s="46" t="s">
        <v>180</v>
      </c>
      <c r="O12" s="46" t="s">
        <v>88</v>
      </c>
      <c r="P12" s="46" t="s">
        <v>89</v>
      </c>
      <c r="Q12" s="46" t="s">
        <v>181</v>
      </c>
      <c r="R12" s="46" t="s">
        <v>117</v>
      </c>
    </row>
    <row r="13" spans="1:18" ht="30">
      <c r="A13" s="266">
        <v>1</v>
      </c>
      <c r="B13" s="263" t="str">
        <f>+PROPONENTES!B10</f>
        <v xml:space="preserve"> BOOST BUSINESS CONSULTING S.A.S.</v>
      </c>
      <c r="C13" s="47" t="str">
        <f>IF(VLOOKUP(B13,PROPONENTES!$B$10:$N$16,2,FALSE)="","",VLOOKUP(B13,PROPONENTES!$B$10:$N$16,2,FALSE))</f>
        <v xml:space="preserve"> BOOST BUSINESS CONSULTING S.A.S.</v>
      </c>
      <c r="D13" s="48">
        <f>VLOOKUP(B13,PROPONENTES!$B$10:$N$16,3,FALSE)</f>
        <v>1</v>
      </c>
      <c r="E13" s="109" t="s">
        <v>31</v>
      </c>
      <c r="F13" s="110" t="s">
        <v>33</v>
      </c>
      <c r="G13" s="110" t="s">
        <v>31</v>
      </c>
      <c r="H13" s="111" t="s">
        <v>31</v>
      </c>
      <c r="I13" s="110" t="s">
        <v>31</v>
      </c>
      <c r="J13" s="112" t="s">
        <v>30</v>
      </c>
      <c r="K13" s="112" t="s">
        <v>31</v>
      </c>
      <c r="L13" s="112" t="s">
        <v>31</v>
      </c>
      <c r="M13" s="113" t="s">
        <v>31</v>
      </c>
      <c r="N13" s="47" t="str">
        <f t="shared" ref="N13:N47" si="0">IF(C13="","N/A",IF(AND(OR(E13="CUMPLE",E13="N/A"),OR(F13="CUMPLE",F13="N/A"),OR(G13="CUMPLE",G13="N/A"),OR(H13="CUMPLE",H13="N/A"),OR(I13="CUMPLE",I13="N/A"),OR(J13="CUMPLE",J13="N/A"),OR(K13="CUMPLE",K13="N/A"),OR(L13="CUMPLE",L13="N/A"),OR(M13="CUMPLE",M13="N/A")),"CUMPLE","NO CUMPLE"))</f>
        <v>NO CUMPLE</v>
      </c>
      <c r="O13" s="357" t="e">
        <f>+'K RESIDUAL CALCULO'!N13</f>
        <v>#DIV/0!</v>
      </c>
      <c r="P13" s="358">
        <f>IF($G$9&lt;=12,$C$9-$G$10*$C$9,(($C$9-$G$10)/$G$9)*12)</f>
        <v>0</v>
      </c>
      <c r="Q13" s="361" t="e">
        <f>IF(AND(O13&gt;=P13,OR(N13="CUMPLE",N13="N/A"),OR(N14="CUMPLE",N14="N/A"),OR(N15="CUMPLE",N15="N/A"),OR(N16="CUMPLE",N16="N/A")*OR(N17="CUMPLE",N17="N/A")),"CUMPLE","NO CUMPLE")</f>
        <v>#DIV/0!</v>
      </c>
      <c r="R13" s="354"/>
    </row>
    <row r="14" spans="1:18">
      <c r="A14" s="267"/>
      <c r="B14" s="264"/>
      <c r="C14" s="27" t="str">
        <f>IF(VLOOKUP(B13,PROPONENTES!$B$10:$N$16,4,FALSE)="","",VLOOKUP(B13,PROPONENTES!$B$10:$N$16,4,FALSE))</f>
        <v/>
      </c>
      <c r="D14" s="40">
        <f>VLOOKUP(B13,PROPONENTES!$B$10:$N$16,5,FALSE)</f>
        <v>0</v>
      </c>
      <c r="E14" s="114" t="s">
        <v>31</v>
      </c>
      <c r="F14" s="115" t="s">
        <v>33</v>
      </c>
      <c r="G14" s="115" t="s">
        <v>31</v>
      </c>
      <c r="H14" s="116" t="s">
        <v>31</v>
      </c>
      <c r="I14" s="115" t="s">
        <v>31</v>
      </c>
      <c r="J14" s="117" t="s">
        <v>30</v>
      </c>
      <c r="K14" s="117" t="s">
        <v>31</v>
      </c>
      <c r="L14" s="117" t="s">
        <v>31</v>
      </c>
      <c r="M14" s="115" t="s">
        <v>31</v>
      </c>
      <c r="N14" s="27" t="str">
        <f t="shared" si="0"/>
        <v>N/A</v>
      </c>
      <c r="O14" s="264"/>
      <c r="P14" s="359"/>
      <c r="Q14" s="294"/>
      <c r="R14" s="355"/>
    </row>
    <row r="15" spans="1:18">
      <c r="A15" s="267"/>
      <c r="B15" s="264"/>
      <c r="C15" s="27" t="str">
        <f>IF(VLOOKUP(B13,PROPONENTES!$B$10:$N$16,6,FALSE)="","",VLOOKUP(B13,PROPONENTES!$B$10:$N$16,6,FALSE))</f>
        <v/>
      </c>
      <c r="D15" s="40">
        <f>VLOOKUP(B13,PROPONENTES!$B$10:$N$16,7,FALSE)</f>
        <v>0</v>
      </c>
      <c r="E15" s="114"/>
      <c r="F15" s="115"/>
      <c r="G15" s="115"/>
      <c r="H15" s="116"/>
      <c r="I15" s="115"/>
      <c r="J15" s="117"/>
      <c r="K15" s="117"/>
      <c r="L15" s="117"/>
      <c r="M15" s="115"/>
      <c r="N15" s="27" t="str">
        <f t="shared" si="0"/>
        <v>N/A</v>
      </c>
      <c r="O15" s="264"/>
      <c r="P15" s="359"/>
      <c r="Q15" s="294"/>
      <c r="R15" s="355"/>
    </row>
    <row r="16" spans="1:18">
      <c r="A16" s="267"/>
      <c r="B16" s="264"/>
      <c r="C16" s="27" t="str">
        <f>IF(VLOOKUP(B13,PROPONENTES!$B$10:$N$16,8,FALSE)="","",VLOOKUP(B13,PROPONENTES!$B$10:$N$16,8,FALSE))</f>
        <v/>
      </c>
      <c r="D16" s="40">
        <f>VLOOKUP(B13,PROPONENTES!$B$10:$N$16,9,FALSE)</f>
        <v>0</v>
      </c>
      <c r="E16" s="114"/>
      <c r="F16" s="114"/>
      <c r="G16" s="114"/>
      <c r="H16" s="114"/>
      <c r="I16" s="114"/>
      <c r="J16" s="114"/>
      <c r="K16" s="114"/>
      <c r="L16" s="114"/>
      <c r="M16" s="114"/>
      <c r="N16" s="27" t="str">
        <f t="shared" si="0"/>
        <v>N/A</v>
      </c>
      <c r="O16" s="264"/>
      <c r="P16" s="359"/>
      <c r="Q16" s="294"/>
      <c r="R16" s="355"/>
    </row>
    <row r="17" spans="1:18" ht="15.75" thickBot="1">
      <c r="A17" s="268"/>
      <c r="B17" s="265"/>
      <c r="C17" s="52" t="str">
        <f>IF(VLOOKUP(B13,PROPONENTES!$B$10:$N$16,8,FALSE)="","",VLOOKUP(B13,PROPONENTES!$B$10:$N$16,10,FALSE))</f>
        <v/>
      </c>
      <c r="D17" s="53">
        <f>VLOOKUP(B13,PROPONENTES!$B$10:$N$16,11,FALSE)</f>
        <v>0</v>
      </c>
      <c r="E17" s="118"/>
      <c r="F17" s="118"/>
      <c r="G17" s="118"/>
      <c r="H17" s="118"/>
      <c r="I17" s="118"/>
      <c r="J17" s="118"/>
      <c r="K17" s="118"/>
      <c r="L17" s="118"/>
      <c r="M17" s="118"/>
      <c r="N17" s="52" t="str">
        <f t="shared" si="0"/>
        <v>N/A</v>
      </c>
      <c r="O17" s="265"/>
      <c r="P17" s="360"/>
      <c r="Q17" s="362"/>
      <c r="R17" s="356"/>
    </row>
    <row r="18" spans="1:18" ht="66" customHeight="1">
      <c r="A18" s="266">
        <v>2</v>
      </c>
      <c r="B18" s="263" t="str">
        <f>+PROPONENTES!B11</f>
        <v xml:space="preserve"> CONSORCIO KENNEDY AMBIENTAL 2024</v>
      </c>
      <c r="C18" s="47" t="str">
        <f>IF(VLOOKUP(B18,PROPONENTES!$B$10:$N$16,2,FALSE)="","",VLOOKUP(B18,PROPONENTES!$B$10:$N$16,2,FALSE))</f>
        <v xml:space="preserve"> Cepagro sas</v>
      </c>
      <c r="D18" s="48">
        <f>VLOOKUP(B18,PROPONENTES!$B$10:$N$16,3,FALSE)</f>
        <v>0.86</v>
      </c>
      <c r="E18" s="109" t="s">
        <v>31</v>
      </c>
      <c r="F18" s="110" t="s">
        <v>30</v>
      </c>
      <c r="G18" s="110" t="s">
        <v>33</v>
      </c>
      <c r="H18" s="111" t="s">
        <v>33</v>
      </c>
      <c r="I18" s="110" t="s">
        <v>33</v>
      </c>
      <c r="J18" s="112" t="s">
        <v>30</v>
      </c>
      <c r="K18" s="112" t="s">
        <v>31</v>
      </c>
      <c r="L18" s="112" t="s">
        <v>31</v>
      </c>
      <c r="M18" s="113" t="s">
        <v>33</v>
      </c>
      <c r="N18" s="47" t="str">
        <f t="shared" si="0"/>
        <v>NO CUMPLE</v>
      </c>
      <c r="O18" s="357" t="e">
        <f>+'K RESIDUAL CALCULO'!N18</f>
        <v>#DIV/0!</v>
      </c>
      <c r="P18" s="358">
        <f t="shared" ref="P18" si="1">IF($G$9&lt;=12,$C$9-$G$10*$C$9,(($C$9-$G$10)/$G$9)*12)</f>
        <v>0</v>
      </c>
      <c r="Q18" s="361" t="e">
        <f t="shared" ref="Q18" si="2">IF(AND(O18&gt;=P18,OR(N18="CUMPLE",N18="N/A"),OR(N19="CUMPLE",N19="N/A"),OR(N20="CUMPLE",N20="N/A"),OR(N21="CUMPLE",N21="N/A")*OR(N22="CUMPLE",N22="N/A")),"CUMPLE","NO CUMPLE")</f>
        <v>#DIV/0!</v>
      </c>
      <c r="R18" s="363" t="s">
        <v>182</v>
      </c>
    </row>
    <row r="19" spans="1:18" ht="66" customHeight="1">
      <c r="A19" s="267"/>
      <c r="B19" s="264"/>
      <c r="C19" s="27" t="str">
        <f>IF(VLOOKUP(B18,PROPONENTES!$B$10:$N$16,4,FALSE)="","",VLOOKUP(B18,PROPONENTES!$B$10:$N$16,4,FALSE))</f>
        <v xml:space="preserve"> Fundaset</v>
      </c>
      <c r="D19" s="40">
        <f>VLOOKUP(B18,PROPONENTES!$B$10:$N$16,5,FALSE)</f>
        <v>0.14000000000000001</v>
      </c>
      <c r="E19" s="114"/>
      <c r="F19" s="115"/>
      <c r="G19" s="115"/>
      <c r="H19" s="116"/>
      <c r="I19" s="115"/>
      <c r="J19" s="117"/>
      <c r="K19" s="117"/>
      <c r="L19" s="117"/>
      <c r="M19" s="115"/>
      <c r="N19" s="27" t="str">
        <f t="shared" si="0"/>
        <v>NO CUMPLE</v>
      </c>
      <c r="O19" s="264"/>
      <c r="P19" s="359"/>
      <c r="Q19" s="294"/>
      <c r="R19" s="355"/>
    </row>
    <row r="20" spans="1:18" ht="66" customHeight="1">
      <c r="A20" s="267"/>
      <c r="B20" s="264"/>
      <c r="C20" s="27" t="str">
        <f>IF(VLOOKUP(B18,PROPONENTES!$B$10:$N$16,6,FALSE)="","",VLOOKUP(B18,PROPONENTES!$B$10:$N$16,6,FALSE))</f>
        <v/>
      </c>
      <c r="D20" s="40">
        <f>VLOOKUP(B18,PROPONENTES!$B$10:$N$16,7,FALSE)</f>
        <v>0</v>
      </c>
      <c r="E20" s="114"/>
      <c r="F20" s="115"/>
      <c r="G20" s="115"/>
      <c r="H20" s="116"/>
      <c r="I20" s="115"/>
      <c r="J20" s="117"/>
      <c r="K20" s="117"/>
      <c r="L20" s="117"/>
      <c r="M20" s="115"/>
      <c r="N20" s="27" t="str">
        <f t="shared" si="0"/>
        <v>N/A</v>
      </c>
      <c r="O20" s="264"/>
      <c r="P20" s="359"/>
      <c r="Q20" s="294"/>
      <c r="R20" s="355"/>
    </row>
    <row r="21" spans="1:18" ht="66" customHeight="1">
      <c r="A21" s="267"/>
      <c r="B21" s="264"/>
      <c r="C21" s="27" t="str">
        <f>IF(VLOOKUP(B18,PROPONENTES!$B$10:$N$16,8,FALSE)="","",VLOOKUP(B18,PROPONENTES!$B$10:$N$16,8,FALSE))</f>
        <v/>
      </c>
      <c r="D21" s="40">
        <f>VLOOKUP(B18,PROPONENTES!$B$10:$N$16,9,FALSE)</f>
        <v>0</v>
      </c>
      <c r="E21" s="114"/>
      <c r="F21" s="114"/>
      <c r="G21" s="114"/>
      <c r="H21" s="114"/>
      <c r="I21" s="114"/>
      <c r="J21" s="114"/>
      <c r="K21" s="114"/>
      <c r="L21" s="114"/>
      <c r="M21" s="114"/>
      <c r="N21" s="27" t="str">
        <f t="shared" si="0"/>
        <v>N/A</v>
      </c>
      <c r="O21" s="264"/>
      <c r="P21" s="359"/>
      <c r="Q21" s="294"/>
      <c r="R21" s="355"/>
    </row>
    <row r="22" spans="1:18" ht="66" customHeight="1" thickBot="1">
      <c r="A22" s="268"/>
      <c r="B22" s="265"/>
      <c r="C22" s="52" t="str">
        <f>IF(VLOOKUP(B18,PROPONENTES!$B$10:$N$16,8,FALSE)="","",VLOOKUP(B18,PROPONENTES!$B$10:$N$16,10,FALSE))</f>
        <v/>
      </c>
      <c r="D22" s="53">
        <f>VLOOKUP(B18,PROPONENTES!$B$10:$N$16,11,FALSE)</f>
        <v>0</v>
      </c>
      <c r="E22" s="118"/>
      <c r="F22" s="118"/>
      <c r="G22" s="118"/>
      <c r="H22" s="118"/>
      <c r="I22" s="118"/>
      <c r="J22" s="118"/>
      <c r="K22" s="118"/>
      <c r="L22" s="118"/>
      <c r="M22" s="118"/>
      <c r="N22" s="52" t="str">
        <f t="shared" si="0"/>
        <v>N/A</v>
      </c>
      <c r="O22" s="265"/>
      <c r="P22" s="360"/>
      <c r="Q22" s="362"/>
      <c r="R22" s="356"/>
    </row>
    <row r="23" spans="1:18" ht="56.25" customHeight="1">
      <c r="A23" s="266">
        <v>3</v>
      </c>
      <c r="B23" s="263" t="str">
        <f>+PROPONENTES!B12</f>
        <v xml:space="preserve"> UNIÓN TEMPORAL SUEÑOS WM</v>
      </c>
      <c r="C23" s="47" t="str">
        <f>IF(VLOOKUP(B23,PROPONENTES!$B$10:$N$16,2,FALSE)="","",VLOOKUP(B23,PROPONENTES!$B$10:$N$16,2,FALSE))</f>
        <v xml:space="preserve"> Inversiones Para Desarrollo Empresarial S.A.S</v>
      </c>
      <c r="D23" s="48">
        <f>VLOOKUP(B23,PROPONENTES!$B$10:$N$16,3,FALSE)</f>
        <v>0.5</v>
      </c>
      <c r="E23" s="109" t="s">
        <v>31</v>
      </c>
      <c r="F23" s="110" t="s">
        <v>30</v>
      </c>
      <c r="G23" s="110" t="s">
        <v>33</v>
      </c>
      <c r="H23" s="111" t="s">
        <v>33</v>
      </c>
      <c r="I23" s="110" t="s">
        <v>33</v>
      </c>
      <c r="J23" s="112" t="s">
        <v>30</v>
      </c>
      <c r="K23" s="112" t="s">
        <v>31</v>
      </c>
      <c r="L23" s="112" t="s">
        <v>31</v>
      </c>
      <c r="M23" s="113" t="s">
        <v>31</v>
      </c>
      <c r="N23" s="47" t="str">
        <f t="shared" si="0"/>
        <v>NO CUMPLE</v>
      </c>
      <c r="O23" s="357" t="e">
        <f>+'K RESIDUAL CALCULO'!N23</f>
        <v>#DIV/0!</v>
      </c>
      <c r="P23" s="358">
        <f t="shared" ref="P23" si="3">IF($G$9&lt;=12,$C$9-$G$10*$C$9,(($C$9-$G$10)/$G$9)*12)</f>
        <v>0</v>
      </c>
      <c r="Q23" s="361" t="e">
        <f t="shared" ref="Q23" si="4">IF(AND(O23&gt;=P23,OR(N23="CUMPLE",N23="N/A"),OR(N24="CUMPLE",N24="N/A"),OR(N25="CUMPLE",N25="N/A"),OR(N26="CUMPLE",N26="N/A")*OR(N27="CUMPLE",N27="N/A")),"CUMPLE","NO CUMPLE")</f>
        <v>#DIV/0!</v>
      </c>
      <c r="R23" s="363" t="s">
        <v>183</v>
      </c>
    </row>
    <row r="24" spans="1:18" ht="56.25" customHeight="1">
      <c r="A24" s="267"/>
      <c r="B24" s="264"/>
      <c r="C24" s="27" t="str">
        <f>IF(VLOOKUP(B23,PROPONENTES!$B$10:$N$16,4,FALSE)="","",VLOOKUP(B23,PROPONENTES!$B$10:$N$16,4,FALSE))</f>
        <v xml:space="preserve"> Fundación WR Tejido Social</v>
      </c>
      <c r="D24" s="40">
        <f>VLOOKUP(B23,PROPONENTES!$B$10:$N$16,5,FALSE)</f>
        <v>0.5</v>
      </c>
      <c r="E24" s="114"/>
      <c r="F24" s="115"/>
      <c r="G24" s="115"/>
      <c r="H24" s="116"/>
      <c r="I24" s="115"/>
      <c r="J24" s="117"/>
      <c r="K24" s="117"/>
      <c r="L24" s="117"/>
      <c r="M24" s="115"/>
      <c r="N24" s="27" t="str">
        <f t="shared" si="0"/>
        <v>NO CUMPLE</v>
      </c>
      <c r="O24" s="264"/>
      <c r="P24" s="359"/>
      <c r="Q24" s="294"/>
      <c r="R24" s="355"/>
    </row>
    <row r="25" spans="1:18" ht="56.25" customHeight="1">
      <c r="A25" s="267"/>
      <c r="B25" s="264"/>
      <c r="C25" s="27" t="str">
        <f>IF(VLOOKUP(B23,PROPONENTES!$B$10:$N$16,6,FALSE)="","",VLOOKUP(B23,PROPONENTES!$B$10:$N$16,6,FALSE))</f>
        <v/>
      </c>
      <c r="D25" s="40">
        <f>VLOOKUP(B23,PROPONENTES!$B$10:$N$16,7,FALSE)</f>
        <v>0</v>
      </c>
      <c r="E25" s="114"/>
      <c r="F25" s="115"/>
      <c r="G25" s="115"/>
      <c r="H25" s="116"/>
      <c r="I25" s="115"/>
      <c r="J25" s="117"/>
      <c r="K25" s="117"/>
      <c r="L25" s="117"/>
      <c r="M25" s="115"/>
      <c r="N25" s="27" t="str">
        <f t="shared" si="0"/>
        <v>N/A</v>
      </c>
      <c r="O25" s="264"/>
      <c r="P25" s="359"/>
      <c r="Q25" s="294"/>
      <c r="R25" s="355"/>
    </row>
    <row r="26" spans="1:18" ht="56.25" customHeight="1">
      <c r="A26" s="267"/>
      <c r="B26" s="264"/>
      <c r="C26" s="27" t="str">
        <f>IF(VLOOKUP(B23,PROPONENTES!$B$10:$N$16,8,FALSE)="","",VLOOKUP(B23,PROPONENTES!$B$10:$N$16,8,FALSE))</f>
        <v/>
      </c>
      <c r="D26" s="40">
        <f>VLOOKUP(B23,PROPONENTES!$B$10:$N$16,9,FALSE)</f>
        <v>0</v>
      </c>
      <c r="E26" s="114"/>
      <c r="F26" s="114"/>
      <c r="G26" s="114"/>
      <c r="H26" s="114"/>
      <c r="I26" s="114"/>
      <c r="J26" s="114"/>
      <c r="K26" s="114"/>
      <c r="L26" s="114"/>
      <c r="M26" s="114"/>
      <c r="N26" s="27" t="str">
        <f t="shared" si="0"/>
        <v>N/A</v>
      </c>
      <c r="O26" s="264"/>
      <c r="P26" s="359"/>
      <c r="Q26" s="294"/>
      <c r="R26" s="355"/>
    </row>
    <row r="27" spans="1:18" ht="56.25" customHeight="1" thickBot="1">
      <c r="A27" s="268"/>
      <c r="B27" s="265"/>
      <c r="C27" s="52" t="str">
        <f>IF(VLOOKUP(B23,PROPONENTES!$B$10:$N$16,8,FALSE)="","",VLOOKUP(B23,PROPONENTES!$B$10:$N$16,10,FALSE))</f>
        <v/>
      </c>
      <c r="D27" s="53">
        <f>VLOOKUP(B23,PROPONENTES!$B$10:$N$16,11,FALSE)</f>
        <v>0</v>
      </c>
      <c r="E27" s="118"/>
      <c r="F27" s="118"/>
      <c r="G27" s="118"/>
      <c r="H27" s="118"/>
      <c r="I27" s="118"/>
      <c r="J27" s="118"/>
      <c r="K27" s="118"/>
      <c r="L27" s="118"/>
      <c r="M27" s="118"/>
      <c r="N27" s="52" t="str">
        <f t="shared" si="0"/>
        <v>N/A</v>
      </c>
      <c r="O27" s="265"/>
      <c r="P27" s="360"/>
      <c r="Q27" s="362"/>
      <c r="R27" s="356"/>
    </row>
    <row r="28" spans="1:18" ht="57" customHeight="1">
      <c r="A28" s="266">
        <v>4</v>
      </c>
      <c r="B28" s="263" t="str">
        <f>+PROPONENTES!B13</f>
        <v xml:space="preserve"> UNION TEMPORAL PROMOVER Y EMPRENDER EUFESS 2024</v>
      </c>
      <c r="C28" s="47" t="str">
        <f>IF(VLOOKUP(B28,PROPONENTES!$B$10:$N$16,2,FALSE)="","",VLOOKUP(B28,PROPONENTES!$B$10:$N$16,2,FALSE))</f>
        <v xml:space="preserve"> FUNDACIÓN DE EDUCACIÓN SUPERIOR SAN JOSÉ – FESSANJOSÉ</v>
      </c>
      <c r="D28" s="48">
        <f>VLOOKUP(B28,PROPONENTES!$B$10:$N$16,3,FALSE)</f>
        <v>0.5</v>
      </c>
      <c r="E28" s="109" t="s">
        <v>31</v>
      </c>
      <c r="F28" s="110" t="s">
        <v>31</v>
      </c>
      <c r="G28" s="110" t="s">
        <v>31</v>
      </c>
      <c r="H28" s="111" t="s">
        <v>31</v>
      </c>
      <c r="I28" s="110" t="s">
        <v>31</v>
      </c>
      <c r="J28" s="112" t="s">
        <v>30</v>
      </c>
      <c r="K28" s="112" t="s">
        <v>31</v>
      </c>
      <c r="L28" s="112" t="s">
        <v>31</v>
      </c>
      <c r="M28" s="113" t="s">
        <v>31</v>
      </c>
      <c r="N28" s="47" t="str">
        <f t="shared" si="0"/>
        <v>CUMPLE</v>
      </c>
      <c r="O28" s="357" t="e">
        <f>+'K RESIDUAL CALCULO'!N28</f>
        <v>#DIV/0!</v>
      </c>
      <c r="P28" s="358">
        <f t="shared" ref="P28" si="5">IF($G$9&lt;=12,$C$9-$G$10*$C$9,(($C$9-$G$10)/$G$9)*12)</f>
        <v>0</v>
      </c>
      <c r="Q28" s="361" t="e">
        <f t="shared" ref="Q28" si="6">IF(AND(O28&gt;=P28,OR(N28="CUMPLE",N28="N/A"),OR(N29="CUMPLE",N29="N/A"),OR(N30="CUMPLE",N30="N/A"),OR(N31="CUMPLE",N31="N/A")*OR(N32="CUMPLE",N32="N/A")),"CUMPLE","NO CUMPLE")</f>
        <v>#DIV/0!</v>
      </c>
      <c r="R28" s="354" t="s">
        <v>184</v>
      </c>
    </row>
    <row r="29" spans="1:18" ht="35.25" customHeight="1">
      <c r="A29" s="267"/>
      <c r="B29" s="264"/>
      <c r="C29" s="27" t="str">
        <f>IF(VLOOKUP(B28,PROPONENTES!$B$10:$N$16,4,FALSE)="","",VLOOKUP(B28,PROPONENTES!$B$10:$N$16,4,FALSE))</f>
        <v xml:space="preserve"> EUONIA SAS</v>
      </c>
      <c r="D29" s="40">
        <f>VLOOKUP(B28,PROPONENTES!$B$10:$N$16,5,FALSE)</f>
        <v>0.5</v>
      </c>
      <c r="E29" s="114" t="s">
        <v>31</v>
      </c>
      <c r="F29" s="115" t="s">
        <v>31</v>
      </c>
      <c r="G29" s="115" t="s">
        <v>31</v>
      </c>
      <c r="H29" s="116" t="s">
        <v>33</v>
      </c>
      <c r="I29" s="115" t="s">
        <v>31</v>
      </c>
      <c r="J29" s="117" t="s">
        <v>30</v>
      </c>
      <c r="K29" s="117" t="s">
        <v>31</v>
      </c>
      <c r="L29" s="117" t="s">
        <v>31</v>
      </c>
      <c r="M29" s="115" t="s">
        <v>31</v>
      </c>
      <c r="N29" s="27" t="str">
        <f t="shared" si="0"/>
        <v>NO CUMPLE</v>
      </c>
      <c r="O29" s="264"/>
      <c r="P29" s="359"/>
      <c r="Q29" s="294"/>
      <c r="R29" s="355"/>
    </row>
    <row r="30" spans="1:18">
      <c r="A30" s="267"/>
      <c r="B30" s="264"/>
      <c r="C30" s="27" t="str">
        <f>IF(VLOOKUP(B28,PROPONENTES!$B$10:$N$16,6,FALSE)="","",VLOOKUP(B28,PROPONENTES!$B$10:$N$16,6,FALSE))</f>
        <v/>
      </c>
      <c r="D30" s="40">
        <f>VLOOKUP(B28,PROPONENTES!$B$10:$N$16,7,FALSE)</f>
        <v>0</v>
      </c>
      <c r="E30" s="114"/>
      <c r="F30" s="115"/>
      <c r="G30" s="115"/>
      <c r="H30" s="116"/>
      <c r="I30" s="115"/>
      <c r="J30" s="117"/>
      <c r="K30" s="117"/>
      <c r="L30" s="117"/>
      <c r="M30" s="115"/>
      <c r="N30" s="27" t="str">
        <f t="shared" si="0"/>
        <v>N/A</v>
      </c>
      <c r="O30" s="264"/>
      <c r="P30" s="359"/>
      <c r="Q30" s="294"/>
      <c r="R30" s="355"/>
    </row>
    <row r="31" spans="1:18">
      <c r="A31" s="267"/>
      <c r="B31" s="264"/>
      <c r="C31" s="27" t="str">
        <f>IF(VLOOKUP(B28,PROPONENTES!$B$10:$N$16,8,FALSE)="","",VLOOKUP(B28,PROPONENTES!$B$10:$N$16,8,FALSE))</f>
        <v/>
      </c>
      <c r="D31" s="40">
        <f>VLOOKUP(B28,PROPONENTES!$B$10:$N$16,9,FALSE)</f>
        <v>0</v>
      </c>
      <c r="E31" s="114"/>
      <c r="F31" s="114"/>
      <c r="G31" s="114"/>
      <c r="H31" s="114"/>
      <c r="I31" s="114"/>
      <c r="J31" s="114"/>
      <c r="K31" s="114"/>
      <c r="L31" s="114"/>
      <c r="M31" s="114"/>
      <c r="N31" s="27" t="str">
        <f t="shared" si="0"/>
        <v>N/A</v>
      </c>
      <c r="O31" s="264"/>
      <c r="P31" s="359"/>
      <c r="Q31" s="294"/>
      <c r="R31" s="355"/>
    </row>
    <row r="32" spans="1:18" ht="15.75" thickBot="1">
      <c r="A32" s="268"/>
      <c r="B32" s="265"/>
      <c r="C32" s="52" t="str">
        <f>IF(VLOOKUP(B28,PROPONENTES!$B$10:$N$16,8,FALSE)="","",VLOOKUP(B28,PROPONENTES!$B$10:$N$16,10,FALSE))</f>
        <v/>
      </c>
      <c r="D32" s="53">
        <f>VLOOKUP(B28,PROPONENTES!$B$10:$N$16,11,FALSE)</f>
        <v>0</v>
      </c>
      <c r="E32" s="118"/>
      <c r="F32" s="118"/>
      <c r="G32" s="118"/>
      <c r="H32" s="118"/>
      <c r="I32" s="118"/>
      <c r="J32" s="118"/>
      <c r="K32" s="118"/>
      <c r="L32" s="118"/>
      <c r="M32" s="118"/>
      <c r="N32" s="52" t="str">
        <f t="shared" si="0"/>
        <v>N/A</v>
      </c>
      <c r="O32" s="265"/>
      <c r="P32" s="360"/>
      <c r="Q32" s="362"/>
      <c r="R32" s="356"/>
    </row>
    <row r="33" spans="1:18" ht="48" customHeight="1">
      <c r="A33" s="266">
        <v>5</v>
      </c>
      <c r="B33" s="263" t="str">
        <f>+PROPONENTES!B14</f>
        <v xml:space="preserve"> UNION TEMPORAL PRACTICAS</v>
      </c>
      <c r="C33" s="47" t="str">
        <f>IF(VLOOKUP(B33,PROPONENTES!$B$10:$N$16,2,FALSE)="","",VLOOKUP(B33,PROPONENTES!$B$10:$N$16,2,FALSE))</f>
        <v xml:space="preserve">  ASOCIACION COLOMBIANA DE LAS MICRO PEQUEÑAS Y MEDIANAS INDUSTRIAS ACOPI - CALDAS</v>
      </c>
      <c r="D33" s="48">
        <f>VLOOKUP(B33,PROPONENTES!$B$10:$N$16,3,FALSE)</f>
        <v>0.09</v>
      </c>
      <c r="E33" s="109" t="s">
        <v>31</v>
      </c>
      <c r="F33" s="110" t="s">
        <v>33</v>
      </c>
      <c r="G33" s="110" t="s">
        <v>33</v>
      </c>
      <c r="H33" s="110" t="s">
        <v>33</v>
      </c>
      <c r="I33" s="110" t="s">
        <v>33</v>
      </c>
      <c r="J33" s="112" t="s">
        <v>30</v>
      </c>
      <c r="K33" s="112" t="s">
        <v>33</v>
      </c>
      <c r="L33" s="112" t="s">
        <v>33</v>
      </c>
      <c r="M33" s="113" t="s">
        <v>33</v>
      </c>
      <c r="N33" s="47" t="str">
        <f t="shared" si="0"/>
        <v>NO CUMPLE</v>
      </c>
      <c r="O33" s="357" t="e">
        <f>+'K RESIDUAL CALCULO'!N33</f>
        <v>#DIV/0!</v>
      </c>
      <c r="P33" s="358">
        <f t="shared" ref="P33" si="7">IF($G$9&lt;=12,$C$9-$G$10*$C$9,(($C$9-$G$10)/$G$9)*12)</f>
        <v>0</v>
      </c>
      <c r="Q33" s="361" t="e">
        <f t="shared" ref="Q33" si="8">IF(AND(O33&gt;=P33,OR(N33="CUMPLE",N33="N/A"),OR(N34="CUMPLE",N34="N/A"),OR(N35="CUMPLE",N35="N/A"),OR(N36="CUMPLE",N36="N/A")*OR(N37="CUMPLE",N37="N/A")),"CUMPLE","NO CUMPLE")</f>
        <v>#DIV/0!</v>
      </c>
      <c r="R33" s="354" t="s">
        <v>185</v>
      </c>
    </row>
    <row r="34" spans="1:18" ht="36.75" customHeight="1">
      <c r="A34" s="267"/>
      <c r="B34" s="264"/>
      <c r="C34" s="27" t="str">
        <f>IF(VLOOKUP(B33,PROPONENTES!$B$10:$N$16,4,FALSE)="","",VLOOKUP(B33,PROPONENTES!$B$10:$N$16,4,FALSE))</f>
        <v xml:space="preserve">  ASOCIACIÓN COLOMBIANA DE LAS MICRO, PEQUEÑAS Y MEDIANAS EMPRESAS DE ANTIOQUIA</v>
      </c>
      <c r="D34" s="40">
        <f>VLOOKUP(B33,PROPONENTES!$B$10:$N$16,5,FALSE)</f>
        <v>0.91</v>
      </c>
      <c r="E34" s="114" t="s">
        <v>31</v>
      </c>
      <c r="F34" s="115" t="s">
        <v>33</v>
      </c>
      <c r="G34" s="115" t="s">
        <v>33</v>
      </c>
      <c r="H34" s="116" t="s">
        <v>33</v>
      </c>
      <c r="I34" s="115" t="s">
        <v>33</v>
      </c>
      <c r="J34" s="117" t="s">
        <v>30</v>
      </c>
      <c r="K34" s="117" t="s">
        <v>33</v>
      </c>
      <c r="L34" s="117" t="s">
        <v>33</v>
      </c>
      <c r="M34" s="115" t="s">
        <v>31</v>
      </c>
      <c r="N34" s="27" t="str">
        <f t="shared" si="0"/>
        <v>NO CUMPLE</v>
      </c>
      <c r="O34" s="264"/>
      <c r="P34" s="359"/>
      <c r="Q34" s="294"/>
      <c r="R34" s="355"/>
    </row>
    <row r="35" spans="1:18">
      <c r="A35" s="267"/>
      <c r="B35" s="264"/>
      <c r="C35" s="27" t="str">
        <f>IF(VLOOKUP(B33,PROPONENTES!$B$10:$N$16,6,FALSE)="","",VLOOKUP(B33,PROPONENTES!$B$10:$N$16,6,FALSE))</f>
        <v/>
      </c>
      <c r="D35" s="40">
        <f>VLOOKUP(B33,PROPONENTES!$B$10:$N$16,7,FALSE)</f>
        <v>0</v>
      </c>
      <c r="E35" s="114"/>
      <c r="F35" s="115"/>
      <c r="G35" s="115"/>
      <c r="H35" s="116"/>
      <c r="I35" s="115"/>
      <c r="J35" s="117"/>
      <c r="K35" s="117"/>
      <c r="L35" s="117"/>
      <c r="M35" s="115"/>
      <c r="N35" s="27" t="str">
        <f t="shared" si="0"/>
        <v>N/A</v>
      </c>
      <c r="O35" s="264"/>
      <c r="P35" s="359"/>
      <c r="Q35" s="294"/>
      <c r="R35" s="355"/>
    </row>
    <row r="36" spans="1:18">
      <c r="A36" s="267"/>
      <c r="B36" s="264"/>
      <c r="C36" s="27" t="str">
        <f>IF(VLOOKUP(B33,PROPONENTES!$B$10:$N$16,8,FALSE)="","",VLOOKUP(B33,PROPONENTES!$B$10:$N$16,8,FALSE))</f>
        <v/>
      </c>
      <c r="D36" s="40">
        <f>VLOOKUP(B33,PROPONENTES!$B$10:$N$16,9,FALSE)</f>
        <v>0</v>
      </c>
      <c r="E36" s="114"/>
      <c r="F36" s="114"/>
      <c r="G36" s="114"/>
      <c r="H36" s="114"/>
      <c r="I36" s="114"/>
      <c r="J36" s="114"/>
      <c r="K36" s="114"/>
      <c r="L36" s="114"/>
      <c r="M36" s="114"/>
      <c r="N36" s="27" t="str">
        <f t="shared" si="0"/>
        <v>N/A</v>
      </c>
      <c r="O36" s="264"/>
      <c r="P36" s="359"/>
      <c r="Q36" s="294"/>
      <c r="R36" s="355"/>
    </row>
    <row r="37" spans="1:18" ht="15.75" thickBot="1">
      <c r="A37" s="268"/>
      <c r="B37" s="265"/>
      <c r="C37" s="52" t="str">
        <f>IF(VLOOKUP(B33,PROPONENTES!$B$10:$N$16,8,FALSE)="","",VLOOKUP(B33,PROPONENTES!$B$10:$N$16,10,FALSE))</f>
        <v/>
      </c>
      <c r="D37" s="53">
        <f>VLOOKUP(B33,PROPONENTES!$B$10:$N$16,11,FALSE)</f>
        <v>0</v>
      </c>
      <c r="E37" s="118"/>
      <c r="F37" s="118"/>
      <c r="G37" s="118"/>
      <c r="H37" s="118"/>
      <c r="I37" s="118"/>
      <c r="J37" s="118"/>
      <c r="K37" s="118"/>
      <c r="L37" s="118"/>
      <c r="M37" s="118"/>
      <c r="N37" s="52" t="str">
        <f t="shared" si="0"/>
        <v>N/A</v>
      </c>
      <c r="O37" s="265"/>
      <c r="P37" s="360"/>
      <c r="Q37" s="362"/>
      <c r="R37" s="356"/>
    </row>
    <row r="38" spans="1:18" ht="60" customHeight="1">
      <c r="A38" s="266">
        <v>6</v>
      </c>
      <c r="B38" s="263">
        <f>+PROPONENTES!B15</f>
        <v>0</v>
      </c>
      <c r="C38" s="47" t="e">
        <f>IF(VLOOKUP(B38,PROPONENTES!$B$10:$N$16,2,FALSE)="","",VLOOKUP(B38,PROPONENTES!$B$10:$N$16,2,FALSE))</f>
        <v>#N/A</v>
      </c>
      <c r="D38" s="48" t="e">
        <f>VLOOKUP(B38,PROPONENTES!$B$10:$N$16,3,FALSE)</f>
        <v>#N/A</v>
      </c>
      <c r="E38" s="109" t="s">
        <v>31</v>
      </c>
      <c r="F38" s="110" t="s">
        <v>31</v>
      </c>
      <c r="G38" s="110" t="s">
        <v>31</v>
      </c>
      <c r="H38" s="111" t="s">
        <v>31</v>
      </c>
      <c r="I38" s="110" t="s">
        <v>33</v>
      </c>
      <c r="J38" s="112" t="s">
        <v>30</v>
      </c>
      <c r="K38" s="112" t="s">
        <v>31</v>
      </c>
      <c r="L38" s="112" t="s">
        <v>31</v>
      </c>
      <c r="M38" s="113" t="s">
        <v>31</v>
      </c>
      <c r="N38" s="47" t="e">
        <f t="shared" si="0"/>
        <v>#N/A</v>
      </c>
      <c r="O38" s="357" t="e">
        <f>+'K RESIDUAL CALCULO'!N38</f>
        <v>#N/A</v>
      </c>
      <c r="P38" s="358">
        <f t="shared" ref="P38" si="9">IF($G$9&lt;=12,$C$9-$G$10*$C$9,(($C$9-$G$10)/$G$9)*12)</f>
        <v>0</v>
      </c>
      <c r="Q38" s="361" t="e">
        <f t="shared" ref="Q38" si="10">IF(AND(O38&gt;=P38,OR(N38="CUMPLE",N38="N/A"),OR(N39="CUMPLE",N39="N/A"),OR(N40="CUMPLE",N40="N/A"),OR(N41="CUMPLE",N41="N/A")*OR(N42="CUMPLE",N42="N/A")),"CUMPLE","NO CUMPLE")</f>
        <v>#N/A</v>
      </c>
      <c r="R38" s="354" t="s">
        <v>186</v>
      </c>
    </row>
    <row r="39" spans="1:18" ht="60" customHeight="1">
      <c r="A39" s="267"/>
      <c r="B39" s="264"/>
      <c r="C39" s="27" t="e">
        <f>IF(VLOOKUP(B38,PROPONENTES!$B$10:$N$16,4,FALSE)="","",VLOOKUP(B38,PROPONENTES!$B$10:$N$16,4,FALSE))</f>
        <v>#N/A</v>
      </c>
      <c r="D39" s="40" t="e">
        <f>VLOOKUP(B38,PROPONENTES!$B$10:$N$16,5,FALSE)</f>
        <v>#N/A</v>
      </c>
      <c r="E39" s="114"/>
      <c r="F39" s="115"/>
      <c r="G39" s="115"/>
      <c r="H39" s="116"/>
      <c r="I39" s="115"/>
      <c r="J39" s="117"/>
      <c r="K39" s="117"/>
      <c r="L39" s="117"/>
      <c r="M39" s="115"/>
      <c r="N39" s="27" t="e">
        <f t="shared" si="0"/>
        <v>#N/A</v>
      </c>
      <c r="O39" s="264"/>
      <c r="P39" s="359"/>
      <c r="Q39" s="294"/>
      <c r="R39" s="355"/>
    </row>
    <row r="40" spans="1:18" ht="60" customHeight="1">
      <c r="A40" s="267"/>
      <c r="B40" s="264"/>
      <c r="C40" s="27" t="e">
        <f>IF(VLOOKUP(B38,PROPONENTES!$B$10:$N$16,6,FALSE)="","",VLOOKUP(B38,PROPONENTES!$B$10:$N$16,6,FALSE))</f>
        <v>#N/A</v>
      </c>
      <c r="D40" s="40" t="e">
        <f>VLOOKUP(B38,PROPONENTES!$B$10:$N$16,7,FALSE)</f>
        <v>#N/A</v>
      </c>
      <c r="E40" s="114"/>
      <c r="F40" s="115"/>
      <c r="G40" s="115"/>
      <c r="H40" s="116"/>
      <c r="I40" s="115"/>
      <c r="J40" s="117"/>
      <c r="K40" s="117"/>
      <c r="L40" s="117"/>
      <c r="M40" s="115"/>
      <c r="N40" s="27" t="e">
        <f t="shared" si="0"/>
        <v>#N/A</v>
      </c>
      <c r="O40" s="264"/>
      <c r="P40" s="359"/>
      <c r="Q40" s="294"/>
      <c r="R40" s="355"/>
    </row>
    <row r="41" spans="1:18" ht="60" customHeight="1">
      <c r="A41" s="267"/>
      <c r="B41" s="264"/>
      <c r="C41" s="27" t="e">
        <f>IF(VLOOKUP(B38,PROPONENTES!$B$10:$N$16,8,FALSE)="","",VLOOKUP(B38,PROPONENTES!$B$10:$N$16,8,FALSE))</f>
        <v>#N/A</v>
      </c>
      <c r="D41" s="40" t="e">
        <f>VLOOKUP(B38,PROPONENTES!$B$10:$N$16,9,FALSE)</f>
        <v>#N/A</v>
      </c>
      <c r="E41" s="114"/>
      <c r="F41" s="114"/>
      <c r="G41" s="114"/>
      <c r="H41" s="114"/>
      <c r="I41" s="114"/>
      <c r="J41" s="114"/>
      <c r="K41" s="114"/>
      <c r="L41" s="114"/>
      <c r="M41" s="114"/>
      <c r="N41" s="27" t="e">
        <f t="shared" si="0"/>
        <v>#N/A</v>
      </c>
      <c r="O41" s="264"/>
      <c r="P41" s="359"/>
      <c r="Q41" s="294"/>
      <c r="R41" s="355"/>
    </row>
    <row r="42" spans="1:18" ht="60" customHeight="1" thickBot="1">
      <c r="A42" s="268"/>
      <c r="B42" s="265"/>
      <c r="C42" s="52" t="e">
        <f>IF(VLOOKUP(B38,PROPONENTES!$B$10:$N$16,8,FALSE)="","",VLOOKUP(B38,PROPONENTES!$B$10:$N$16,10,FALSE))</f>
        <v>#N/A</v>
      </c>
      <c r="D42" s="53" t="e">
        <f>VLOOKUP(B38,PROPONENTES!$B$10:$N$16,11,FALSE)</f>
        <v>#N/A</v>
      </c>
      <c r="E42" s="118"/>
      <c r="F42" s="118"/>
      <c r="G42" s="118"/>
      <c r="H42" s="118"/>
      <c r="I42" s="118"/>
      <c r="J42" s="118"/>
      <c r="K42" s="118"/>
      <c r="L42" s="118"/>
      <c r="M42" s="118"/>
      <c r="N42" s="52" t="e">
        <f t="shared" si="0"/>
        <v>#N/A</v>
      </c>
      <c r="O42" s="265"/>
      <c r="P42" s="360"/>
      <c r="Q42" s="362"/>
      <c r="R42" s="356"/>
    </row>
    <row r="43" spans="1:18" ht="68.25" customHeight="1">
      <c r="A43" s="266">
        <v>7</v>
      </c>
      <c r="B43" s="263">
        <f>+PROPONENTES!B16</f>
        <v>0</v>
      </c>
      <c r="C43" s="47" t="e">
        <f>IF(VLOOKUP(B43,PROPONENTES!$B$10:$N$16,2,FALSE)="","",VLOOKUP(B43,PROPONENTES!$B$10:$N$16,2,FALSE))</f>
        <v>#N/A</v>
      </c>
      <c r="D43" s="48" t="e">
        <f>VLOOKUP(B43,PROPONENTES!$B$10:$N$16,3,FALSE)</f>
        <v>#N/A</v>
      </c>
      <c r="E43" s="109" t="s">
        <v>31</v>
      </c>
      <c r="F43" s="110" t="s">
        <v>31</v>
      </c>
      <c r="G43" s="110" t="s">
        <v>31</v>
      </c>
      <c r="H43" s="111" t="s">
        <v>33</v>
      </c>
      <c r="I43" s="110" t="s">
        <v>33</v>
      </c>
      <c r="J43" s="112" t="s">
        <v>30</v>
      </c>
      <c r="K43" s="112" t="s">
        <v>31</v>
      </c>
      <c r="L43" s="112" t="s">
        <v>31</v>
      </c>
      <c r="M43" s="113" t="s">
        <v>31</v>
      </c>
      <c r="N43" s="47" t="e">
        <f t="shared" si="0"/>
        <v>#N/A</v>
      </c>
      <c r="O43" s="357" t="e">
        <f>+'K RESIDUAL CALCULO'!N43</f>
        <v>#N/A</v>
      </c>
      <c r="P43" s="358">
        <f t="shared" ref="P43" si="11">IF($G$9&lt;=12,$C$9-$G$10*$C$9,(($C$9-$G$10)/$G$9)*12)</f>
        <v>0</v>
      </c>
      <c r="Q43" s="361" t="e">
        <f t="shared" ref="Q43" si="12">IF(AND(O43&gt;=P43,OR(N43="CUMPLE",N43="N/A"),OR(N44="CUMPLE",N44="N/A"),OR(N45="CUMPLE",N45="N/A"),OR(N46="CUMPLE",N46="N/A")*OR(N47="CUMPLE",N47="N/A")),"CUMPLE","NO CUMPLE")</f>
        <v>#N/A</v>
      </c>
      <c r="R43" s="354" t="s">
        <v>187</v>
      </c>
    </row>
    <row r="44" spans="1:18" ht="68.25" customHeight="1">
      <c r="A44" s="267"/>
      <c r="B44" s="264"/>
      <c r="C44" s="27" t="e">
        <f>IF(VLOOKUP(B43,PROPONENTES!$B$10:$N$16,4,FALSE)="","",VLOOKUP(B43,PROPONENTES!$B$10:$N$16,4,FALSE))</f>
        <v>#N/A</v>
      </c>
      <c r="D44" s="40" t="e">
        <f>VLOOKUP(B43,PROPONENTES!$B$10:$N$16,5,FALSE)</f>
        <v>#N/A</v>
      </c>
      <c r="E44" s="114" t="s">
        <v>31</v>
      </c>
      <c r="F44" s="115" t="s">
        <v>31</v>
      </c>
      <c r="G44" s="115" t="s">
        <v>31</v>
      </c>
      <c r="H44" s="116" t="s">
        <v>33</v>
      </c>
      <c r="I44" s="115" t="s">
        <v>33</v>
      </c>
      <c r="J44" s="117" t="s">
        <v>30</v>
      </c>
      <c r="K44" s="117" t="s">
        <v>31</v>
      </c>
      <c r="L44" s="117" t="s">
        <v>31</v>
      </c>
      <c r="M44" s="115" t="s">
        <v>31</v>
      </c>
      <c r="N44" s="27" t="e">
        <f t="shared" si="0"/>
        <v>#N/A</v>
      </c>
      <c r="O44" s="264"/>
      <c r="P44" s="359"/>
      <c r="Q44" s="294"/>
      <c r="R44" s="355"/>
    </row>
    <row r="45" spans="1:18" ht="68.25" customHeight="1">
      <c r="A45" s="267"/>
      <c r="B45" s="264"/>
      <c r="C45" s="27" t="e">
        <f>IF(VLOOKUP(B43,PROPONENTES!$B$10:$N$16,6,FALSE)="","",VLOOKUP(B43,PROPONENTES!$B$10:$N$16,6,FALSE))</f>
        <v>#N/A</v>
      </c>
      <c r="D45" s="40" t="e">
        <f>VLOOKUP(B43,PROPONENTES!$B$10:$N$16,7,FALSE)</f>
        <v>#N/A</v>
      </c>
      <c r="E45" s="114"/>
      <c r="F45" s="115"/>
      <c r="G45" s="115"/>
      <c r="H45" s="116"/>
      <c r="I45" s="115"/>
      <c r="J45" s="117"/>
      <c r="K45" s="117"/>
      <c r="L45" s="117"/>
      <c r="M45" s="115"/>
      <c r="N45" s="27" t="e">
        <f t="shared" si="0"/>
        <v>#N/A</v>
      </c>
      <c r="O45" s="264"/>
      <c r="P45" s="359"/>
      <c r="Q45" s="294"/>
      <c r="R45" s="355"/>
    </row>
    <row r="46" spans="1:18" ht="68.25" customHeight="1">
      <c r="A46" s="267"/>
      <c r="B46" s="264"/>
      <c r="C46" s="27" t="e">
        <f>IF(VLOOKUP(B43,PROPONENTES!$B$10:$N$16,8,FALSE)="","",VLOOKUP(B43,PROPONENTES!$B$10:$N$16,8,FALSE))</f>
        <v>#N/A</v>
      </c>
      <c r="D46" s="40" t="e">
        <f>VLOOKUP(B43,PROPONENTES!$B$10:$N$16,9,FALSE)</f>
        <v>#N/A</v>
      </c>
      <c r="E46" s="114"/>
      <c r="F46" s="114"/>
      <c r="G46" s="114"/>
      <c r="H46" s="114"/>
      <c r="I46" s="114"/>
      <c r="J46" s="114"/>
      <c r="K46" s="114"/>
      <c r="L46" s="114"/>
      <c r="M46" s="114"/>
      <c r="N46" s="27" t="e">
        <f t="shared" si="0"/>
        <v>#N/A</v>
      </c>
      <c r="O46" s="264"/>
      <c r="P46" s="359"/>
      <c r="Q46" s="294"/>
      <c r="R46" s="355"/>
    </row>
    <row r="47" spans="1:18" ht="68.25" customHeight="1" thickBot="1">
      <c r="A47" s="268"/>
      <c r="B47" s="265"/>
      <c r="C47" s="52" t="e">
        <f>IF(VLOOKUP(B43,PROPONENTES!$B$10:$N$16,8,FALSE)="","",VLOOKUP(B43,PROPONENTES!$B$10:$N$16,10,FALSE))</f>
        <v>#N/A</v>
      </c>
      <c r="D47" s="53" t="e">
        <f>VLOOKUP(B43,PROPONENTES!$B$10:$N$16,11,FALSE)</f>
        <v>#N/A</v>
      </c>
      <c r="E47" s="118"/>
      <c r="F47" s="118"/>
      <c r="G47" s="118"/>
      <c r="H47" s="118"/>
      <c r="I47" s="118"/>
      <c r="J47" s="118"/>
      <c r="K47" s="118"/>
      <c r="L47" s="118"/>
      <c r="M47" s="118"/>
      <c r="N47" s="52" t="e">
        <f t="shared" si="0"/>
        <v>#N/A</v>
      </c>
      <c r="O47" s="265"/>
      <c r="P47" s="360"/>
      <c r="Q47" s="362"/>
      <c r="R47" s="356"/>
    </row>
  </sheetData>
  <sheetProtection algorithmName="SHA-512" hashValue="eT0AsGeT8/Q0kz8SETKwhudraQhBiO71NegTTm1N9NKuDoLjRBbGtAgkH6C19d3irXa3GLNr+wd1qT3DUvUMlg==" saltValue="Tbf0rTb7wyQqTlrwv5I32Q==" spinCount="100000" sheet="1" objects="1" scenarios="1" formatCells="0" formatColumns="0" formatRows="0"/>
  <mergeCells count="58">
    <mergeCell ref="R23:R27"/>
    <mergeCell ref="R28:R32"/>
    <mergeCell ref="R33:R37"/>
    <mergeCell ref="R38:R42"/>
    <mergeCell ref="R43:R47"/>
    <mergeCell ref="A43:A47"/>
    <mergeCell ref="B43:B47"/>
    <mergeCell ref="O43:O47"/>
    <mergeCell ref="P43:P47"/>
    <mergeCell ref="Q43:Q47"/>
    <mergeCell ref="A38:A42"/>
    <mergeCell ref="B38:B42"/>
    <mergeCell ref="O38:O42"/>
    <mergeCell ref="P38:P42"/>
    <mergeCell ref="Q38:Q42"/>
    <mergeCell ref="A33:A37"/>
    <mergeCell ref="B33:B37"/>
    <mergeCell ref="O33:O37"/>
    <mergeCell ref="P33:P37"/>
    <mergeCell ref="Q33:Q37"/>
    <mergeCell ref="A28:A32"/>
    <mergeCell ref="B28:B32"/>
    <mergeCell ref="O28:O32"/>
    <mergeCell ref="P28:P32"/>
    <mergeCell ref="Q28:Q32"/>
    <mergeCell ref="A23:A27"/>
    <mergeCell ref="B23:B27"/>
    <mergeCell ref="O23:O27"/>
    <mergeCell ref="P23:P27"/>
    <mergeCell ref="Q23:Q27"/>
    <mergeCell ref="R13:R17"/>
    <mergeCell ref="A18:A22"/>
    <mergeCell ref="B18:B22"/>
    <mergeCell ref="O18:O22"/>
    <mergeCell ref="P18:P22"/>
    <mergeCell ref="Q18:Q22"/>
    <mergeCell ref="R18:R22"/>
    <mergeCell ref="A13:A17"/>
    <mergeCell ref="B13:B17"/>
    <mergeCell ref="O13:O17"/>
    <mergeCell ref="P13:P17"/>
    <mergeCell ref="Q13:Q17"/>
    <mergeCell ref="A6:B6"/>
    <mergeCell ref="D6:F6"/>
    <mergeCell ref="A10:B10"/>
    <mergeCell ref="C10:E10"/>
    <mergeCell ref="A2:R2"/>
    <mergeCell ref="A3:R3"/>
    <mergeCell ref="A4:R4"/>
    <mergeCell ref="A5:R5"/>
    <mergeCell ref="H6:R6"/>
    <mergeCell ref="A8:B8"/>
    <mergeCell ref="A9:B9"/>
    <mergeCell ref="C9:E9"/>
    <mergeCell ref="A7:R7"/>
    <mergeCell ref="C8:R8"/>
    <mergeCell ref="H9:R9"/>
    <mergeCell ref="H10:R10"/>
  </mergeCells>
  <conditionalFormatting sqref="Q13">
    <cfRule type="cellIs" dxfId="1245" priority="16" operator="equal">
      <formula>"CUMPLE"</formula>
    </cfRule>
    <cfRule type="cellIs" dxfId="1244" priority="17" operator="equal">
      <formula>"NO CUMPLE"</formula>
    </cfRule>
    <cfRule type="cellIs" dxfId="1243" priority="18" operator="equal">
      <formula>"""CUMPLE"""</formula>
    </cfRule>
  </conditionalFormatting>
  <conditionalFormatting sqref="Q18 Q23 Q28 Q33 Q38 Q43">
    <cfRule type="cellIs" dxfId="1242" priority="1" operator="equal">
      <formula>"CUMPLE"</formula>
    </cfRule>
    <cfRule type="cellIs" dxfId="1241" priority="2" operator="equal">
      <formula>"NO CUMPLE"</formula>
    </cfRule>
    <cfRule type="cellIs" dxfId="1240" priority="3" operator="equal">
      <formula>"""CUMPLE"""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'DATOS INICIALES'!$A$49:$A$51</xm:f>
          </x14:formula1>
          <xm:sqref>E13:M47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66"/>
  <sheetViews>
    <sheetView view="pageBreakPreview" zoomScale="55" zoomScaleNormal="55" zoomScaleSheetLayoutView="55" workbookViewId="0">
      <pane ySplit="11" topLeftCell="A16" activePane="bottomLeft" state="frozenSplit"/>
      <selection activeCell="J19" sqref="J19"/>
      <selection pane="bottomLeft" activeCell="H35" sqref="H35"/>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45643</v>
      </c>
      <c r="F6" s="68"/>
      <c r="G6" s="73" t="s">
        <v>93</v>
      </c>
      <c r="H6" s="99">
        <v>45643</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2196.75</v>
      </c>
    </row>
    <row r="9" spans="2:12" ht="28.5" customHeight="1">
      <c r="B9" s="2" t="s">
        <v>72</v>
      </c>
      <c r="C9" s="306">
        <f>+'DATOS INICIALES'!C5</f>
        <v>3807405444</v>
      </c>
      <c r="D9" s="307"/>
      <c r="E9" s="307"/>
      <c r="F9" s="307"/>
      <c r="G9" s="307"/>
      <c r="H9" s="307"/>
      <c r="I9" s="307"/>
      <c r="J9" s="170" t="s">
        <v>96</v>
      </c>
      <c r="K9" s="171">
        <v>1.2</v>
      </c>
      <c r="L9" s="172">
        <f t="shared" ref="L9:L10" si="0">K9*$C$10</f>
        <v>3514.7999999999997</v>
      </c>
    </row>
    <row r="10" spans="2:12" ht="25.5" customHeight="1">
      <c r="B10" s="2" t="s">
        <v>74</v>
      </c>
      <c r="C10" s="308">
        <v>2929</v>
      </c>
      <c r="D10" s="309"/>
      <c r="E10" s="309"/>
      <c r="F10" s="309"/>
      <c r="G10" s="309"/>
      <c r="H10" s="309"/>
      <c r="I10" s="309"/>
      <c r="J10" s="170" t="s">
        <v>97</v>
      </c>
      <c r="K10" s="171">
        <v>1.5</v>
      </c>
      <c r="L10" s="172">
        <f t="shared" si="0"/>
        <v>4393.5</v>
      </c>
    </row>
    <row r="11" spans="2:12" ht="59.25" customHeight="1">
      <c r="B11" s="2" t="s">
        <v>76</v>
      </c>
      <c r="C11" s="310" t="str">
        <f>+PROPONENTES!B11</f>
        <v xml:space="preserve"> CONSORCIO KENNEDY AMBIENTAL 2024</v>
      </c>
      <c r="D11" s="310"/>
      <c r="E11" s="310"/>
      <c r="F11" s="310"/>
      <c r="G11" s="310"/>
      <c r="H11" s="146" t="s">
        <v>98</v>
      </c>
      <c r="I11" s="303" t="str">
        <f>IF(AND(F20="CUMPLE",G20="CUMPLE",H20="CUMPLE",L15="CUMPLE",K19="CUMPLE"),"CUMPLE","NO CUMPLE")</f>
        <v>CUMPLE</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str">
        <f>IF(VLOOKUP(C11,PROPONENTES!B10:N39,2,FALSE)=0,"",VLOOKUP(C11,PROPONENTES!B10:N39,2,FALSE))</f>
        <v xml:space="preserve"> Cepagro sas</v>
      </c>
      <c r="D15" s="101">
        <f>IF(VLOOKUP(C11,PROPONENTES!B10:N39,3,FALSE)=0,"",VLOOKUP(C11,PROPONENTES!B10:N39,3,FALSE))</f>
        <v>0.86</v>
      </c>
      <c r="E15" s="102">
        <f>IF(C15="","",IF($D$65="CUMPLE",IF(C15=$D$24,$D$39)+IF(C15=$D$25,$D$42)+IF(C15=$D$26,$D$45))+IF($E$65="CUMPLE",IF(C15=$E$24,$E$39)+IF(C15=$E$25,$E$42)+IF(C15=$E$26,$E$45))+IF($F$65="CUMPLE",IF(C15=$F$24,$F$39)+IF(C15=$F$25,$F$42)+IF(C15=$F$26,$F$45))+IF($G$65="CUMPLE",IF(C15=$G$24,$G$39)+IF(C15=$G$25,$G$42)+IF(C15=$G$26,$G$45))+IF($H$65="CUMPLE",IF(C15=$H$24,$H$39)+IF(C15=$H$25,$H$42)+IF(C15=$H$26,$H$45))+IF($I$65="CUMPLE",IF(C15=$I$24,$I$39)+IF(C15=$I$25,$I$42)+IF(C15=$I$26,$I$45))+IF($J$65="CUMPLE",IF(C15=$J$24,$J$39)+IF(C15=$J$25,$J$42)+IF(C15=$J$26,$J$45)))</f>
        <v>13756.5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292">
        <f>COUNTIF(D65:I65,"CUMPLE")</f>
        <v>4</v>
      </c>
      <c r="J15" s="293">
        <f>IF(AND(I15&gt;=1,I15&lt;=2),L8,IF(AND(I15&gt;=3,I15&lt;=4),L9,IF(AND(I15&gt;=5,I15&lt;=7),L10)))</f>
        <v>3514.7999999999997</v>
      </c>
      <c r="K15" s="293">
        <f>+E20</f>
        <v>13756.5</v>
      </c>
      <c r="L15" s="294" t="str">
        <f>IF(K15&gt;=J15,"CUMPLE","NO CUMPLE")</f>
        <v>CUMPLE</v>
      </c>
    </row>
    <row r="16" spans="2:12" ht="33.75" customHeight="1">
      <c r="B16" s="347"/>
      <c r="C16" s="100" t="str">
        <f>IF(VLOOKUP(C11,PROPONENTES!B10:N39,4,FALSE)=0,"",VLOOKUP(C11,PROPONENTES!B10:N39,4,FALSE))</f>
        <v xml:space="preserve"> Fundaset</v>
      </c>
      <c r="D16" s="101">
        <f>IF(VLOOKUP(C11,PROPONENTES!B10:N39,5,FALSE)=0,"",VLOOKUP(C11,PROPONENTES!B10:N39,5,FALSE))</f>
        <v>0.14000000000000001</v>
      </c>
      <c r="E16" s="102">
        <f>IF(C16="","",IF($D$65="CUMPLE",IF(C16=$D$24,$D$39)+IF(C16=$D$25,$D$42)+IF(C16=$D$26,$D$45))+IF($E$65="CUMPLE",IF(C16=$E$24,$E$39)+IF(C16=$E$25,$E$42)+IF(C16=$E$26,$E$45))+IF($F$65="CUMPLE",IF(C16=$F$24,$F$39)+IF(C16=$F$25,$F$42)+IF(C16=$F$26,$F$45))+IF($G$65="CUMPLE",IF(C16=$G$24,$G$39)+IF(C16=$G$25,$G$42)+IF(C16=$G$26,$G$45))+IF($H$65="CUMPLE",IF(C16=$H$24,$H$39)+IF(C16=$H$25,$H$42)+IF(C16=$H$26,$H$45))+IF($I$65="CUMPLE",IF(C16=$I$24,$I$39)+IF(C16=$I$25,$I$42)+IF(C16=$I$26,$I$45))+IF($J$65="CUMPLE",IF(C16=$J$24,$J$39)+IF(C16=$J$25,$J$42)+IF(C16=$J$26,$J$45)))</f>
        <v>0</v>
      </c>
      <c r="F16" s="103" t="s">
        <v>27</v>
      </c>
      <c r="G16" s="104" t="s">
        <v>27</v>
      </c>
      <c r="H16" s="104" t="str">
        <f>IF(C16="","",IF(AND(G16="NO APORTA EXPERIENCIA",D16&lt;=10%),"SI",IF(G16="SI","NO APLICA","NO - PORCENTAJE MAYOR AL 10%")))</f>
        <v>NO APLICA</v>
      </c>
      <c r="I16" s="292"/>
      <c r="J16" s="293"/>
      <c r="K16" s="293"/>
      <c r="L16" s="294"/>
    </row>
    <row r="17" spans="2:14" ht="33.75" customHeight="1">
      <c r="B17" s="347"/>
      <c r="C17" s="100" t="str">
        <f>IF(VLOOKUP(C11,PROPONENTES!B10:N39,6,FALSE)=0,"",VLOOKUP(C11,PROPONENTES!B10:N39,6,FALSE))</f>
        <v/>
      </c>
      <c r="D17" s="101" t="str">
        <f>IF(VLOOKUP(C11,PROPONENTES!B10:N39,7,FALSE)=0,"",VLOOKUP(C11,PROPONENTES!B10:N39,7,FALSE))</f>
        <v/>
      </c>
      <c r="E17" s="102" t="str">
        <f>IF(C17="","",IF($D$65="CUMPLE",IF(C17=$D$24,$D$39)+IF(C17=$D$25,$D$42)+IF(C17=$D$26,$D$45))+IF($E$65="CUMPLE",IF(C17=$E$24,$E$39)+IF(C17=$E$25,$E$42)+IF(C17=$E$26,$E$45))+IF($F$65="CUMPLE",IF(C17=$F$24,$F$39)+IF(C17=$F$25,$F$42)+IF(C17=$F$26,$F$45))+IF($G$65="CUMPLE",IF(C17=$G$24,$G$39)+IF(C17=$G$25,$G$42)+IF(C17=$G$26,$G$45))+IF($H$65="CUMPLE",IF(C17=$H$24,$H$39)+IF(C17=$H$25,$H$42)+IF(C17=$H$26,$H$45))+IF($I$65="CUMPLE",IF(C17=$I$24,$I$39)+IF(C17=$I$25,$I$42)+IF(C17=$I$26,$I$45))+IF($J$65="CUMPLE",IF(C17=$J$24,$J$39)+IF(C17=$J$25,$J$42)+IF(C17=$J$26,$J$45)))</f>
        <v/>
      </c>
      <c r="F17" s="103" t="str">
        <f t="shared" si="1"/>
        <v/>
      </c>
      <c r="G17" s="104" t="str">
        <f t="shared" si="2"/>
        <v/>
      </c>
      <c r="H17" s="103" t="str">
        <f>IF(C17="","",IF(AND(G17="NO APORTA EXPERIENCIA",D17&lt;=10%),"SI",IF(G17="SI","NO APLICA","NO - PORCENTAJE MAYOR AL 10%")))</f>
        <v/>
      </c>
      <c r="I17" s="292"/>
      <c r="J17" s="293"/>
      <c r="K17" s="293"/>
      <c r="L17" s="294"/>
    </row>
    <row r="18" spans="2:14" ht="50.25" customHeight="1">
      <c r="B18" s="347"/>
      <c r="C18" s="100" t="str">
        <f>IF(VLOOKUP(C11,PROPONENTES!B10:N39,8,FALSE)=0,"",VLOOKUP(C11,PROPONENTES!B10:N39,8,FALSE))</f>
        <v/>
      </c>
      <c r="D18" s="101" t="str">
        <f>IF(VLOOKUP(C11,PROPONENTES!B10:N39,9,FALSE)=0,"",VLOOKUP(C11,PROPONENTES!B10:N39,9,FALSE))</f>
        <v/>
      </c>
      <c r="E18" s="102" t="str">
        <f>IF(C18="","",IF($D$65="CUMPLE",IF(C18=$D$24,$D$39)+IF(C18=$D$25,$D$42)+IF(C18=$D$26,$D$45))+IF($E$65="CUMPLE",IF(C18=$E$24,$E$39)+IF(C18=$E$25,$E$42)+IF(C18=$E$26,$E$45))+IF($F$65="CUMPLE",IF(C18=$F$24,$F$39)+IF(C18=$F$25,$F$42)+IF(C18=$F$26,$F$45))+IF($G$65="CUMPLE",IF(C18=$G$24,$G$39)+IF(C18=$G$25,$G$42)+IF(C18=$G$26,$G$45))+IF($H$65="CUMPLE",IF(C18=$H$24,$H$39)+IF(C18=$H$25,$H$42)+IF(C18=$H$26,$H$45))+IF($I$65="CUMPLE",IF(C18=$I$24,$I$39)+IF(C18=$I$25,$I$42)+IF(C18=$I$26,$I$45))+IF($J$65="CUMPLE",IF(C18=$J$24,$J$39)+IF(C18=$J$25,$J$42)+IF(C18=$J$26,$J$45)))</f>
        <v/>
      </c>
      <c r="F18" s="103" t="str">
        <f t="shared" si="1"/>
        <v/>
      </c>
      <c r="G18" s="104" t="str">
        <f>IF(C18="","",IF(E18&gt;=$J$15*0.05,"SI",IF(E18=0,"NO APORTA EXPERIENCIA",)))</f>
        <v/>
      </c>
      <c r="H18" s="103" t="str">
        <f>IF(C18="","",IF(AND(G18="NO APORTA EXPERIENCIA",D18&lt;=10%),"SI",IF(G18="SI","NO APLICA","NO - PORCENTAJE MAYOR AL 10%")))</f>
        <v/>
      </c>
      <c r="I18" s="38" t="s">
        <v>109</v>
      </c>
      <c r="J18" s="38" t="s">
        <v>110</v>
      </c>
      <c r="K18" s="225" t="s">
        <v>90</v>
      </c>
      <c r="L18" s="225"/>
    </row>
    <row r="19" spans="2:14" ht="33.75" customHeight="1">
      <c r="B19" s="347"/>
      <c r="C19" s="100" t="str">
        <f>IF(VLOOKUP(C11,PROPONENTES!B10:N39,10,FALSE)=0,"",VLOOKUP(C11,PROPONENTES!B10:N39,10,FALSE))</f>
        <v/>
      </c>
      <c r="D19" s="101" t="str">
        <f>IF(VLOOKUP(C11,PROPONENTES!B10:N39,11,FALSE)=0,"",VLOOKUP(C11,PROPONENTES!B10:N39,11,FALSE))</f>
        <v/>
      </c>
      <c r="E19" s="102" t="str">
        <f>IF(C19="","",IF($D$65="CUMPLE",IF(C19=$D$24,$D$39)+IF(C19=$D$25,$D$42)+IF(C19=$D$26,$D$45))+IF($E$65="CUMPLE",IF(C19=$E$24,$E$39)+IF(C19=$E$25,$E$42)+IF(C19=$E$26,$E$45))+IF($F$65="CUMPLE",IF(C19=$F$24,$F$39)+IF(C19=$F$25,$F$42)+IF(C19=$F$26,$F$45))+IF($G$65="CUMPLE",IF(C19=$G$24,$G$39)+IF(C19=$G$25,$G$42)+IF(C19=$G$26,$G$45))+IF($H$65="CUMPLE",IF(C19=$H$24,$H$39)+IF(C19=$H$25,$H$42)+IF(C19=$H$26,$H$45))+IF($I$65="CUMPLE",IF(C19=$I$24,$I$39)+IF(C19=$I$25,$I$42)+IF(C19=$I$26,$I$45))+IF($J$65="CUMPLE",IF(C19=$J$24,$J$39)+IF(C19=$J$25,$J$42)+IF(C19=$J$26,$J$45)))</f>
        <v/>
      </c>
      <c r="F19" s="103" t="str">
        <f>IF(C19="","",IF(E19&gt;=$J$15*0.5,"SI","NO"))</f>
        <v/>
      </c>
      <c r="G19" s="104" t="str">
        <f>IF(C19="","",IF(E19&gt;=$J$15*0.05,"SI",IF(E19=0,"NO APORTA EXPERIENCIA",)))</f>
        <v/>
      </c>
      <c r="H19" s="103" t="str">
        <f>IF(C19="","",IF(AND(G19="NO APORTA EXPERIENCIA",D19&lt;=10%),"SI",IF(G19="SI","NO APLICA","NO - PORCENTAJE MAYOR AL 10%")))</f>
        <v/>
      </c>
      <c r="I19" s="173">
        <f>SUMIF(D66:J66,"CUMPLE",D39:J39)+SUMIF(D66:J66,"CUMPLE",D42:J42)+SUMIF(D66:J66,"CUMPLE",D45:J45)</f>
        <v>17582.449999999997</v>
      </c>
      <c r="J19" s="168">
        <f>70%*C10</f>
        <v>2050.2999999999997</v>
      </c>
      <c r="K19" s="294" t="str">
        <f>IF(I19&gt;=J19,"CUMPLE","NO CUMPLE")</f>
        <v>CUMPLE</v>
      </c>
      <c r="L19" s="294"/>
    </row>
    <row r="20" spans="2:14" ht="84.75" customHeight="1">
      <c r="B20" s="33" t="s">
        <v>111</v>
      </c>
      <c r="C20" s="27">
        <f>+VLOOKUP(C11,PROPONENTES!B10:N39,12,FALSE)</f>
        <v>2</v>
      </c>
      <c r="D20" s="101">
        <f>+VLOOKUP(C11,PROPONENTES!B10:N39,13,FALSE)</f>
        <v>1</v>
      </c>
      <c r="E20" s="39">
        <f>SUM(E15:E19)</f>
        <v>13756.5</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38" t="s">
        <v>112</v>
      </c>
      <c r="J20" s="143" t="str">
        <f>IF(VLOOKUP(C11,PUNTAJE!B15:AF129,27,FALSE)=0.25,"SI","NO")</f>
        <v>NO</v>
      </c>
      <c r="K20" s="38" t="s">
        <v>113</v>
      </c>
      <c r="L20" s="143" t="str">
        <f>IF(VLOOKUP(C11,PUNTAJE!B15:AF129,31,FALSE)=0.25,"SI","NO")</f>
        <v>SI</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55</v>
      </c>
      <c r="E24" s="90"/>
      <c r="F24" s="90"/>
      <c r="G24" s="90"/>
      <c r="H24" s="90"/>
      <c r="I24" s="90"/>
      <c r="J24" s="90"/>
      <c r="K24" s="288"/>
      <c r="L24" s="289"/>
    </row>
    <row r="25" spans="2:14" ht="39.75" customHeight="1">
      <c r="B25" s="333" t="s">
        <v>119</v>
      </c>
      <c r="C25" s="334"/>
      <c r="D25" s="90"/>
      <c r="E25" s="90" t="s">
        <v>56</v>
      </c>
      <c r="F25" s="90" t="s">
        <v>56</v>
      </c>
      <c r="G25" s="90" t="s">
        <v>56</v>
      </c>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188</v>
      </c>
      <c r="E27" s="91" t="s">
        <v>189</v>
      </c>
      <c r="F27" s="91" t="s">
        <v>190</v>
      </c>
      <c r="G27" s="91" t="s">
        <v>191</v>
      </c>
      <c r="H27" s="91"/>
      <c r="I27" s="91"/>
      <c r="J27" s="91"/>
      <c r="K27" s="288"/>
      <c r="L27" s="289"/>
    </row>
    <row r="28" spans="2:14" ht="156.75" customHeight="1">
      <c r="B28" s="336"/>
      <c r="C28" s="28" t="s">
        <v>127</v>
      </c>
      <c r="D28" s="91" t="s">
        <v>192</v>
      </c>
      <c r="E28" s="91" t="s">
        <v>193</v>
      </c>
      <c r="F28" s="91" t="s">
        <v>194</v>
      </c>
      <c r="G28" s="91" t="s">
        <v>195</v>
      </c>
      <c r="H28" s="91"/>
      <c r="I28" s="91"/>
      <c r="J28" s="91"/>
      <c r="K28" s="288"/>
      <c r="L28" s="289"/>
    </row>
    <row r="29" spans="2:14" ht="52.5" customHeight="1">
      <c r="B29" s="336"/>
      <c r="C29" s="28" t="s">
        <v>132</v>
      </c>
      <c r="D29" s="95">
        <v>42695</v>
      </c>
      <c r="E29" s="95">
        <v>39675</v>
      </c>
      <c r="F29" s="95">
        <v>40199</v>
      </c>
      <c r="G29" s="95" t="s">
        <v>196</v>
      </c>
      <c r="H29" s="95"/>
      <c r="I29" s="95"/>
      <c r="J29" s="95"/>
      <c r="K29" s="288"/>
      <c r="L29" s="289"/>
    </row>
    <row r="30" spans="2:14" ht="54.75" customHeight="1">
      <c r="B30" s="336"/>
      <c r="C30" s="28" t="s">
        <v>133</v>
      </c>
      <c r="D30" s="95">
        <v>43100</v>
      </c>
      <c r="E30" s="95">
        <v>39691</v>
      </c>
      <c r="F30" s="95">
        <v>40563</v>
      </c>
      <c r="G30" s="95">
        <v>42216</v>
      </c>
      <c r="H30" s="95"/>
      <c r="I30" s="95"/>
      <c r="J30" s="95"/>
      <c r="K30" s="288"/>
      <c r="L30" s="289"/>
    </row>
    <row r="31" spans="2:14" ht="41.25" customHeight="1">
      <c r="B31" s="336"/>
      <c r="C31" s="28" t="s">
        <v>134</v>
      </c>
      <c r="D31" s="92">
        <v>2017</v>
      </c>
      <c r="E31" s="92">
        <v>2008</v>
      </c>
      <c r="F31" s="92">
        <v>2011</v>
      </c>
      <c r="G31" s="92">
        <v>2015</v>
      </c>
      <c r="H31" s="92"/>
      <c r="I31" s="92"/>
      <c r="J31" s="92"/>
      <c r="K31" s="288"/>
      <c r="L31" s="289"/>
    </row>
    <row r="32" spans="2:14" ht="78" customHeight="1">
      <c r="B32" s="336"/>
      <c r="C32" s="28" t="s">
        <v>135</v>
      </c>
      <c r="D32" s="91" t="s">
        <v>197</v>
      </c>
      <c r="E32" s="91" t="s">
        <v>198</v>
      </c>
      <c r="F32" s="91" t="s">
        <v>199</v>
      </c>
      <c r="G32" s="91" t="s">
        <v>200</v>
      </c>
      <c r="H32" s="91"/>
      <c r="I32" s="91"/>
      <c r="J32" s="91"/>
      <c r="K32" s="288"/>
      <c r="L32" s="289"/>
    </row>
    <row r="33" spans="2:12" ht="46.5" customHeight="1">
      <c r="B33" s="336"/>
      <c r="C33" s="28" t="s">
        <v>140</v>
      </c>
      <c r="D33" s="91" t="s">
        <v>201</v>
      </c>
      <c r="E33" s="91" t="s">
        <v>202</v>
      </c>
      <c r="F33" s="91" t="s">
        <v>202</v>
      </c>
      <c r="G33" s="91" t="s">
        <v>202</v>
      </c>
      <c r="H33" s="91"/>
      <c r="I33" s="91"/>
      <c r="J33" s="91"/>
      <c r="K33" s="288"/>
      <c r="L33" s="289"/>
    </row>
    <row r="34" spans="2:12" ht="27.75" customHeight="1">
      <c r="B34" s="336"/>
      <c r="C34" s="30" t="s">
        <v>144</v>
      </c>
      <c r="D34" s="195">
        <v>52</v>
      </c>
      <c r="E34" s="96">
        <v>64</v>
      </c>
      <c r="F34" s="96">
        <v>87</v>
      </c>
      <c r="G34" s="97">
        <v>149</v>
      </c>
      <c r="H34" s="97"/>
      <c r="I34" s="97"/>
      <c r="J34" s="97"/>
      <c r="K34" s="288"/>
      <c r="L34" s="289"/>
    </row>
    <row r="35" spans="2:12" ht="102.75" customHeight="1">
      <c r="B35" s="336"/>
      <c r="C35" s="28" t="s">
        <v>145</v>
      </c>
      <c r="D35" s="93">
        <v>28074.48</v>
      </c>
      <c r="E35" s="93">
        <v>548.32000000000005</v>
      </c>
      <c r="F35" s="93">
        <v>282.70999999999998</v>
      </c>
      <c r="G35" s="93">
        <v>2995.92</v>
      </c>
      <c r="H35" s="93"/>
      <c r="I35" s="93"/>
      <c r="J35" s="93"/>
      <c r="K35" s="290"/>
      <c r="L35" s="291"/>
    </row>
    <row r="36" spans="2:12" ht="48" customHeight="1">
      <c r="B36" s="336"/>
      <c r="C36" s="28" t="s">
        <v>146</v>
      </c>
      <c r="D36" s="105">
        <f>IFERROR(D35*VLOOKUP(D31,'DATOS INICIALES'!$A$12:$B$41,2,0),"0")</f>
        <v>20711021162.16</v>
      </c>
      <c r="E36" s="105">
        <f>IFERROR(E35*VLOOKUP(E31,'DATOS INICIALES'!$A$12:$B$41,2,0),"0")</f>
        <v>253049680.00000003</v>
      </c>
      <c r="F36" s="105">
        <f>IFERROR(F35*VLOOKUP(F31,'DATOS INICIALES'!$A$12:$B$41,2,0),"0")</f>
        <v>151419476</v>
      </c>
      <c r="G36" s="105">
        <f>IFERROR(G35*VLOOKUP(G31,'DATOS INICIALES'!$A$12:$B$41,2,0),"0")</f>
        <v>1930421052</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0.49</v>
      </c>
      <c r="E37" s="94">
        <v>1</v>
      </c>
      <c r="F37" s="94">
        <v>1</v>
      </c>
      <c r="G37" s="94">
        <v>1</v>
      </c>
      <c r="H37" s="94"/>
      <c r="I37" s="94"/>
      <c r="J37" s="94"/>
      <c r="K37" s="288"/>
      <c r="L37" s="289"/>
    </row>
    <row r="38" spans="2:12" ht="48.75" customHeight="1">
      <c r="B38" s="336"/>
      <c r="C38" s="28" t="s">
        <v>148</v>
      </c>
      <c r="D38" s="105">
        <f t="shared" ref="D38:J38" si="3">IF(D24="","0",D37*D36)</f>
        <v>10148400369.458399</v>
      </c>
      <c r="E38" s="105" t="str">
        <f t="shared" si="3"/>
        <v>0</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90">
        <v>13756.5</v>
      </c>
      <c r="E39" s="190">
        <v>548.32000000000005</v>
      </c>
      <c r="F39" s="190">
        <v>281.70999999999998</v>
      </c>
      <c r="G39" s="190">
        <v>2995.92</v>
      </c>
      <c r="H39" s="106">
        <f t="shared" ref="H39:J39" si="4">IFERROR(H35*H37,"0")</f>
        <v>0</v>
      </c>
      <c r="I39" s="106">
        <f t="shared" si="4"/>
        <v>0</v>
      </c>
      <c r="J39" s="106">
        <f t="shared" si="4"/>
        <v>0</v>
      </c>
      <c r="K39" s="288"/>
      <c r="L39" s="289"/>
    </row>
    <row r="40" spans="2:12" ht="65.25" customHeight="1">
      <c r="B40" s="336"/>
      <c r="C40" s="28" t="s">
        <v>150</v>
      </c>
      <c r="D40" s="94">
        <v>0.51</v>
      </c>
      <c r="E40" s="94"/>
      <c r="F40" s="94"/>
      <c r="G40" s="94"/>
      <c r="H40" s="94"/>
      <c r="I40" s="94"/>
      <c r="J40" s="94"/>
      <c r="K40" s="288"/>
      <c r="L40" s="289"/>
    </row>
    <row r="41" spans="2:12" ht="65.25" customHeight="1">
      <c r="B41" s="336"/>
      <c r="C41" s="28" t="s">
        <v>151</v>
      </c>
      <c r="D41" s="107" t="str">
        <f t="shared" ref="D41:J41" si="5">IF(D25="","0",D40*D36)</f>
        <v>0</v>
      </c>
      <c r="E41" s="107">
        <f t="shared" si="5"/>
        <v>0</v>
      </c>
      <c r="F41" s="107">
        <f t="shared" si="5"/>
        <v>0</v>
      </c>
      <c r="G41" s="107">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t="s">
        <v>31</v>
      </c>
      <c r="I46" s="90"/>
      <c r="J46" s="90"/>
      <c r="K46" s="288"/>
      <c r="L46" s="289"/>
    </row>
    <row r="47" spans="2:12" ht="24.75" customHeight="1">
      <c r="B47" s="327" t="s">
        <v>158</v>
      </c>
      <c r="C47" s="31">
        <f>+'DATOS INICIALES'!D21</f>
        <v>70101700</v>
      </c>
      <c r="D47" s="96" t="s">
        <v>29</v>
      </c>
      <c r="E47" s="96" t="s">
        <v>29</v>
      </c>
      <c r="F47" s="96" t="s">
        <v>29</v>
      </c>
      <c r="G47" s="96" t="s">
        <v>29</v>
      </c>
      <c r="H47" s="96" t="s">
        <v>29</v>
      </c>
      <c r="I47" s="96"/>
      <c r="J47" s="97"/>
      <c r="K47" s="288"/>
      <c r="L47" s="289"/>
    </row>
    <row r="48" spans="2:12" ht="24.75" customHeight="1">
      <c r="B48" s="328"/>
      <c r="C48" s="31">
        <f>+'DATOS INICIALES'!D22</f>
        <v>80101600</v>
      </c>
      <c r="D48" s="96" t="s">
        <v>27</v>
      </c>
      <c r="E48" s="96" t="s">
        <v>27</v>
      </c>
      <c r="F48" s="96" t="s">
        <v>27</v>
      </c>
      <c r="G48" s="96" t="s">
        <v>27</v>
      </c>
      <c r="H48" s="96" t="s">
        <v>27</v>
      </c>
      <c r="I48" s="96"/>
      <c r="J48" s="97"/>
      <c r="K48" s="288"/>
      <c r="L48" s="289"/>
    </row>
    <row r="49" spans="2:12" ht="24.75" customHeight="1">
      <c r="B49" s="328"/>
      <c r="C49" s="31">
        <f>+'DATOS INICIALES'!D23</f>
        <v>80101500</v>
      </c>
      <c r="D49" s="96" t="s">
        <v>27</v>
      </c>
      <c r="E49" s="96" t="s">
        <v>27</v>
      </c>
      <c r="F49" s="96" t="s">
        <v>27</v>
      </c>
      <c r="G49" s="96" t="s">
        <v>27</v>
      </c>
      <c r="H49" s="96" t="s">
        <v>27</v>
      </c>
      <c r="I49" s="96"/>
      <c r="J49" s="97"/>
      <c r="K49" s="288"/>
      <c r="L49" s="289"/>
    </row>
    <row r="50" spans="2:12" ht="24.75" customHeight="1">
      <c r="B50" s="328"/>
      <c r="C50" s="31">
        <f>+'DATOS INICIALES'!D24</f>
        <v>86101700</v>
      </c>
      <c r="D50" s="96" t="s">
        <v>27</v>
      </c>
      <c r="E50" s="96" t="s">
        <v>27</v>
      </c>
      <c r="F50" s="96" t="s">
        <v>27</v>
      </c>
      <c r="G50" s="96" t="s">
        <v>27</v>
      </c>
      <c r="H50" s="96" t="s">
        <v>27</v>
      </c>
      <c r="I50" s="96"/>
      <c r="J50" s="97"/>
      <c r="K50" s="288"/>
      <c r="L50" s="289"/>
    </row>
    <row r="51" spans="2:12" ht="24.75" customHeight="1">
      <c r="B51" s="328"/>
      <c r="C51" s="31">
        <f>+'DATOS INICIALES'!D25</f>
        <v>80161500</v>
      </c>
      <c r="D51" s="96" t="s">
        <v>27</v>
      </c>
      <c r="E51" s="96" t="s">
        <v>27</v>
      </c>
      <c r="F51" s="96" t="s">
        <v>27</v>
      </c>
      <c r="G51" s="96" t="s">
        <v>27</v>
      </c>
      <c r="H51" s="96" t="s">
        <v>27</v>
      </c>
      <c r="I51" s="96"/>
      <c r="J51" s="97"/>
      <c r="K51" s="288"/>
      <c r="L51" s="289"/>
    </row>
    <row r="52" spans="2:12" ht="24.75" customHeight="1">
      <c r="B52" s="328"/>
      <c r="C52" s="31">
        <f>+'DATOS INICIALES'!D26</f>
        <v>93141500</v>
      </c>
      <c r="D52" s="96" t="s">
        <v>27</v>
      </c>
      <c r="E52" s="96" t="s">
        <v>27</v>
      </c>
      <c r="F52" s="96" t="s">
        <v>27</v>
      </c>
      <c r="G52" s="96" t="s">
        <v>27</v>
      </c>
      <c r="H52" s="96" t="s">
        <v>27</v>
      </c>
      <c r="I52" s="96"/>
      <c r="J52" s="97"/>
      <c r="K52" s="288"/>
      <c r="L52" s="289"/>
    </row>
    <row r="53" spans="2:12" ht="24.75" customHeight="1">
      <c r="B53" s="328"/>
      <c r="C53" s="31">
        <v>93141600</v>
      </c>
      <c r="D53" s="96" t="s">
        <v>27</v>
      </c>
      <c r="E53" s="96" t="s">
        <v>27</v>
      </c>
      <c r="F53" s="96" t="s">
        <v>27</v>
      </c>
      <c r="G53" s="96" t="s">
        <v>27</v>
      </c>
      <c r="H53" s="96" t="s">
        <v>27</v>
      </c>
      <c r="I53" s="96"/>
      <c r="J53" s="96"/>
      <c r="K53" s="288"/>
      <c r="L53" s="289"/>
    </row>
    <row r="54" spans="2:12" ht="24.75" customHeight="1">
      <c r="B54" s="328"/>
      <c r="C54" s="31">
        <v>93141800</v>
      </c>
      <c r="D54" s="96" t="s">
        <v>29</v>
      </c>
      <c r="E54" s="96" t="s">
        <v>29</v>
      </c>
      <c r="F54" s="96" t="s">
        <v>29</v>
      </c>
      <c r="G54" s="96" t="s">
        <v>29</v>
      </c>
      <c r="H54" s="96" t="s">
        <v>29</v>
      </c>
      <c r="I54" s="96"/>
      <c r="J54" s="96"/>
      <c r="K54" s="189"/>
      <c r="L54" s="167"/>
    </row>
    <row r="55" spans="2:12" ht="60.75" customHeight="1">
      <c r="B55" s="329"/>
      <c r="C55" s="18" t="s">
        <v>159</v>
      </c>
      <c r="D55" s="18" t="str">
        <f t="shared" ref="D55:J55" si="9">IF(D24="","N/A",IF(D47="SI","CUMPLE",IF(D48="SI","CUMPLE",IF(D49="SI","CUMPLE",IF(D50="SI","CUMPLE",IF(D51="SI","CUMPLE",IF(D52="SI","CUMPLE",IF(D53="SI","CUMPLE","NO CUMPLE"))))))))</f>
        <v>CUMPLE</v>
      </c>
      <c r="E55" s="18" t="s">
        <v>31</v>
      </c>
      <c r="F55" s="18" t="s">
        <v>31</v>
      </c>
      <c r="G55" s="18" t="s">
        <v>31</v>
      </c>
      <c r="H55" s="18" t="str">
        <f t="shared" si="9"/>
        <v>N/A</v>
      </c>
      <c r="I55" s="18" t="str">
        <f t="shared" si="9"/>
        <v>N/A</v>
      </c>
      <c r="J55" s="18" t="str">
        <f t="shared" si="9"/>
        <v>N/A</v>
      </c>
      <c r="K55" s="288"/>
      <c r="L55" s="289"/>
    </row>
    <row r="56" spans="2:12" ht="296.25" customHeight="1">
      <c r="B56" s="330" t="s">
        <v>203</v>
      </c>
      <c r="C56" s="331"/>
      <c r="D56" s="90" t="s">
        <v>31</v>
      </c>
      <c r="E56" s="90" t="s">
        <v>31</v>
      </c>
      <c r="F56" s="90" t="s">
        <v>31</v>
      </c>
      <c r="G56" s="90" t="s">
        <v>31</v>
      </c>
      <c r="H56" s="90"/>
      <c r="I56" s="90"/>
      <c r="J56" s="90"/>
      <c r="K56" s="295"/>
      <c r="L56" s="296"/>
    </row>
    <row r="57" spans="2:12" ht="353.25" hidden="1" customHeight="1">
      <c r="B57" s="330"/>
      <c r="C57" s="331"/>
      <c r="D57" s="90" t="s">
        <v>31</v>
      </c>
      <c r="E57" s="90" t="s">
        <v>31</v>
      </c>
      <c r="F57" s="90"/>
      <c r="G57" s="90"/>
      <c r="H57" s="90"/>
      <c r="I57" s="90"/>
      <c r="J57" s="90"/>
      <c r="K57" s="295"/>
      <c r="L57" s="296"/>
    </row>
    <row r="58" spans="2:12" ht="99" customHeight="1">
      <c r="B58" s="364" t="s">
        <v>204</v>
      </c>
      <c r="C58" s="365"/>
      <c r="D58" s="90" t="s">
        <v>31</v>
      </c>
      <c r="E58" s="90" t="s">
        <v>31</v>
      </c>
      <c r="F58" s="90" t="s">
        <v>31</v>
      </c>
      <c r="G58" s="90" t="s">
        <v>31</v>
      </c>
      <c r="H58" s="90"/>
      <c r="I58" s="90"/>
      <c r="J58" s="90"/>
      <c r="K58" s="288"/>
      <c r="L58" s="289"/>
    </row>
    <row r="59" spans="2:12" ht="105.75" customHeight="1">
      <c r="B59" s="364" t="s">
        <v>163</v>
      </c>
      <c r="C59" s="365"/>
      <c r="D59" s="90" t="s">
        <v>31</v>
      </c>
      <c r="E59" s="90" t="s">
        <v>31</v>
      </c>
      <c r="F59" s="90" t="s">
        <v>31</v>
      </c>
      <c r="G59" s="90" t="s">
        <v>31</v>
      </c>
      <c r="H59" s="90"/>
      <c r="I59" s="90"/>
      <c r="J59" s="90"/>
      <c r="K59" s="288"/>
      <c r="L59" s="289"/>
    </row>
    <row r="60" spans="2:12" ht="291.75" customHeight="1">
      <c r="B60" s="364" t="s">
        <v>164</v>
      </c>
      <c r="C60" s="365"/>
      <c r="D60" s="90" t="s">
        <v>30</v>
      </c>
      <c r="E60" s="90" t="s">
        <v>30</v>
      </c>
      <c r="F60" s="90" t="s">
        <v>30</v>
      </c>
      <c r="G60" s="90" t="s">
        <v>30</v>
      </c>
      <c r="H60" s="90"/>
      <c r="I60" s="90"/>
      <c r="J60" s="90"/>
      <c r="K60" s="288"/>
      <c r="L60" s="289"/>
    </row>
    <row r="61" spans="2:12" ht="336" customHeight="1">
      <c r="B61" s="366" t="s">
        <v>165</v>
      </c>
      <c r="C61" s="365"/>
      <c r="D61" s="90" t="s">
        <v>31</v>
      </c>
      <c r="E61" s="90" t="s">
        <v>31</v>
      </c>
      <c r="F61" s="90" t="s">
        <v>31</v>
      </c>
      <c r="G61" s="90" t="s">
        <v>31</v>
      </c>
      <c r="H61" s="90"/>
      <c r="I61" s="90"/>
      <c r="J61" s="90"/>
      <c r="K61" s="290"/>
      <c r="L61" s="291"/>
    </row>
    <row r="62" spans="2:12" ht="129.75" customHeight="1">
      <c r="B62" s="364" t="s">
        <v>166</v>
      </c>
      <c r="C62" s="365"/>
      <c r="D62" s="90" t="s">
        <v>30</v>
      </c>
      <c r="E62" s="90" t="s">
        <v>30</v>
      </c>
      <c r="F62" s="90" t="s">
        <v>30</v>
      </c>
      <c r="G62" s="90" t="s">
        <v>30</v>
      </c>
      <c r="H62" s="90"/>
      <c r="I62" s="90"/>
      <c r="J62" s="90"/>
      <c r="K62" s="288"/>
      <c r="L62" s="289"/>
    </row>
    <row r="63" spans="2:12" ht="408.75" customHeight="1">
      <c r="B63" s="369" t="s">
        <v>167</v>
      </c>
      <c r="C63" s="331"/>
      <c r="D63" s="90" t="s">
        <v>30</v>
      </c>
      <c r="E63" s="90" t="s">
        <v>30</v>
      </c>
      <c r="F63" s="90" t="s">
        <v>30</v>
      </c>
      <c r="G63" s="90" t="s">
        <v>30</v>
      </c>
      <c r="H63" s="90"/>
      <c r="I63" s="90"/>
      <c r="J63" s="90"/>
      <c r="K63" s="288"/>
      <c r="L63" s="289"/>
    </row>
    <row r="64" spans="2:12" ht="234.75" customHeight="1">
      <c r="B64" s="366" t="s">
        <v>168</v>
      </c>
      <c r="C64" s="365"/>
      <c r="D64" s="90" t="s">
        <v>31</v>
      </c>
      <c r="E64" s="90" t="s">
        <v>31</v>
      </c>
      <c r="F64" s="90" t="s">
        <v>31</v>
      </c>
      <c r="G64" s="90" t="s">
        <v>31</v>
      </c>
      <c r="H64" s="90"/>
      <c r="I64" s="90"/>
      <c r="J64" s="90"/>
      <c r="K64" s="288"/>
      <c r="L64" s="289"/>
    </row>
    <row r="65" spans="2:12" ht="70.5" customHeight="1">
      <c r="B65" s="367" t="s">
        <v>169</v>
      </c>
      <c r="C65" s="368"/>
      <c r="D65" s="18" t="str">
        <f>IF(D24="","N/A",IF(AND(D46="CUMPLE",D55="CUMPLE",D56="CUMPLE",D57="CUMPLE",D58="CUMPLE",D59="CUMPLE",OR(D60="CUMPLE",D60="N/A"),D61="CUMPLE",OR(D62="CUMPLE",D62="N/A"),D64="CUMPLE",OR(D63="CUMPLE",D63="N/A")),"CUMPLE","NO CUMPLE"))</f>
        <v>CUMPLE</v>
      </c>
      <c r="E65" s="18" t="s">
        <v>31</v>
      </c>
      <c r="F65" s="18" t="s">
        <v>31</v>
      </c>
      <c r="G65" s="18" t="s">
        <v>31</v>
      </c>
      <c r="H65" s="18" t="str">
        <f t="shared" ref="H65:J65" si="10">IF(H24="","N/A",IF(AND(H46="CUMPLE",H55="CUMPLE",H56="CUMPLE",H57="CUMPLE",H58="CUMPLE",H59="CUMPLE",OR(H60="CUMPLE",H60="N/A"),H61="CUMPLE",OR(H62="CUMPLE",H62="N/A"),H64="CUMPLE",OR(H63="CUMPLE",H63="N/A")),"CUMPLE","NO CUMPLE"))</f>
        <v>N/A</v>
      </c>
      <c r="I65" s="18" t="str">
        <f t="shared" si="10"/>
        <v>N/A</v>
      </c>
      <c r="J65" s="18" t="str">
        <f t="shared" si="10"/>
        <v>N/A</v>
      </c>
      <c r="K65" s="166"/>
      <c r="L65" s="167"/>
    </row>
    <row r="66" spans="2:12" ht="81.75" customHeight="1">
      <c r="B66" s="229" t="s">
        <v>170</v>
      </c>
      <c r="C66" s="229"/>
      <c r="D66" s="90" t="s">
        <v>31</v>
      </c>
      <c r="E66" s="90" t="s">
        <v>31</v>
      </c>
      <c r="F66" s="90" t="s">
        <v>31</v>
      </c>
      <c r="G66" s="90" t="s">
        <v>31</v>
      </c>
      <c r="H66" s="90"/>
      <c r="I66" s="90"/>
      <c r="J66" s="90"/>
      <c r="K66" s="288"/>
      <c r="L66" s="289"/>
    </row>
  </sheetData>
  <sheetProtection formatCells="0" formatColumns="0" formatRows="0"/>
  <mergeCells count="80">
    <mergeCell ref="B65:C65"/>
    <mergeCell ref="B66:C66"/>
    <mergeCell ref="K66:L66"/>
    <mergeCell ref="B62:C62"/>
    <mergeCell ref="K62:L62"/>
    <mergeCell ref="B63:C63"/>
    <mergeCell ref="K63:L63"/>
    <mergeCell ref="B64:C64"/>
    <mergeCell ref="K64:L64"/>
    <mergeCell ref="B59:C59"/>
    <mergeCell ref="K59:L59"/>
    <mergeCell ref="B60:C60"/>
    <mergeCell ref="K60:L60"/>
    <mergeCell ref="B61:C61"/>
    <mergeCell ref="K61:L61"/>
    <mergeCell ref="B56:C56"/>
    <mergeCell ref="K56:L56"/>
    <mergeCell ref="B57:C57"/>
    <mergeCell ref="K57:L57"/>
    <mergeCell ref="B58:C58"/>
    <mergeCell ref="K58:L58"/>
    <mergeCell ref="K44:L44"/>
    <mergeCell ref="K46:L46"/>
    <mergeCell ref="B47:B55"/>
    <mergeCell ref="K47:L47"/>
    <mergeCell ref="K48:L48"/>
    <mergeCell ref="K49:L49"/>
    <mergeCell ref="K50:L50"/>
    <mergeCell ref="K51:L51"/>
    <mergeCell ref="K52:L52"/>
    <mergeCell ref="K53:L53"/>
    <mergeCell ref="K55:L55"/>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239" priority="17">
      <formula>LEN(TRIM(D25))=0</formula>
    </cfRule>
    <cfRule type="notContainsErrors" dxfId="1238" priority="18">
      <formula>NOT(ISERROR(D25))</formula>
    </cfRule>
  </conditionalFormatting>
  <conditionalFormatting sqref="D34:J34">
    <cfRule type="containsBlanks" dxfId="1237" priority="19">
      <formula>LEN(TRIM(D34))=0</formula>
    </cfRule>
    <cfRule type="notContainsErrors" dxfId="1236" priority="20">
      <formula>NOT(ISERROR(D34))</formula>
    </cfRule>
  </conditionalFormatting>
  <conditionalFormatting sqref="D37:J37">
    <cfRule type="containsBlanks" dxfId="1235" priority="15">
      <formula>LEN(TRIM(D37))=0</formula>
    </cfRule>
    <cfRule type="notContainsErrors" dxfId="1234" priority="16">
      <formula>NOT(ISERROR(D37))</formula>
    </cfRule>
  </conditionalFormatting>
  <conditionalFormatting sqref="D40:J40">
    <cfRule type="containsBlanks" dxfId="1233" priority="13">
      <formula>LEN(TRIM(D40))=0</formula>
    </cfRule>
    <cfRule type="notContainsErrors" dxfId="1232" priority="14">
      <formula>NOT(ISERROR(D40))</formula>
    </cfRule>
  </conditionalFormatting>
  <conditionalFormatting sqref="D43:J43 K65:L65">
    <cfRule type="notContainsErrors" dxfId="1231" priority="40">
      <formula>NOT(ISERROR(D43))</formula>
    </cfRule>
    <cfRule type="containsBlanks" dxfId="1230" priority="39">
      <formula>LEN(TRIM(D43))=0</formula>
    </cfRule>
  </conditionalFormatting>
  <conditionalFormatting sqref="D46:J54">
    <cfRule type="cellIs" dxfId="1229" priority="9" operator="equal">
      <formula>"NO CUMPLE"</formula>
    </cfRule>
    <cfRule type="cellIs" dxfId="1228" priority="10" operator="equal">
      <formula>"CUMPLE"</formula>
    </cfRule>
    <cfRule type="containsBlanks" dxfId="1227" priority="11">
      <formula>LEN(TRIM(D46))=0</formula>
    </cfRule>
    <cfRule type="notContainsErrors" dxfId="1226" priority="12">
      <formula>NOT(ISERROR(D46))</formula>
    </cfRule>
  </conditionalFormatting>
  <conditionalFormatting sqref="D55:J55">
    <cfRule type="cellIs" dxfId="1225" priority="45" operator="equal">
      <formula>"N/A"</formula>
    </cfRule>
    <cfRule type="cellIs" dxfId="1224" priority="51" operator="equal">
      <formula>"""CUMPLE"""</formula>
    </cfRule>
    <cfRule type="cellIs" dxfId="1223" priority="50" operator="equal">
      <formula>"NO CUMPLE"</formula>
    </cfRule>
    <cfRule type="cellIs" dxfId="1222" priority="49" operator="equal">
      <formula>"CUMPLE"</formula>
    </cfRule>
  </conditionalFormatting>
  <conditionalFormatting sqref="D56:J64">
    <cfRule type="cellIs" dxfId="1221" priority="5" operator="equal">
      <formula>"NO CUMPLE"</formula>
    </cfRule>
    <cfRule type="cellIs" dxfId="1220" priority="6" operator="equal">
      <formula>"CUMPLE"</formula>
    </cfRule>
    <cfRule type="containsBlanks" dxfId="1219" priority="7">
      <formula>LEN(TRIM(D56))=0</formula>
    </cfRule>
    <cfRule type="notContainsErrors" dxfId="1218" priority="8">
      <formula>NOT(ISERROR(D56))</formula>
    </cfRule>
  </conditionalFormatting>
  <conditionalFormatting sqref="D65:J65">
    <cfRule type="cellIs" dxfId="1217" priority="41" operator="equal">
      <formula>"N/A"</formula>
    </cfRule>
    <cfRule type="cellIs" dxfId="1216" priority="43" operator="equal">
      <formula>"NO CUMPLE"</formula>
    </cfRule>
    <cfRule type="cellIs" dxfId="1215" priority="44" operator="equal">
      <formula>"""CUMPLE"""</formula>
    </cfRule>
    <cfRule type="cellIs" dxfId="1214" priority="42" operator="equal">
      <formula>"CUMPLE"</formula>
    </cfRule>
  </conditionalFormatting>
  <conditionalFormatting sqref="D66:J66">
    <cfRule type="cellIs" dxfId="1213" priority="2" operator="equal">
      <formula>"CUMPLE"</formula>
    </cfRule>
    <cfRule type="cellIs" dxfId="1212" priority="1" operator="equal">
      <formula>"NO CUMPLE"</formula>
    </cfRule>
  </conditionalFormatting>
  <conditionalFormatting sqref="D24:K24">
    <cfRule type="notContainsErrors" dxfId="1211" priority="24">
      <formula>NOT(ISERROR(D24))</formula>
    </cfRule>
    <cfRule type="containsBlanks" dxfId="1210" priority="23">
      <formula>LEN(TRIM(D24))=0</formula>
    </cfRule>
  </conditionalFormatting>
  <conditionalFormatting sqref="D66:K66">
    <cfRule type="containsBlanks" dxfId="1209" priority="3">
      <formula>LEN(TRIM(D66))=0</formula>
    </cfRule>
    <cfRule type="notContainsErrors" dxfId="1208" priority="4">
      <formula>NOT(ISERROR(D66))</formula>
    </cfRule>
  </conditionalFormatting>
  <conditionalFormatting sqref="F20:H20">
    <cfRule type="cellIs" dxfId="1207" priority="55" operator="equal">
      <formula>"CUMPLE"</formula>
    </cfRule>
    <cfRule type="cellIs" dxfId="1206" priority="56" operator="equal">
      <formula>"NO CUMPLE"</formula>
    </cfRule>
    <cfRule type="cellIs" dxfId="1205" priority="57" operator="equal">
      <formula>"""CUMPLE"""</formula>
    </cfRule>
  </conditionalFormatting>
  <conditionalFormatting sqref="I11">
    <cfRule type="containsText" dxfId="1204" priority="58" operator="containsText" text="INHABILITADO">
      <formula>NOT(ISERROR(SEARCH("INHABILITADO",I11)))</formula>
    </cfRule>
    <cfRule type="containsText" dxfId="1203" priority="59" operator="containsText" text="HABILITADO">
      <formula>NOT(ISERROR(SEARCH("HABILITADO",I11)))</formula>
    </cfRule>
    <cfRule type="containsText" dxfId="1202" priority="60" operator="containsText" text="HABILITADO">
      <formula>NOT(ISERROR(SEARCH("HABILITADO",I11)))</formula>
    </cfRule>
    <cfRule type="containsText" dxfId="1201" priority="61" operator="containsText" text="NO CUMPLE">
      <formula>NOT(ISERROR(SEARCH("NO CUMPLE",I11)))</formula>
    </cfRule>
  </conditionalFormatting>
  <conditionalFormatting sqref="J20">
    <cfRule type="cellIs" dxfId="1200" priority="31" operator="equal">
      <formula>"NO"</formula>
    </cfRule>
    <cfRule type="cellIs" dxfId="1199" priority="32" operator="equal">
      <formula>"SI"</formula>
    </cfRule>
  </conditionalFormatting>
  <conditionalFormatting sqref="K19">
    <cfRule type="cellIs" dxfId="1198" priority="46" operator="equal">
      <formula>"CUMPLE"</formula>
    </cfRule>
    <cfRule type="cellIs" dxfId="1197" priority="47" operator="equal">
      <formula>"NO CUMPLE"</formula>
    </cfRule>
    <cfRule type="cellIs" dxfId="1196" priority="48" operator="equal">
      <formula>"""CUMPLE"""</formula>
    </cfRule>
  </conditionalFormatting>
  <conditionalFormatting sqref="K25:K64">
    <cfRule type="notContainsErrors" dxfId="1195" priority="26">
      <formula>NOT(ISERROR(K25))</formula>
    </cfRule>
    <cfRule type="containsBlanks" dxfId="1194" priority="25">
      <formula>LEN(TRIM(K25))=0</formula>
    </cfRule>
  </conditionalFormatting>
  <conditionalFormatting sqref="L15">
    <cfRule type="cellIs" dxfId="1193" priority="52" operator="equal">
      <formula>"CUMPLE"</formula>
    </cfRule>
    <cfRule type="cellIs" dxfId="1192" priority="53" operator="equal">
      <formula>"NO CUMPLE"</formula>
    </cfRule>
    <cfRule type="cellIs" dxfId="1191" priority="54" operator="equal">
      <formula>"""CUMPLE"""</formula>
    </cfRule>
  </conditionalFormatting>
  <conditionalFormatting sqref="L20">
    <cfRule type="cellIs" dxfId="1190" priority="30" operator="equal">
      <formula>"SI"</formula>
    </cfRule>
    <cfRule type="cellIs" dxfId="1189" priority="29" operator="equal">
      <formula>"NO"</formula>
    </cfRule>
  </conditionalFormatting>
  <dataValidations disablePrompts="1" count="3">
    <dataValidation type="list" allowBlank="1" showInputMessage="1" showErrorMessage="1" sqref="L58:L65" xr:uid="{00000000-0002-0000-0500-000000000000}">
      <formula1>"0,1,2,3,4,5,6"</formula1>
    </dataValidation>
    <dataValidation type="list" allowBlank="1" showInputMessage="1" showErrorMessage="1" sqref="D24:J26" xr:uid="{00000000-0002-0000-0500-000001000000}">
      <formula1>$C$15:$C$19</formula1>
    </dataValidation>
    <dataValidation type="list" allowBlank="1" showInputMessage="1" showErrorMessage="1" sqref="D66:I66" xr:uid="{00000000-0002-0000-05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9" max="11" man="1"/>
  </rowBreaks>
  <legacyDrawing r:id="rId2"/>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00000000-0002-0000-0500-000003000000}">
          <x14:formula1>
            <xm:f>'DATOS INICIALES'!$C$44:$C$45</xm:f>
          </x14:formula1>
          <xm:sqref>J47:J52 D47:I54</xm:sqref>
        </x14:dataValidation>
        <x14:dataValidation type="list" allowBlank="1" showInputMessage="1" showErrorMessage="1" xr:uid="{00000000-0002-0000-0500-000004000000}">
          <x14:formula1>
            <xm:f>'DATOS INICIALES'!$A$49:$A$51</xm:f>
          </x14:formula1>
          <xm:sqref>D56:I58 D59:J64 J56:J57 D46:J46</xm:sqref>
        </x14:dataValidation>
        <x14:dataValidation type="list" allowBlank="1" showInputMessage="1" showErrorMessage="1" xr:uid="{00000000-0002-0000-0500-000005000000}">
          <x14:formula1>
            <xm:f>'DATOS INICIALES'!$A$53:$A$58</xm:f>
          </x14:formula1>
          <xm:sqref>D23:I23</xm:sqref>
        </x14:dataValidation>
        <x14:dataValidation type="list" allowBlank="1" showInputMessage="1" showErrorMessage="1" xr:uid="{00000000-0002-0000-0500-000006000000}">
          <x14:formula1>
            <xm:f>'DATOS INICIALES'!$D$21:$D$25</xm:f>
          </x14:formula1>
          <xm:sqref>M47:M55</xm:sqref>
        </x14:dataValidation>
        <x14:dataValidation type="list" allowBlank="1" showInputMessage="1" showErrorMessage="1" xr:uid="{00000000-0002-0000-0500-000007000000}">
          <x14:formula1>
            <xm:f>'DATOS INICIALES'!$A$13:$A$41</xm:f>
          </x14:formula1>
          <xm:sqref>D31:I31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65"/>
  <sheetViews>
    <sheetView view="pageBreakPreview" zoomScale="55" zoomScaleNormal="55" zoomScaleSheetLayoutView="55" workbookViewId="0">
      <pane ySplit="11" topLeftCell="A18" activePane="bottomLeft" state="frozenSplit"/>
      <selection activeCell="J19" sqref="J19"/>
      <selection pane="bottomLeft" activeCell="F28" sqref="F28"/>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t="str">
        <f>+PROPONENTES!B12</f>
        <v xml:space="preserve"> UNIÓN TEMPORAL SUEÑOS WM</v>
      </c>
      <c r="D11" s="310"/>
      <c r="E11" s="310"/>
      <c r="F11" s="310"/>
      <c r="G11" s="310"/>
      <c r="H11" s="146" t="s">
        <v>98</v>
      </c>
      <c r="I11" s="303" t="str">
        <f>IF(AND(F20="CUMPLE",G20="CUMPLE",H20="CUMPLE",L15="CUMPLE",K19="CUMPLE"),"CUMPLE","NO CUMPLE")</f>
        <v>NO CUMPLE</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str">
        <f>IF(VLOOKUP(C11,PROPONENTES!B10:N39,2,FALSE)=0,"",VLOOKUP(C11,PROPONENTES!B10:N39,2,FALSE))</f>
        <v xml:space="preserve"> Inversiones Para Desarrollo Empresarial S.A.S</v>
      </c>
      <c r="D15" s="101">
        <f>IF(VLOOKUP(C11,PROPONENTES!B10:N39,3,FALSE)=0,"",VLOOKUP(C11,PROPONENTES!B10:N39,3,FALSE))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NO - PORCENTAJE MAYOR AL 10%</v>
      </c>
      <c r="I15" s="292">
        <f>COUNTIF(D64:I64,"CUMPLE")</f>
        <v>4</v>
      </c>
      <c r="J15" s="293">
        <f>IF(AND(I15&gt;=1,I15&lt;=2),L8,IF(AND(I15&gt;=3,I15&lt;=4),L9,IF(AND(I15&gt;=5,I15&lt;=7),L10)))</f>
        <v>3938.6952868965518</v>
      </c>
      <c r="K15" s="293">
        <f>+E20</f>
        <v>0</v>
      </c>
      <c r="L15" s="294" t="str">
        <f>IF(K15&gt;=J15,"CUMPLE","NO CUMPLE")</f>
        <v>NO CUMPLE</v>
      </c>
    </row>
    <row r="16" spans="2:12" ht="33.75" customHeight="1">
      <c r="B16" s="347"/>
      <c r="C16" s="100" t="str">
        <f>IF(VLOOKUP(C11,PROPONENTES!B10:N39,4,FALSE)=0,"",VLOOKUP(C11,PROPONENTES!B10:N39,4,FALSE))</f>
        <v xml:space="preserve"> Fundación WR Tejido Social</v>
      </c>
      <c r="D16" s="101">
        <f>IF(VLOOKUP(C11,PROPONENTES!B10:N39,5,FALSE)=0,"",VLOOKUP(C11,PROPONENTES!B10:N39,5,FALSE))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NO - PORCENTAJE MAYOR AL 10%</v>
      </c>
      <c r="I16" s="292"/>
      <c r="J16" s="293"/>
      <c r="K16" s="293"/>
      <c r="L16" s="294"/>
    </row>
    <row r="17" spans="2:14" ht="33.75" customHeight="1">
      <c r="B17" s="347"/>
      <c r="C17" s="100" t="str">
        <f>IF(VLOOKUP(C11,PROPONENTES!B10:N39,6,FALSE)=0,"",VLOOKUP(C11,PROPONENTES!B10:N39,6,FALSE))</f>
        <v/>
      </c>
      <c r="D17" s="101" t="str">
        <f>IF(VLOOKUP(C11,PROPONENTES!B10:N39,7,FALSE)=0,"",VLOOKUP(C11,PROPONENTES!B10:N39,7,FALSE))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2"/>
      <c r="J17" s="293"/>
      <c r="K17" s="293"/>
      <c r="L17" s="294"/>
    </row>
    <row r="18" spans="2:14" ht="50.25" customHeight="1">
      <c r="B18" s="347"/>
      <c r="C18" s="100" t="str">
        <f>IF(VLOOKUP(C11,PROPONENTES!B10:N39,8,FALSE)=0,"",VLOOKUP(C11,PROPONENTES!B10:N39,8,FALSE))</f>
        <v/>
      </c>
      <c r="D18" s="101" t="str">
        <f>IF(VLOOKUP(C11,PROPONENTES!B10:N39,9,FALSE)=0,"",VLOOKUP(C11,PROPONENTES!B10:N39,9,FALSE))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8" t="s">
        <v>109</v>
      </c>
      <c r="J18" s="38" t="s">
        <v>110</v>
      </c>
      <c r="K18" s="225" t="s">
        <v>90</v>
      </c>
      <c r="L18" s="225"/>
    </row>
    <row r="19" spans="2:14" ht="33.75" customHeight="1">
      <c r="B19" s="347"/>
      <c r="C19" s="100" t="str">
        <f>IF(VLOOKUP(C11,PROPONENTES!B10:N39,10,FALSE)=0,"",VLOOKUP(C11,PROPONENTES!B10:N39,10,FALSE))</f>
        <v/>
      </c>
      <c r="D19" s="101" t="str">
        <f>IF(VLOOKUP(C11,PROPONENTES!B10:N39,11,FALSE)=0,"",VLOOKUP(C11,PROPONENTES!B10:N39,11,FALSE))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73">
        <f>SUMIF(D65:J65,"CUMPLE",D39:J39)+SUMIF(D65:J65,"CUMPLE",D42:J42)+SUMIF(D65:J65,"CUMPLE",D45:J45)</f>
        <v>44605.672500000001</v>
      </c>
      <c r="J19" s="168">
        <f>70%*C10</f>
        <v>2297.572250689655</v>
      </c>
      <c r="K19" s="294" t="str">
        <f>IF(I19&gt;=J19,"CUMPLE","NO CUMPLE")</f>
        <v>CUMPLE</v>
      </c>
      <c r="L19" s="294"/>
    </row>
    <row r="20" spans="2:14" ht="84.75" customHeight="1">
      <c r="B20" s="33" t="s">
        <v>111</v>
      </c>
      <c r="C20" s="27">
        <f>+VLOOKUP(C11,PROPONENTES!B10:N39,12,FALSE)</f>
        <v>2</v>
      </c>
      <c r="D20" s="101">
        <f>+VLOOKUP(C11,PROPONENTES!B10:N39,13,FALSE)</f>
        <v>1</v>
      </c>
      <c r="E20" s="39">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38" t="s">
        <v>112</v>
      </c>
      <c r="J20" s="143" t="str">
        <f>IF(VLOOKUP(C11,PUNTAJE!B15:AF129,27,FALSE)=0.25,"SI","NO")</f>
        <v>SI</v>
      </c>
      <c r="K20" s="38" t="s">
        <v>113</v>
      </c>
      <c r="L20" s="143" t="str">
        <f>IF(VLOOKUP(C11,PUNTAJE!B15:AF129,31,FALSE)=0.25,"SI","NO")</f>
        <v>SI</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56.25" customHeight="1">
      <c r="B24" s="333" t="s">
        <v>118</v>
      </c>
      <c r="C24" s="334"/>
      <c r="D24" s="90" t="s">
        <v>205</v>
      </c>
      <c r="E24" s="90" t="s">
        <v>205</v>
      </c>
      <c r="F24" s="90" t="s">
        <v>205</v>
      </c>
      <c r="G24" s="90" t="s">
        <v>205</v>
      </c>
      <c r="H24" s="90"/>
      <c r="I24" s="90"/>
      <c r="J24" s="90"/>
      <c r="K24" s="288"/>
      <c r="L24" s="289"/>
    </row>
    <row r="25" spans="2:14" ht="56.25" customHeight="1">
      <c r="B25" s="333" t="s">
        <v>119</v>
      </c>
      <c r="C25" s="334"/>
      <c r="D25" s="90"/>
      <c r="E25" s="90" t="s">
        <v>206</v>
      </c>
      <c r="F25" s="90" t="s">
        <v>206</v>
      </c>
      <c r="G25" s="90" t="s">
        <v>206</v>
      </c>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207</v>
      </c>
      <c r="E27" s="91" t="s">
        <v>208</v>
      </c>
      <c r="F27" s="91" t="s">
        <v>209</v>
      </c>
      <c r="G27" s="91" t="s">
        <v>210</v>
      </c>
      <c r="H27" s="91"/>
      <c r="I27" s="91"/>
      <c r="J27" s="91"/>
      <c r="K27" s="288"/>
      <c r="L27" s="289"/>
    </row>
    <row r="28" spans="2:14" ht="294.75" customHeight="1">
      <c r="B28" s="336"/>
      <c r="C28" s="28" t="s">
        <v>127</v>
      </c>
      <c r="D28" s="91" t="s">
        <v>211</v>
      </c>
      <c r="E28" s="91" t="s">
        <v>212</v>
      </c>
      <c r="F28" s="91" t="s">
        <v>213</v>
      </c>
      <c r="G28" s="91" t="s">
        <v>214</v>
      </c>
      <c r="H28" s="91"/>
      <c r="I28" s="91"/>
      <c r="J28" s="91"/>
      <c r="K28" s="288"/>
      <c r="L28" s="289"/>
    </row>
    <row r="29" spans="2:14" ht="52.5" customHeight="1">
      <c r="B29" s="336"/>
      <c r="C29" s="28" t="s">
        <v>132</v>
      </c>
      <c r="D29" s="95">
        <v>43441</v>
      </c>
      <c r="E29" s="95">
        <v>43794</v>
      </c>
      <c r="F29" s="95">
        <v>43759</v>
      </c>
      <c r="G29" s="95">
        <v>42265</v>
      </c>
      <c r="H29" s="95"/>
      <c r="I29" s="95"/>
      <c r="J29" s="95"/>
      <c r="K29" s="288"/>
      <c r="L29" s="289"/>
    </row>
    <row r="30" spans="2:14" ht="54.75" customHeight="1">
      <c r="B30" s="336"/>
      <c r="C30" s="28" t="s">
        <v>133</v>
      </c>
      <c r="D30" s="95">
        <v>43774</v>
      </c>
      <c r="E30" s="95">
        <v>44413</v>
      </c>
      <c r="F30" s="95">
        <v>44180</v>
      </c>
      <c r="G30" s="95">
        <v>42671</v>
      </c>
      <c r="H30" s="95"/>
      <c r="I30" s="95"/>
      <c r="J30" s="95"/>
      <c r="K30" s="288"/>
      <c r="L30" s="289"/>
    </row>
    <row r="31" spans="2:14" ht="41.25" customHeight="1">
      <c r="B31" s="336"/>
      <c r="C31" s="28" t="s">
        <v>134</v>
      </c>
      <c r="D31" s="92">
        <v>2019</v>
      </c>
      <c r="E31" s="92">
        <v>2021</v>
      </c>
      <c r="F31" s="92">
        <v>2020</v>
      </c>
      <c r="G31" s="92">
        <v>2016</v>
      </c>
      <c r="H31" s="92"/>
      <c r="I31" s="92"/>
      <c r="J31" s="92"/>
      <c r="K31" s="288"/>
      <c r="L31" s="289"/>
    </row>
    <row r="32" spans="2:14" ht="63" customHeight="1">
      <c r="B32" s="336"/>
      <c r="C32" s="28" t="s">
        <v>135</v>
      </c>
      <c r="D32" s="91" t="s">
        <v>215</v>
      </c>
      <c r="E32" s="91" t="s">
        <v>216</v>
      </c>
      <c r="F32" s="91" t="s">
        <v>216</v>
      </c>
      <c r="G32" s="91" t="s">
        <v>217</v>
      </c>
      <c r="H32" s="91"/>
      <c r="I32" s="91"/>
      <c r="J32" s="91"/>
      <c r="K32" s="288"/>
      <c r="L32" s="289"/>
    </row>
    <row r="33" spans="2:12" ht="46.5" customHeight="1">
      <c r="B33" s="336"/>
      <c r="C33" s="28" t="s">
        <v>140</v>
      </c>
      <c r="D33" s="91" t="s">
        <v>218</v>
      </c>
      <c r="E33" s="91" t="s">
        <v>219</v>
      </c>
      <c r="F33" s="91" t="s">
        <v>220</v>
      </c>
      <c r="G33" s="91" t="s">
        <v>221</v>
      </c>
      <c r="H33" s="91"/>
      <c r="I33" s="91"/>
      <c r="J33" s="91"/>
      <c r="K33" s="288"/>
      <c r="L33" s="289"/>
    </row>
    <row r="34" spans="2:12" ht="27.75" customHeight="1">
      <c r="B34" s="336"/>
      <c r="C34" s="30" t="s">
        <v>144</v>
      </c>
      <c r="D34" s="96">
        <v>70</v>
      </c>
      <c r="E34" s="96" t="s">
        <v>222</v>
      </c>
      <c r="F34" s="96" t="s">
        <v>223</v>
      </c>
      <c r="G34" s="97" t="s">
        <v>224</v>
      </c>
      <c r="H34" s="97"/>
      <c r="I34" s="97"/>
      <c r="J34" s="97"/>
      <c r="K34" s="288"/>
      <c r="L34" s="289"/>
    </row>
    <row r="35" spans="2:12" ht="102.75" customHeight="1">
      <c r="B35" s="336"/>
      <c r="C35" s="28" t="s">
        <v>145</v>
      </c>
      <c r="D35" s="93">
        <v>46392.95</v>
      </c>
      <c r="E35" s="93">
        <v>23272.52</v>
      </c>
      <c r="F35" s="93">
        <v>13696.47</v>
      </c>
      <c r="G35" s="93">
        <v>5275.22</v>
      </c>
      <c r="H35" s="93"/>
      <c r="I35" s="93"/>
      <c r="J35" s="93"/>
      <c r="K35" s="290"/>
      <c r="L35" s="291"/>
    </row>
    <row r="36" spans="2:12" ht="48" customHeight="1">
      <c r="B36" s="336"/>
      <c r="C36" s="28" t="s">
        <v>146</v>
      </c>
      <c r="D36" s="105">
        <f>IFERROR(D35*VLOOKUP(D31,'DATOS INICIALES'!$A$12:$B$41,2,0),"0")</f>
        <v>38418744182.199997</v>
      </c>
      <c r="E36" s="105">
        <f>IFERROR(E35*VLOOKUP(E31,'DATOS INICIALES'!$A$12:$B$41,2,0),"0")</f>
        <v>21143689505.52</v>
      </c>
      <c r="F36" s="105">
        <f>IFERROR(F35*VLOOKUP(F31,'DATOS INICIALES'!$A$12:$B$41,2,0),"0")</f>
        <v>12022802455.41</v>
      </c>
      <c r="G36" s="105">
        <f>IFERROR(G35*VLOOKUP(G31,'DATOS INICIALES'!$A$12:$B$41,2,0),"0")</f>
        <v>3637026805.1000004</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0.51</v>
      </c>
      <c r="E37" s="94">
        <v>0.45</v>
      </c>
      <c r="F37" s="94">
        <v>0.45</v>
      </c>
      <c r="G37" s="94">
        <v>0.5</v>
      </c>
      <c r="H37" s="94"/>
      <c r="I37" s="94"/>
      <c r="J37" s="94"/>
      <c r="K37" s="288"/>
      <c r="L37" s="289"/>
    </row>
    <row r="38" spans="2:12" ht="48.75" customHeight="1">
      <c r="B38" s="336"/>
      <c r="C38" s="28" t="s">
        <v>148</v>
      </c>
      <c r="D38" s="105">
        <f t="shared" ref="D38:J38" si="3">IF(D24="","0",D37*D36)</f>
        <v>19593559532.921997</v>
      </c>
      <c r="E38" s="105">
        <f t="shared" si="3"/>
        <v>9514660277.4840012</v>
      </c>
      <c r="F38" s="105">
        <f t="shared" si="3"/>
        <v>5410261104.9344997</v>
      </c>
      <c r="G38" s="105">
        <f t="shared" si="3"/>
        <v>1818513402.5500002</v>
      </c>
      <c r="H38" s="105" t="str">
        <f t="shared" si="3"/>
        <v>0</v>
      </c>
      <c r="I38" s="105" t="str">
        <f t="shared" si="3"/>
        <v>0</v>
      </c>
      <c r="J38" s="105" t="str">
        <f t="shared" si="3"/>
        <v>0</v>
      </c>
      <c r="K38" s="288"/>
      <c r="L38" s="289"/>
    </row>
    <row r="39" spans="2:12" ht="65.25" customHeight="1">
      <c r="B39" s="336"/>
      <c r="C39" s="28" t="s">
        <v>149</v>
      </c>
      <c r="D39" s="106">
        <f t="shared" ref="D39:J39" si="4">IFERROR(D35*D37,"0")</f>
        <v>23660.404500000001</v>
      </c>
      <c r="E39" s="106">
        <f t="shared" si="4"/>
        <v>10472.634</v>
      </c>
      <c r="F39" s="106">
        <f t="shared" si="4"/>
        <v>6163.4115000000002</v>
      </c>
      <c r="G39" s="106">
        <f t="shared" si="4"/>
        <v>2637.61</v>
      </c>
      <c r="H39" s="106">
        <f t="shared" si="4"/>
        <v>0</v>
      </c>
      <c r="I39" s="106">
        <f t="shared" si="4"/>
        <v>0</v>
      </c>
      <c r="J39" s="106">
        <f t="shared" si="4"/>
        <v>0</v>
      </c>
      <c r="K39" s="288"/>
      <c r="L39" s="289"/>
    </row>
    <row r="40" spans="2:12" ht="65.25" customHeight="1">
      <c r="B40" s="336"/>
      <c r="C40" s="28" t="s">
        <v>150</v>
      </c>
      <c r="D40" s="94"/>
      <c r="E40" s="94">
        <v>0.45</v>
      </c>
      <c r="F40" s="94">
        <v>0.45</v>
      </c>
      <c r="G40" s="94">
        <v>0.5</v>
      </c>
      <c r="H40" s="94"/>
      <c r="I40" s="94"/>
      <c r="J40" s="94"/>
      <c r="K40" s="288"/>
      <c r="L40" s="289"/>
    </row>
    <row r="41" spans="2:12" ht="65.25" customHeight="1">
      <c r="B41" s="336"/>
      <c r="C41" s="28" t="s">
        <v>151</v>
      </c>
      <c r="D41" s="107" t="str">
        <f t="shared" ref="D41:J41" si="5">IF(D25="","0",D40*D36)</f>
        <v>0</v>
      </c>
      <c r="E41" s="107">
        <f t="shared" si="5"/>
        <v>9514660277.4840012</v>
      </c>
      <c r="F41" s="107">
        <f t="shared" si="5"/>
        <v>5410261104.9344997</v>
      </c>
      <c r="G41" s="107">
        <f t="shared" si="5"/>
        <v>1818513402.5500002</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10472.634</v>
      </c>
      <c r="F42" s="106">
        <f t="shared" si="6"/>
        <v>6163.4115000000002</v>
      </c>
      <c r="G42" s="106">
        <f t="shared" si="6"/>
        <v>2637.61</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29</v>
      </c>
      <c r="F47" s="96" t="s">
        <v>29</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27</v>
      </c>
      <c r="F49" s="96" t="s">
        <v>27</v>
      </c>
      <c r="G49" s="96" t="s">
        <v>27</v>
      </c>
      <c r="H49" s="96"/>
      <c r="I49" s="96"/>
      <c r="J49" s="97"/>
      <c r="K49" s="288"/>
      <c r="L49" s="289"/>
    </row>
    <row r="50" spans="2:12" ht="24.75" customHeight="1">
      <c r="B50" s="328"/>
      <c r="C50" s="31">
        <f>+'DATOS INICIALES'!D24</f>
        <v>86101700</v>
      </c>
      <c r="D50" s="96" t="s">
        <v>29</v>
      </c>
      <c r="E50" s="96" t="s">
        <v>29</v>
      </c>
      <c r="F50" s="96" t="s">
        <v>29</v>
      </c>
      <c r="G50" s="96" t="s">
        <v>27</v>
      </c>
      <c r="H50" s="96"/>
      <c r="I50" s="96"/>
      <c r="J50" s="97"/>
      <c r="K50" s="288"/>
      <c r="L50" s="289"/>
    </row>
    <row r="51" spans="2:12" ht="24.75" customHeight="1">
      <c r="B51" s="328"/>
      <c r="C51" s="31">
        <f>+'DATOS INICIALES'!D25</f>
        <v>80161500</v>
      </c>
      <c r="D51" s="96" t="s">
        <v>29</v>
      </c>
      <c r="E51" s="96" t="s">
        <v>29</v>
      </c>
      <c r="F51" s="96" t="s">
        <v>29</v>
      </c>
      <c r="G51" s="96" t="s">
        <v>29</v>
      </c>
      <c r="H51" s="96"/>
      <c r="I51" s="96"/>
      <c r="J51" s="97"/>
      <c r="K51" s="288"/>
      <c r="L51" s="289"/>
    </row>
    <row r="52" spans="2:12" ht="24.75" customHeight="1">
      <c r="B52" s="328"/>
      <c r="C52" s="31">
        <f>+'DATOS INICIALES'!D26</f>
        <v>93141500</v>
      </c>
      <c r="D52" s="96" t="s">
        <v>27</v>
      </c>
      <c r="E52" s="96" t="s">
        <v>27</v>
      </c>
      <c r="F52" s="96" t="s">
        <v>27</v>
      </c>
      <c r="G52" s="96" t="s">
        <v>27</v>
      </c>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30</v>
      </c>
      <c r="E59" s="90" t="s">
        <v>30</v>
      </c>
      <c r="F59" s="90" t="s">
        <v>30</v>
      </c>
      <c r="G59" s="90" t="s">
        <v>30</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30</v>
      </c>
      <c r="E61" s="90" t="s">
        <v>30</v>
      </c>
      <c r="F61" s="90" t="s">
        <v>30</v>
      </c>
      <c r="G61" s="90" t="s">
        <v>30</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188" priority="17">
      <formula>LEN(TRIM(D25))=0</formula>
    </cfRule>
    <cfRule type="notContainsErrors" dxfId="1187" priority="18">
      <formula>NOT(ISERROR(D25))</formula>
    </cfRule>
  </conditionalFormatting>
  <conditionalFormatting sqref="D34:J34">
    <cfRule type="containsBlanks" dxfId="1186" priority="21">
      <formula>LEN(TRIM(D34))=0</formula>
    </cfRule>
    <cfRule type="notContainsErrors" dxfId="1185" priority="22">
      <formula>NOT(ISERROR(D34))</formula>
    </cfRule>
  </conditionalFormatting>
  <conditionalFormatting sqref="D37:J37">
    <cfRule type="containsBlanks" dxfId="1184" priority="15">
      <formula>LEN(TRIM(D37))=0</formula>
    </cfRule>
    <cfRule type="notContainsErrors" dxfId="1183" priority="16">
      <formula>NOT(ISERROR(D37))</formula>
    </cfRule>
  </conditionalFormatting>
  <conditionalFormatting sqref="D40:J40">
    <cfRule type="containsBlanks" dxfId="1182" priority="13">
      <formula>LEN(TRIM(D40))=0</formula>
    </cfRule>
    <cfRule type="notContainsErrors" dxfId="1181" priority="14">
      <formula>NOT(ISERROR(D40))</formula>
    </cfRule>
  </conditionalFormatting>
  <conditionalFormatting sqref="D43:J43 K64:L64">
    <cfRule type="notContainsErrors" dxfId="1180" priority="46">
      <formula>NOT(ISERROR(D43))</formula>
    </cfRule>
    <cfRule type="containsBlanks" dxfId="1179" priority="45">
      <formula>LEN(TRIM(D43))=0</formula>
    </cfRule>
  </conditionalFormatting>
  <conditionalFormatting sqref="D46:J53">
    <cfRule type="cellIs" dxfId="1178" priority="9" operator="equal">
      <formula>"NO CUMPLE"</formula>
    </cfRule>
    <cfRule type="cellIs" dxfId="1177" priority="10" operator="equal">
      <formula>"CUMPLE"</formula>
    </cfRule>
    <cfRule type="containsBlanks" dxfId="1176" priority="11">
      <formula>LEN(TRIM(D46))=0</formula>
    </cfRule>
    <cfRule type="notContainsErrors" dxfId="1175" priority="12">
      <formula>NOT(ISERROR(D46))</formula>
    </cfRule>
  </conditionalFormatting>
  <conditionalFormatting sqref="D54:J54">
    <cfRule type="cellIs" dxfId="1174" priority="51" operator="equal">
      <formula>"N/A"</formula>
    </cfRule>
    <cfRule type="cellIs" dxfId="1173" priority="57" operator="equal">
      <formula>"""CUMPLE"""</formula>
    </cfRule>
    <cfRule type="cellIs" dxfId="1172" priority="56" operator="equal">
      <formula>"NO CUMPLE"</formula>
    </cfRule>
    <cfRule type="cellIs" dxfId="1171" priority="55" operator="equal">
      <formula>"CUMPLE"</formula>
    </cfRule>
  </conditionalFormatting>
  <conditionalFormatting sqref="D55:J63">
    <cfRule type="cellIs" dxfId="1170" priority="5" operator="equal">
      <formula>"NO CUMPLE"</formula>
    </cfRule>
    <cfRule type="cellIs" dxfId="1169" priority="6" operator="equal">
      <formula>"CUMPLE"</formula>
    </cfRule>
    <cfRule type="containsBlanks" dxfId="1168" priority="7">
      <formula>LEN(TRIM(D55))=0</formula>
    </cfRule>
    <cfRule type="notContainsErrors" dxfId="1167" priority="8">
      <formula>NOT(ISERROR(D55))</formula>
    </cfRule>
  </conditionalFormatting>
  <conditionalFormatting sqref="D64:J64">
    <cfRule type="cellIs" dxfId="1166" priority="47" operator="equal">
      <formula>"N/A"</formula>
    </cfRule>
    <cfRule type="cellIs" dxfId="1165" priority="49" operator="equal">
      <formula>"NO CUMPLE"</formula>
    </cfRule>
    <cfRule type="cellIs" dxfId="1164" priority="50" operator="equal">
      <formula>"""CUMPLE"""</formula>
    </cfRule>
    <cfRule type="cellIs" dxfId="1163" priority="48" operator="equal">
      <formula>"CUMPLE"</formula>
    </cfRule>
  </conditionalFormatting>
  <conditionalFormatting sqref="D65:J65">
    <cfRule type="cellIs" dxfId="1162" priority="2" operator="equal">
      <formula>"CUMPLE"</formula>
    </cfRule>
    <cfRule type="cellIs" dxfId="1161" priority="1" operator="equal">
      <formula>"NO CUMPLE"</formula>
    </cfRule>
  </conditionalFormatting>
  <conditionalFormatting sqref="D24:K24">
    <cfRule type="notContainsErrors" dxfId="1160" priority="30">
      <formula>NOT(ISERROR(D24))</formula>
    </cfRule>
    <cfRule type="containsBlanks" dxfId="1159" priority="29">
      <formula>LEN(TRIM(D24))=0</formula>
    </cfRule>
  </conditionalFormatting>
  <conditionalFormatting sqref="D65:K65">
    <cfRule type="containsBlanks" dxfId="1158" priority="3">
      <formula>LEN(TRIM(D65))=0</formula>
    </cfRule>
    <cfRule type="notContainsErrors" dxfId="1157" priority="4">
      <formula>NOT(ISERROR(D65))</formula>
    </cfRule>
  </conditionalFormatting>
  <conditionalFormatting sqref="F20:H20">
    <cfRule type="cellIs" dxfId="1156" priority="61" operator="equal">
      <formula>"CUMPLE"</formula>
    </cfRule>
    <cfRule type="cellIs" dxfId="1155" priority="62" operator="equal">
      <formula>"NO CUMPLE"</formula>
    </cfRule>
    <cfRule type="cellIs" dxfId="1154" priority="63" operator="equal">
      <formula>"""CUMPLE"""</formula>
    </cfRule>
  </conditionalFormatting>
  <conditionalFormatting sqref="I11">
    <cfRule type="containsText" dxfId="1153" priority="64" operator="containsText" text="INHABILITADO">
      <formula>NOT(ISERROR(SEARCH("INHABILITADO",I11)))</formula>
    </cfRule>
    <cfRule type="containsText" dxfId="1152" priority="65" operator="containsText" text="HABILITADO">
      <formula>NOT(ISERROR(SEARCH("HABILITADO",I11)))</formula>
    </cfRule>
    <cfRule type="containsText" dxfId="1151" priority="66" operator="containsText" text="HABILITADO">
      <formula>NOT(ISERROR(SEARCH("HABILITADO",I11)))</formula>
    </cfRule>
    <cfRule type="containsText" dxfId="1150" priority="67" operator="containsText" text="NO CUMPLE">
      <formula>NOT(ISERROR(SEARCH("NO CUMPLE",I11)))</formula>
    </cfRule>
  </conditionalFormatting>
  <conditionalFormatting sqref="J20">
    <cfRule type="cellIs" dxfId="1149" priority="37" operator="equal">
      <formula>"NO"</formula>
    </cfRule>
    <cfRule type="cellIs" dxfId="1148" priority="38" operator="equal">
      <formula>"SI"</formula>
    </cfRule>
  </conditionalFormatting>
  <conditionalFormatting sqref="K19">
    <cfRule type="cellIs" dxfId="1147" priority="52" operator="equal">
      <formula>"CUMPLE"</formula>
    </cfRule>
    <cfRule type="cellIs" dxfId="1146" priority="53" operator="equal">
      <formula>"NO CUMPLE"</formula>
    </cfRule>
    <cfRule type="cellIs" dxfId="1145" priority="54" operator="equal">
      <formula>"""CUMPLE"""</formula>
    </cfRule>
  </conditionalFormatting>
  <conditionalFormatting sqref="K25:K63">
    <cfRule type="notContainsErrors" dxfId="1144" priority="32">
      <formula>NOT(ISERROR(K25))</formula>
    </cfRule>
    <cfRule type="containsBlanks" dxfId="1143" priority="31">
      <formula>LEN(TRIM(K25))=0</formula>
    </cfRule>
  </conditionalFormatting>
  <conditionalFormatting sqref="L15">
    <cfRule type="cellIs" dxfId="1142" priority="58" operator="equal">
      <formula>"CUMPLE"</formula>
    </cfRule>
    <cfRule type="cellIs" dxfId="1141" priority="59" operator="equal">
      <formula>"NO CUMPLE"</formula>
    </cfRule>
    <cfRule type="cellIs" dxfId="1140" priority="60" operator="equal">
      <formula>"""CUMPLE"""</formula>
    </cfRule>
  </conditionalFormatting>
  <conditionalFormatting sqref="L20">
    <cfRule type="cellIs" dxfId="1139" priority="36" operator="equal">
      <formula>"SI"</formula>
    </cfRule>
    <cfRule type="cellIs" dxfId="1138" priority="35" operator="equal">
      <formula>"NO"</formula>
    </cfRule>
  </conditionalFormatting>
  <dataValidations count="3">
    <dataValidation type="list" allowBlank="1" showInputMessage="1" showErrorMessage="1" sqref="D65:I65" xr:uid="{00000000-0002-0000-0600-000000000000}">
      <formula1>"CUMPLE,NO CUMPLE"</formula1>
    </dataValidation>
    <dataValidation type="list" allowBlank="1" showInputMessage="1" showErrorMessage="1" sqref="D24:J26" xr:uid="{00000000-0002-0000-0600-000001000000}">
      <formula1>$C$15:$C$19</formula1>
    </dataValidation>
    <dataValidation type="list" allowBlank="1" showInputMessage="1" showErrorMessage="1" sqref="L57:L64" xr:uid="{00000000-0002-0000-06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600-000003000000}">
          <x14:formula1>
            <xm:f>'DATOS INICIALES'!$A$13:$A$41</xm:f>
          </x14:formula1>
          <xm:sqref>D31:I31</xm:sqref>
        </x14:dataValidation>
        <x14:dataValidation type="list" allowBlank="1" showInputMessage="1" showErrorMessage="1" xr:uid="{00000000-0002-0000-0600-000004000000}">
          <x14:formula1>
            <xm:f>'DATOS INICIALES'!$D$21:$D$25</xm:f>
          </x14:formula1>
          <xm:sqref>M47:M54</xm:sqref>
        </x14:dataValidation>
        <x14:dataValidation type="list" allowBlank="1" showInputMessage="1" showErrorMessage="1" xr:uid="{00000000-0002-0000-0600-000005000000}">
          <x14:formula1>
            <xm:f>'DATOS INICIALES'!$A$53:$A$58</xm:f>
          </x14:formula1>
          <xm:sqref>D23:I23</xm:sqref>
        </x14:dataValidation>
        <x14:dataValidation type="list" allowBlank="1" showInputMessage="1" showErrorMessage="1" xr:uid="{00000000-0002-0000-0600-000006000000}">
          <x14:formula1>
            <xm:f>'DATOS INICIALES'!$A$49:$A$51</xm:f>
          </x14:formula1>
          <xm:sqref>D55:I57 D58:J63 J55:J56 D46:J46</xm:sqref>
        </x14:dataValidation>
        <x14:dataValidation type="list" allowBlank="1" showInputMessage="1" showErrorMessage="1" xr:uid="{00000000-0002-0000-0600-000007000000}">
          <x14:formula1>
            <xm:f>'DATOS INICIALES'!$C$44:$C$45</xm:f>
          </x14:formula1>
          <xm:sqref>D47:I53 J47:J52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65"/>
  <sheetViews>
    <sheetView view="pageBreakPreview" zoomScale="60" zoomScaleNormal="55" workbookViewId="0">
      <pane ySplit="11" topLeftCell="A12" activePane="bottomLeft" state="frozenSplit"/>
      <selection activeCell="J19" sqref="J19"/>
      <selection pane="bottomLeft" activeCell="A8" sqref="A8"/>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t="str">
        <f>+PROPONENTES!B13</f>
        <v xml:space="preserve"> UNION TEMPORAL PROMOVER Y EMPRENDER EUFESS 2024</v>
      </c>
      <c r="D11" s="310"/>
      <c r="E11" s="310"/>
      <c r="F11" s="310"/>
      <c r="G11" s="310"/>
      <c r="H11" s="146" t="s">
        <v>98</v>
      </c>
      <c r="I11" s="303" t="str">
        <f>IF(AND(F20="CUMPLE",G20="CUMPLE",H20="CUMPLE",L15="CUMPLE",K19="CUMPLE"),"CUMPLE","NO CUMPLE")</f>
        <v>NO CUMPLE</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str">
        <f>IF(VLOOKUP(C11,PROPONENTES!B10:N39,2,FALSE)=0,"",VLOOKUP(C11,PROPONENTES!B10:N39,2,FALSE))</f>
        <v xml:space="preserve"> FUNDACIÓN DE EDUCACIÓN SUPERIOR SAN JOSÉ – FESSANJOSÉ</v>
      </c>
      <c r="D15" s="101">
        <f>IF(VLOOKUP(C11,PROPONENTES!B10:N39,3,FALSE)=0,"",VLOOKUP(C11,PROPONENTES!B10:N39,3,FALSE))</f>
        <v>0.5</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NO - PORCENTAJE MAYOR AL 10%</v>
      </c>
      <c r="I15" s="292">
        <f>COUNTIF(D64:I64,"CUMPLE")</f>
        <v>1</v>
      </c>
      <c r="J15" s="293">
        <f>IF(AND(I15&gt;=1,I15&lt;=2),L8,IF(AND(I15&gt;=3,I15&lt;=4),L9,IF(AND(I15&gt;=5,I15&lt;=7),L10)))</f>
        <v>2461.684554310345</v>
      </c>
      <c r="K15" s="293">
        <f>+E20</f>
        <v>0</v>
      </c>
      <c r="L15" s="294" t="str">
        <f>IF(K15&gt;=J15,"CUMPLE","NO CUMPLE")</f>
        <v>NO CUMPLE</v>
      </c>
    </row>
    <row r="16" spans="2:12" ht="33.75" customHeight="1">
      <c r="B16" s="347"/>
      <c r="C16" s="100" t="str">
        <f>IF(VLOOKUP(C11,PROPONENTES!B10:N39,4,FALSE)=0,"",VLOOKUP(C11,PROPONENTES!B10:N39,4,FALSE))</f>
        <v xml:space="preserve"> EUONIA SAS</v>
      </c>
      <c r="D16" s="101">
        <f>IF(VLOOKUP(C11,PROPONENTES!B10:N39,5,FALSE)=0,"",VLOOKUP(C11,PROPONENTES!B10:N39,5,FALSE))</f>
        <v>0.5</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NO - PORCENTAJE MAYOR AL 10%</v>
      </c>
      <c r="I16" s="292"/>
      <c r="J16" s="293"/>
      <c r="K16" s="293"/>
      <c r="L16" s="294"/>
    </row>
    <row r="17" spans="2:14" ht="33.75" customHeight="1">
      <c r="B17" s="347"/>
      <c r="C17" s="100" t="str">
        <f>IF(VLOOKUP(C11,PROPONENTES!B10:N39,6,FALSE)=0,"",VLOOKUP(C11,PROPONENTES!B10:N39,6,FALSE))</f>
        <v/>
      </c>
      <c r="D17" s="101" t="str">
        <f>IF(VLOOKUP(C11,PROPONENTES!B10:N39,7,FALSE)=0,"",VLOOKUP(C11,PROPONENTES!B10:N39,7,FALSE))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2"/>
      <c r="J17" s="293"/>
      <c r="K17" s="293"/>
      <c r="L17" s="294"/>
    </row>
    <row r="18" spans="2:14" ht="50.25" customHeight="1">
      <c r="B18" s="347"/>
      <c r="C18" s="100" t="str">
        <f>IF(VLOOKUP(C11,PROPONENTES!B10:N39,8,FALSE)=0,"",VLOOKUP(C11,PROPONENTES!B10:N39,8,FALSE))</f>
        <v/>
      </c>
      <c r="D18" s="101" t="str">
        <f>IF(VLOOKUP(C11,PROPONENTES!B10:N39,9,FALSE)=0,"",VLOOKUP(C11,PROPONENTES!B10:N39,9,FALSE))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8" t="s">
        <v>109</v>
      </c>
      <c r="J18" s="38" t="s">
        <v>110</v>
      </c>
      <c r="K18" s="225" t="s">
        <v>90</v>
      </c>
      <c r="L18" s="225"/>
    </row>
    <row r="19" spans="2:14" ht="33.75" customHeight="1">
      <c r="B19" s="347"/>
      <c r="C19" s="100" t="str">
        <f>IF(VLOOKUP(C11,PROPONENTES!B10:N39,10,FALSE)=0,"",VLOOKUP(C11,PROPONENTES!B10:N39,10,FALSE))</f>
        <v/>
      </c>
      <c r="D19" s="101" t="str">
        <f>IF(VLOOKUP(C11,PROPONENTES!B10:N39,11,FALSE)=0,"",VLOOKUP(C11,PROPONENTES!B10:N39,11,FALSE))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73">
        <f>SUMIF(D65:J65,"CUMPLE",D39:J39)+SUMIF(D65:J65,"CUMPLE",D42:J42)+SUMIF(D65:J65,"CUMPLE",D45:J45)</f>
        <v>22732.545499999997</v>
      </c>
      <c r="J19" s="168">
        <f>70%*C10</f>
        <v>2297.572250689655</v>
      </c>
      <c r="K19" s="294" t="str">
        <f>IF(I19&gt;=J19,"CUMPLE","NO CUMPLE")</f>
        <v>CUMPLE</v>
      </c>
      <c r="L19" s="294"/>
    </row>
    <row r="20" spans="2:14" ht="84.75" customHeight="1">
      <c r="B20" s="33" t="s">
        <v>111</v>
      </c>
      <c r="C20" s="27">
        <f>+VLOOKUP(C11,PROPONENTES!B10:N39,12,FALSE)</f>
        <v>2</v>
      </c>
      <c r="D20" s="101">
        <f>+VLOOKUP(C11,PROPONENTES!B10:N39,13,FALSE)</f>
        <v>1</v>
      </c>
      <c r="E20" s="39">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38" t="s">
        <v>112</v>
      </c>
      <c r="J20" s="143" t="str">
        <f>IF(VLOOKUP(C11,PUNTAJE!B15:AF129,27,FALSE)=0.25,"SI","NO")</f>
        <v>SI</v>
      </c>
      <c r="K20" s="38" t="s">
        <v>113</v>
      </c>
      <c r="L20" s="143" t="str">
        <f>IF(VLOOKUP(C11,PUNTAJE!B15:AF129,31,FALSE)=0.25,"SI","NO")</f>
        <v>SI</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225</v>
      </c>
      <c r="E24" s="90"/>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226</v>
      </c>
      <c r="E27" s="91"/>
      <c r="F27" s="91"/>
      <c r="G27" s="91"/>
      <c r="H27" s="91"/>
      <c r="I27" s="91"/>
      <c r="J27" s="91"/>
      <c r="K27" s="288"/>
      <c r="L27" s="289"/>
    </row>
    <row r="28" spans="2:14" ht="193.5" customHeight="1">
      <c r="B28" s="336"/>
      <c r="C28" s="28" t="s">
        <v>127</v>
      </c>
      <c r="D28" s="91" t="s">
        <v>227</v>
      </c>
      <c r="E28" s="91"/>
      <c r="F28" s="91"/>
      <c r="G28" s="91"/>
      <c r="H28" s="91"/>
      <c r="I28" s="91"/>
      <c r="J28" s="91"/>
      <c r="K28" s="288"/>
      <c r="L28" s="289"/>
    </row>
    <row r="29" spans="2:14" ht="52.5" customHeight="1">
      <c r="B29" s="336"/>
      <c r="C29" s="28" t="s">
        <v>132</v>
      </c>
      <c r="D29" s="95">
        <v>43441</v>
      </c>
      <c r="E29" s="95"/>
      <c r="F29" s="95"/>
      <c r="G29" s="95"/>
      <c r="H29" s="95"/>
      <c r="I29" s="95"/>
      <c r="J29" s="95"/>
      <c r="K29" s="288"/>
      <c r="L29" s="289"/>
    </row>
    <row r="30" spans="2:14" ht="54.75" customHeight="1">
      <c r="B30" s="336"/>
      <c r="C30" s="28" t="s">
        <v>133</v>
      </c>
      <c r="D30" s="95">
        <v>43774</v>
      </c>
      <c r="E30" s="95"/>
      <c r="F30" s="95"/>
      <c r="G30" s="95"/>
      <c r="H30" s="95"/>
      <c r="I30" s="95"/>
      <c r="J30" s="95"/>
      <c r="K30" s="288"/>
      <c r="L30" s="289"/>
    </row>
    <row r="31" spans="2:14" ht="41.25" customHeight="1">
      <c r="B31" s="336"/>
      <c r="C31" s="28" t="s">
        <v>134</v>
      </c>
      <c r="D31" s="92">
        <v>2019</v>
      </c>
      <c r="E31" s="92"/>
      <c r="F31" s="92"/>
      <c r="G31" s="92"/>
      <c r="H31" s="92"/>
      <c r="I31" s="92"/>
      <c r="J31" s="92"/>
      <c r="K31" s="288"/>
      <c r="L31" s="289"/>
    </row>
    <row r="32" spans="2:14" ht="63" customHeight="1">
      <c r="B32" s="336"/>
      <c r="C32" s="28" t="s">
        <v>135</v>
      </c>
      <c r="D32" s="91" t="s">
        <v>216</v>
      </c>
      <c r="E32" s="91"/>
      <c r="F32" s="91"/>
      <c r="G32" s="91"/>
      <c r="H32" s="91"/>
      <c r="I32" s="91"/>
      <c r="J32" s="91"/>
      <c r="K32" s="288"/>
      <c r="L32" s="289"/>
    </row>
    <row r="33" spans="2:12" ht="46.5" customHeight="1">
      <c r="B33" s="336"/>
      <c r="C33" s="28" t="s">
        <v>140</v>
      </c>
      <c r="D33" s="91" t="s">
        <v>228</v>
      </c>
      <c r="E33" s="91"/>
      <c r="F33" s="91"/>
      <c r="G33" s="91"/>
      <c r="H33" s="91"/>
      <c r="I33" s="91"/>
      <c r="J33" s="91"/>
      <c r="K33" s="288"/>
      <c r="L33" s="289"/>
    </row>
    <row r="34" spans="2:12" ht="27.75" customHeight="1">
      <c r="B34" s="336"/>
      <c r="C34" s="30" t="s">
        <v>144</v>
      </c>
      <c r="D34" s="96">
        <v>134</v>
      </c>
      <c r="E34" s="96"/>
      <c r="F34" s="96"/>
      <c r="G34" s="97"/>
      <c r="H34" s="97"/>
      <c r="I34" s="97"/>
      <c r="J34" s="97"/>
      <c r="K34" s="288"/>
      <c r="L34" s="289"/>
    </row>
    <row r="35" spans="2:12" ht="102.75" customHeight="1">
      <c r="B35" s="336"/>
      <c r="C35" s="28" t="s">
        <v>145</v>
      </c>
      <c r="D35" s="93">
        <v>46392.95</v>
      </c>
      <c r="E35" s="93"/>
      <c r="F35" s="93"/>
      <c r="G35" s="93"/>
      <c r="H35" s="93"/>
      <c r="I35" s="93"/>
      <c r="J35" s="93"/>
      <c r="K35" s="290"/>
      <c r="L35" s="291"/>
    </row>
    <row r="36" spans="2:12" ht="48" customHeight="1">
      <c r="B36" s="336"/>
      <c r="C36" s="28" t="s">
        <v>146</v>
      </c>
      <c r="D36" s="105">
        <f>IFERROR(D35*VLOOKUP(D31,'DATOS INICIALES'!$A$12:$B$41,2,0),"0")</f>
        <v>38418744182.199997</v>
      </c>
      <c r="E36" s="105" t="str">
        <f>IFERROR(E35*VLOOKUP(E31,'DATOS INICIALES'!$A$12:$B$41,2,0),"0")</f>
        <v>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0.49</v>
      </c>
      <c r="E37" s="94"/>
      <c r="F37" s="94"/>
      <c r="G37" s="94"/>
      <c r="H37" s="94"/>
      <c r="I37" s="94"/>
      <c r="J37" s="94"/>
      <c r="K37" s="288"/>
      <c r="L37" s="289"/>
    </row>
    <row r="38" spans="2:12" ht="48.75" customHeight="1">
      <c r="B38" s="336"/>
      <c r="C38" s="28" t="s">
        <v>148</v>
      </c>
      <c r="D38" s="105">
        <f t="shared" ref="D38:J38" si="3">IF(D24="","0",D37*D36)</f>
        <v>18825184649.278</v>
      </c>
      <c r="E38" s="105" t="str">
        <f t="shared" si="3"/>
        <v>0</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22732.545499999997</v>
      </c>
      <c r="E39" s="106">
        <f t="shared" si="4"/>
        <v>0</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c r="F46" s="90"/>
      <c r="G46" s="90"/>
      <c r="H46" s="90"/>
      <c r="I46" s="90"/>
      <c r="J46" s="90"/>
      <c r="K46" s="288"/>
      <c r="L46" s="289"/>
    </row>
    <row r="47" spans="2:12" ht="24.75" customHeight="1">
      <c r="B47" s="327" t="s">
        <v>158</v>
      </c>
      <c r="C47" s="31">
        <f>+'DATOS INICIALES'!D21</f>
        <v>70101700</v>
      </c>
      <c r="D47" s="96" t="s">
        <v>27</v>
      </c>
      <c r="E47" s="96"/>
      <c r="F47" s="96"/>
      <c r="G47" s="96"/>
      <c r="H47" s="96"/>
      <c r="I47" s="96"/>
      <c r="J47" s="97"/>
      <c r="K47" s="288"/>
      <c r="L47" s="289"/>
    </row>
    <row r="48" spans="2:12" ht="24.75" customHeight="1">
      <c r="B48" s="328"/>
      <c r="C48" s="31">
        <f>+'DATOS INICIALES'!D22</f>
        <v>80101600</v>
      </c>
      <c r="D48" s="96" t="s">
        <v>27</v>
      </c>
      <c r="E48" s="96"/>
      <c r="F48" s="96"/>
      <c r="G48" s="96"/>
      <c r="H48" s="96"/>
      <c r="I48" s="96"/>
      <c r="J48" s="97"/>
      <c r="K48" s="288"/>
      <c r="L48" s="289"/>
    </row>
    <row r="49" spans="2:12" ht="24.75" customHeight="1">
      <c r="B49" s="328"/>
      <c r="C49" s="31">
        <f>+'DATOS INICIALES'!D23</f>
        <v>80101500</v>
      </c>
      <c r="D49" s="96" t="s">
        <v>27</v>
      </c>
      <c r="E49" s="96"/>
      <c r="F49" s="96"/>
      <c r="G49" s="96"/>
      <c r="H49" s="96"/>
      <c r="I49" s="96"/>
      <c r="J49" s="97"/>
      <c r="K49" s="288"/>
      <c r="L49" s="289"/>
    </row>
    <row r="50" spans="2:12" ht="24.75" customHeight="1">
      <c r="B50" s="328"/>
      <c r="C50" s="31">
        <f>+'DATOS INICIALES'!D24</f>
        <v>86101700</v>
      </c>
      <c r="D50" s="96" t="s">
        <v>29</v>
      </c>
      <c r="E50" s="96"/>
      <c r="F50" s="96"/>
      <c r="G50" s="96"/>
      <c r="H50" s="96"/>
      <c r="I50" s="96"/>
      <c r="J50" s="97"/>
      <c r="K50" s="288"/>
      <c r="L50" s="289"/>
    </row>
    <row r="51" spans="2:12" ht="24.75" customHeight="1">
      <c r="B51" s="328"/>
      <c r="C51" s="31">
        <f>+'DATOS INICIALES'!D25</f>
        <v>80161500</v>
      </c>
      <c r="D51" s="96" t="s">
        <v>29</v>
      </c>
      <c r="E51" s="96"/>
      <c r="F51" s="96"/>
      <c r="G51" s="96"/>
      <c r="H51" s="96"/>
      <c r="I51" s="96"/>
      <c r="J51" s="97"/>
      <c r="K51" s="288"/>
      <c r="L51" s="289"/>
    </row>
    <row r="52" spans="2:12" ht="24.75" customHeight="1">
      <c r="B52" s="328"/>
      <c r="C52" s="31">
        <f>+'DATOS INICIALES'!D26</f>
        <v>93141500</v>
      </c>
      <c r="D52" s="96" t="s">
        <v>27</v>
      </c>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N/A</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c r="F55" s="90"/>
      <c r="G55" s="90"/>
      <c r="H55" s="90"/>
      <c r="I55" s="90"/>
      <c r="J55" s="90"/>
      <c r="K55" s="295"/>
      <c r="L55" s="296"/>
    </row>
    <row r="56" spans="2:12" ht="353.25" hidden="1" customHeight="1">
      <c r="B56" s="330" t="s">
        <v>161</v>
      </c>
      <c r="C56" s="331"/>
      <c r="D56" s="90" t="s">
        <v>31</v>
      </c>
      <c r="E56" s="90"/>
      <c r="F56" s="90"/>
      <c r="G56" s="90"/>
      <c r="H56" s="90"/>
      <c r="I56" s="90"/>
      <c r="J56" s="90"/>
      <c r="K56" s="295"/>
      <c r="L56" s="296"/>
    </row>
    <row r="57" spans="2:12" ht="99" customHeight="1">
      <c r="B57" s="324" t="s">
        <v>162</v>
      </c>
      <c r="C57" s="325"/>
      <c r="D57" s="90" t="s">
        <v>31</v>
      </c>
      <c r="E57" s="90"/>
      <c r="F57" s="90"/>
      <c r="G57" s="90"/>
      <c r="H57" s="90"/>
      <c r="I57" s="90"/>
      <c r="J57" s="90"/>
      <c r="K57" s="370"/>
      <c r="L57" s="371"/>
    </row>
    <row r="58" spans="2:12" ht="105.75" customHeight="1">
      <c r="B58" s="324" t="s">
        <v>163</v>
      </c>
      <c r="C58" s="325"/>
      <c r="D58" s="90" t="s">
        <v>31</v>
      </c>
      <c r="E58" s="90"/>
      <c r="F58" s="90"/>
      <c r="G58" s="90"/>
      <c r="H58" s="90"/>
      <c r="I58" s="90"/>
      <c r="J58" s="90"/>
      <c r="K58" s="288"/>
      <c r="L58" s="289"/>
    </row>
    <row r="59" spans="2:12" ht="291.75" customHeight="1">
      <c r="B59" s="324" t="s">
        <v>164</v>
      </c>
      <c r="C59" s="325"/>
      <c r="D59" s="90" t="s">
        <v>31</v>
      </c>
      <c r="E59" s="90"/>
      <c r="F59" s="90"/>
      <c r="G59" s="90"/>
      <c r="H59" s="90"/>
      <c r="I59" s="90"/>
      <c r="J59" s="90"/>
      <c r="K59" s="288"/>
      <c r="L59" s="289"/>
    </row>
    <row r="60" spans="2:12" ht="336" customHeight="1">
      <c r="B60" s="229" t="s">
        <v>165</v>
      </c>
      <c r="C60" s="229"/>
      <c r="D60" s="90" t="s">
        <v>31</v>
      </c>
      <c r="E60" s="90"/>
      <c r="F60" s="90"/>
      <c r="G60" s="90"/>
      <c r="H60" s="90"/>
      <c r="I60" s="90"/>
      <c r="J60" s="90"/>
      <c r="K60" s="290"/>
      <c r="L60" s="291"/>
    </row>
    <row r="61" spans="2:12" ht="129.75" customHeight="1">
      <c r="B61" s="338" t="s">
        <v>166</v>
      </c>
      <c r="C61" s="339"/>
      <c r="D61" s="90" t="s">
        <v>30</v>
      </c>
      <c r="E61" s="90"/>
      <c r="F61" s="90"/>
      <c r="G61" s="90"/>
      <c r="H61" s="90"/>
      <c r="I61" s="90"/>
      <c r="J61" s="90"/>
      <c r="K61" s="288"/>
      <c r="L61" s="289"/>
    </row>
    <row r="62" spans="2:12" ht="408.75" customHeight="1">
      <c r="B62" s="326" t="s">
        <v>167</v>
      </c>
      <c r="C62" s="326"/>
      <c r="D62" s="90" t="s">
        <v>30</v>
      </c>
      <c r="E62" s="90"/>
      <c r="F62" s="90"/>
      <c r="G62" s="90"/>
      <c r="H62" s="90"/>
      <c r="I62" s="90"/>
      <c r="J62" s="90"/>
      <c r="K62" s="288"/>
      <c r="L62" s="289"/>
    </row>
    <row r="63" spans="2:12" ht="234.75" customHeight="1">
      <c r="B63" s="229" t="s">
        <v>168</v>
      </c>
      <c r="C63" s="229"/>
      <c r="D63" s="90" t="s">
        <v>31</v>
      </c>
      <c r="E63" s="90"/>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N/A</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137" priority="19">
      <formula>LEN(TRIM(D25))=0</formula>
    </cfRule>
    <cfRule type="notContainsErrors" dxfId="1136" priority="20">
      <formula>NOT(ISERROR(D25))</formula>
    </cfRule>
  </conditionalFormatting>
  <conditionalFormatting sqref="D34:J34">
    <cfRule type="containsBlanks" dxfId="1135" priority="23">
      <formula>LEN(TRIM(D34))=0</formula>
    </cfRule>
    <cfRule type="notContainsErrors" dxfId="1134" priority="24">
      <formula>NOT(ISERROR(D34))</formula>
    </cfRule>
  </conditionalFormatting>
  <conditionalFormatting sqref="D37:J37">
    <cfRule type="containsBlanks" dxfId="1133" priority="17">
      <formula>LEN(TRIM(D37))=0</formula>
    </cfRule>
    <cfRule type="notContainsErrors" dxfId="1132" priority="18">
      <formula>NOT(ISERROR(D37))</formula>
    </cfRule>
  </conditionalFormatting>
  <conditionalFormatting sqref="D40:J40 D43:J43 K64:L64">
    <cfRule type="containsBlanks" dxfId="1131" priority="41">
      <formula>LEN(TRIM(D40))=0</formula>
    </cfRule>
    <cfRule type="notContainsErrors" dxfId="1130" priority="42">
      <formula>NOT(ISERROR(D40))</formula>
    </cfRule>
  </conditionalFormatting>
  <conditionalFormatting sqref="D46:J53">
    <cfRule type="cellIs" dxfId="1129" priority="9" operator="equal">
      <formula>"NO CUMPLE"</formula>
    </cfRule>
    <cfRule type="cellIs" dxfId="1128" priority="10" operator="equal">
      <formula>"CUMPLE"</formula>
    </cfRule>
    <cfRule type="containsBlanks" dxfId="1127" priority="11">
      <formula>LEN(TRIM(D46))=0</formula>
    </cfRule>
    <cfRule type="notContainsErrors" dxfId="1126" priority="12">
      <formula>NOT(ISERROR(D46))</formula>
    </cfRule>
  </conditionalFormatting>
  <conditionalFormatting sqref="D54:J54">
    <cfRule type="cellIs" dxfId="1125" priority="47" operator="equal">
      <formula>"N/A"</formula>
    </cfRule>
    <cfRule type="cellIs" dxfId="1124" priority="51" operator="equal">
      <formula>"CUMPLE"</formula>
    </cfRule>
    <cfRule type="cellIs" dxfId="1123" priority="52" operator="equal">
      <formula>"NO CUMPLE"</formula>
    </cfRule>
    <cfRule type="cellIs" dxfId="1122" priority="53" operator="equal">
      <formula>"""CUMPLE"""</formula>
    </cfRule>
  </conditionalFormatting>
  <conditionalFormatting sqref="D55:J63">
    <cfRule type="cellIs" dxfId="1121" priority="5" operator="equal">
      <formula>"NO CUMPLE"</formula>
    </cfRule>
    <cfRule type="cellIs" dxfId="1120" priority="6" operator="equal">
      <formula>"CUMPLE"</formula>
    </cfRule>
    <cfRule type="containsBlanks" dxfId="1119" priority="7">
      <formula>LEN(TRIM(D55))=0</formula>
    </cfRule>
    <cfRule type="notContainsErrors" dxfId="1118" priority="8">
      <formula>NOT(ISERROR(D55))</formula>
    </cfRule>
  </conditionalFormatting>
  <conditionalFormatting sqref="D64:J64">
    <cfRule type="cellIs" dxfId="1117" priority="46" operator="equal">
      <formula>"""CUMPLE"""</formula>
    </cfRule>
    <cfRule type="cellIs" dxfId="1116" priority="45" operator="equal">
      <formula>"NO CUMPLE"</formula>
    </cfRule>
    <cfRule type="cellIs" dxfId="1115" priority="44" operator="equal">
      <formula>"CUMPLE"</formula>
    </cfRule>
    <cfRule type="cellIs" dxfId="1114" priority="43" operator="equal">
      <formula>"N/A"</formula>
    </cfRule>
  </conditionalFormatting>
  <conditionalFormatting sqref="D65:J65">
    <cfRule type="cellIs" dxfId="1113" priority="2" operator="equal">
      <formula>"CUMPLE"</formula>
    </cfRule>
    <cfRule type="cellIs" dxfId="1112" priority="1" operator="equal">
      <formula>"NO CUMPLE"</formula>
    </cfRule>
  </conditionalFormatting>
  <conditionalFormatting sqref="D24:K24">
    <cfRule type="containsBlanks" dxfId="1111" priority="25">
      <formula>LEN(TRIM(D24))=0</formula>
    </cfRule>
    <cfRule type="notContainsErrors" dxfId="1110" priority="26">
      <formula>NOT(ISERROR(D24))</formula>
    </cfRule>
  </conditionalFormatting>
  <conditionalFormatting sqref="D65:K65">
    <cfRule type="notContainsErrors" dxfId="1109" priority="4">
      <formula>NOT(ISERROR(D65))</formula>
    </cfRule>
    <cfRule type="containsBlanks" dxfId="1108" priority="3">
      <formula>LEN(TRIM(D65))=0</formula>
    </cfRule>
  </conditionalFormatting>
  <conditionalFormatting sqref="F20:H20">
    <cfRule type="cellIs" dxfId="1107" priority="57" operator="equal">
      <formula>"CUMPLE"</formula>
    </cfRule>
    <cfRule type="cellIs" dxfId="1106" priority="58" operator="equal">
      <formula>"NO CUMPLE"</formula>
    </cfRule>
    <cfRule type="cellIs" dxfId="1105" priority="59" operator="equal">
      <formula>"""CUMPLE"""</formula>
    </cfRule>
  </conditionalFormatting>
  <conditionalFormatting sqref="I11">
    <cfRule type="containsText" dxfId="1104" priority="60" operator="containsText" text="INHABILITADO">
      <formula>NOT(ISERROR(SEARCH("INHABILITADO",I11)))</formula>
    </cfRule>
    <cfRule type="containsText" dxfId="1103" priority="61" operator="containsText" text="HABILITADO">
      <formula>NOT(ISERROR(SEARCH("HABILITADO",I11)))</formula>
    </cfRule>
    <cfRule type="containsText" dxfId="1102" priority="62" operator="containsText" text="HABILITADO">
      <formula>NOT(ISERROR(SEARCH("HABILITADO",I11)))</formula>
    </cfRule>
    <cfRule type="containsText" dxfId="1101" priority="63" operator="containsText" text="NO CUMPLE">
      <formula>NOT(ISERROR(SEARCH("NO CUMPLE",I11)))</formula>
    </cfRule>
  </conditionalFormatting>
  <conditionalFormatting sqref="J20">
    <cfRule type="cellIs" dxfId="1100" priority="33" operator="equal">
      <formula>"NO"</formula>
    </cfRule>
    <cfRule type="cellIs" dxfId="1099" priority="34" operator="equal">
      <formula>"SI"</formula>
    </cfRule>
  </conditionalFormatting>
  <conditionalFormatting sqref="K19">
    <cfRule type="cellIs" dxfId="1098" priority="48" operator="equal">
      <formula>"CUMPLE"</formula>
    </cfRule>
    <cfRule type="cellIs" dxfId="1097" priority="49" operator="equal">
      <formula>"NO CUMPLE"</formula>
    </cfRule>
    <cfRule type="cellIs" dxfId="1096" priority="50" operator="equal">
      <formula>"""CUMPLE"""</formula>
    </cfRule>
  </conditionalFormatting>
  <conditionalFormatting sqref="K25:K63">
    <cfRule type="notContainsErrors" dxfId="1095" priority="28">
      <formula>NOT(ISERROR(K25))</formula>
    </cfRule>
    <cfRule type="containsBlanks" dxfId="1094" priority="27">
      <formula>LEN(TRIM(K25))=0</formula>
    </cfRule>
  </conditionalFormatting>
  <conditionalFormatting sqref="L15">
    <cfRule type="cellIs" dxfId="1093" priority="54" operator="equal">
      <formula>"CUMPLE"</formula>
    </cfRule>
    <cfRule type="cellIs" dxfId="1092" priority="55" operator="equal">
      <formula>"NO CUMPLE"</formula>
    </cfRule>
    <cfRule type="cellIs" dxfId="1091" priority="56" operator="equal">
      <formula>"""CUMPLE"""</formula>
    </cfRule>
  </conditionalFormatting>
  <conditionalFormatting sqref="L20">
    <cfRule type="cellIs" dxfId="1090" priority="32" operator="equal">
      <formula>"SI"</formula>
    </cfRule>
    <cfRule type="cellIs" dxfId="1089" priority="31" operator="equal">
      <formula>"NO"</formula>
    </cfRule>
  </conditionalFormatting>
  <dataValidations count="3">
    <dataValidation type="list" allowBlank="1" showInputMessage="1" showErrorMessage="1" sqref="L57:L64" xr:uid="{00000000-0002-0000-0700-000000000000}">
      <formula1>"0,1,2,3,4,5,6"</formula1>
    </dataValidation>
    <dataValidation type="list" allowBlank="1" showInputMessage="1" showErrorMessage="1" sqref="D24:J26" xr:uid="{00000000-0002-0000-0700-000001000000}">
      <formula1>$C$15:$C$19</formula1>
    </dataValidation>
    <dataValidation type="list" allowBlank="1" showInputMessage="1" showErrorMessage="1" sqref="D65:I65" xr:uid="{00000000-0002-0000-07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700-000003000000}">
          <x14:formula1>
            <xm:f>'DATOS INICIALES'!$C$44:$C$45</xm:f>
          </x14:formula1>
          <xm:sqref>D47:I53 J47:J52</xm:sqref>
        </x14:dataValidation>
        <x14:dataValidation type="list" allowBlank="1" showInputMessage="1" showErrorMessage="1" xr:uid="{00000000-0002-0000-0700-000004000000}">
          <x14:formula1>
            <xm:f>'DATOS INICIALES'!$A$49:$A$51</xm:f>
          </x14:formula1>
          <xm:sqref>D55:I57 D58:J63 J55:J56 D46:J46</xm:sqref>
        </x14:dataValidation>
        <x14:dataValidation type="list" allowBlank="1" showInputMessage="1" showErrorMessage="1" xr:uid="{00000000-0002-0000-0700-000005000000}">
          <x14:formula1>
            <xm:f>'DATOS INICIALES'!$A$53:$A$58</xm:f>
          </x14:formula1>
          <xm:sqref>D23:I23</xm:sqref>
        </x14:dataValidation>
        <x14:dataValidation type="list" allowBlank="1" showInputMessage="1" showErrorMessage="1" xr:uid="{00000000-0002-0000-0700-000006000000}">
          <x14:formula1>
            <xm:f>'DATOS INICIALES'!$D$21:$D$25</xm:f>
          </x14:formula1>
          <xm:sqref>M47:M54</xm:sqref>
        </x14:dataValidation>
        <x14:dataValidation type="list" allowBlank="1" showInputMessage="1" showErrorMessage="1" xr:uid="{00000000-0002-0000-0700-000007000000}">
          <x14:formula1>
            <xm:f>'DATOS INICIALES'!$A$13:$A$41</xm:f>
          </x14:formula1>
          <xm:sqref>D31:I31</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65"/>
  <sheetViews>
    <sheetView view="pageBreakPreview" zoomScale="55" zoomScaleNormal="55" zoomScaleSheetLayoutView="55" workbookViewId="0">
      <pane ySplit="11" topLeftCell="A54" activePane="bottomLeft" state="frozenSplit"/>
      <selection activeCell="J19" sqref="J19"/>
      <selection pane="bottomLeft" activeCell="C31" sqref="C31"/>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6" width="26.140625" customWidth="1"/>
    <col min="7" max="7" width="31.140625" customWidth="1"/>
    <col min="8" max="8" width="28.42578125" customWidth="1"/>
    <col min="9"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t="str">
        <f>+PROPONENTES!B14</f>
        <v xml:space="preserve"> UNION TEMPORAL PRACTICAS</v>
      </c>
      <c r="D11" s="310"/>
      <c r="E11" s="310"/>
      <c r="F11" s="310"/>
      <c r="G11" s="310"/>
      <c r="H11" s="146" t="s">
        <v>98</v>
      </c>
      <c r="I11" s="303" t="str">
        <f>IF(AND(F20="CUMPLE",G20="CUMPLE",H20="CUMPLE",L15="CUMPLE",K19="CUMPLE"),"CUMPLE","NO CUMPLE")</f>
        <v>NO CUMPLE</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str">
        <f>IF(VLOOKUP(C11,PROPONENTES!B10:N39,2,FALSE)=0,"",VLOOKUP(C11,PROPONENTES!B10:N39,2,FALSE))</f>
        <v xml:space="preserve">  ASOCIACION COLOMBIANA DE LAS MICRO PEQUEÑAS Y MEDIANAS INDUSTRIAS ACOPI - CALDAS</v>
      </c>
      <c r="D15" s="101">
        <f>IF(VLOOKUP(C11,PROPONENTES!B10:N39,3,FALSE)=0,"",VLOOKUP(C11,PROPONENTES!B10:N39,3,FALSE))</f>
        <v>0.09</v>
      </c>
      <c r="E15" s="102">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292">
        <f>COUNTIF(D64:I64,"CUMPLE")</f>
        <v>4</v>
      </c>
      <c r="J15" s="293">
        <f>IF(AND(I15&gt;=1,I15&lt;=2),L8,IF(AND(I15&gt;=3,I15&lt;=4),L9,IF(AND(I15&gt;=5,I15&lt;=7),L10)))</f>
        <v>3938.6952868965518</v>
      </c>
      <c r="K15" s="293">
        <f>+E20</f>
        <v>0</v>
      </c>
      <c r="L15" s="294" t="str">
        <f>IF(K15&gt;=J15,"CUMPLE","NO CUMPLE")</f>
        <v>NO CUMPLE</v>
      </c>
    </row>
    <row r="16" spans="2:12" ht="33.75" customHeight="1">
      <c r="B16" s="347"/>
      <c r="C16" s="100" t="str">
        <f>IF(VLOOKUP(C11,PROPONENTES!B10:N39,4,FALSE)=0,"",VLOOKUP(C11,PROPONENTES!B10:N39,4,FALSE))</f>
        <v xml:space="preserve">  ASOCIACIÓN COLOMBIANA DE LAS MICRO, PEQUEÑAS Y MEDIANAS EMPRESAS DE ANTIOQUIA</v>
      </c>
      <c r="D16" s="101">
        <f>IF(VLOOKUP(C11,PROPONENTES!B10:N39,5,FALSE)=0,"",VLOOKUP(C11,PROPONENTES!B10:N39,5,FALSE))</f>
        <v>0.91</v>
      </c>
      <c r="E16" s="102">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0</v>
      </c>
      <c r="F16" s="103" t="str">
        <f t="shared" si="1"/>
        <v>NO</v>
      </c>
      <c r="G16" s="104" t="str">
        <f t="shared" si="2"/>
        <v>NO APORTA EXPERIENCIA</v>
      </c>
      <c r="H16" s="104" t="str">
        <f>IF(C16="","",IF(AND(G16="NO APORTA EXPERIENCIA",D16&lt;=10%),"SI",IF(G16="SI","NO APLICA","NO - PORCENTAJE MAYOR AL 10%")))</f>
        <v>NO - PORCENTAJE MAYOR AL 10%</v>
      </c>
      <c r="I16" s="292"/>
      <c r="J16" s="293"/>
      <c r="K16" s="293"/>
      <c r="L16" s="294"/>
    </row>
    <row r="17" spans="2:14" ht="33.75" customHeight="1">
      <c r="B17" s="347"/>
      <c r="C17" s="100" t="str">
        <f>IF(VLOOKUP(C11,PROPONENTES!B10:N39,6,FALSE)=0,"",VLOOKUP(C11,PROPONENTES!B10:N39,6,FALSE))</f>
        <v/>
      </c>
      <c r="D17" s="101" t="str">
        <f>IF(VLOOKUP(C11,PROPONENTES!B10:N39,7,FALSE)=0,"",VLOOKUP(C11,PROPONENTES!B10:N39,7,FALSE))</f>
        <v/>
      </c>
      <c r="E17" s="102" t="str">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
      </c>
      <c r="F17" s="103" t="str">
        <f t="shared" si="1"/>
        <v/>
      </c>
      <c r="G17" s="104" t="str">
        <f t="shared" si="2"/>
        <v/>
      </c>
      <c r="H17" s="103" t="str">
        <f>IF(C17="","",IF(AND(G17="NO APORTA EXPERIENCIA",D17&lt;=10%),"SI",IF(G17="SI","NO APLICA","NO - PORCENTAJE MAYOR AL 10%")))</f>
        <v/>
      </c>
      <c r="I17" s="292"/>
      <c r="J17" s="293"/>
      <c r="K17" s="293"/>
      <c r="L17" s="294"/>
    </row>
    <row r="18" spans="2:14" ht="50.25" customHeight="1">
      <c r="B18" s="347"/>
      <c r="C18" s="100" t="str">
        <f>IF(VLOOKUP(C11,PROPONENTES!B10:N39,8,FALSE)=0,"",VLOOKUP(C11,PROPONENTES!B10:N39,8,FALSE))</f>
        <v/>
      </c>
      <c r="D18" s="101" t="str">
        <f>IF(VLOOKUP(C11,PROPONENTES!B10:N39,9,FALSE)=0,"",VLOOKUP(C11,PROPONENTES!B10:N39,9,FALSE))</f>
        <v/>
      </c>
      <c r="E18" s="102" t="str">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
      </c>
      <c r="F18" s="103" t="str">
        <f t="shared" si="1"/>
        <v/>
      </c>
      <c r="G18" s="104" t="str">
        <f>IF(C18="","",IF(E18&gt;=$J$15*0.05,"SI",IF(E18=0,"NO APORTA EXPERIENCIA",)))</f>
        <v/>
      </c>
      <c r="H18" s="103" t="str">
        <f>IF(C18="","",IF(AND(G18="NO APORTA EXPERIENCIA",D18&lt;=10%),"SI",IF(G18="SI","NO APLICA","NO - PORCENTAJE MAYOR AL 10%")))</f>
        <v/>
      </c>
      <c r="I18" s="38" t="s">
        <v>109</v>
      </c>
      <c r="J18" s="38" t="s">
        <v>110</v>
      </c>
      <c r="K18" s="225" t="s">
        <v>90</v>
      </c>
      <c r="L18" s="225"/>
    </row>
    <row r="19" spans="2:14" ht="33.75" customHeight="1">
      <c r="B19" s="347"/>
      <c r="C19" s="100" t="str">
        <f>IF(VLOOKUP(C11,PROPONENTES!B10:N39,10,FALSE)=0,"",VLOOKUP(C11,PROPONENTES!B10:N39,10,FALSE))</f>
        <v/>
      </c>
      <c r="D19" s="101" t="str">
        <f>IF(VLOOKUP(C11,PROPONENTES!B10:N39,11,FALSE)=0,"",VLOOKUP(C11,PROPONENTES!B10:N39,11,FALSE))</f>
        <v/>
      </c>
      <c r="E19" s="102" t="str">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
      </c>
      <c r="F19" s="103" t="str">
        <f>IF(C19="","",IF(E19&gt;=$J$15*0.5,"SI","NO"))</f>
        <v/>
      </c>
      <c r="G19" s="104" t="str">
        <f>IF(C19="","",IF(E19&gt;=$J$15*0.05,"SI",IF(E19=0,"NO APORTA EXPERIENCIA",)))</f>
        <v/>
      </c>
      <c r="H19" s="103" t="str">
        <f>IF(C19="","",IF(AND(G19="NO APORTA EXPERIENCIA",D19&lt;=10%),"SI",IF(G19="SI","NO APLICA","NO - PORCENTAJE MAYOR AL 10%")))</f>
        <v/>
      </c>
      <c r="I19" s="173">
        <f>SUMIF(D65:J65,"CUMPLE",D39:J39)+SUMIF(D65:J65,"CUMPLE",D42:J42)+SUMIF(D65:J65,"CUMPLE",D45:J45)</f>
        <v>5493.2000000000007</v>
      </c>
      <c r="J19" s="168">
        <f>70%*C10</f>
        <v>2297.572250689655</v>
      </c>
      <c r="K19" s="294" t="str">
        <f>IF(I19&gt;=J19,"CUMPLE","NO CUMPLE")</f>
        <v>CUMPLE</v>
      </c>
      <c r="L19" s="294"/>
    </row>
    <row r="20" spans="2:14" ht="84.75" customHeight="1">
      <c r="B20" s="33" t="s">
        <v>111</v>
      </c>
      <c r="C20" s="27">
        <f>+VLOOKUP(C11,PROPONENTES!B10:N39,12,FALSE)</f>
        <v>2</v>
      </c>
      <c r="D20" s="101">
        <f>+VLOOKUP(C11,PROPONENTES!B10:N39,13,FALSE)</f>
        <v>1</v>
      </c>
      <c r="E20" s="39">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38" t="s">
        <v>112</v>
      </c>
      <c r="J20" s="143" t="str">
        <f>IF(VLOOKUP(C11,PUNTAJE!B15:AF129,27,FALSE)=0.25,"SI","NO")</f>
        <v>NO</v>
      </c>
      <c r="K20" s="38" t="s">
        <v>113</v>
      </c>
      <c r="L20" s="143" t="str">
        <f>IF(VLOOKUP(C11,PUNTAJE!B15:AF129,31,FALSE)=0.25,"SI","NO")</f>
        <v>SI</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61.5" customHeight="1">
      <c r="B24" s="333" t="s">
        <v>118</v>
      </c>
      <c r="C24" s="334"/>
      <c r="D24" s="90" t="s">
        <v>229</v>
      </c>
      <c r="E24" s="90" t="s">
        <v>229</v>
      </c>
      <c r="F24" s="90" t="s">
        <v>230</v>
      </c>
      <c r="G24" s="90" t="s">
        <v>229</v>
      </c>
      <c r="H24" s="90" t="s">
        <v>229</v>
      </c>
      <c r="I24" s="90"/>
      <c r="J24" s="90"/>
      <c r="K24" s="288"/>
      <c r="L24" s="289"/>
    </row>
    <row r="25" spans="2:14" ht="45" customHeight="1">
      <c r="B25" s="333" t="s">
        <v>119</v>
      </c>
      <c r="C25" s="334"/>
      <c r="D25" s="90" t="s">
        <v>230</v>
      </c>
      <c r="E25" s="90" t="s">
        <v>230</v>
      </c>
      <c r="F25" s="90" t="s">
        <v>231</v>
      </c>
      <c r="G25" s="90" t="s">
        <v>230</v>
      </c>
      <c r="H25" s="90" t="s">
        <v>230</v>
      </c>
      <c r="I25" s="90"/>
      <c r="J25" s="90"/>
      <c r="K25" s="288"/>
      <c r="L25" s="289"/>
    </row>
    <row r="26" spans="2:14" ht="49.5" customHeight="1">
      <c r="B26" s="333" t="s">
        <v>120</v>
      </c>
      <c r="C26" s="334"/>
      <c r="D26" s="90" t="s">
        <v>231</v>
      </c>
      <c r="E26" s="90" t="s">
        <v>231</v>
      </c>
      <c r="F26" s="90"/>
      <c r="G26" s="90" t="s">
        <v>231</v>
      </c>
      <c r="H26" s="90" t="s">
        <v>231</v>
      </c>
      <c r="I26" s="90"/>
      <c r="J26" s="90"/>
      <c r="K26" s="288"/>
      <c r="L26" s="289"/>
    </row>
    <row r="27" spans="2:14" ht="45.75" customHeight="1">
      <c r="B27" s="335" t="s">
        <v>121</v>
      </c>
      <c r="C27" s="28" t="s">
        <v>122</v>
      </c>
      <c r="D27" s="91" t="s">
        <v>232</v>
      </c>
      <c r="E27" s="91" t="s">
        <v>233</v>
      </c>
      <c r="F27" s="91" t="s">
        <v>234</v>
      </c>
      <c r="G27" s="91" t="s">
        <v>235</v>
      </c>
      <c r="H27" s="91" t="s">
        <v>236</v>
      </c>
      <c r="I27" s="91"/>
      <c r="J27" s="91"/>
      <c r="K27" s="288"/>
      <c r="L27" s="289"/>
    </row>
    <row r="28" spans="2:14" ht="368.25" customHeight="1">
      <c r="B28" s="336"/>
      <c r="C28" s="28" t="s">
        <v>127</v>
      </c>
      <c r="D28" s="91" t="s">
        <v>237</v>
      </c>
      <c r="E28" s="91" t="s">
        <v>238</v>
      </c>
      <c r="F28" s="91" t="s">
        <v>239</v>
      </c>
      <c r="G28" s="91" t="s">
        <v>240</v>
      </c>
      <c r="H28" s="91" t="s">
        <v>241</v>
      </c>
      <c r="I28" s="91"/>
      <c r="J28" s="91"/>
      <c r="K28" s="288"/>
      <c r="L28" s="289"/>
    </row>
    <row r="29" spans="2:14" ht="52.5" customHeight="1">
      <c r="B29" s="336"/>
      <c r="C29" s="28" t="s">
        <v>132</v>
      </c>
      <c r="D29" s="95">
        <v>42853</v>
      </c>
      <c r="E29" s="95">
        <v>42417</v>
      </c>
      <c r="F29" s="95">
        <v>42321</v>
      </c>
      <c r="G29" s="95">
        <v>43383</v>
      </c>
      <c r="H29" s="95">
        <v>42446</v>
      </c>
      <c r="I29" s="95"/>
      <c r="J29" s="95"/>
      <c r="K29" s="288"/>
      <c r="L29" s="289"/>
    </row>
    <row r="30" spans="2:14" ht="54.75" customHeight="1">
      <c r="B30" s="336"/>
      <c r="C30" s="28" t="s">
        <v>133</v>
      </c>
      <c r="D30" s="95">
        <v>43122</v>
      </c>
      <c r="E30" s="95">
        <v>42639</v>
      </c>
      <c r="F30" s="95">
        <v>42533</v>
      </c>
      <c r="G30" s="95">
        <v>43548</v>
      </c>
      <c r="H30" s="95">
        <v>42628</v>
      </c>
      <c r="I30" s="95"/>
      <c r="J30" s="95"/>
      <c r="K30" s="288"/>
      <c r="L30" s="289"/>
    </row>
    <row r="31" spans="2:14" ht="41.25" customHeight="1">
      <c r="B31" s="336"/>
      <c r="C31" s="28" t="s">
        <v>134</v>
      </c>
      <c r="D31" s="92">
        <v>2018</v>
      </c>
      <c r="E31" s="92">
        <v>2016</v>
      </c>
      <c r="F31" s="92">
        <v>2016</v>
      </c>
      <c r="G31" s="92">
        <v>2019</v>
      </c>
      <c r="H31" s="92">
        <v>2016</v>
      </c>
      <c r="I31" s="92"/>
      <c r="J31" s="92"/>
      <c r="K31" s="288"/>
      <c r="L31" s="289"/>
    </row>
    <row r="32" spans="2:14" ht="63" customHeight="1">
      <c r="B32" s="336"/>
      <c r="C32" s="28" t="s">
        <v>135</v>
      </c>
      <c r="D32" s="91" t="s">
        <v>242</v>
      </c>
      <c r="E32" s="91" t="s">
        <v>243</v>
      </c>
      <c r="F32" s="91" t="s">
        <v>244</v>
      </c>
      <c r="G32" s="91" t="s">
        <v>245</v>
      </c>
      <c r="H32" s="91" t="s">
        <v>243</v>
      </c>
      <c r="I32" s="91"/>
      <c r="J32" s="91"/>
      <c r="K32" s="288"/>
      <c r="L32" s="289"/>
    </row>
    <row r="33" spans="2:12" ht="46.5" customHeight="1">
      <c r="B33" s="336"/>
      <c r="C33" s="28" t="s">
        <v>140</v>
      </c>
      <c r="D33" s="91" t="s">
        <v>246</v>
      </c>
      <c r="E33" s="91" t="s">
        <v>247</v>
      </c>
      <c r="F33" s="91" t="s">
        <v>248</v>
      </c>
      <c r="G33" s="91" t="s">
        <v>249</v>
      </c>
      <c r="H33" s="91" t="s">
        <v>250</v>
      </c>
      <c r="I33" s="91"/>
      <c r="J33" s="91"/>
      <c r="K33" s="288"/>
      <c r="L33" s="289"/>
    </row>
    <row r="34" spans="2:12" ht="27.75" customHeight="1">
      <c r="B34" s="336"/>
      <c r="C34" s="30" t="s">
        <v>144</v>
      </c>
      <c r="D34" s="179" t="s">
        <v>251</v>
      </c>
      <c r="E34" s="179" t="s">
        <v>252</v>
      </c>
      <c r="F34" s="179" t="s">
        <v>253</v>
      </c>
      <c r="G34" s="90" t="s">
        <v>254</v>
      </c>
      <c r="H34" s="90" t="s">
        <v>255</v>
      </c>
      <c r="I34" s="97"/>
      <c r="J34" s="97"/>
      <c r="K34" s="288"/>
      <c r="L34" s="289"/>
    </row>
    <row r="35" spans="2:12" ht="102.75" customHeight="1">
      <c r="B35" s="336"/>
      <c r="C35" s="28" t="s">
        <v>145</v>
      </c>
      <c r="D35" s="93">
        <v>3004.56</v>
      </c>
      <c r="E35" s="93">
        <v>2690.11</v>
      </c>
      <c r="F35" s="93">
        <v>2613.0500000000002</v>
      </c>
      <c r="G35" s="93">
        <v>2488.64</v>
      </c>
      <c r="H35" s="93">
        <v>1985.65</v>
      </c>
      <c r="I35" s="93"/>
      <c r="J35" s="93"/>
      <c r="K35" s="290"/>
      <c r="L35" s="291"/>
    </row>
    <row r="36" spans="2:12" ht="48" customHeight="1">
      <c r="B36" s="336"/>
      <c r="C36" s="28" t="s">
        <v>146</v>
      </c>
      <c r="D36" s="105">
        <f>IFERROR(D35*VLOOKUP(D31,'DATOS INICIALES'!$A$12:$B$41,2,0),"0")</f>
        <v>2347288463.52</v>
      </c>
      <c r="E36" s="105">
        <f>IFERROR(E35*VLOOKUP(E31,'DATOS INICIALES'!$A$12:$B$41,2,0),"0")</f>
        <v>1854709790.0500002</v>
      </c>
      <c r="F36" s="105">
        <f>IFERROR(F35*VLOOKUP(F31,'DATOS INICIALES'!$A$12:$B$41,2,0),"0")</f>
        <v>1801580387.7500002</v>
      </c>
      <c r="G36" s="105">
        <f>IFERROR(G35*VLOOKUP(G31,'DATOS INICIALES'!$A$12:$B$41,2,0),"0")</f>
        <v>2060882602.24</v>
      </c>
      <c r="H36" s="105">
        <f>IFERROR(H35*VLOOKUP(H31,'DATOS INICIALES'!$A$12:$B$41,2,0),"0")</f>
        <v>1369016320.75</v>
      </c>
      <c r="I36" s="105" t="str">
        <f>IFERROR(I35*VLOOKUP(I31,'DATOS INICIALES'!$A$12:$B$41,2,0),"0")</f>
        <v>0</v>
      </c>
      <c r="J36" s="105" t="str">
        <f>IFERROR(J35*VLOOKUP(J31,'DATOS INICIALES'!$A$12:$B$41,2,0),"0")</f>
        <v>0</v>
      </c>
      <c r="K36" s="288"/>
      <c r="L36" s="289"/>
    </row>
    <row r="37" spans="2:12" ht="33.75" customHeight="1">
      <c r="B37" s="336"/>
      <c r="C37" s="28" t="s">
        <v>147</v>
      </c>
      <c r="D37" s="94">
        <v>0.8</v>
      </c>
      <c r="E37" s="94">
        <v>0.4</v>
      </c>
      <c r="F37" s="94">
        <v>0.85</v>
      </c>
      <c r="G37" s="94">
        <v>0.2</v>
      </c>
      <c r="H37" s="94">
        <v>0.4</v>
      </c>
      <c r="I37" s="94"/>
      <c r="J37" s="94"/>
      <c r="K37" s="288"/>
      <c r="L37" s="289"/>
    </row>
    <row r="38" spans="2:12" ht="48.75" customHeight="1">
      <c r="B38" s="336"/>
      <c r="C38" s="28" t="s">
        <v>148</v>
      </c>
      <c r="D38" s="105">
        <f t="shared" ref="D38:J38" si="3">IF(D24="","0",D37*D36)</f>
        <v>1877830770.816</v>
      </c>
      <c r="E38" s="105">
        <f t="shared" si="3"/>
        <v>741883916.0200001</v>
      </c>
      <c r="F38" s="105">
        <f t="shared" si="3"/>
        <v>1531343329.5875001</v>
      </c>
      <c r="G38" s="105">
        <f t="shared" si="3"/>
        <v>412176520.44800001</v>
      </c>
      <c r="H38" s="105">
        <f t="shared" si="3"/>
        <v>547606528.30000007</v>
      </c>
      <c r="I38" s="105" t="str">
        <f t="shared" si="3"/>
        <v>0</v>
      </c>
      <c r="J38" s="105" t="str">
        <f t="shared" si="3"/>
        <v>0</v>
      </c>
      <c r="K38" s="288"/>
      <c r="L38" s="289"/>
    </row>
    <row r="39" spans="2:12" ht="65.25" customHeight="1">
      <c r="B39" s="336"/>
      <c r="C39" s="28" t="s">
        <v>149</v>
      </c>
      <c r="D39" s="106">
        <f t="shared" ref="D39:J39" si="4">IFERROR(D35*D37,"0")</f>
        <v>2403.6480000000001</v>
      </c>
      <c r="E39" s="106">
        <f t="shared" si="4"/>
        <v>1076.0440000000001</v>
      </c>
      <c r="F39" s="106">
        <f t="shared" si="4"/>
        <v>2221.0925000000002</v>
      </c>
      <c r="G39" s="106">
        <f t="shared" si="4"/>
        <v>497.72800000000001</v>
      </c>
      <c r="H39" s="106">
        <f t="shared" si="4"/>
        <v>794.2600000000001</v>
      </c>
      <c r="I39" s="106">
        <f t="shared" si="4"/>
        <v>0</v>
      </c>
      <c r="J39" s="106">
        <f t="shared" si="4"/>
        <v>0</v>
      </c>
      <c r="K39" s="288"/>
      <c r="L39" s="289"/>
    </row>
    <row r="40" spans="2:12" ht="65.25" customHeight="1">
      <c r="B40" s="336"/>
      <c r="C40" s="28" t="s">
        <v>150</v>
      </c>
      <c r="D40" s="94">
        <v>0.1</v>
      </c>
      <c r="E40" s="94">
        <v>0.3</v>
      </c>
      <c r="F40" s="94">
        <v>0.15</v>
      </c>
      <c r="G40" s="94">
        <v>0.4</v>
      </c>
      <c r="H40" s="94">
        <v>0.3</v>
      </c>
      <c r="I40" s="94"/>
      <c r="J40" s="94"/>
      <c r="K40" s="288"/>
      <c r="L40" s="289"/>
    </row>
    <row r="41" spans="2:12" ht="65.25" customHeight="1">
      <c r="B41" s="336"/>
      <c r="C41" s="28" t="s">
        <v>151</v>
      </c>
      <c r="D41" s="107">
        <f t="shared" ref="D41:J41" si="5">IF(D25="","0",D40*D36)</f>
        <v>234728846.352</v>
      </c>
      <c r="E41" s="107">
        <f t="shared" si="5"/>
        <v>556412937.01499999</v>
      </c>
      <c r="F41" s="107">
        <f t="shared" si="5"/>
        <v>270237058.16250002</v>
      </c>
      <c r="G41" s="107">
        <f t="shared" si="5"/>
        <v>824353040.89600003</v>
      </c>
      <c r="H41" s="107">
        <f t="shared" si="5"/>
        <v>410704896.22499996</v>
      </c>
      <c r="I41" s="107" t="str">
        <f t="shared" si="5"/>
        <v>0</v>
      </c>
      <c r="J41" s="107" t="str">
        <f t="shared" si="5"/>
        <v>0</v>
      </c>
      <c r="K41" s="288"/>
      <c r="L41" s="289"/>
    </row>
    <row r="42" spans="2:12" ht="65.25" customHeight="1">
      <c r="B42" s="336"/>
      <c r="C42" s="28" t="s">
        <v>152</v>
      </c>
      <c r="D42" s="106">
        <f>IF(D25="",0,D35*D40)</f>
        <v>300.45600000000002</v>
      </c>
      <c r="E42" s="106">
        <f t="shared" ref="E42:J42" si="6">IF(E25="",0,E35*E40)</f>
        <v>807.03300000000002</v>
      </c>
      <c r="F42" s="106">
        <f t="shared" si="6"/>
        <v>391.95750000000004</v>
      </c>
      <c r="G42" s="106">
        <f t="shared" si="6"/>
        <v>995.45600000000002</v>
      </c>
      <c r="H42" s="106">
        <f t="shared" si="6"/>
        <v>595.69500000000005</v>
      </c>
      <c r="I42" s="106">
        <f t="shared" si="6"/>
        <v>0</v>
      </c>
      <c r="J42" s="106">
        <f t="shared" si="6"/>
        <v>0</v>
      </c>
      <c r="K42" s="288"/>
      <c r="L42" s="289"/>
    </row>
    <row r="43" spans="2:12" ht="65.25" customHeight="1">
      <c r="B43" s="336"/>
      <c r="C43" s="28" t="s">
        <v>153</v>
      </c>
      <c r="D43" s="94">
        <v>0.1</v>
      </c>
      <c r="E43" s="94">
        <v>0.3</v>
      </c>
      <c r="F43" s="94"/>
      <c r="G43" s="94">
        <v>0.4</v>
      </c>
      <c r="H43" s="94">
        <v>0.3</v>
      </c>
      <c r="I43" s="94"/>
      <c r="J43" s="94"/>
      <c r="K43" s="288"/>
      <c r="L43" s="289"/>
    </row>
    <row r="44" spans="2:12" ht="65.25" customHeight="1">
      <c r="B44" s="336"/>
      <c r="C44" s="28" t="s">
        <v>154</v>
      </c>
      <c r="D44" s="107">
        <f>IF(D26="","0",D43*D36)</f>
        <v>234728846.352</v>
      </c>
      <c r="E44" s="107">
        <f t="shared" ref="E44:J44" si="7">IF(E26="","0",E43*E36)</f>
        <v>556412937.01499999</v>
      </c>
      <c r="F44" s="107" t="str">
        <f t="shared" si="7"/>
        <v>0</v>
      </c>
      <c r="G44" s="107">
        <f t="shared" si="7"/>
        <v>824353040.89600003</v>
      </c>
      <c r="H44" s="107">
        <f t="shared" si="7"/>
        <v>410704896.22499996</v>
      </c>
      <c r="I44" s="107" t="str">
        <f t="shared" si="7"/>
        <v>0</v>
      </c>
      <c r="J44" s="107" t="str">
        <f t="shared" si="7"/>
        <v>0</v>
      </c>
      <c r="K44" s="288"/>
      <c r="L44" s="289"/>
    </row>
    <row r="45" spans="2:12" ht="65.25" customHeight="1">
      <c r="B45" s="337"/>
      <c r="C45" s="28" t="s">
        <v>155</v>
      </c>
      <c r="D45" s="106">
        <f>IF(D26="",0,D35*D43)</f>
        <v>300.45600000000002</v>
      </c>
      <c r="E45" s="106">
        <f t="shared" ref="E45:J45" si="8">IF(E26="",0,E35*E43)</f>
        <v>807.03300000000002</v>
      </c>
      <c r="F45" s="106">
        <f t="shared" si="8"/>
        <v>0</v>
      </c>
      <c r="G45" s="106">
        <f t="shared" si="8"/>
        <v>995.45600000000002</v>
      </c>
      <c r="H45" s="106">
        <f t="shared" si="8"/>
        <v>595.69500000000005</v>
      </c>
      <c r="I45" s="106">
        <f t="shared" si="8"/>
        <v>0</v>
      </c>
      <c r="J45" s="106">
        <f t="shared" si="8"/>
        <v>0</v>
      </c>
      <c r="K45" s="288"/>
      <c r="L45" s="289"/>
    </row>
    <row r="46" spans="2:12" ht="39.75" customHeight="1">
      <c r="B46" s="142" t="s">
        <v>156</v>
      </c>
      <c r="C46" s="32" t="s">
        <v>157</v>
      </c>
      <c r="D46" s="90" t="s">
        <v>31</v>
      </c>
      <c r="E46" s="90" t="s">
        <v>31</v>
      </c>
      <c r="F46" s="90" t="s">
        <v>31</v>
      </c>
      <c r="G46" s="90" t="s">
        <v>31</v>
      </c>
      <c r="H46" s="90" t="s">
        <v>31</v>
      </c>
      <c r="I46" s="90"/>
      <c r="J46" s="90"/>
      <c r="K46" s="288"/>
      <c r="L46" s="289"/>
    </row>
    <row r="47" spans="2:12" ht="24.75" customHeight="1">
      <c r="B47" s="327" t="s">
        <v>158</v>
      </c>
      <c r="C47" s="31">
        <f>+'DATOS INICIALES'!D21</f>
        <v>70101700</v>
      </c>
      <c r="D47" s="96" t="s">
        <v>27</v>
      </c>
      <c r="E47" s="96" t="s">
        <v>27</v>
      </c>
      <c r="F47" s="96" t="s">
        <v>27</v>
      </c>
      <c r="G47" s="96" t="s">
        <v>27</v>
      </c>
      <c r="H47" s="96" t="s">
        <v>27</v>
      </c>
      <c r="I47" s="96"/>
      <c r="J47" s="97"/>
      <c r="K47" s="288"/>
      <c r="L47" s="289"/>
    </row>
    <row r="48" spans="2:12" ht="24.75" customHeight="1">
      <c r="B48" s="328"/>
      <c r="C48" s="31">
        <f>+'DATOS INICIALES'!D22</f>
        <v>80101600</v>
      </c>
      <c r="D48" s="96" t="s">
        <v>27</v>
      </c>
      <c r="E48" s="96" t="s">
        <v>27</v>
      </c>
      <c r="F48" s="96" t="s">
        <v>27</v>
      </c>
      <c r="G48" s="96" t="s">
        <v>27</v>
      </c>
      <c r="H48" s="96" t="s">
        <v>27</v>
      </c>
      <c r="I48" s="96"/>
      <c r="J48" s="97"/>
      <c r="K48" s="288"/>
      <c r="L48" s="289"/>
    </row>
    <row r="49" spans="2:12" ht="24.75" customHeight="1">
      <c r="B49" s="328"/>
      <c r="C49" s="31">
        <f>+'DATOS INICIALES'!D23</f>
        <v>80101500</v>
      </c>
      <c r="D49" s="96" t="s">
        <v>27</v>
      </c>
      <c r="E49" s="96" t="s">
        <v>27</v>
      </c>
      <c r="F49" s="96" t="s">
        <v>27</v>
      </c>
      <c r="G49" s="96" t="s">
        <v>27</v>
      </c>
      <c r="H49" s="96" t="s">
        <v>27</v>
      </c>
      <c r="I49" s="96"/>
      <c r="J49" s="97"/>
      <c r="K49" s="288"/>
      <c r="L49" s="289"/>
    </row>
    <row r="50" spans="2:12" ht="24.75" customHeight="1">
      <c r="B50" s="328"/>
      <c r="C50" s="31">
        <f>+'DATOS INICIALES'!D24</f>
        <v>86101700</v>
      </c>
      <c r="D50" s="96" t="s">
        <v>27</v>
      </c>
      <c r="E50" s="96" t="s">
        <v>27</v>
      </c>
      <c r="F50" s="96" t="s">
        <v>27</v>
      </c>
      <c r="G50" s="96" t="s">
        <v>27</v>
      </c>
      <c r="H50" s="96" t="s">
        <v>27</v>
      </c>
      <c r="I50" s="96"/>
      <c r="J50" s="97"/>
      <c r="K50" s="288"/>
      <c r="L50" s="289"/>
    </row>
    <row r="51" spans="2:12" ht="24.75" customHeight="1">
      <c r="B51" s="328"/>
      <c r="C51" s="31">
        <f>+'DATOS INICIALES'!D25</f>
        <v>80161500</v>
      </c>
      <c r="D51" s="96" t="s">
        <v>27</v>
      </c>
      <c r="E51" s="96" t="s">
        <v>27</v>
      </c>
      <c r="F51" s="96" t="s">
        <v>27</v>
      </c>
      <c r="G51" s="96" t="s">
        <v>27</v>
      </c>
      <c r="H51" s="96" t="s">
        <v>27</v>
      </c>
      <c r="I51" s="96"/>
      <c r="J51" s="97"/>
      <c r="K51" s="288"/>
      <c r="L51" s="289"/>
    </row>
    <row r="52" spans="2:12" ht="24.75" customHeight="1">
      <c r="B52" s="328"/>
      <c r="C52" s="31">
        <f>+'DATOS INICIALES'!D26</f>
        <v>93141500</v>
      </c>
      <c r="D52" s="96" t="s">
        <v>27</v>
      </c>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CUMPLE</v>
      </c>
      <c r="I54" s="18" t="str">
        <f t="shared" si="9"/>
        <v>N/A</v>
      </c>
      <c r="J54" s="18" t="str">
        <f t="shared" si="9"/>
        <v>N/A</v>
      </c>
      <c r="K54" s="288"/>
      <c r="L54" s="289"/>
    </row>
    <row r="55" spans="2:12" ht="296.25" customHeight="1">
      <c r="B55" s="330" t="s">
        <v>160</v>
      </c>
      <c r="C55" s="331"/>
      <c r="D55" s="90" t="s">
        <v>31</v>
      </c>
      <c r="E55" s="90" t="s">
        <v>31</v>
      </c>
      <c r="F55" s="90" t="s">
        <v>31</v>
      </c>
      <c r="G55" s="90" t="s">
        <v>31</v>
      </c>
      <c r="H55" s="90" t="s">
        <v>31</v>
      </c>
      <c r="I55" s="90"/>
      <c r="J55" s="90"/>
      <c r="K55" s="295"/>
      <c r="L55" s="296"/>
    </row>
    <row r="56" spans="2:12" ht="353.25" hidden="1" customHeight="1">
      <c r="B56" s="330" t="s">
        <v>161</v>
      </c>
      <c r="C56" s="331"/>
      <c r="D56" s="90" t="s">
        <v>31</v>
      </c>
      <c r="E56" s="90" t="s">
        <v>31</v>
      </c>
      <c r="F56" s="90" t="s">
        <v>31</v>
      </c>
      <c r="G56" s="90" t="s">
        <v>31</v>
      </c>
      <c r="H56" s="90" t="s">
        <v>31</v>
      </c>
      <c r="I56" s="90"/>
      <c r="J56" s="90"/>
      <c r="K56" s="295"/>
      <c r="L56" s="296"/>
    </row>
    <row r="57" spans="2:12" ht="99" customHeight="1">
      <c r="B57" s="324" t="s">
        <v>162</v>
      </c>
      <c r="C57" s="325"/>
      <c r="D57" s="90" t="s">
        <v>31</v>
      </c>
      <c r="E57" s="90" t="s">
        <v>31</v>
      </c>
      <c r="F57" s="90" t="s">
        <v>31</v>
      </c>
      <c r="G57" s="90" t="s">
        <v>31</v>
      </c>
      <c r="H57" s="90" t="s">
        <v>31</v>
      </c>
      <c r="I57" s="90"/>
      <c r="J57" s="90"/>
      <c r="K57" s="288"/>
      <c r="L57" s="289"/>
    </row>
    <row r="58" spans="2:12" ht="105.75" customHeight="1">
      <c r="B58" s="324" t="s">
        <v>163</v>
      </c>
      <c r="C58" s="325"/>
      <c r="D58" s="90" t="s">
        <v>31</v>
      </c>
      <c r="E58" s="90" t="s">
        <v>31</v>
      </c>
      <c r="F58" s="90" t="s">
        <v>31</v>
      </c>
      <c r="G58" s="90" t="s">
        <v>31</v>
      </c>
      <c r="H58" s="90" t="s">
        <v>31</v>
      </c>
      <c r="I58" s="90"/>
      <c r="J58" s="90"/>
      <c r="K58" s="288"/>
      <c r="L58" s="289"/>
    </row>
    <row r="59" spans="2:12" ht="291.75" customHeight="1">
      <c r="B59" s="324" t="s">
        <v>164</v>
      </c>
      <c r="C59" s="325"/>
      <c r="D59" s="90" t="s">
        <v>30</v>
      </c>
      <c r="E59" s="90" t="s">
        <v>30</v>
      </c>
      <c r="F59" s="90" t="s">
        <v>30</v>
      </c>
      <c r="G59" s="90" t="s">
        <v>30</v>
      </c>
      <c r="H59" s="90" t="s">
        <v>30</v>
      </c>
      <c r="I59" s="90"/>
      <c r="J59" s="90"/>
      <c r="K59" s="288"/>
      <c r="L59" s="289"/>
    </row>
    <row r="60" spans="2:12" ht="409.5" customHeight="1">
      <c r="B60" s="229" t="s">
        <v>165</v>
      </c>
      <c r="C60" s="229"/>
      <c r="D60" s="90" t="s">
        <v>31</v>
      </c>
      <c r="E60" s="90" t="s">
        <v>31</v>
      </c>
      <c r="F60" s="90" t="s">
        <v>33</v>
      </c>
      <c r="G60" s="90" t="s">
        <v>31</v>
      </c>
      <c r="H60" s="90" t="s">
        <v>31</v>
      </c>
      <c r="I60" s="90"/>
      <c r="J60" s="90"/>
      <c r="K60" s="372" t="s">
        <v>256</v>
      </c>
      <c r="L60" s="373"/>
    </row>
    <row r="61" spans="2:12" ht="129.75" customHeight="1">
      <c r="B61" s="338" t="s">
        <v>166</v>
      </c>
      <c r="C61" s="339"/>
      <c r="D61" s="90" t="s">
        <v>30</v>
      </c>
      <c r="E61" s="90" t="s">
        <v>30</v>
      </c>
      <c r="F61" s="90" t="s">
        <v>30</v>
      </c>
      <c r="G61" s="90" t="s">
        <v>30</v>
      </c>
      <c r="H61" s="90" t="s">
        <v>30</v>
      </c>
      <c r="I61" s="90"/>
      <c r="J61" s="90"/>
      <c r="K61" s="374"/>
      <c r="L61" s="375"/>
    </row>
    <row r="62" spans="2:12" ht="408.75" customHeight="1">
      <c r="B62" s="326" t="s">
        <v>167</v>
      </c>
      <c r="C62" s="326"/>
      <c r="D62" s="90" t="s">
        <v>30</v>
      </c>
      <c r="E62" s="90" t="s">
        <v>30</v>
      </c>
      <c r="F62" s="90" t="s">
        <v>30</v>
      </c>
      <c r="G62" s="90" t="s">
        <v>30</v>
      </c>
      <c r="H62" s="90" t="s">
        <v>30</v>
      </c>
      <c r="I62" s="90"/>
      <c r="J62" s="90"/>
      <c r="K62" s="376"/>
      <c r="L62" s="377"/>
    </row>
    <row r="63" spans="2:12" ht="234.75" customHeight="1">
      <c r="B63" s="229" t="s">
        <v>168</v>
      </c>
      <c r="C63" s="229"/>
      <c r="D63" s="90" t="s">
        <v>31</v>
      </c>
      <c r="E63" s="90" t="s">
        <v>31</v>
      </c>
      <c r="F63" s="90" t="s">
        <v>31</v>
      </c>
      <c r="G63" s="90" t="s">
        <v>31</v>
      </c>
      <c r="H63" s="90" t="s">
        <v>31</v>
      </c>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NO CUMPLE</v>
      </c>
      <c r="G64" s="18" t="str">
        <f t="shared" si="10"/>
        <v>CUMPLE</v>
      </c>
      <c r="H64" s="18" t="str">
        <f t="shared" si="10"/>
        <v>CUMPLE</v>
      </c>
      <c r="I64" s="18" t="str">
        <f t="shared" si="10"/>
        <v>N/A</v>
      </c>
      <c r="J64" s="18" t="str">
        <f t="shared" si="10"/>
        <v>N/A</v>
      </c>
      <c r="K64" s="166"/>
      <c r="L64" s="167"/>
    </row>
    <row r="65" spans="2:12" ht="81.75" customHeight="1">
      <c r="B65" s="229" t="s">
        <v>170</v>
      </c>
      <c r="C65" s="229"/>
      <c r="D65" s="90" t="s">
        <v>31</v>
      </c>
      <c r="E65" s="90"/>
      <c r="F65" s="90"/>
      <c r="G65" s="90" t="s">
        <v>31</v>
      </c>
      <c r="H65" s="90"/>
      <c r="I65" s="90"/>
      <c r="J65" s="90"/>
      <c r="K65" s="288"/>
      <c r="L65" s="289"/>
    </row>
  </sheetData>
  <sheetProtection formatCells="0" formatColumns="0" formatRows="0"/>
  <mergeCells count="78">
    <mergeCell ref="B64:C64"/>
    <mergeCell ref="B65:C65"/>
    <mergeCell ref="K65:L65"/>
    <mergeCell ref="B61:C61"/>
    <mergeCell ref="B62:C62"/>
    <mergeCell ref="B63:C63"/>
    <mergeCell ref="K63:L63"/>
    <mergeCell ref="B58:C58"/>
    <mergeCell ref="K58:L58"/>
    <mergeCell ref="B59:C59"/>
    <mergeCell ref="K59:L59"/>
    <mergeCell ref="B60:C60"/>
    <mergeCell ref="K60:L62"/>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1088" priority="22">
      <formula>NOT(ISERROR(D25))</formula>
    </cfRule>
    <cfRule type="containsBlanks" dxfId="1087" priority="21">
      <formula>LEN(TRIM(D25))=0</formula>
    </cfRule>
  </conditionalFormatting>
  <conditionalFormatting sqref="D34:J34 D24:K24">
    <cfRule type="containsBlanks" dxfId="1086" priority="23">
      <formula>LEN(TRIM(D24))=0</formula>
    </cfRule>
  </conditionalFormatting>
  <conditionalFormatting sqref="D37:J37">
    <cfRule type="containsBlanks" dxfId="1085" priority="19">
      <formula>LEN(TRIM(D37))=0</formula>
    </cfRule>
    <cfRule type="notContainsErrors" dxfId="1084" priority="20">
      <formula>NOT(ISERROR(D37))</formula>
    </cfRule>
  </conditionalFormatting>
  <conditionalFormatting sqref="D40:J40">
    <cfRule type="containsBlanks" dxfId="1083" priority="17">
      <formula>LEN(TRIM(D40))=0</formula>
    </cfRule>
    <cfRule type="notContainsErrors" dxfId="1082" priority="18">
      <formula>NOT(ISERROR(D40))</formula>
    </cfRule>
  </conditionalFormatting>
  <conditionalFormatting sqref="D43:J43">
    <cfRule type="containsBlanks" dxfId="1081" priority="15">
      <formula>LEN(TRIM(D43))=0</formula>
    </cfRule>
    <cfRule type="notContainsErrors" dxfId="1080" priority="16">
      <formula>NOT(ISERROR(D43))</formula>
    </cfRule>
  </conditionalFormatting>
  <conditionalFormatting sqref="D46:J53">
    <cfRule type="containsBlanks" dxfId="1079" priority="13">
      <formula>LEN(TRIM(D46))=0</formula>
    </cfRule>
    <cfRule type="cellIs" dxfId="1078" priority="11" operator="equal">
      <formula>"NO CUMPLE"</formula>
    </cfRule>
    <cfRule type="cellIs" dxfId="1077" priority="12" operator="equal">
      <formula>"CUMPLE"</formula>
    </cfRule>
    <cfRule type="notContainsErrors" dxfId="1076" priority="14">
      <formula>NOT(ISERROR(D46))</formula>
    </cfRule>
  </conditionalFormatting>
  <conditionalFormatting sqref="D54:J54">
    <cfRule type="cellIs" dxfId="1075" priority="49" operator="equal">
      <formula>"CUMPLE"</formula>
    </cfRule>
    <cfRule type="cellIs" dxfId="1074" priority="45" operator="equal">
      <formula>"N/A"</formula>
    </cfRule>
    <cfRule type="cellIs" dxfId="1073" priority="51" operator="equal">
      <formula>"""CUMPLE"""</formula>
    </cfRule>
    <cfRule type="cellIs" dxfId="1072" priority="50" operator="equal">
      <formula>"NO CUMPLE"</formula>
    </cfRule>
  </conditionalFormatting>
  <conditionalFormatting sqref="D55:J63">
    <cfRule type="cellIs" dxfId="1071" priority="7" operator="equal">
      <formula>"NO CUMPLE"</formula>
    </cfRule>
    <cfRule type="cellIs" dxfId="1070" priority="8" operator="equal">
      <formula>"CUMPLE"</formula>
    </cfRule>
    <cfRule type="containsBlanks" dxfId="1069" priority="9">
      <formula>LEN(TRIM(D55))=0</formula>
    </cfRule>
    <cfRule type="notContainsErrors" dxfId="1068" priority="10">
      <formula>NOT(ISERROR(D55))</formula>
    </cfRule>
  </conditionalFormatting>
  <conditionalFormatting sqref="D64:J64">
    <cfRule type="cellIs" dxfId="1067" priority="42" operator="equal">
      <formula>"CUMPLE"</formula>
    </cfRule>
    <cfRule type="cellIs" dxfId="1066" priority="41" operator="equal">
      <formula>"N/A"</formula>
    </cfRule>
    <cfRule type="cellIs" dxfId="1065" priority="43" operator="equal">
      <formula>"NO CUMPLE"</formula>
    </cfRule>
    <cfRule type="cellIs" dxfId="1064" priority="44" operator="equal">
      <formula>"""CUMPLE"""</formula>
    </cfRule>
  </conditionalFormatting>
  <conditionalFormatting sqref="D65:J65">
    <cfRule type="cellIs" dxfId="1063" priority="2" operator="equal">
      <formula>"CUMPLE"</formula>
    </cfRule>
    <cfRule type="cellIs" dxfId="1062" priority="1" operator="equal">
      <formula>"NO CUMPLE"</formula>
    </cfRule>
  </conditionalFormatting>
  <conditionalFormatting sqref="D24:K24 D34:J34">
    <cfRule type="notContainsErrors" dxfId="1061" priority="24">
      <formula>NOT(ISERROR(D24))</formula>
    </cfRule>
  </conditionalFormatting>
  <conditionalFormatting sqref="D65:K65">
    <cfRule type="containsBlanks" dxfId="1060" priority="3">
      <formula>LEN(TRIM(D65))=0</formula>
    </cfRule>
    <cfRule type="notContainsErrors" dxfId="1059" priority="4">
      <formula>NOT(ISERROR(D65))</formula>
    </cfRule>
  </conditionalFormatting>
  <conditionalFormatting sqref="F20:H20">
    <cfRule type="cellIs" dxfId="1058" priority="55" operator="equal">
      <formula>"CUMPLE"</formula>
    </cfRule>
    <cfRule type="cellIs" dxfId="1057" priority="56" operator="equal">
      <formula>"NO CUMPLE"</formula>
    </cfRule>
    <cfRule type="cellIs" dxfId="1056" priority="57" operator="equal">
      <formula>"""CUMPLE"""</formula>
    </cfRule>
  </conditionalFormatting>
  <conditionalFormatting sqref="I11">
    <cfRule type="containsText" dxfId="1055" priority="58" operator="containsText" text="INHABILITADO">
      <formula>NOT(ISERROR(SEARCH("INHABILITADO",I11)))</formula>
    </cfRule>
    <cfRule type="containsText" dxfId="1054" priority="59" operator="containsText" text="HABILITADO">
      <formula>NOT(ISERROR(SEARCH("HABILITADO",I11)))</formula>
    </cfRule>
    <cfRule type="containsText" dxfId="1053" priority="60" operator="containsText" text="HABILITADO">
      <formula>NOT(ISERROR(SEARCH("HABILITADO",I11)))</formula>
    </cfRule>
    <cfRule type="containsText" dxfId="1052" priority="61" operator="containsText" text="NO CUMPLE">
      <formula>NOT(ISERROR(SEARCH("NO CUMPLE",I11)))</formula>
    </cfRule>
  </conditionalFormatting>
  <conditionalFormatting sqref="J20">
    <cfRule type="cellIs" dxfId="1051" priority="31" operator="equal">
      <formula>"NO"</formula>
    </cfRule>
    <cfRule type="cellIs" dxfId="1050" priority="32" operator="equal">
      <formula>"SI"</formula>
    </cfRule>
  </conditionalFormatting>
  <conditionalFormatting sqref="K19">
    <cfRule type="cellIs" dxfId="1049" priority="46" operator="equal">
      <formula>"CUMPLE"</formula>
    </cfRule>
    <cfRule type="cellIs" dxfId="1048" priority="47" operator="equal">
      <formula>"NO CUMPLE"</formula>
    </cfRule>
    <cfRule type="cellIs" dxfId="1047" priority="48" operator="equal">
      <formula>"""CUMPLE"""</formula>
    </cfRule>
  </conditionalFormatting>
  <conditionalFormatting sqref="K25:K60 K63">
    <cfRule type="containsBlanks" dxfId="1046" priority="5">
      <formula>LEN(TRIM(K25))=0</formula>
    </cfRule>
    <cfRule type="notContainsErrors" dxfId="1045" priority="6">
      <formula>NOT(ISERROR(K25))</formula>
    </cfRule>
  </conditionalFormatting>
  <conditionalFormatting sqref="K64:L64">
    <cfRule type="notContainsErrors" dxfId="1044" priority="40">
      <formula>NOT(ISERROR(K64))</formula>
    </cfRule>
    <cfRule type="containsBlanks" dxfId="1043" priority="39">
      <formula>LEN(TRIM(K64))=0</formula>
    </cfRule>
  </conditionalFormatting>
  <conditionalFormatting sqref="L15">
    <cfRule type="cellIs" dxfId="1042" priority="52" operator="equal">
      <formula>"CUMPLE"</formula>
    </cfRule>
    <cfRule type="cellIs" dxfId="1041" priority="53" operator="equal">
      <formula>"NO CUMPLE"</formula>
    </cfRule>
    <cfRule type="cellIs" dxfId="1040" priority="54" operator="equal">
      <formula>"""CUMPLE"""</formula>
    </cfRule>
  </conditionalFormatting>
  <conditionalFormatting sqref="L20">
    <cfRule type="cellIs" dxfId="1039" priority="30" operator="equal">
      <formula>"SI"</formula>
    </cfRule>
    <cfRule type="cellIs" dxfId="1038" priority="29" operator="equal">
      <formula>"NO"</formula>
    </cfRule>
  </conditionalFormatting>
  <dataValidations count="3">
    <dataValidation type="list" allowBlank="1" showInputMessage="1" showErrorMessage="1" sqref="D65:I65" xr:uid="{00000000-0002-0000-0800-000000000000}">
      <formula1>"CUMPLE,NO CUMPLE"</formula1>
    </dataValidation>
    <dataValidation type="list" allowBlank="1" showInputMessage="1" showErrorMessage="1" sqref="D24:J26" xr:uid="{00000000-0002-0000-0800-000001000000}">
      <formula1>$C$15:$C$19</formula1>
    </dataValidation>
    <dataValidation type="list" allowBlank="1" showInputMessage="1" showErrorMessage="1" sqref="L57:L59 L63:L64" xr:uid="{00000000-0002-0000-0800-000002000000}">
      <formula1>"0,1,2,3,4,5,6"</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800-000003000000}">
          <x14:formula1>
            <xm:f>'DATOS INICIALES'!$A$13:$A$41</xm:f>
          </x14:formula1>
          <xm:sqref>D31:I31</xm:sqref>
        </x14:dataValidation>
        <x14:dataValidation type="list" allowBlank="1" showInputMessage="1" showErrorMessage="1" xr:uid="{00000000-0002-0000-0800-000004000000}">
          <x14:formula1>
            <xm:f>'DATOS INICIALES'!$D$21:$D$25</xm:f>
          </x14:formula1>
          <xm:sqref>M47:M54</xm:sqref>
        </x14:dataValidation>
        <x14:dataValidation type="list" allowBlank="1" showInputMessage="1" showErrorMessage="1" xr:uid="{00000000-0002-0000-0800-000005000000}">
          <x14:formula1>
            <xm:f>'DATOS INICIALES'!$A$53:$A$58</xm:f>
          </x14:formula1>
          <xm:sqref>D23:I23</xm:sqref>
        </x14:dataValidation>
        <x14:dataValidation type="list" allowBlank="1" showInputMessage="1" showErrorMessage="1" xr:uid="{00000000-0002-0000-0800-000006000000}">
          <x14:formula1>
            <xm:f>'DATOS INICIALES'!$A$49:$A$51</xm:f>
          </x14:formula1>
          <xm:sqref>D55:I57 D58:J63 J55:J56 D46:J46</xm:sqref>
        </x14:dataValidation>
        <x14:dataValidation type="list" allowBlank="1" showInputMessage="1" showErrorMessage="1" xr:uid="{00000000-0002-0000-0800-000007000000}">
          <x14:formula1>
            <xm:f>'DATOS INICIALES'!$C$44:$C$45</xm:f>
          </x14:formula1>
          <xm:sqref>D47:I53 J47:J52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65"/>
  <sheetViews>
    <sheetView view="pageBreakPreview" zoomScale="40" zoomScaleNormal="55" zoomScaleSheetLayoutView="40" workbookViewId="0">
      <pane ySplit="11" topLeftCell="A19" activePane="bottomLeft" state="frozenSplit"/>
      <selection activeCell="J19" sqref="J19"/>
      <selection pane="bottomLeft" activeCell="J19" sqref="J19"/>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+PROPONENTES!B15</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1</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8875.61</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257</v>
      </c>
      <c r="E24" s="90"/>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258</v>
      </c>
      <c r="E27" s="91"/>
      <c r="F27" s="91"/>
      <c r="G27" s="91"/>
      <c r="H27" s="91"/>
      <c r="I27" s="91"/>
      <c r="J27" s="91"/>
      <c r="K27" s="288"/>
      <c r="L27" s="289"/>
    </row>
    <row r="28" spans="2:14" ht="156.75" customHeight="1">
      <c r="B28" s="336"/>
      <c r="C28" s="28" t="s">
        <v>127</v>
      </c>
      <c r="D28" s="91" t="s">
        <v>259</v>
      </c>
      <c r="E28" s="91"/>
      <c r="F28" s="91"/>
      <c r="G28" s="91"/>
      <c r="H28" s="91"/>
      <c r="I28" s="91"/>
      <c r="J28" s="91"/>
      <c r="K28" s="288"/>
      <c r="L28" s="289"/>
    </row>
    <row r="29" spans="2:14" ht="52.5" customHeight="1">
      <c r="B29" s="336"/>
      <c r="C29" s="28" t="s">
        <v>132</v>
      </c>
      <c r="D29" s="95">
        <v>44574</v>
      </c>
      <c r="E29" s="95"/>
      <c r="F29" s="95"/>
      <c r="G29" s="95"/>
      <c r="H29" s="95"/>
      <c r="I29" s="95"/>
      <c r="J29" s="95"/>
      <c r="K29" s="288"/>
      <c r="L29" s="289"/>
    </row>
    <row r="30" spans="2:14" ht="54.75" customHeight="1">
      <c r="B30" s="336"/>
      <c r="C30" s="28" t="s">
        <v>133</v>
      </c>
      <c r="D30" s="95">
        <v>44851</v>
      </c>
      <c r="E30" s="95"/>
      <c r="F30" s="95"/>
      <c r="G30" s="95"/>
      <c r="H30" s="95"/>
      <c r="I30" s="95"/>
      <c r="J30" s="95"/>
      <c r="K30" s="288"/>
      <c r="L30" s="289"/>
    </row>
    <row r="31" spans="2:14" ht="41.25" customHeight="1">
      <c r="B31" s="336"/>
      <c r="C31" s="28" t="s">
        <v>134</v>
      </c>
      <c r="D31" s="92">
        <v>2022</v>
      </c>
      <c r="E31" s="92"/>
      <c r="F31" s="92"/>
      <c r="G31" s="92"/>
      <c r="H31" s="92"/>
      <c r="I31" s="92"/>
      <c r="J31" s="92"/>
      <c r="K31" s="288"/>
      <c r="L31" s="289"/>
    </row>
    <row r="32" spans="2:14" ht="63" customHeight="1">
      <c r="B32" s="336"/>
      <c r="C32" s="28" t="s">
        <v>135</v>
      </c>
      <c r="D32" s="91" t="s">
        <v>245</v>
      </c>
      <c r="E32" s="91"/>
      <c r="F32" s="91"/>
      <c r="G32" s="91"/>
      <c r="H32" s="91"/>
      <c r="I32" s="91"/>
      <c r="J32" s="91"/>
      <c r="K32" s="288"/>
      <c r="L32" s="289"/>
    </row>
    <row r="33" spans="2:12" ht="46.5" customHeight="1">
      <c r="B33" s="336"/>
      <c r="C33" s="28" t="s">
        <v>140</v>
      </c>
      <c r="D33" s="91" t="s">
        <v>260</v>
      </c>
      <c r="E33" s="91"/>
      <c r="F33" s="91"/>
      <c r="G33" s="91"/>
      <c r="H33" s="91"/>
      <c r="I33" s="91"/>
      <c r="J33" s="91"/>
      <c r="K33" s="288"/>
      <c r="L33" s="289"/>
    </row>
    <row r="34" spans="2:12" ht="27.75" customHeight="1">
      <c r="B34" s="336"/>
      <c r="C34" s="30" t="s">
        <v>144</v>
      </c>
      <c r="D34" s="96">
        <v>92</v>
      </c>
      <c r="E34" s="96"/>
      <c r="F34" s="96"/>
      <c r="G34" s="97"/>
      <c r="H34" s="97"/>
      <c r="I34" s="97"/>
      <c r="J34" s="97"/>
      <c r="K34" s="288"/>
      <c r="L34" s="289"/>
    </row>
    <row r="35" spans="2:12" ht="102.75" customHeight="1">
      <c r="B35" s="336"/>
      <c r="C35" s="28" t="s">
        <v>145</v>
      </c>
      <c r="D35" s="93">
        <v>8875.61</v>
      </c>
      <c r="E35" s="93"/>
      <c r="F35" s="93"/>
      <c r="G35" s="93"/>
      <c r="H35" s="93"/>
      <c r="I35" s="93"/>
      <c r="J35" s="93"/>
      <c r="K35" s="290"/>
      <c r="L35" s="291"/>
    </row>
    <row r="36" spans="2:12" ht="48" customHeight="1">
      <c r="B36" s="336"/>
      <c r="C36" s="28" t="s">
        <v>146</v>
      </c>
      <c r="D36" s="105">
        <f>IFERROR(D35*VLOOKUP(D31,'DATOS INICIALES'!$A$12:$B$41,2,0),"0")</f>
        <v>8875610000</v>
      </c>
      <c r="E36" s="105" t="str">
        <f>IFERROR(E35*VLOOKUP(E31,'DATOS INICIALES'!$A$12:$B$41,2,0),"0")</f>
        <v>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c r="F37" s="94"/>
      <c r="G37" s="94"/>
      <c r="H37" s="94"/>
      <c r="I37" s="94"/>
      <c r="J37" s="94"/>
      <c r="K37" s="288"/>
      <c r="L37" s="289"/>
    </row>
    <row r="38" spans="2:12" ht="48.75" customHeight="1">
      <c r="B38" s="336"/>
      <c r="C38" s="28" t="s">
        <v>148</v>
      </c>
      <c r="D38" s="105">
        <f t="shared" ref="D38:J38" si="3">IF(D24="","0",D37*D36)</f>
        <v>8875610000</v>
      </c>
      <c r="E38" s="105" t="str">
        <f t="shared" si="3"/>
        <v>0</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8875.61</v>
      </c>
      <c r="E39" s="106">
        <f t="shared" si="4"/>
        <v>0</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c r="F46" s="90"/>
      <c r="G46" s="90"/>
      <c r="H46" s="90"/>
      <c r="I46" s="90"/>
      <c r="J46" s="90"/>
      <c r="K46" s="288"/>
      <c r="L46" s="289"/>
    </row>
    <row r="47" spans="2:12" ht="24.75" customHeight="1">
      <c r="B47" s="327" t="s">
        <v>158</v>
      </c>
      <c r="C47" s="31">
        <f>+'DATOS INICIALES'!D21</f>
        <v>70101700</v>
      </c>
      <c r="D47" s="96" t="s">
        <v>27</v>
      </c>
      <c r="E47" s="96"/>
      <c r="F47" s="96"/>
      <c r="G47" s="96"/>
      <c r="H47" s="96"/>
      <c r="I47" s="96"/>
      <c r="J47" s="97"/>
      <c r="K47" s="288"/>
      <c r="L47" s="289"/>
    </row>
    <row r="48" spans="2:12" ht="24.75" customHeight="1">
      <c r="B48" s="328"/>
      <c r="C48" s="31">
        <f>+'DATOS INICIALES'!D22</f>
        <v>80101600</v>
      </c>
      <c r="D48" s="96" t="s">
        <v>27</v>
      </c>
      <c r="E48" s="96"/>
      <c r="F48" s="96"/>
      <c r="G48" s="96"/>
      <c r="H48" s="96"/>
      <c r="I48" s="96"/>
      <c r="J48" s="97"/>
      <c r="K48" s="288"/>
      <c r="L48" s="289"/>
    </row>
    <row r="49" spans="2:12" ht="24.75" customHeight="1">
      <c r="B49" s="328"/>
      <c r="C49" s="31">
        <f>+'DATOS INICIALES'!D23</f>
        <v>80101500</v>
      </c>
      <c r="D49" s="96" t="s">
        <v>27</v>
      </c>
      <c r="E49" s="96"/>
      <c r="F49" s="96"/>
      <c r="G49" s="96"/>
      <c r="H49" s="96"/>
      <c r="I49" s="96"/>
      <c r="J49" s="97"/>
      <c r="K49" s="288"/>
      <c r="L49" s="289"/>
    </row>
    <row r="50" spans="2:12" ht="24.75" customHeight="1">
      <c r="B50" s="328"/>
      <c r="C50" s="31">
        <f>+'DATOS INICIALES'!D24</f>
        <v>86101700</v>
      </c>
      <c r="D50" s="96" t="s">
        <v>27</v>
      </c>
      <c r="E50" s="96"/>
      <c r="F50" s="96"/>
      <c r="G50" s="96"/>
      <c r="H50" s="96"/>
      <c r="I50" s="96"/>
      <c r="J50" s="97"/>
      <c r="K50" s="288"/>
      <c r="L50" s="289"/>
    </row>
    <row r="51" spans="2:12" ht="24.75" customHeight="1">
      <c r="B51" s="328"/>
      <c r="C51" s="31">
        <f>+'DATOS INICIALES'!D25</f>
        <v>80161500</v>
      </c>
      <c r="D51" s="96" t="s">
        <v>27</v>
      </c>
      <c r="E51" s="96"/>
      <c r="F51" s="96"/>
      <c r="G51" s="96"/>
      <c r="H51" s="96"/>
      <c r="I51" s="96"/>
      <c r="J51" s="97"/>
      <c r="K51" s="288"/>
      <c r="L51" s="289"/>
    </row>
    <row r="52" spans="2:12" ht="24.75" customHeight="1">
      <c r="B52" s="328"/>
      <c r="C52" s="31">
        <f>+'DATOS INICIALES'!D26</f>
        <v>93141500</v>
      </c>
      <c r="D52" s="96"/>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N/A</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c r="F55" s="90"/>
      <c r="G55" s="90"/>
      <c r="H55" s="90"/>
      <c r="I55" s="90"/>
      <c r="J55" s="90"/>
      <c r="K55" s="295"/>
      <c r="L55" s="296"/>
    </row>
    <row r="56" spans="2:12" ht="353.25" hidden="1" customHeight="1">
      <c r="B56" s="330" t="s">
        <v>161</v>
      </c>
      <c r="C56" s="331"/>
      <c r="D56" s="90" t="s">
        <v>31</v>
      </c>
      <c r="E56" s="90"/>
      <c r="F56" s="90"/>
      <c r="G56" s="90"/>
      <c r="H56" s="90"/>
      <c r="I56" s="90"/>
      <c r="J56" s="90"/>
      <c r="K56" s="295"/>
      <c r="L56" s="296"/>
    </row>
    <row r="57" spans="2:12" ht="99" customHeight="1">
      <c r="B57" s="324" t="s">
        <v>162</v>
      </c>
      <c r="C57" s="325"/>
      <c r="D57" s="90" t="s">
        <v>31</v>
      </c>
      <c r="E57" s="90"/>
      <c r="F57" s="90"/>
      <c r="G57" s="90"/>
      <c r="H57" s="90"/>
      <c r="I57" s="90"/>
      <c r="J57" s="90"/>
      <c r="K57" s="288"/>
      <c r="L57" s="289"/>
    </row>
    <row r="58" spans="2:12" ht="105.75" customHeight="1">
      <c r="B58" s="324" t="s">
        <v>163</v>
      </c>
      <c r="C58" s="325"/>
      <c r="D58" s="90" t="s">
        <v>31</v>
      </c>
      <c r="E58" s="90"/>
      <c r="F58" s="90"/>
      <c r="G58" s="90"/>
      <c r="H58" s="90"/>
      <c r="I58" s="90"/>
      <c r="J58" s="90"/>
      <c r="K58" s="288"/>
      <c r="L58" s="289"/>
    </row>
    <row r="59" spans="2:12" ht="291.75" customHeight="1">
      <c r="B59" s="324" t="s">
        <v>164</v>
      </c>
      <c r="C59" s="325"/>
      <c r="D59" s="90" t="s">
        <v>30</v>
      </c>
      <c r="E59" s="90"/>
      <c r="F59" s="90"/>
      <c r="G59" s="90"/>
      <c r="H59" s="90"/>
      <c r="I59" s="90"/>
      <c r="J59" s="90"/>
      <c r="K59" s="288"/>
      <c r="L59" s="289"/>
    </row>
    <row r="60" spans="2:12" ht="336" customHeight="1">
      <c r="B60" s="229" t="s">
        <v>165</v>
      </c>
      <c r="C60" s="229"/>
      <c r="D60" s="90" t="s">
        <v>31</v>
      </c>
      <c r="E60" s="90"/>
      <c r="F60" s="90"/>
      <c r="G60" s="90"/>
      <c r="H60" s="90"/>
      <c r="I60" s="90"/>
      <c r="J60" s="90"/>
      <c r="K60" s="290"/>
      <c r="L60" s="291"/>
    </row>
    <row r="61" spans="2:12" ht="129.75" customHeight="1">
      <c r="B61" s="338" t="s">
        <v>166</v>
      </c>
      <c r="C61" s="339"/>
      <c r="D61" s="90" t="s">
        <v>30</v>
      </c>
      <c r="E61" s="90"/>
      <c r="F61" s="90"/>
      <c r="G61" s="90"/>
      <c r="H61" s="90"/>
      <c r="I61" s="90"/>
      <c r="J61" s="90"/>
      <c r="K61" s="288"/>
      <c r="L61" s="289"/>
    </row>
    <row r="62" spans="2:12" ht="408.75" customHeight="1">
      <c r="B62" s="326" t="s">
        <v>167</v>
      </c>
      <c r="C62" s="326"/>
      <c r="D62" s="90" t="s">
        <v>30</v>
      </c>
      <c r="E62" s="90"/>
      <c r="F62" s="90"/>
      <c r="G62" s="90"/>
      <c r="H62" s="90"/>
      <c r="I62" s="90"/>
      <c r="J62" s="90"/>
      <c r="K62" s="288"/>
      <c r="L62" s="289"/>
    </row>
    <row r="63" spans="2:12" ht="234.75" customHeight="1">
      <c r="B63" s="229" t="s">
        <v>168</v>
      </c>
      <c r="C63" s="229"/>
      <c r="D63" s="90" t="s">
        <v>31</v>
      </c>
      <c r="E63" s="90"/>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N/A</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037" priority="13">
      <formula>LEN(TRIM(D25))=0</formula>
    </cfRule>
    <cfRule type="notContainsErrors" dxfId="1036" priority="14">
      <formula>NOT(ISERROR(D25))</formula>
    </cfRule>
  </conditionalFormatting>
  <conditionalFormatting sqref="D34:J34 D24:K24">
    <cfRule type="containsBlanks" dxfId="1035" priority="15">
      <formula>LEN(TRIM(D24))=0</formula>
    </cfRule>
  </conditionalFormatting>
  <conditionalFormatting sqref="D37:J37 D40:J40 D43:J43 K64:L64">
    <cfRule type="containsBlanks" dxfId="1034" priority="31">
      <formula>LEN(TRIM(D37))=0</formula>
    </cfRule>
    <cfRule type="notContainsErrors" dxfId="1033" priority="32">
      <formula>NOT(ISERROR(D37))</formula>
    </cfRule>
  </conditionalFormatting>
  <conditionalFormatting sqref="D46:J53">
    <cfRule type="containsBlanks" dxfId="1032" priority="11">
      <formula>LEN(TRIM(D46))=0</formula>
    </cfRule>
    <cfRule type="cellIs" dxfId="1031" priority="9" operator="equal">
      <formula>"NO CUMPLE"</formula>
    </cfRule>
    <cfRule type="cellIs" dxfId="1030" priority="10" operator="equal">
      <formula>"CUMPLE"</formula>
    </cfRule>
    <cfRule type="notContainsErrors" dxfId="1029" priority="12">
      <formula>NOT(ISERROR(D46))</formula>
    </cfRule>
  </conditionalFormatting>
  <conditionalFormatting sqref="D54:J54">
    <cfRule type="cellIs" dxfId="1028" priority="42" operator="equal">
      <formula>"NO CUMPLE"</formula>
    </cfRule>
    <cfRule type="cellIs" dxfId="1027" priority="41" operator="equal">
      <formula>"CUMPLE"</formula>
    </cfRule>
    <cfRule type="cellIs" dxfId="1026" priority="37" operator="equal">
      <formula>"N/A"</formula>
    </cfRule>
    <cfRule type="cellIs" dxfId="1025" priority="43" operator="equal">
      <formula>"""CUMPLE"""</formula>
    </cfRule>
  </conditionalFormatting>
  <conditionalFormatting sqref="D55:J63">
    <cfRule type="cellIs" dxfId="1024" priority="5" operator="equal">
      <formula>"NO CUMPLE"</formula>
    </cfRule>
    <cfRule type="cellIs" dxfId="1023" priority="6" operator="equal">
      <formula>"CUMPLE"</formula>
    </cfRule>
    <cfRule type="containsBlanks" dxfId="1022" priority="7">
      <formula>LEN(TRIM(D55))=0</formula>
    </cfRule>
    <cfRule type="notContainsErrors" dxfId="1021" priority="8">
      <formula>NOT(ISERROR(D55))</formula>
    </cfRule>
  </conditionalFormatting>
  <conditionalFormatting sqref="D64:J64">
    <cfRule type="cellIs" dxfId="1020" priority="35" operator="equal">
      <formula>"NO CUMPLE"</formula>
    </cfRule>
    <cfRule type="cellIs" dxfId="1019" priority="36" operator="equal">
      <formula>"""CUMPLE"""</formula>
    </cfRule>
    <cfRule type="cellIs" dxfId="1018" priority="33" operator="equal">
      <formula>"N/A"</formula>
    </cfRule>
    <cfRule type="cellIs" dxfId="1017" priority="34" operator="equal">
      <formula>"CUMPLE"</formula>
    </cfRule>
  </conditionalFormatting>
  <conditionalFormatting sqref="D65:J65">
    <cfRule type="cellIs" dxfId="1016" priority="2" operator="equal">
      <formula>"CUMPLE"</formula>
    </cfRule>
    <cfRule type="cellIs" dxfId="1015" priority="1" operator="equal">
      <formula>"NO CUMPLE"</formula>
    </cfRule>
  </conditionalFormatting>
  <conditionalFormatting sqref="D24:K24 D34:J34">
    <cfRule type="notContainsErrors" dxfId="1014" priority="16">
      <formula>NOT(ISERROR(D24))</formula>
    </cfRule>
  </conditionalFormatting>
  <conditionalFormatting sqref="D65:K65">
    <cfRule type="containsBlanks" dxfId="1013" priority="3">
      <formula>LEN(TRIM(D65))=0</formula>
    </cfRule>
    <cfRule type="notContainsErrors" dxfId="1012" priority="4">
      <formula>NOT(ISERROR(D65))</formula>
    </cfRule>
  </conditionalFormatting>
  <conditionalFormatting sqref="F20:H20">
    <cfRule type="cellIs" dxfId="1011" priority="47" operator="equal">
      <formula>"CUMPLE"</formula>
    </cfRule>
    <cfRule type="cellIs" dxfId="1010" priority="48" operator="equal">
      <formula>"NO CUMPLE"</formula>
    </cfRule>
    <cfRule type="cellIs" dxfId="1009" priority="49" operator="equal">
      <formula>"""CUMPLE"""</formula>
    </cfRule>
  </conditionalFormatting>
  <conditionalFormatting sqref="I11">
    <cfRule type="containsText" dxfId="1008" priority="50" operator="containsText" text="INHABILITADO">
      <formula>NOT(ISERROR(SEARCH("INHABILITADO",I11)))</formula>
    </cfRule>
    <cfRule type="containsText" dxfId="1007" priority="51" operator="containsText" text="HABILITADO">
      <formula>NOT(ISERROR(SEARCH("HABILITADO",I11)))</formula>
    </cfRule>
    <cfRule type="containsText" dxfId="1006" priority="52" operator="containsText" text="HABILITADO">
      <formula>NOT(ISERROR(SEARCH("HABILITADO",I11)))</formula>
    </cfRule>
    <cfRule type="containsText" dxfId="1005" priority="53" operator="containsText" text="NO CUMPLE">
      <formula>NOT(ISERROR(SEARCH("NO CUMPLE",I11)))</formula>
    </cfRule>
  </conditionalFormatting>
  <conditionalFormatting sqref="J20">
    <cfRule type="cellIs" dxfId="1004" priority="24" operator="equal">
      <formula>"SI"</formula>
    </cfRule>
    <cfRule type="cellIs" dxfId="1003" priority="23" operator="equal">
      <formula>"NO"</formula>
    </cfRule>
  </conditionalFormatting>
  <conditionalFormatting sqref="K19">
    <cfRule type="cellIs" dxfId="1002" priority="38" operator="equal">
      <formula>"CUMPLE"</formula>
    </cfRule>
    <cfRule type="cellIs" dxfId="1001" priority="39" operator="equal">
      <formula>"NO CUMPLE"</formula>
    </cfRule>
    <cfRule type="cellIs" dxfId="1000" priority="40" operator="equal">
      <formula>"""CUMPLE"""</formula>
    </cfRule>
  </conditionalFormatting>
  <conditionalFormatting sqref="K25:K63">
    <cfRule type="notContainsErrors" dxfId="999" priority="18">
      <formula>NOT(ISERROR(K25))</formula>
    </cfRule>
    <cfRule type="containsBlanks" dxfId="998" priority="17">
      <formula>LEN(TRIM(K25))=0</formula>
    </cfRule>
  </conditionalFormatting>
  <conditionalFormatting sqref="L15">
    <cfRule type="cellIs" dxfId="997" priority="44" operator="equal">
      <formula>"CUMPLE"</formula>
    </cfRule>
    <cfRule type="cellIs" dxfId="996" priority="45" operator="equal">
      <formula>"NO CUMPLE"</formula>
    </cfRule>
    <cfRule type="cellIs" dxfId="995" priority="46" operator="equal">
      <formula>"""CUMPLE"""</formula>
    </cfRule>
  </conditionalFormatting>
  <conditionalFormatting sqref="L20">
    <cfRule type="cellIs" dxfId="994" priority="22" operator="equal">
      <formula>"SI"</formula>
    </cfRule>
    <cfRule type="cellIs" dxfId="993" priority="21" operator="equal">
      <formula>"NO"</formula>
    </cfRule>
  </conditionalFormatting>
  <dataValidations count="3">
    <dataValidation type="list" allowBlank="1" showInputMessage="1" showErrorMessage="1" sqref="L57:L64" xr:uid="{00000000-0002-0000-0900-000000000000}">
      <formula1>"0,1,2,3,4,5,6"</formula1>
    </dataValidation>
    <dataValidation type="list" allowBlank="1" showInputMessage="1" showErrorMessage="1" sqref="D24:J26" xr:uid="{00000000-0002-0000-0900-000001000000}">
      <formula1>$C$15:$C$19</formula1>
    </dataValidation>
    <dataValidation type="list" allowBlank="1" showInputMessage="1" showErrorMessage="1" sqref="D65:I65" xr:uid="{00000000-0002-0000-09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900-000003000000}">
          <x14:formula1>
            <xm:f>'DATOS INICIALES'!$C$44:$C$45</xm:f>
          </x14:formula1>
          <xm:sqref>D47:I53 J47:J52</xm:sqref>
        </x14:dataValidation>
        <x14:dataValidation type="list" allowBlank="1" showInputMessage="1" showErrorMessage="1" xr:uid="{00000000-0002-0000-0900-000004000000}">
          <x14:formula1>
            <xm:f>'DATOS INICIALES'!$A$49:$A$51</xm:f>
          </x14:formula1>
          <xm:sqref>D55:I57 D58:J63 J55:J56 D46:J46</xm:sqref>
        </x14:dataValidation>
        <x14:dataValidation type="list" allowBlank="1" showInputMessage="1" showErrorMessage="1" xr:uid="{00000000-0002-0000-0900-000005000000}">
          <x14:formula1>
            <xm:f>'DATOS INICIALES'!$A$53:$A$58</xm:f>
          </x14:formula1>
          <xm:sqref>D23:I23</xm:sqref>
        </x14:dataValidation>
        <x14:dataValidation type="list" allowBlank="1" showInputMessage="1" showErrorMessage="1" xr:uid="{00000000-0002-0000-0900-000006000000}">
          <x14:formula1>
            <xm:f>'DATOS INICIALES'!$D$21:$D$25</xm:f>
          </x14:formula1>
          <xm:sqref>M47:M54</xm:sqref>
        </x14:dataValidation>
        <x14:dataValidation type="list" allowBlank="1" showInputMessage="1" showErrorMessage="1" xr:uid="{00000000-0002-0000-0900-000007000000}">
          <x14:formula1>
            <xm:f>'DATOS INICIALES'!$A$13:$A$41</xm:f>
          </x14:formula1>
          <xm:sqref>D31:I31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65"/>
  <sheetViews>
    <sheetView view="pageBreakPreview" zoomScale="50" zoomScaleNormal="55" zoomScaleSheetLayoutView="50" workbookViewId="0">
      <pane ySplit="11" topLeftCell="A65" activePane="bottomLeft" state="frozenSplit"/>
      <selection activeCell="J19" sqref="J19"/>
      <selection pane="bottomLeft" activeCell="K65" sqref="K65:L65"/>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+PROPONENTES!B16</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4"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3071.17</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261</v>
      </c>
      <c r="E24" s="90" t="s">
        <v>261</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262</v>
      </c>
      <c r="E27" s="91" t="s">
        <v>263</v>
      </c>
      <c r="F27" s="91"/>
      <c r="G27" s="91"/>
      <c r="H27" s="91"/>
      <c r="I27" s="91"/>
      <c r="J27" s="91"/>
      <c r="K27" s="288"/>
      <c r="L27" s="289"/>
    </row>
    <row r="28" spans="2:14" ht="156.75" customHeight="1">
      <c r="B28" s="336"/>
      <c r="C28" s="28" t="s">
        <v>127</v>
      </c>
      <c r="D28" s="91" t="s">
        <v>264</v>
      </c>
      <c r="E28" s="91" t="s">
        <v>265</v>
      </c>
      <c r="F28" s="91"/>
      <c r="G28" s="91"/>
      <c r="H28" s="91"/>
      <c r="I28" s="91"/>
      <c r="J28" s="91"/>
      <c r="K28" s="288"/>
      <c r="L28" s="289"/>
    </row>
    <row r="29" spans="2:14" ht="52.5" customHeight="1">
      <c r="B29" s="336"/>
      <c r="C29" s="28" t="s">
        <v>132</v>
      </c>
      <c r="D29" s="95">
        <v>44683</v>
      </c>
      <c r="E29" s="95">
        <v>44355</v>
      </c>
      <c r="F29" s="95"/>
      <c r="G29" s="95"/>
      <c r="H29" s="95"/>
      <c r="I29" s="95"/>
      <c r="J29" s="95"/>
      <c r="K29" s="288"/>
      <c r="L29" s="289"/>
    </row>
    <row r="30" spans="2:14" ht="54.75" customHeight="1">
      <c r="B30" s="336"/>
      <c r="C30" s="28" t="s">
        <v>133</v>
      </c>
      <c r="D30" s="95">
        <v>44926</v>
      </c>
      <c r="E30" s="95">
        <v>44907</v>
      </c>
      <c r="F30" s="95"/>
      <c r="G30" s="95"/>
      <c r="H30" s="95"/>
      <c r="I30" s="95"/>
      <c r="J30" s="95"/>
      <c r="K30" s="288"/>
      <c r="L30" s="289"/>
    </row>
    <row r="31" spans="2:14" ht="41.25" customHeight="1">
      <c r="B31" s="336"/>
      <c r="C31" s="28" t="s">
        <v>134</v>
      </c>
      <c r="D31" s="92">
        <v>2022</v>
      </c>
      <c r="E31" s="92">
        <v>2022</v>
      </c>
      <c r="F31" s="92"/>
      <c r="G31" s="92"/>
      <c r="H31" s="92"/>
      <c r="I31" s="92"/>
      <c r="J31" s="92"/>
      <c r="K31" s="288"/>
      <c r="L31" s="289"/>
    </row>
    <row r="32" spans="2:14" ht="63" customHeight="1">
      <c r="B32" s="336"/>
      <c r="C32" s="28" t="s">
        <v>135</v>
      </c>
      <c r="D32" s="91" t="s">
        <v>266</v>
      </c>
      <c r="E32" s="91" t="s">
        <v>266</v>
      </c>
      <c r="F32" s="91"/>
      <c r="G32" s="91"/>
      <c r="H32" s="91"/>
      <c r="I32" s="91"/>
      <c r="J32" s="91"/>
      <c r="K32" s="288"/>
      <c r="L32" s="289"/>
    </row>
    <row r="33" spans="2:12" ht="46.5" customHeight="1">
      <c r="B33" s="336"/>
      <c r="C33" s="28" t="s">
        <v>140</v>
      </c>
      <c r="D33" s="91" t="s">
        <v>261</v>
      </c>
      <c r="E33" s="91" t="s">
        <v>261</v>
      </c>
      <c r="F33" s="91"/>
      <c r="G33" s="91"/>
      <c r="H33" s="91"/>
      <c r="I33" s="91"/>
      <c r="J33" s="91"/>
      <c r="K33" s="288"/>
      <c r="L33" s="289"/>
    </row>
    <row r="34" spans="2:12" ht="27.75" customHeight="1">
      <c r="B34" s="336"/>
      <c r="C34" s="30" t="s">
        <v>144</v>
      </c>
      <c r="D34" s="96">
        <v>78</v>
      </c>
      <c r="E34" s="96">
        <v>73</v>
      </c>
      <c r="F34" s="96"/>
      <c r="G34" s="97"/>
      <c r="H34" s="97"/>
      <c r="I34" s="97"/>
      <c r="J34" s="97"/>
      <c r="K34" s="288"/>
      <c r="L34" s="289"/>
    </row>
    <row r="35" spans="2:12" ht="102.75" customHeight="1">
      <c r="B35" s="336"/>
      <c r="C35" s="28" t="s">
        <v>145</v>
      </c>
      <c r="D35" s="93">
        <v>841.73</v>
      </c>
      <c r="E35" s="93">
        <v>2229.44</v>
      </c>
      <c r="F35" s="93"/>
      <c r="G35" s="93"/>
      <c r="H35" s="93"/>
      <c r="I35" s="93"/>
      <c r="J35" s="93"/>
      <c r="K35" s="290"/>
      <c r="L35" s="291"/>
    </row>
    <row r="36" spans="2:12" ht="48" customHeight="1">
      <c r="B36" s="336"/>
      <c r="C36" s="28" t="s">
        <v>146</v>
      </c>
      <c r="D36" s="105">
        <f>IFERROR(D35*VLOOKUP(D31,'DATOS INICIALES'!$A$12:$B$41,2,0),"0")</f>
        <v>841730000</v>
      </c>
      <c r="E36" s="105">
        <f>IFERROR(E35*VLOOKUP(E31,'DATOS INICIALES'!$A$12:$B$41,2,0),"0")</f>
        <v>2229440000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v>1</v>
      </c>
      <c r="F37" s="94"/>
      <c r="G37" s="94"/>
      <c r="H37" s="94"/>
      <c r="I37" s="94"/>
      <c r="J37" s="94"/>
      <c r="K37" s="288"/>
      <c r="L37" s="289"/>
    </row>
    <row r="38" spans="2:12" ht="48.75" customHeight="1">
      <c r="B38" s="336"/>
      <c r="C38" s="28" t="s">
        <v>148</v>
      </c>
      <c r="D38" s="105">
        <f t="shared" ref="D38:J38" si="3">IF(D24="","0",D37*D36)</f>
        <v>841730000</v>
      </c>
      <c r="E38" s="105">
        <f t="shared" si="3"/>
        <v>2229440000</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841.73</v>
      </c>
      <c r="E39" s="106">
        <f t="shared" si="4"/>
        <v>2229.44</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t="s">
        <v>27</v>
      </c>
      <c r="E52" s="96" t="s">
        <v>27</v>
      </c>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31</v>
      </c>
      <c r="E59" s="90" t="s">
        <v>31</v>
      </c>
      <c r="F59" s="90"/>
      <c r="G59" s="90"/>
      <c r="H59" s="90"/>
      <c r="I59" s="90"/>
      <c r="J59" s="90"/>
      <c r="K59" s="288"/>
      <c r="L59" s="289"/>
    </row>
    <row r="60" spans="2:12" ht="336" customHeight="1">
      <c r="B60" s="229" t="s">
        <v>165</v>
      </c>
      <c r="C60" s="229"/>
      <c r="D60" s="90" t="s">
        <v>31</v>
      </c>
      <c r="E60" s="90" t="s">
        <v>31</v>
      </c>
      <c r="F60" s="90"/>
      <c r="G60" s="90"/>
      <c r="H60" s="90"/>
      <c r="I60" s="90"/>
      <c r="J60" s="90"/>
      <c r="K60" s="290" t="s">
        <v>267</v>
      </c>
      <c r="L60" s="291"/>
    </row>
    <row r="61" spans="2:12" ht="129.75" customHeight="1">
      <c r="B61" s="338" t="s">
        <v>166</v>
      </c>
      <c r="C61" s="339"/>
      <c r="D61" s="90" t="s">
        <v>31</v>
      </c>
      <c r="E61" s="90" t="s">
        <v>31</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144.75" customHeight="1">
      <c r="B65" s="229" t="s">
        <v>170</v>
      </c>
      <c r="C65" s="229"/>
      <c r="D65" s="90" t="s">
        <v>31</v>
      </c>
      <c r="E65" s="90" t="s">
        <v>31</v>
      </c>
      <c r="F65" s="90"/>
      <c r="G65" s="90"/>
      <c r="H65" s="90"/>
      <c r="I65" s="90"/>
      <c r="J65" s="90"/>
      <c r="K65" s="290"/>
      <c r="L65" s="291"/>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992" priority="21">
      <formula>LEN(TRIM(D25))=0</formula>
    </cfRule>
    <cfRule type="notContainsErrors" dxfId="991" priority="22">
      <formula>NOT(ISERROR(D25))</formula>
    </cfRule>
  </conditionalFormatting>
  <conditionalFormatting sqref="D34:J34 D24:K24">
    <cfRule type="containsBlanks" dxfId="990" priority="23">
      <formula>LEN(TRIM(D24))=0</formula>
    </cfRule>
  </conditionalFormatting>
  <conditionalFormatting sqref="D37:J37">
    <cfRule type="containsBlanks" dxfId="989" priority="19">
      <formula>LEN(TRIM(D37))=0</formula>
    </cfRule>
    <cfRule type="notContainsErrors" dxfId="988" priority="20">
      <formula>NOT(ISERROR(D37))</formula>
    </cfRule>
  </conditionalFormatting>
  <conditionalFormatting sqref="D40:J40 D43:J43 K64:L64">
    <cfRule type="containsBlanks" dxfId="987" priority="39">
      <formula>LEN(TRIM(D40))=0</formula>
    </cfRule>
    <cfRule type="notContainsErrors" dxfId="986" priority="40">
      <formula>NOT(ISERROR(D40))</formula>
    </cfRule>
  </conditionalFormatting>
  <conditionalFormatting sqref="D46:J53">
    <cfRule type="cellIs" dxfId="985" priority="15" operator="equal">
      <formula>"NO CUMPLE"</formula>
    </cfRule>
    <cfRule type="cellIs" dxfId="984" priority="16" operator="equal">
      <formula>"CUMPLE"</formula>
    </cfRule>
    <cfRule type="containsBlanks" dxfId="983" priority="17">
      <formula>LEN(TRIM(D46))=0</formula>
    </cfRule>
    <cfRule type="notContainsErrors" dxfId="982" priority="18">
      <formula>NOT(ISERROR(D46))</formula>
    </cfRule>
  </conditionalFormatting>
  <conditionalFormatting sqref="D54:J54">
    <cfRule type="cellIs" dxfId="981" priority="50" operator="equal">
      <formula>"NO CUMPLE"</formula>
    </cfRule>
    <cfRule type="cellIs" dxfId="980" priority="49" operator="equal">
      <formula>"CUMPLE"</formula>
    </cfRule>
    <cfRule type="cellIs" dxfId="979" priority="45" operator="equal">
      <formula>"N/A"</formula>
    </cfRule>
    <cfRule type="cellIs" dxfId="978" priority="51" operator="equal">
      <formula>"""CUMPLE"""</formula>
    </cfRule>
  </conditionalFormatting>
  <conditionalFormatting sqref="D55:J63">
    <cfRule type="cellIs" dxfId="977" priority="11" operator="equal">
      <formula>"NO CUMPLE"</formula>
    </cfRule>
    <cfRule type="cellIs" dxfId="976" priority="12" operator="equal">
      <formula>"CUMPLE"</formula>
    </cfRule>
    <cfRule type="containsBlanks" dxfId="975" priority="13">
      <formula>LEN(TRIM(D55))=0</formula>
    </cfRule>
    <cfRule type="notContainsErrors" dxfId="974" priority="14">
      <formula>NOT(ISERROR(D55))</formula>
    </cfRule>
  </conditionalFormatting>
  <conditionalFormatting sqref="D64:J64">
    <cfRule type="cellIs" dxfId="973" priority="43" operator="equal">
      <formula>"NO CUMPLE"</formula>
    </cfRule>
    <cfRule type="cellIs" dxfId="972" priority="44" operator="equal">
      <formula>"""CUMPLE"""</formula>
    </cfRule>
    <cfRule type="cellIs" dxfId="971" priority="42" operator="equal">
      <formula>"CUMPLE"</formula>
    </cfRule>
    <cfRule type="cellIs" dxfId="970" priority="41" operator="equal">
      <formula>"N/A"</formula>
    </cfRule>
  </conditionalFormatting>
  <conditionalFormatting sqref="D65:J65">
    <cfRule type="cellIs" dxfId="969" priority="6" operator="equal">
      <formula>"CUMPLE"</formula>
    </cfRule>
    <cfRule type="cellIs" dxfId="968" priority="5" operator="equal">
      <formula>"NO CUMPLE"</formula>
    </cfRule>
  </conditionalFormatting>
  <conditionalFormatting sqref="D24:K24 D34:J34">
    <cfRule type="notContainsErrors" dxfId="967" priority="24">
      <formula>NOT(ISERROR(D24))</formula>
    </cfRule>
  </conditionalFormatting>
  <conditionalFormatting sqref="D65:K65">
    <cfRule type="notContainsErrors" dxfId="966" priority="4">
      <formula>NOT(ISERROR(D65))</formula>
    </cfRule>
    <cfRule type="containsBlanks" dxfId="965" priority="3">
      <formula>LEN(TRIM(D65))=0</formula>
    </cfRule>
  </conditionalFormatting>
  <conditionalFormatting sqref="F20:H20">
    <cfRule type="cellIs" dxfId="964" priority="55" operator="equal">
      <formula>"CUMPLE"</formula>
    </cfRule>
    <cfRule type="cellIs" dxfId="963" priority="56" operator="equal">
      <formula>"NO CUMPLE"</formula>
    </cfRule>
    <cfRule type="cellIs" dxfId="962" priority="57" operator="equal">
      <formula>"""CUMPLE"""</formula>
    </cfRule>
  </conditionalFormatting>
  <conditionalFormatting sqref="I11">
    <cfRule type="containsText" dxfId="961" priority="58" operator="containsText" text="INHABILITADO">
      <formula>NOT(ISERROR(SEARCH("INHABILITADO",I11)))</formula>
    </cfRule>
    <cfRule type="containsText" dxfId="960" priority="59" operator="containsText" text="HABILITADO">
      <formula>NOT(ISERROR(SEARCH("HABILITADO",I11)))</formula>
    </cfRule>
    <cfRule type="containsText" dxfId="959" priority="60" operator="containsText" text="HABILITADO">
      <formula>NOT(ISERROR(SEARCH("HABILITADO",I11)))</formula>
    </cfRule>
    <cfRule type="containsText" dxfId="958" priority="61" operator="containsText" text="NO CUMPLE">
      <formula>NOT(ISERROR(SEARCH("NO CUMPLE",I11)))</formula>
    </cfRule>
  </conditionalFormatting>
  <conditionalFormatting sqref="J20">
    <cfRule type="cellIs" dxfId="957" priority="32" operator="equal">
      <formula>"SI"</formula>
    </cfRule>
    <cfRule type="cellIs" dxfId="956" priority="31" operator="equal">
      <formula>"NO"</formula>
    </cfRule>
  </conditionalFormatting>
  <conditionalFormatting sqref="K19">
    <cfRule type="cellIs" dxfId="955" priority="46" operator="equal">
      <formula>"CUMPLE"</formula>
    </cfRule>
    <cfRule type="cellIs" dxfId="954" priority="47" operator="equal">
      <formula>"NO CUMPLE"</formula>
    </cfRule>
    <cfRule type="cellIs" dxfId="953" priority="48" operator="equal">
      <formula>"""CUMPLE"""</formula>
    </cfRule>
  </conditionalFormatting>
  <conditionalFormatting sqref="K25:K63">
    <cfRule type="containsBlanks" dxfId="952" priority="1">
      <formula>LEN(TRIM(K25))=0</formula>
    </cfRule>
    <cfRule type="notContainsErrors" dxfId="951" priority="2">
      <formula>NOT(ISERROR(K25))</formula>
    </cfRule>
  </conditionalFormatting>
  <conditionalFormatting sqref="L15">
    <cfRule type="cellIs" dxfId="950" priority="52" operator="equal">
      <formula>"CUMPLE"</formula>
    </cfRule>
    <cfRule type="cellIs" dxfId="949" priority="53" operator="equal">
      <formula>"NO CUMPLE"</formula>
    </cfRule>
    <cfRule type="cellIs" dxfId="948" priority="54" operator="equal">
      <formula>"""CUMPLE"""</formula>
    </cfRule>
  </conditionalFormatting>
  <conditionalFormatting sqref="L20">
    <cfRule type="cellIs" dxfId="947" priority="30" operator="equal">
      <formula>"SI"</formula>
    </cfRule>
    <cfRule type="cellIs" dxfId="946" priority="29" operator="equal">
      <formula>"NO"</formula>
    </cfRule>
  </conditionalFormatting>
  <dataValidations count="3">
    <dataValidation type="list" allowBlank="1" showInputMessage="1" showErrorMessage="1" sqref="D65:I65" xr:uid="{00000000-0002-0000-0A00-000000000000}">
      <formula1>"CUMPLE,NO CUMPLE"</formula1>
    </dataValidation>
    <dataValidation type="list" allowBlank="1" showInputMessage="1" showErrorMessage="1" sqref="D24:J26" xr:uid="{00000000-0002-0000-0A00-000001000000}">
      <formula1>$C$15:$C$19</formula1>
    </dataValidation>
    <dataValidation type="list" allowBlank="1" showInputMessage="1" showErrorMessage="1" sqref="L57:L65" xr:uid="{00000000-0002-0000-0A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A00-000003000000}">
          <x14:formula1>
            <xm:f>'DATOS INICIALES'!$A$13:$A$41</xm:f>
          </x14:formula1>
          <xm:sqref>D31:I31</xm:sqref>
        </x14:dataValidation>
        <x14:dataValidation type="list" allowBlank="1" showInputMessage="1" showErrorMessage="1" xr:uid="{00000000-0002-0000-0A00-000004000000}">
          <x14:formula1>
            <xm:f>'DATOS INICIALES'!$D$21:$D$25</xm:f>
          </x14:formula1>
          <xm:sqref>M47:M54</xm:sqref>
        </x14:dataValidation>
        <x14:dataValidation type="list" allowBlank="1" showInputMessage="1" showErrorMessage="1" xr:uid="{00000000-0002-0000-0A00-000005000000}">
          <x14:formula1>
            <xm:f>'DATOS INICIALES'!$A$53:$A$58</xm:f>
          </x14:formula1>
          <xm:sqref>D23:I23</xm:sqref>
        </x14:dataValidation>
        <x14:dataValidation type="list" allowBlank="1" showInputMessage="1" showErrorMessage="1" xr:uid="{00000000-0002-0000-0A00-000006000000}">
          <x14:formula1>
            <xm:f>'DATOS INICIALES'!$A$49:$A$51</xm:f>
          </x14:formula1>
          <xm:sqref>D55:I57 D58:J63 J55:J56 D46:J46</xm:sqref>
        </x14:dataValidation>
        <x14:dataValidation type="list" allowBlank="1" showInputMessage="1" showErrorMessage="1" xr:uid="{00000000-0002-0000-0A00-000007000000}">
          <x14:formula1>
            <xm:f>'DATOS INICIALES'!$C$44:$C$45</xm:f>
          </x14:formula1>
          <xm:sqref>D47:I53 J47:J52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65"/>
  <sheetViews>
    <sheetView view="pageBreakPreview" zoomScale="55" zoomScaleNormal="55" zoomScaleSheetLayoutView="55" workbookViewId="0">
      <pane ySplit="11" topLeftCell="A20" activePane="bottomLeft" state="frozenSplit"/>
      <selection activeCell="J19" sqref="J19"/>
      <selection pane="bottomLeft" activeCell="C20" sqref="C20"/>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6" width="26.140625" customWidth="1"/>
    <col min="7" max="7" width="29.7109375" customWidth="1"/>
    <col min="8"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+PROPONENTES!B17</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4</v>
      </c>
      <c r="J15" s="293">
        <f>IF(AND(I15&gt;=1,I15&lt;=2),L8,IF(AND(I15&gt;=3,I15&lt;=4),L9,IF(AND(I15&gt;=5,I15&lt;=7),L10)))</f>
        <v>3938.6952868965518</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5232.6499999999996</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268</v>
      </c>
      <c r="E24" s="90" t="s">
        <v>268</v>
      </c>
      <c r="F24" s="90" t="s">
        <v>269</v>
      </c>
      <c r="G24" s="90" t="s">
        <v>270</v>
      </c>
      <c r="H24" s="90"/>
      <c r="I24" s="90"/>
      <c r="J24" s="90"/>
      <c r="K24" s="288"/>
      <c r="L24" s="289"/>
    </row>
    <row r="25" spans="2:14" ht="39.75" customHeight="1">
      <c r="B25" s="333" t="s">
        <v>119</v>
      </c>
      <c r="C25" s="334"/>
      <c r="D25" s="90"/>
      <c r="E25" s="90"/>
      <c r="F25" s="90" t="s">
        <v>270</v>
      </c>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271</v>
      </c>
      <c r="E27" s="91" t="s">
        <v>272</v>
      </c>
      <c r="F27" s="91" t="s">
        <v>273</v>
      </c>
      <c r="G27" s="91" t="s">
        <v>274</v>
      </c>
      <c r="H27" s="91"/>
      <c r="I27" s="91"/>
      <c r="J27" s="91"/>
      <c r="K27" s="288"/>
      <c r="L27" s="289"/>
    </row>
    <row r="28" spans="2:14" ht="409.5" customHeight="1">
      <c r="B28" s="336"/>
      <c r="C28" s="28" t="s">
        <v>127</v>
      </c>
      <c r="D28" s="91" t="s">
        <v>275</v>
      </c>
      <c r="E28" s="91" t="s">
        <v>276</v>
      </c>
      <c r="F28" s="91" t="s">
        <v>277</v>
      </c>
      <c r="G28" s="91" t="s">
        <v>278</v>
      </c>
      <c r="H28" s="91"/>
      <c r="I28" s="91"/>
      <c r="J28" s="91"/>
      <c r="K28" s="288"/>
      <c r="L28" s="289"/>
    </row>
    <row r="29" spans="2:14" ht="52.5" customHeight="1">
      <c r="B29" s="336"/>
      <c r="C29" s="28" t="s">
        <v>132</v>
      </c>
      <c r="D29" s="95">
        <v>44224</v>
      </c>
      <c r="E29" s="95">
        <v>43514</v>
      </c>
      <c r="F29" s="95">
        <v>39877</v>
      </c>
      <c r="G29" s="95">
        <v>43038</v>
      </c>
      <c r="H29" s="95"/>
      <c r="I29" s="95"/>
      <c r="J29" s="95"/>
      <c r="K29" s="288"/>
      <c r="L29" s="289"/>
    </row>
    <row r="30" spans="2:14" ht="54.75" customHeight="1">
      <c r="B30" s="336"/>
      <c r="C30" s="28" t="s">
        <v>133</v>
      </c>
      <c r="D30" s="95">
        <v>44436</v>
      </c>
      <c r="E30" s="95">
        <v>43828</v>
      </c>
      <c r="F30" s="95">
        <v>40091</v>
      </c>
      <c r="G30" s="95">
        <v>43452</v>
      </c>
      <c r="H30" s="95"/>
      <c r="I30" s="95"/>
      <c r="J30" s="95"/>
      <c r="K30" s="288"/>
      <c r="L30" s="289"/>
    </row>
    <row r="31" spans="2:14" ht="41.25" customHeight="1">
      <c r="B31" s="336"/>
      <c r="C31" s="28" t="s">
        <v>134</v>
      </c>
      <c r="D31" s="92">
        <v>2021</v>
      </c>
      <c r="E31" s="92">
        <v>2019</v>
      </c>
      <c r="F31" s="92">
        <v>2009</v>
      </c>
      <c r="G31" s="92">
        <v>2018</v>
      </c>
      <c r="H31" s="92"/>
      <c r="I31" s="92"/>
      <c r="J31" s="92"/>
      <c r="K31" s="288"/>
      <c r="L31" s="289"/>
    </row>
    <row r="32" spans="2:14" ht="63" customHeight="1">
      <c r="B32" s="336"/>
      <c r="C32" s="28" t="s">
        <v>135</v>
      </c>
      <c r="D32" s="91" t="s">
        <v>279</v>
      </c>
      <c r="E32" s="91" t="s">
        <v>245</v>
      </c>
      <c r="F32" s="91" t="s">
        <v>245</v>
      </c>
      <c r="G32" s="91" t="s">
        <v>245</v>
      </c>
      <c r="H32" s="91"/>
      <c r="I32" s="91"/>
      <c r="J32" s="91"/>
      <c r="K32" s="288"/>
      <c r="L32" s="289"/>
    </row>
    <row r="33" spans="2:12" ht="46.5" customHeight="1">
      <c r="B33" s="336"/>
      <c r="C33" s="28" t="s">
        <v>140</v>
      </c>
      <c r="D33" s="91" t="s">
        <v>268</v>
      </c>
      <c r="E33" s="91" t="s">
        <v>280</v>
      </c>
      <c r="F33" s="91" t="s">
        <v>281</v>
      </c>
      <c r="G33" s="91" t="s">
        <v>282</v>
      </c>
      <c r="H33" s="91"/>
      <c r="I33" s="91"/>
      <c r="J33" s="91"/>
      <c r="K33" s="288"/>
      <c r="L33" s="289"/>
    </row>
    <row r="34" spans="2:12" ht="37.5" customHeight="1">
      <c r="B34" s="336"/>
      <c r="C34" s="30" t="s">
        <v>144</v>
      </c>
      <c r="D34" s="96">
        <v>2</v>
      </c>
      <c r="E34" s="96">
        <v>132</v>
      </c>
      <c r="F34" s="179" t="s">
        <v>283</v>
      </c>
      <c r="G34" s="97">
        <v>153</v>
      </c>
      <c r="H34" s="97"/>
      <c r="I34" s="97"/>
      <c r="J34" s="97"/>
      <c r="K34" s="288"/>
      <c r="L34" s="289"/>
    </row>
    <row r="35" spans="2:12" ht="102.75" customHeight="1">
      <c r="B35" s="336"/>
      <c r="C35" s="28" t="s">
        <v>145</v>
      </c>
      <c r="D35" s="93">
        <v>2236.36</v>
      </c>
      <c r="E35" s="93">
        <v>11985.16</v>
      </c>
      <c r="F35" s="93">
        <v>2279.98</v>
      </c>
      <c r="G35" s="93">
        <v>6064.42</v>
      </c>
      <c r="H35" s="93"/>
      <c r="I35" s="93"/>
      <c r="J35" s="93"/>
      <c r="K35" s="290"/>
      <c r="L35" s="291"/>
    </row>
    <row r="36" spans="2:12" ht="48" customHeight="1">
      <c r="B36" s="336"/>
      <c r="C36" s="28" t="s">
        <v>146</v>
      </c>
      <c r="D36" s="105">
        <f>IFERROR(D35*VLOOKUP(D31,'DATOS INICIALES'!$A$12:$B$41,2,0),"0")</f>
        <v>2031791205.3600001</v>
      </c>
      <c r="E36" s="105">
        <f>IFERROR(E35*VLOOKUP(E31,'DATOS INICIALES'!$A$12:$B$41,2,0),"0")</f>
        <v>9925102758.5599995</v>
      </c>
      <c r="F36" s="105">
        <f>IFERROR(F35*VLOOKUP(F31,'DATOS INICIALES'!$A$12:$B$41,2,0),"0")</f>
        <v>1132922062</v>
      </c>
      <c r="G36" s="105">
        <f>IFERROR(G35*VLOOKUP(G31,'DATOS INICIALES'!$A$12:$B$41,2,0),"0")</f>
        <v>4737779609.6400003</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v>0.25</v>
      </c>
      <c r="F37" s="94">
        <v>0.34</v>
      </c>
      <c r="G37" s="94">
        <v>0.34</v>
      </c>
      <c r="H37" s="94"/>
      <c r="I37" s="94"/>
      <c r="J37" s="94"/>
      <c r="K37" s="288"/>
      <c r="L37" s="289"/>
    </row>
    <row r="38" spans="2:12" ht="48.75" customHeight="1">
      <c r="B38" s="336"/>
      <c r="C38" s="28" t="s">
        <v>148</v>
      </c>
      <c r="D38" s="105">
        <f t="shared" ref="D38:J38" si="3">IF(D24="","0",D37*D36)</f>
        <v>2031791205.3600001</v>
      </c>
      <c r="E38" s="105">
        <f t="shared" si="3"/>
        <v>2481275689.6399999</v>
      </c>
      <c r="F38" s="105">
        <f t="shared" si="3"/>
        <v>385193501.08000004</v>
      </c>
      <c r="G38" s="105">
        <f t="shared" si="3"/>
        <v>1610845067.2776003</v>
      </c>
      <c r="H38" s="105" t="str">
        <f t="shared" si="3"/>
        <v>0</v>
      </c>
      <c r="I38" s="105" t="str">
        <f t="shared" si="3"/>
        <v>0</v>
      </c>
      <c r="J38" s="105" t="str">
        <f t="shared" si="3"/>
        <v>0</v>
      </c>
      <c r="K38" s="288"/>
      <c r="L38" s="289"/>
    </row>
    <row r="39" spans="2:12" ht="65.25" customHeight="1">
      <c r="B39" s="336"/>
      <c r="C39" s="28" t="s">
        <v>149</v>
      </c>
      <c r="D39" s="106">
        <f t="shared" ref="D39:J39" si="4">IFERROR(D35*D37,"0")</f>
        <v>2236.36</v>
      </c>
      <c r="E39" s="106">
        <f t="shared" si="4"/>
        <v>2996.29</v>
      </c>
      <c r="F39" s="106">
        <f t="shared" si="4"/>
        <v>775.19320000000005</v>
      </c>
      <c r="G39" s="106">
        <f t="shared" si="4"/>
        <v>2061.9028000000003</v>
      </c>
      <c r="H39" s="106">
        <f t="shared" si="4"/>
        <v>0</v>
      </c>
      <c r="I39" s="106">
        <f t="shared" si="4"/>
        <v>0</v>
      </c>
      <c r="J39" s="106">
        <f t="shared" si="4"/>
        <v>0</v>
      </c>
      <c r="K39" s="288"/>
      <c r="L39" s="289"/>
    </row>
    <row r="40" spans="2:12" ht="65.25" customHeight="1">
      <c r="B40" s="336"/>
      <c r="C40" s="28" t="s">
        <v>150</v>
      </c>
      <c r="D40" s="94"/>
      <c r="E40" s="94"/>
      <c r="F40" s="94">
        <v>0.33</v>
      </c>
      <c r="G40" s="94"/>
      <c r="H40" s="94"/>
      <c r="I40" s="94"/>
      <c r="J40" s="94"/>
      <c r="K40" s="288"/>
      <c r="L40" s="289"/>
    </row>
    <row r="41" spans="2:12" ht="65.25" customHeight="1">
      <c r="B41" s="336"/>
      <c r="C41" s="28" t="s">
        <v>151</v>
      </c>
      <c r="D41" s="107" t="str">
        <f t="shared" ref="D41:J41" si="5">IF(D25="","0",D40*D36)</f>
        <v>0</v>
      </c>
      <c r="E41" s="107" t="str">
        <f t="shared" si="5"/>
        <v>0</v>
      </c>
      <c r="F41" s="107">
        <f t="shared" si="5"/>
        <v>373864280.46000004</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752.39340000000004</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27</v>
      </c>
      <c r="F47" s="96" t="s">
        <v>27</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27</v>
      </c>
      <c r="F49" s="96" t="s">
        <v>27</v>
      </c>
      <c r="G49" s="96" t="s">
        <v>27</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t="s">
        <v>27</v>
      </c>
      <c r="E51" s="96"/>
      <c r="F51" s="96"/>
      <c r="G51" s="96"/>
      <c r="H51" s="96"/>
      <c r="I51" s="96"/>
      <c r="J51" s="97"/>
      <c r="K51" s="288"/>
      <c r="L51" s="289"/>
    </row>
    <row r="52" spans="2:12" ht="24.75" customHeight="1">
      <c r="B52" s="328"/>
      <c r="C52" s="31">
        <f>+'DATOS INICIALES'!D26</f>
        <v>93141500</v>
      </c>
      <c r="D52" s="96" t="s">
        <v>27</v>
      </c>
      <c r="E52" s="96" t="s">
        <v>27</v>
      </c>
      <c r="F52" s="96" t="s">
        <v>27</v>
      </c>
      <c r="G52" s="96" t="s">
        <v>27</v>
      </c>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30</v>
      </c>
      <c r="E59" s="90" t="s">
        <v>30</v>
      </c>
      <c r="F59" s="90" t="s">
        <v>30</v>
      </c>
      <c r="G59" s="90" t="s">
        <v>30</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30</v>
      </c>
      <c r="E61" s="90" t="s">
        <v>30</v>
      </c>
      <c r="F61" s="90" t="s">
        <v>30</v>
      </c>
      <c r="G61" s="90" t="s">
        <v>30</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945" priority="17">
      <formula>LEN(TRIM(D25))=0</formula>
    </cfRule>
    <cfRule type="notContainsErrors" dxfId="944" priority="18">
      <formula>NOT(ISERROR(D25))</formula>
    </cfRule>
  </conditionalFormatting>
  <conditionalFormatting sqref="D34:J34 D24:K24">
    <cfRule type="containsBlanks" dxfId="943" priority="19">
      <formula>LEN(TRIM(D24))=0</formula>
    </cfRule>
  </conditionalFormatting>
  <conditionalFormatting sqref="D37:J37">
    <cfRule type="containsBlanks" dxfId="942" priority="15">
      <formula>LEN(TRIM(D37))=0</formula>
    </cfRule>
    <cfRule type="notContainsErrors" dxfId="941" priority="16">
      <formula>NOT(ISERROR(D37))</formula>
    </cfRule>
  </conditionalFormatting>
  <conditionalFormatting sqref="D40:J40">
    <cfRule type="containsBlanks" dxfId="940" priority="13">
      <formula>LEN(TRIM(D40))=0</formula>
    </cfRule>
    <cfRule type="notContainsErrors" dxfId="939" priority="14">
      <formula>NOT(ISERROR(D40))</formula>
    </cfRule>
  </conditionalFormatting>
  <conditionalFormatting sqref="D43:J43 K64:L64">
    <cfRule type="notContainsErrors" dxfId="938" priority="36">
      <formula>NOT(ISERROR(D43))</formula>
    </cfRule>
    <cfRule type="containsBlanks" dxfId="937" priority="35">
      <formula>LEN(TRIM(D43))=0</formula>
    </cfRule>
  </conditionalFormatting>
  <conditionalFormatting sqref="D46:J53">
    <cfRule type="cellIs" dxfId="936" priority="9" operator="equal">
      <formula>"NO CUMPLE"</formula>
    </cfRule>
    <cfRule type="cellIs" dxfId="935" priority="10" operator="equal">
      <formula>"CUMPLE"</formula>
    </cfRule>
    <cfRule type="containsBlanks" dxfId="934" priority="11">
      <formula>LEN(TRIM(D46))=0</formula>
    </cfRule>
    <cfRule type="notContainsErrors" dxfId="933" priority="12">
      <formula>NOT(ISERROR(D46))</formula>
    </cfRule>
  </conditionalFormatting>
  <conditionalFormatting sqref="D54:J54">
    <cfRule type="cellIs" dxfId="932" priority="41" operator="equal">
      <formula>"N/A"</formula>
    </cfRule>
    <cfRule type="cellIs" dxfId="931" priority="47" operator="equal">
      <formula>"""CUMPLE"""</formula>
    </cfRule>
    <cfRule type="cellIs" dxfId="930" priority="46" operator="equal">
      <formula>"NO CUMPLE"</formula>
    </cfRule>
    <cfRule type="cellIs" dxfId="929" priority="45" operator="equal">
      <formula>"CUMPLE"</formula>
    </cfRule>
  </conditionalFormatting>
  <conditionalFormatting sqref="D55:J63">
    <cfRule type="cellIs" dxfId="928" priority="5" operator="equal">
      <formula>"NO CUMPLE"</formula>
    </cfRule>
    <cfRule type="cellIs" dxfId="927" priority="6" operator="equal">
      <formula>"CUMPLE"</formula>
    </cfRule>
    <cfRule type="containsBlanks" dxfId="926" priority="7">
      <formula>LEN(TRIM(D55))=0</formula>
    </cfRule>
    <cfRule type="notContainsErrors" dxfId="925" priority="8">
      <formula>NOT(ISERROR(D55))</formula>
    </cfRule>
  </conditionalFormatting>
  <conditionalFormatting sqref="D64:J64">
    <cfRule type="cellIs" dxfId="924" priority="37" operator="equal">
      <formula>"N/A"</formula>
    </cfRule>
    <cfRule type="cellIs" dxfId="923" priority="38" operator="equal">
      <formula>"CUMPLE"</formula>
    </cfRule>
    <cfRule type="cellIs" dxfId="922" priority="40" operator="equal">
      <formula>"""CUMPLE"""</formula>
    </cfRule>
    <cfRule type="cellIs" dxfId="921" priority="39" operator="equal">
      <formula>"NO CUMPLE"</formula>
    </cfRule>
  </conditionalFormatting>
  <conditionalFormatting sqref="D65:J65">
    <cfRule type="cellIs" dxfId="920" priority="2" operator="equal">
      <formula>"CUMPLE"</formula>
    </cfRule>
    <cfRule type="cellIs" dxfId="919" priority="1" operator="equal">
      <formula>"NO CUMPLE"</formula>
    </cfRule>
  </conditionalFormatting>
  <conditionalFormatting sqref="D24:K24 D34:J34">
    <cfRule type="notContainsErrors" dxfId="918" priority="20">
      <formula>NOT(ISERROR(D24))</formula>
    </cfRule>
  </conditionalFormatting>
  <conditionalFormatting sqref="D65:K65">
    <cfRule type="containsBlanks" dxfId="917" priority="3">
      <formula>LEN(TRIM(D65))=0</formula>
    </cfRule>
    <cfRule type="notContainsErrors" dxfId="916" priority="4">
      <formula>NOT(ISERROR(D65))</formula>
    </cfRule>
  </conditionalFormatting>
  <conditionalFormatting sqref="F20:H20">
    <cfRule type="cellIs" dxfId="915" priority="51" operator="equal">
      <formula>"CUMPLE"</formula>
    </cfRule>
    <cfRule type="cellIs" dxfId="914" priority="52" operator="equal">
      <formula>"NO CUMPLE"</formula>
    </cfRule>
    <cfRule type="cellIs" dxfId="913" priority="53" operator="equal">
      <formula>"""CUMPLE"""</formula>
    </cfRule>
  </conditionalFormatting>
  <conditionalFormatting sqref="I11">
    <cfRule type="containsText" dxfId="912" priority="54" operator="containsText" text="INHABILITADO">
      <formula>NOT(ISERROR(SEARCH("INHABILITADO",I11)))</formula>
    </cfRule>
    <cfRule type="containsText" dxfId="911" priority="55" operator="containsText" text="HABILITADO">
      <formula>NOT(ISERROR(SEARCH("HABILITADO",I11)))</formula>
    </cfRule>
    <cfRule type="containsText" dxfId="910" priority="56" operator="containsText" text="HABILITADO">
      <formula>NOT(ISERROR(SEARCH("HABILITADO",I11)))</formula>
    </cfRule>
    <cfRule type="containsText" dxfId="909" priority="57" operator="containsText" text="NO CUMPLE">
      <formula>NOT(ISERROR(SEARCH("NO CUMPLE",I11)))</formula>
    </cfRule>
  </conditionalFormatting>
  <conditionalFormatting sqref="J20">
    <cfRule type="cellIs" dxfId="908" priority="28" operator="equal">
      <formula>"SI"</formula>
    </cfRule>
    <cfRule type="cellIs" dxfId="907" priority="27" operator="equal">
      <formula>"NO"</formula>
    </cfRule>
  </conditionalFormatting>
  <conditionalFormatting sqref="K19">
    <cfRule type="cellIs" dxfId="906" priority="42" operator="equal">
      <formula>"CUMPLE"</formula>
    </cfRule>
    <cfRule type="cellIs" dxfId="905" priority="43" operator="equal">
      <formula>"NO CUMPLE"</formula>
    </cfRule>
    <cfRule type="cellIs" dxfId="904" priority="44" operator="equal">
      <formula>"""CUMPLE"""</formula>
    </cfRule>
  </conditionalFormatting>
  <conditionalFormatting sqref="K25:K63">
    <cfRule type="notContainsErrors" dxfId="903" priority="22">
      <formula>NOT(ISERROR(K25))</formula>
    </cfRule>
    <cfRule type="containsBlanks" dxfId="902" priority="21">
      <formula>LEN(TRIM(K25))=0</formula>
    </cfRule>
  </conditionalFormatting>
  <conditionalFormatting sqref="L15">
    <cfRule type="cellIs" dxfId="901" priority="48" operator="equal">
      <formula>"CUMPLE"</formula>
    </cfRule>
    <cfRule type="cellIs" dxfId="900" priority="49" operator="equal">
      <formula>"NO CUMPLE"</formula>
    </cfRule>
    <cfRule type="cellIs" dxfId="899" priority="50" operator="equal">
      <formula>"""CUMPLE"""</formula>
    </cfRule>
  </conditionalFormatting>
  <conditionalFormatting sqref="L20">
    <cfRule type="cellIs" dxfId="898" priority="26" operator="equal">
      <formula>"SI"</formula>
    </cfRule>
    <cfRule type="cellIs" dxfId="897" priority="25" operator="equal">
      <formula>"NO"</formula>
    </cfRule>
  </conditionalFormatting>
  <dataValidations count="3">
    <dataValidation type="list" allowBlank="1" showInputMessage="1" showErrorMessage="1" sqref="L57:L64" xr:uid="{00000000-0002-0000-0B00-000000000000}">
      <formula1>"0,1,2,3,4,5,6"</formula1>
    </dataValidation>
    <dataValidation type="list" allowBlank="1" showInputMessage="1" showErrorMessage="1" sqref="D24:J26" xr:uid="{00000000-0002-0000-0B00-000001000000}">
      <formula1>$C$15:$C$19</formula1>
    </dataValidation>
    <dataValidation type="list" allowBlank="1" showInputMessage="1" showErrorMessage="1" sqref="D65:I65" xr:uid="{00000000-0002-0000-0B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B00-000003000000}">
          <x14:formula1>
            <xm:f>'DATOS INICIALES'!$C$44:$C$45</xm:f>
          </x14:formula1>
          <xm:sqref>D47:I53 J47:J52</xm:sqref>
        </x14:dataValidation>
        <x14:dataValidation type="list" allowBlank="1" showInputMessage="1" showErrorMessage="1" xr:uid="{00000000-0002-0000-0B00-000004000000}">
          <x14:formula1>
            <xm:f>'DATOS INICIALES'!$A$49:$A$51</xm:f>
          </x14:formula1>
          <xm:sqref>D55:I57 D58:J63 J55:J56 D46:J46</xm:sqref>
        </x14:dataValidation>
        <x14:dataValidation type="list" allowBlank="1" showInputMessage="1" showErrorMessage="1" xr:uid="{00000000-0002-0000-0B00-000005000000}">
          <x14:formula1>
            <xm:f>'DATOS INICIALES'!$A$53:$A$58</xm:f>
          </x14:formula1>
          <xm:sqref>D23:I23</xm:sqref>
        </x14:dataValidation>
        <x14:dataValidation type="list" allowBlank="1" showInputMessage="1" showErrorMessage="1" xr:uid="{00000000-0002-0000-0B00-000006000000}">
          <x14:formula1>
            <xm:f>'DATOS INICIALES'!$D$21:$D$25</xm:f>
          </x14:formula1>
          <xm:sqref>M47:M54</xm:sqref>
        </x14:dataValidation>
        <x14:dataValidation type="list" allowBlank="1" showInputMessage="1" showErrorMessage="1" xr:uid="{00000000-0002-0000-0B00-000007000000}">
          <x14:formula1>
            <xm:f>'DATOS INICIALES'!$A$13:$A$41</xm:f>
          </x14:formula1>
          <xm:sqref>D31:I31</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65"/>
  <sheetViews>
    <sheetView view="pageBreakPreview" zoomScale="55" zoomScaleNormal="55" zoomScaleSheetLayoutView="55" workbookViewId="0">
      <pane ySplit="11" topLeftCell="A19"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+PROPONENTES!B18</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9892.0684999999994</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284</v>
      </c>
      <c r="E24" s="90" t="s">
        <v>285</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286</v>
      </c>
      <c r="E27" s="91" t="s">
        <v>287</v>
      </c>
      <c r="F27" s="91"/>
      <c r="G27" s="91"/>
      <c r="H27" s="91"/>
      <c r="I27" s="91"/>
      <c r="J27" s="91"/>
      <c r="K27" s="290"/>
      <c r="L27" s="291"/>
    </row>
    <row r="28" spans="2:14" ht="236.25" customHeight="1">
      <c r="B28" s="336"/>
      <c r="C28" s="28" t="s">
        <v>127</v>
      </c>
      <c r="D28" s="91" t="s">
        <v>288</v>
      </c>
      <c r="E28" s="91" t="s">
        <v>289</v>
      </c>
      <c r="F28" s="91"/>
      <c r="G28" s="91"/>
      <c r="H28" s="91"/>
      <c r="I28" s="91"/>
      <c r="J28" s="91"/>
      <c r="K28" s="288"/>
      <c r="L28" s="289"/>
    </row>
    <row r="29" spans="2:14" ht="52.5" customHeight="1">
      <c r="B29" s="336"/>
      <c r="C29" s="28" t="s">
        <v>132</v>
      </c>
      <c r="D29" s="95">
        <v>43991</v>
      </c>
      <c r="E29" s="95">
        <v>36528</v>
      </c>
      <c r="F29" s="95"/>
      <c r="G29" s="95"/>
      <c r="H29" s="95"/>
      <c r="I29" s="95"/>
      <c r="J29" s="95"/>
      <c r="K29" s="288"/>
      <c r="L29" s="289"/>
    </row>
    <row r="30" spans="2:14" ht="54.75" customHeight="1">
      <c r="B30" s="336"/>
      <c r="C30" s="28" t="s">
        <v>133</v>
      </c>
      <c r="D30" s="95">
        <v>44356</v>
      </c>
      <c r="E30" s="95">
        <v>36787</v>
      </c>
      <c r="F30" s="95"/>
      <c r="G30" s="95"/>
      <c r="H30" s="95"/>
      <c r="I30" s="95"/>
      <c r="J30" s="95"/>
      <c r="K30" s="288"/>
      <c r="L30" s="289"/>
    </row>
    <row r="31" spans="2:14" ht="41.25" customHeight="1">
      <c r="B31" s="336"/>
      <c r="C31" s="28" t="s">
        <v>134</v>
      </c>
      <c r="D31" s="92">
        <v>2021</v>
      </c>
      <c r="E31" s="92">
        <v>2000</v>
      </c>
      <c r="F31" s="92"/>
      <c r="G31" s="92"/>
      <c r="H31" s="92"/>
      <c r="I31" s="92"/>
      <c r="J31" s="92"/>
      <c r="K31" s="288"/>
      <c r="L31" s="289"/>
    </row>
    <row r="32" spans="2:14" ht="63" customHeight="1">
      <c r="B32" s="336"/>
      <c r="C32" s="28" t="s">
        <v>135</v>
      </c>
      <c r="D32" s="91" t="s">
        <v>290</v>
      </c>
      <c r="E32" s="91" t="s">
        <v>291</v>
      </c>
      <c r="F32" s="91"/>
      <c r="G32" s="91"/>
      <c r="H32" s="91"/>
      <c r="I32" s="91"/>
      <c r="J32" s="91"/>
      <c r="K32" s="288"/>
      <c r="L32" s="289"/>
    </row>
    <row r="33" spans="2:12" ht="46.5" customHeight="1">
      <c r="B33" s="336"/>
      <c r="C33" s="28" t="s">
        <v>140</v>
      </c>
      <c r="D33" s="91" t="s">
        <v>284</v>
      </c>
      <c r="E33" s="91" t="s">
        <v>292</v>
      </c>
      <c r="F33" s="91"/>
      <c r="G33" s="91"/>
      <c r="H33" s="91"/>
      <c r="I33" s="91"/>
      <c r="J33" s="91"/>
      <c r="K33" s="288"/>
      <c r="L33" s="289"/>
    </row>
    <row r="34" spans="2:12" ht="27.75" customHeight="1">
      <c r="B34" s="336"/>
      <c r="C34" s="30" t="s">
        <v>144</v>
      </c>
      <c r="D34" s="96">
        <v>45</v>
      </c>
      <c r="E34" s="96">
        <v>17</v>
      </c>
      <c r="F34" s="96"/>
      <c r="G34" s="97"/>
      <c r="H34" s="97"/>
      <c r="I34" s="97"/>
      <c r="J34" s="97"/>
      <c r="K34" s="288"/>
      <c r="L34" s="289"/>
    </row>
    <row r="35" spans="2:12" ht="102.75" customHeight="1">
      <c r="B35" s="336"/>
      <c r="C35" s="28" t="s">
        <v>145</v>
      </c>
      <c r="D35" s="93">
        <v>1223.3</v>
      </c>
      <c r="E35" s="93">
        <v>19263.93</v>
      </c>
      <c r="F35" s="93"/>
      <c r="G35" s="93"/>
      <c r="H35" s="93"/>
      <c r="I35" s="93"/>
      <c r="J35" s="93"/>
      <c r="K35" s="290"/>
      <c r="L35" s="291"/>
    </row>
    <row r="36" spans="2:12" ht="48" customHeight="1">
      <c r="B36" s="336"/>
      <c r="C36" s="28" t="s">
        <v>146</v>
      </c>
      <c r="D36" s="105">
        <f>IFERROR(D35*VLOOKUP(D31,'DATOS INICIALES'!$A$12:$B$41,2,0),"0")</f>
        <v>1111399855.8</v>
      </c>
      <c r="E36" s="105">
        <f>IFERROR(E35*VLOOKUP(E31,'DATOS INICIALES'!$A$12:$B$41,2,0),"0")</f>
        <v>5010548193</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v>0.45</v>
      </c>
      <c r="F37" s="94"/>
      <c r="G37" s="94"/>
      <c r="H37" s="94"/>
      <c r="I37" s="94"/>
      <c r="J37" s="94"/>
      <c r="K37" s="288"/>
      <c r="L37" s="289"/>
    </row>
    <row r="38" spans="2:12" ht="48.75" customHeight="1">
      <c r="B38" s="336"/>
      <c r="C38" s="28" t="s">
        <v>148</v>
      </c>
      <c r="D38" s="105">
        <f t="shared" ref="D38:J38" si="3">IF(D24="","0",D37*D36)</f>
        <v>1111399855.8</v>
      </c>
      <c r="E38" s="105">
        <f t="shared" si="3"/>
        <v>2254746686.8499999</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1223.3</v>
      </c>
      <c r="E39" s="106">
        <f t="shared" si="4"/>
        <v>8668.7685000000001</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t="s">
        <v>27</v>
      </c>
      <c r="E52" s="96" t="s">
        <v>27</v>
      </c>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30</v>
      </c>
      <c r="E59" s="90" t="s">
        <v>30</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31</v>
      </c>
      <c r="E61" s="90" t="s">
        <v>30</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896" priority="17">
      <formula>LEN(TRIM(D25))=0</formula>
    </cfRule>
    <cfRule type="notContainsErrors" dxfId="895" priority="18">
      <formula>NOT(ISERROR(D25))</formula>
    </cfRule>
  </conditionalFormatting>
  <conditionalFormatting sqref="D34:J34 D24:K24">
    <cfRule type="containsBlanks" dxfId="894" priority="19">
      <formula>LEN(TRIM(D24))=0</formula>
    </cfRule>
  </conditionalFormatting>
  <conditionalFormatting sqref="D37:J37">
    <cfRule type="containsBlanks" dxfId="893" priority="13">
      <formula>LEN(TRIM(D37))=0</formula>
    </cfRule>
    <cfRule type="notContainsErrors" dxfId="892" priority="14">
      <formula>NOT(ISERROR(D37))</formula>
    </cfRule>
  </conditionalFormatting>
  <conditionalFormatting sqref="D40:J40 D43:J43 K64:L64">
    <cfRule type="notContainsErrors" dxfId="891" priority="36">
      <formula>NOT(ISERROR(D40))</formula>
    </cfRule>
    <cfRule type="containsBlanks" dxfId="890" priority="35">
      <formula>LEN(TRIM(D40))=0</formula>
    </cfRule>
  </conditionalFormatting>
  <conditionalFormatting sqref="D46:J53">
    <cfRule type="containsBlanks" dxfId="889" priority="11">
      <formula>LEN(TRIM(D46))=0</formula>
    </cfRule>
    <cfRule type="cellIs" dxfId="888" priority="9" operator="equal">
      <formula>"NO CUMPLE"</formula>
    </cfRule>
    <cfRule type="cellIs" dxfId="887" priority="10" operator="equal">
      <formula>"CUMPLE"</formula>
    </cfRule>
    <cfRule type="notContainsErrors" dxfId="886" priority="12">
      <formula>NOT(ISERROR(D46))</formula>
    </cfRule>
  </conditionalFormatting>
  <conditionalFormatting sqref="D54:J54">
    <cfRule type="cellIs" dxfId="885" priority="45" operator="equal">
      <formula>"CUMPLE"</formula>
    </cfRule>
    <cfRule type="cellIs" dxfId="884" priority="41" operator="equal">
      <formula>"N/A"</formula>
    </cfRule>
    <cfRule type="cellIs" dxfId="883" priority="47" operator="equal">
      <formula>"""CUMPLE"""</formula>
    </cfRule>
    <cfRule type="cellIs" dxfId="882" priority="46" operator="equal">
      <formula>"NO CUMPLE"</formula>
    </cfRule>
  </conditionalFormatting>
  <conditionalFormatting sqref="D55:J63">
    <cfRule type="cellIs" dxfId="881" priority="5" operator="equal">
      <formula>"NO CUMPLE"</formula>
    </cfRule>
    <cfRule type="cellIs" dxfId="880" priority="6" operator="equal">
      <formula>"CUMPLE"</formula>
    </cfRule>
    <cfRule type="containsBlanks" dxfId="879" priority="7">
      <formula>LEN(TRIM(D55))=0</formula>
    </cfRule>
    <cfRule type="notContainsErrors" dxfId="878" priority="8">
      <formula>NOT(ISERROR(D55))</formula>
    </cfRule>
  </conditionalFormatting>
  <conditionalFormatting sqref="D64:J64">
    <cfRule type="cellIs" dxfId="877" priority="39" operator="equal">
      <formula>"NO CUMPLE"</formula>
    </cfRule>
    <cfRule type="cellIs" dxfId="876" priority="37" operator="equal">
      <formula>"N/A"</formula>
    </cfRule>
    <cfRule type="cellIs" dxfId="875" priority="38" operator="equal">
      <formula>"CUMPLE"</formula>
    </cfRule>
    <cfRule type="cellIs" dxfId="874" priority="40" operator="equal">
      <formula>"""CUMPLE"""</formula>
    </cfRule>
  </conditionalFormatting>
  <conditionalFormatting sqref="D65:J65">
    <cfRule type="cellIs" dxfId="873" priority="2" operator="equal">
      <formula>"CUMPLE"</formula>
    </cfRule>
    <cfRule type="cellIs" dxfId="872" priority="1" operator="equal">
      <formula>"NO CUMPLE"</formula>
    </cfRule>
  </conditionalFormatting>
  <conditionalFormatting sqref="D24:K24 D34:J34">
    <cfRule type="notContainsErrors" dxfId="871" priority="20">
      <formula>NOT(ISERROR(D24))</formula>
    </cfRule>
  </conditionalFormatting>
  <conditionalFormatting sqref="D65:K65">
    <cfRule type="containsBlanks" dxfId="870" priority="3">
      <formula>LEN(TRIM(D65))=0</formula>
    </cfRule>
    <cfRule type="notContainsErrors" dxfId="869" priority="4">
      <formula>NOT(ISERROR(D65))</formula>
    </cfRule>
  </conditionalFormatting>
  <conditionalFormatting sqref="F20:H20">
    <cfRule type="cellIs" dxfId="868" priority="51" operator="equal">
      <formula>"CUMPLE"</formula>
    </cfRule>
    <cfRule type="cellIs" dxfId="867" priority="52" operator="equal">
      <formula>"NO CUMPLE"</formula>
    </cfRule>
    <cfRule type="cellIs" dxfId="866" priority="53" operator="equal">
      <formula>"""CUMPLE"""</formula>
    </cfRule>
  </conditionalFormatting>
  <conditionalFormatting sqref="I11">
    <cfRule type="containsText" dxfId="865" priority="54" operator="containsText" text="INHABILITADO">
      <formula>NOT(ISERROR(SEARCH("INHABILITADO",I11)))</formula>
    </cfRule>
    <cfRule type="containsText" dxfId="864" priority="55" operator="containsText" text="HABILITADO">
      <formula>NOT(ISERROR(SEARCH("HABILITADO",I11)))</formula>
    </cfRule>
    <cfRule type="containsText" dxfId="863" priority="56" operator="containsText" text="HABILITADO">
      <formula>NOT(ISERROR(SEARCH("HABILITADO",I11)))</formula>
    </cfRule>
    <cfRule type="containsText" dxfId="862" priority="57" operator="containsText" text="NO CUMPLE">
      <formula>NOT(ISERROR(SEARCH("NO CUMPLE",I11)))</formula>
    </cfRule>
  </conditionalFormatting>
  <conditionalFormatting sqref="J20">
    <cfRule type="cellIs" dxfId="861" priority="28" operator="equal">
      <formula>"SI"</formula>
    </cfRule>
    <cfRule type="cellIs" dxfId="860" priority="27" operator="equal">
      <formula>"NO"</formula>
    </cfRule>
  </conditionalFormatting>
  <conditionalFormatting sqref="K19">
    <cfRule type="cellIs" dxfId="859" priority="42" operator="equal">
      <formula>"CUMPLE"</formula>
    </cfRule>
    <cfRule type="cellIs" dxfId="858" priority="43" operator="equal">
      <formula>"NO CUMPLE"</formula>
    </cfRule>
    <cfRule type="cellIs" dxfId="857" priority="44" operator="equal">
      <formula>"""CUMPLE"""</formula>
    </cfRule>
  </conditionalFormatting>
  <conditionalFormatting sqref="K25:K63">
    <cfRule type="notContainsErrors" dxfId="856" priority="16">
      <formula>NOT(ISERROR(K25))</formula>
    </cfRule>
    <cfRule type="containsBlanks" dxfId="855" priority="15">
      <formula>LEN(TRIM(K25))=0</formula>
    </cfRule>
  </conditionalFormatting>
  <conditionalFormatting sqref="L15">
    <cfRule type="cellIs" dxfId="854" priority="48" operator="equal">
      <formula>"CUMPLE"</formula>
    </cfRule>
    <cfRule type="cellIs" dxfId="853" priority="49" operator="equal">
      <formula>"NO CUMPLE"</formula>
    </cfRule>
    <cfRule type="cellIs" dxfId="852" priority="50" operator="equal">
      <formula>"""CUMPLE"""</formula>
    </cfRule>
  </conditionalFormatting>
  <conditionalFormatting sqref="L20">
    <cfRule type="cellIs" dxfId="851" priority="26" operator="equal">
      <formula>"SI"</formula>
    </cfRule>
    <cfRule type="cellIs" dxfId="850" priority="25" operator="equal">
      <formula>"NO"</formula>
    </cfRule>
  </conditionalFormatting>
  <dataValidations count="3">
    <dataValidation type="list" allowBlank="1" showInputMessage="1" showErrorMessage="1" sqref="D65:I65" xr:uid="{00000000-0002-0000-0C00-000000000000}">
      <formula1>"CUMPLE,NO CUMPLE"</formula1>
    </dataValidation>
    <dataValidation type="list" allowBlank="1" showInputMessage="1" showErrorMessage="1" sqref="D24:J26" xr:uid="{00000000-0002-0000-0C00-000001000000}">
      <formula1>$C$15:$C$19</formula1>
    </dataValidation>
    <dataValidation type="list" allowBlank="1" showInputMessage="1" showErrorMessage="1" sqref="L57:L64" xr:uid="{00000000-0002-0000-0C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C00-000003000000}">
          <x14:formula1>
            <xm:f>'DATOS INICIALES'!$A$13:$A$41</xm:f>
          </x14:formula1>
          <xm:sqref>D31:I31</xm:sqref>
        </x14:dataValidation>
        <x14:dataValidation type="list" allowBlank="1" showInputMessage="1" showErrorMessage="1" xr:uid="{00000000-0002-0000-0C00-000004000000}">
          <x14:formula1>
            <xm:f>'DATOS INICIALES'!$D$21:$D$25</xm:f>
          </x14:formula1>
          <xm:sqref>M47:M54</xm:sqref>
        </x14:dataValidation>
        <x14:dataValidation type="list" allowBlank="1" showInputMessage="1" showErrorMessage="1" xr:uid="{00000000-0002-0000-0C00-000005000000}">
          <x14:formula1>
            <xm:f>'DATOS INICIALES'!$A$53:$A$58</xm:f>
          </x14:formula1>
          <xm:sqref>D23:I23</xm:sqref>
        </x14:dataValidation>
        <x14:dataValidation type="list" allowBlank="1" showInputMessage="1" showErrorMessage="1" xr:uid="{00000000-0002-0000-0C00-000006000000}">
          <x14:formula1>
            <xm:f>'DATOS INICIALES'!$A$49:$A$51</xm:f>
          </x14:formula1>
          <xm:sqref>D55:I57 D58:J63 J55:J56 D46:J46</xm:sqref>
        </x14:dataValidation>
        <x14:dataValidation type="list" allowBlank="1" showInputMessage="1" showErrorMessage="1" xr:uid="{00000000-0002-0000-0C00-000007000000}">
          <x14:formula1>
            <xm:f>'DATOS INICIALES'!$C$44:$C$45</xm:f>
          </x14:formula1>
          <xm:sqref>D47:I53 J47:J52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+PROPONENTES!B19</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COUNTIF(D64:J64,"CUMPLE")</f>
        <v>7</v>
      </c>
      <c r="J15" s="293">
        <f>IF(AND(I15&gt;=1,I15&lt;=2),L8,IF(AND(I15&gt;=3,I15&lt;=4),L9,IF(AND(I15&gt;=5,I15&lt;=7),L10)))</f>
        <v>4923.36910862069</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2825.6800000000003</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293</v>
      </c>
      <c r="E24" s="90" t="s">
        <v>293</v>
      </c>
      <c r="F24" s="90" t="s">
        <v>293</v>
      </c>
      <c r="G24" s="90" t="s">
        <v>293</v>
      </c>
      <c r="H24" s="90" t="s">
        <v>293</v>
      </c>
      <c r="I24" s="90" t="s">
        <v>293</v>
      </c>
      <c r="J24" s="90" t="s">
        <v>293</v>
      </c>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294</v>
      </c>
      <c r="E27" s="91" t="s">
        <v>295</v>
      </c>
      <c r="F27" s="91" t="s">
        <v>296</v>
      </c>
      <c r="G27" s="91" t="s">
        <v>297</v>
      </c>
      <c r="H27" s="91" t="s">
        <v>298</v>
      </c>
      <c r="I27" s="91" t="s">
        <v>299</v>
      </c>
      <c r="J27" s="91" t="s">
        <v>300</v>
      </c>
      <c r="K27" s="288"/>
      <c r="L27" s="289"/>
    </row>
    <row r="28" spans="2:14" ht="183.75" customHeight="1">
      <c r="B28" s="336"/>
      <c r="C28" s="28" t="s">
        <v>127</v>
      </c>
      <c r="D28" s="91" t="s">
        <v>301</v>
      </c>
      <c r="E28" s="91" t="s">
        <v>302</v>
      </c>
      <c r="F28" s="91" t="s">
        <v>303</v>
      </c>
      <c r="G28" s="91" t="s">
        <v>304</v>
      </c>
      <c r="H28" s="91" t="s">
        <v>305</v>
      </c>
      <c r="I28" s="91" t="s">
        <v>306</v>
      </c>
      <c r="J28" s="91" t="s">
        <v>307</v>
      </c>
      <c r="K28" s="288"/>
      <c r="L28" s="289"/>
    </row>
    <row r="29" spans="2:14" ht="52.5" customHeight="1">
      <c r="B29" s="336"/>
      <c r="C29" s="28" t="s">
        <v>132</v>
      </c>
      <c r="D29" s="95">
        <v>41673</v>
      </c>
      <c r="E29" s="95">
        <v>43430</v>
      </c>
      <c r="F29" s="95">
        <v>43150</v>
      </c>
      <c r="G29" s="95">
        <v>43430</v>
      </c>
      <c r="H29" s="95">
        <v>39121</v>
      </c>
      <c r="I29" s="95">
        <v>43430</v>
      </c>
      <c r="J29" s="95">
        <v>43430</v>
      </c>
      <c r="K29" s="288"/>
      <c r="L29" s="289"/>
    </row>
    <row r="30" spans="2:14" ht="54.75" customHeight="1">
      <c r="B30" s="336"/>
      <c r="C30" s="28" t="s">
        <v>133</v>
      </c>
      <c r="D30" s="95">
        <v>41945</v>
      </c>
      <c r="E30" s="95">
        <v>43551</v>
      </c>
      <c r="F30" s="95">
        <v>43361</v>
      </c>
      <c r="G30" s="95">
        <v>43551</v>
      </c>
      <c r="H30" s="95">
        <v>39276</v>
      </c>
      <c r="I30" s="95">
        <v>43551</v>
      </c>
      <c r="J30" s="95">
        <v>43551</v>
      </c>
      <c r="K30" s="288"/>
      <c r="L30" s="289"/>
    </row>
    <row r="31" spans="2:14" ht="41.25" customHeight="1">
      <c r="B31" s="336"/>
      <c r="C31" s="28" t="s">
        <v>134</v>
      </c>
      <c r="D31" s="92">
        <v>2014</v>
      </c>
      <c r="E31" s="92">
        <v>2019</v>
      </c>
      <c r="F31" s="92">
        <v>2018</v>
      </c>
      <c r="G31" s="92">
        <v>2019</v>
      </c>
      <c r="H31" s="92">
        <v>2007</v>
      </c>
      <c r="I31" s="92">
        <v>2019</v>
      </c>
      <c r="J31" s="92">
        <v>2019</v>
      </c>
      <c r="K31" s="288"/>
      <c r="L31" s="289"/>
    </row>
    <row r="32" spans="2:14" ht="63" customHeight="1">
      <c r="B32" s="336"/>
      <c r="C32" s="28" t="s">
        <v>135</v>
      </c>
      <c r="D32" s="91" t="s">
        <v>308</v>
      </c>
      <c r="E32" s="91" t="s">
        <v>309</v>
      </c>
      <c r="F32" s="91" t="s">
        <v>310</v>
      </c>
      <c r="G32" s="91" t="s">
        <v>309</v>
      </c>
      <c r="H32" s="91" t="s">
        <v>311</v>
      </c>
      <c r="I32" s="91" t="s">
        <v>309</v>
      </c>
      <c r="J32" s="91" t="s">
        <v>309</v>
      </c>
      <c r="K32" s="288"/>
      <c r="L32" s="289"/>
    </row>
    <row r="33" spans="2:12" ht="46.5" customHeight="1">
      <c r="B33" s="336"/>
      <c r="C33" s="28" t="s">
        <v>140</v>
      </c>
      <c r="D33" s="91" t="s">
        <v>293</v>
      </c>
      <c r="E33" s="91" t="s">
        <v>293</v>
      </c>
      <c r="F33" s="91" t="s">
        <v>293</v>
      </c>
      <c r="G33" s="91" t="s">
        <v>293</v>
      </c>
      <c r="H33" s="91" t="s">
        <v>312</v>
      </c>
      <c r="I33" s="91" t="s">
        <v>293</v>
      </c>
      <c r="J33" s="91" t="s">
        <v>293</v>
      </c>
      <c r="K33" s="288"/>
      <c r="L33" s="289"/>
    </row>
    <row r="34" spans="2:12" ht="27.75" customHeight="1">
      <c r="B34" s="336"/>
      <c r="C34" s="30" t="s">
        <v>144</v>
      </c>
      <c r="D34" s="96">
        <v>64</v>
      </c>
      <c r="E34" s="96">
        <v>147</v>
      </c>
      <c r="F34" s="96">
        <v>129</v>
      </c>
      <c r="G34" s="97">
        <v>148</v>
      </c>
      <c r="H34" s="97">
        <v>6</v>
      </c>
      <c r="I34" s="97">
        <v>149</v>
      </c>
      <c r="J34" s="97">
        <v>146</v>
      </c>
      <c r="K34" s="288"/>
      <c r="L34" s="289"/>
    </row>
    <row r="35" spans="2:12" ht="102.75" customHeight="1">
      <c r="B35" s="336"/>
      <c r="C35" s="28" t="s">
        <v>145</v>
      </c>
      <c r="D35" s="93">
        <v>1080.3399999999999</v>
      </c>
      <c r="E35" s="93">
        <v>1079.04</v>
      </c>
      <c r="F35" s="93">
        <v>423.65</v>
      </c>
      <c r="G35" s="93">
        <v>1331.38</v>
      </c>
      <c r="H35" s="93">
        <v>930.06</v>
      </c>
      <c r="I35" s="93">
        <v>1478.55</v>
      </c>
      <c r="J35" s="93">
        <v>1347.13</v>
      </c>
      <c r="K35" s="290"/>
      <c r="L35" s="291"/>
    </row>
    <row r="36" spans="2:12" ht="48" customHeight="1">
      <c r="B36" s="336"/>
      <c r="C36" s="28" t="s">
        <v>146</v>
      </c>
      <c r="D36" s="105">
        <f>IFERROR(D35*VLOOKUP(D31,'DATOS INICIALES'!$A$12:$B$41,2,0),"0")</f>
        <v>665489440</v>
      </c>
      <c r="E36" s="105">
        <f>IFERROR(E35*VLOOKUP(E31,'DATOS INICIALES'!$A$12:$B$41,2,0),"0")</f>
        <v>893570288.63999999</v>
      </c>
      <c r="F36" s="105">
        <f>IFERROR(F35*VLOOKUP(F31,'DATOS INICIALES'!$A$12:$B$41,2,0),"0")</f>
        <v>330973173.30000001</v>
      </c>
      <c r="G36" s="105">
        <f>IFERROR(G35*VLOOKUP(G31,'DATOS INICIALES'!$A$12:$B$41,2,0),"0")</f>
        <v>1102537080.0800002</v>
      </c>
      <c r="H36" s="105">
        <f>IFERROR(H35*VLOOKUP(H31,'DATOS INICIALES'!$A$12:$B$41,2,0),"0")</f>
        <v>403367022</v>
      </c>
      <c r="I36" s="105">
        <f>IFERROR(I35*VLOOKUP(I31,'DATOS INICIALES'!$A$12:$B$41,2,0),"0")</f>
        <v>1224410911.8</v>
      </c>
      <c r="J36" s="105">
        <f>IFERROR(J35*VLOOKUP(J31,'DATOS INICIALES'!$A$12:$B$41,2,0),"0")</f>
        <v>1115579907.0800002</v>
      </c>
      <c r="K36" s="288"/>
      <c r="L36" s="289"/>
    </row>
    <row r="37" spans="2:12" ht="33.75" customHeight="1">
      <c r="B37" s="336"/>
      <c r="C37" s="28" t="s">
        <v>147</v>
      </c>
      <c r="D37" s="94">
        <v>1</v>
      </c>
      <c r="E37" s="94">
        <v>1</v>
      </c>
      <c r="F37" s="94">
        <v>1</v>
      </c>
      <c r="G37" s="94">
        <v>1</v>
      </c>
      <c r="H37" s="94">
        <v>0.5</v>
      </c>
      <c r="I37" s="94">
        <v>1</v>
      </c>
      <c r="J37" s="94">
        <v>1</v>
      </c>
      <c r="K37" s="288"/>
      <c r="L37" s="289"/>
    </row>
    <row r="38" spans="2:12" ht="48.75" customHeight="1">
      <c r="B38" s="336"/>
      <c r="C38" s="28" t="s">
        <v>148</v>
      </c>
      <c r="D38" s="105">
        <f t="shared" ref="D38:J38" si="3">IF(D24="","0",D37*D36)</f>
        <v>665489440</v>
      </c>
      <c r="E38" s="105">
        <f t="shared" si="3"/>
        <v>893570288.63999999</v>
      </c>
      <c r="F38" s="105">
        <f t="shared" si="3"/>
        <v>330973173.30000001</v>
      </c>
      <c r="G38" s="105">
        <f t="shared" si="3"/>
        <v>1102537080.0800002</v>
      </c>
      <c r="H38" s="105">
        <f t="shared" si="3"/>
        <v>201683511</v>
      </c>
      <c r="I38" s="105">
        <f t="shared" si="3"/>
        <v>1224410911.8</v>
      </c>
      <c r="J38" s="105">
        <f t="shared" si="3"/>
        <v>1115579907.0800002</v>
      </c>
      <c r="K38" s="288"/>
      <c r="L38" s="289"/>
    </row>
    <row r="39" spans="2:12" ht="65.25" customHeight="1">
      <c r="B39" s="336"/>
      <c r="C39" s="28" t="s">
        <v>149</v>
      </c>
      <c r="D39" s="106">
        <f t="shared" ref="D39:J39" si="4">IFERROR(D35*D37,"0")</f>
        <v>1080.3399999999999</v>
      </c>
      <c r="E39" s="106">
        <f t="shared" si="4"/>
        <v>1079.04</v>
      </c>
      <c r="F39" s="106">
        <f t="shared" si="4"/>
        <v>423.65</v>
      </c>
      <c r="G39" s="106">
        <f t="shared" si="4"/>
        <v>1331.38</v>
      </c>
      <c r="H39" s="106">
        <f t="shared" si="4"/>
        <v>465.03</v>
      </c>
      <c r="I39" s="106">
        <f t="shared" si="4"/>
        <v>1478.55</v>
      </c>
      <c r="J39" s="106">
        <f t="shared" si="4"/>
        <v>1347.13</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t="s">
        <v>31</v>
      </c>
      <c r="I46" s="90" t="s">
        <v>31</v>
      </c>
      <c r="J46" s="90" t="s">
        <v>31</v>
      </c>
      <c r="K46" s="288"/>
      <c r="L46" s="289"/>
    </row>
    <row r="47" spans="2:12" ht="24.75" customHeight="1">
      <c r="B47" s="327" t="s">
        <v>158</v>
      </c>
      <c r="C47" s="31">
        <f>+'DATOS INICIALES'!D21</f>
        <v>70101700</v>
      </c>
      <c r="D47" s="96" t="s">
        <v>29</v>
      </c>
      <c r="E47" s="96" t="s">
        <v>29</v>
      </c>
      <c r="F47" s="96" t="s">
        <v>29</v>
      </c>
      <c r="G47" s="96" t="s">
        <v>29</v>
      </c>
      <c r="H47" s="96" t="s">
        <v>27</v>
      </c>
      <c r="I47" s="96" t="s">
        <v>29</v>
      </c>
      <c r="J47" s="97" t="s">
        <v>29</v>
      </c>
      <c r="K47" s="288"/>
      <c r="L47" s="289"/>
    </row>
    <row r="48" spans="2:12" ht="24.75" customHeight="1">
      <c r="B48" s="328"/>
      <c r="C48" s="31">
        <f>+'DATOS INICIALES'!D22</f>
        <v>80101600</v>
      </c>
      <c r="D48" s="96" t="s">
        <v>27</v>
      </c>
      <c r="E48" s="96" t="s">
        <v>27</v>
      </c>
      <c r="F48" s="96" t="s">
        <v>27</v>
      </c>
      <c r="G48" s="96" t="s">
        <v>27</v>
      </c>
      <c r="H48" s="96" t="s">
        <v>27</v>
      </c>
      <c r="I48" s="96" t="s">
        <v>27</v>
      </c>
      <c r="J48" s="97" t="s">
        <v>27</v>
      </c>
      <c r="K48" s="288"/>
      <c r="L48" s="289"/>
    </row>
    <row r="49" spans="2:12" ht="24.75" customHeight="1">
      <c r="B49" s="328"/>
      <c r="C49" s="31">
        <f>+'DATOS INICIALES'!D23</f>
        <v>80101500</v>
      </c>
      <c r="D49" s="96" t="s">
        <v>27</v>
      </c>
      <c r="E49" s="96" t="s">
        <v>27</v>
      </c>
      <c r="F49" s="96" t="s">
        <v>27</v>
      </c>
      <c r="G49" s="96" t="s">
        <v>27</v>
      </c>
      <c r="H49" s="96" t="s">
        <v>27</v>
      </c>
      <c r="I49" s="96" t="s">
        <v>27</v>
      </c>
      <c r="J49" s="97" t="s">
        <v>27</v>
      </c>
      <c r="K49" s="288"/>
      <c r="L49" s="289"/>
    </row>
    <row r="50" spans="2:12" ht="24.75" customHeight="1">
      <c r="B50" s="328"/>
      <c r="C50" s="31">
        <f>+'DATOS INICIALES'!D24</f>
        <v>86101700</v>
      </c>
      <c r="D50" s="96" t="s">
        <v>27</v>
      </c>
      <c r="E50" s="96" t="s">
        <v>27</v>
      </c>
      <c r="F50" s="96" t="s">
        <v>27</v>
      </c>
      <c r="G50" s="96" t="s">
        <v>27</v>
      </c>
      <c r="H50" s="96" t="s">
        <v>27</v>
      </c>
      <c r="I50" s="96" t="s">
        <v>27</v>
      </c>
      <c r="J50" s="97" t="s">
        <v>27</v>
      </c>
      <c r="K50" s="288"/>
      <c r="L50" s="289"/>
    </row>
    <row r="51" spans="2:12" ht="24.75" customHeight="1">
      <c r="B51" s="328"/>
      <c r="C51" s="31">
        <f>+'DATOS INICIALES'!D25</f>
        <v>80161500</v>
      </c>
      <c r="D51" s="96" t="s">
        <v>29</v>
      </c>
      <c r="E51" s="96" t="s">
        <v>29</v>
      </c>
      <c r="F51" s="96" t="s">
        <v>29</v>
      </c>
      <c r="G51" s="96" t="s">
        <v>29</v>
      </c>
      <c r="H51" s="96" t="s">
        <v>27</v>
      </c>
      <c r="I51" s="96" t="s">
        <v>29</v>
      </c>
      <c r="J51" s="97" t="s">
        <v>29</v>
      </c>
      <c r="K51" s="288"/>
      <c r="L51" s="289"/>
    </row>
    <row r="52" spans="2:12" ht="24.75" customHeight="1">
      <c r="B52" s="328"/>
      <c r="C52" s="31">
        <f>+'DATOS INICIALES'!D26</f>
        <v>93141500</v>
      </c>
      <c r="D52" s="96" t="s">
        <v>29</v>
      </c>
      <c r="E52" s="96" t="s">
        <v>27</v>
      </c>
      <c r="F52" s="96" t="s">
        <v>27</v>
      </c>
      <c r="G52" s="96" t="s">
        <v>27</v>
      </c>
      <c r="H52" s="96" t="s">
        <v>27</v>
      </c>
      <c r="I52" s="96" t="s">
        <v>27</v>
      </c>
      <c r="J52" s="97" t="s">
        <v>27</v>
      </c>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CUMPLE</v>
      </c>
      <c r="I54" s="18" t="str">
        <f t="shared" si="9"/>
        <v>CUMPLE</v>
      </c>
      <c r="J54" s="18" t="str">
        <f t="shared" si="9"/>
        <v>CUMPLE</v>
      </c>
      <c r="K54" s="288"/>
      <c r="L54" s="289"/>
    </row>
    <row r="55" spans="2:12" ht="296.25" customHeight="1">
      <c r="B55" s="330" t="s">
        <v>160</v>
      </c>
      <c r="C55" s="331"/>
      <c r="D55" s="90" t="s">
        <v>31</v>
      </c>
      <c r="E55" s="90" t="s">
        <v>31</v>
      </c>
      <c r="F55" s="90" t="s">
        <v>31</v>
      </c>
      <c r="G55" s="90" t="s">
        <v>31</v>
      </c>
      <c r="H55" s="90" t="s">
        <v>31</v>
      </c>
      <c r="I55" s="90" t="s">
        <v>31</v>
      </c>
      <c r="J55" s="90" t="s">
        <v>31</v>
      </c>
      <c r="K55" s="295"/>
      <c r="L55" s="296"/>
    </row>
    <row r="56" spans="2:12" ht="353.25" hidden="1" customHeight="1">
      <c r="B56" s="330" t="s">
        <v>161</v>
      </c>
      <c r="C56" s="331"/>
      <c r="D56" s="90" t="s">
        <v>31</v>
      </c>
      <c r="E56" s="90" t="s">
        <v>31</v>
      </c>
      <c r="F56" s="90" t="s">
        <v>31</v>
      </c>
      <c r="G56" s="90" t="s">
        <v>31</v>
      </c>
      <c r="H56" s="90" t="s">
        <v>31</v>
      </c>
      <c r="I56" s="90" t="s">
        <v>31</v>
      </c>
      <c r="J56" s="90" t="s">
        <v>31</v>
      </c>
      <c r="K56" s="295"/>
      <c r="L56" s="296"/>
    </row>
    <row r="57" spans="2:12" ht="99" customHeight="1">
      <c r="B57" s="324" t="s">
        <v>162</v>
      </c>
      <c r="C57" s="325"/>
      <c r="D57" s="90" t="s">
        <v>31</v>
      </c>
      <c r="E57" s="90" t="s">
        <v>31</v>
      </c>
      <c r="F57" s="90" t="s">
        <v>31</v>
      </c>
      <c r="G57" s="90" t="s">
        <v>31</v>
      </c>
      <c r="H57" s="90" t="s">
        <v>31</v>
      </c>
      <c r="I57" s="90" t="s">
        <v>31</v>
      </c>
      <c r="J57" s="90" t="s">
        <v>31</v>
      </c>
      <c r="K57" s="288"/>
      <c r="L57" s="289"/>
    </row>
    <row r="58" spans="2:12" ht="105.75" customHeight="1">
      <c r="B58" s="324" t="s">
        <v>163</v>
      </c>
      <c r="C58" s="325"/>
      <c r="D58" s="90" t="s">
        <v>31</v>
      </c>
      <c r="E58" s="90" t="s">
        <v>31</v>
      </c>
      <c r="F58" s="90" t="s">
        <v>31</v>
      </c>
      <c r="G58" s="90" t="s">
        <v>31</v>
      </c>
      <c r="H58" s="90" t="s">
        <v>31</v>
      </c>
      <c r="I58" s="90" t="s">
        <v>31</v>
      </c>
      <c r="J58" s="90" t="s">
        <v>31</v>
      </c>
      <c r="K58" s="288"/>
      <c r="L58" s="289"/>
    </row>
    <row r="59" spans="2:12" ht="291.75" customHeight="1">
      <c r="B59" s="324" t="s">
        <v>164</v>
      </c>
      <c r="C59" s="325"/>
      <c r="D59" s="90" t="s">
        <v>30</v>
      </c>
      <c r="E59" s="90" t="s">
        <v>30</v>
      </c>
      <c r="F59" s="90" t="s">
        <v>30</v>
      </c>
      <c r="G59" s="90" t="s">
        <v>30</v>
      </c>
      <c r="H59" s="90" t="s">
        <v>30</v>
      </c>
      <c r="I59" s="90" t="s">
        <v>30</v>
      </c>
      <c r="J59" s="90" t="s">
        <v>30</v>
      </c>
      <c r="K59" s="288"/>
      <c r="L59" s="289"/>
    </row>
    <row r="60" spans="2:12" ht="336" customHeight="1">
      <c r="B60" s="229" t="s">
        <v>165</v>
      </c>
      <c r="C60" s="229"/>
      <c r="D60" s="90" t="s">
        <v>31</v>
      </c>
      <c r="E60" s="90" t="s">
        <v>31</v>
      </c>
      <c r="F60" s="90" t="s">
        <v>31</v>
      </c>
      <c r="G60" s="90" t="s">
        <v>31</v>
      </c>
      <c r="H60" s="90" t="s">
        <v>31</v>
      </c>
      <c r="I60" s="90" t="s">
        <v>31</v>
      </c>
      <c r="J60" s="90" t="s">
        <v>31</v>
      </c>
      <c r="K60" s="290"/>
      <c r="L60" s="291"/>
    </row>
    <row r="61" spans="2:12" ht="129.75" customHeight="1">
      <c r="B61" s="338" t="s">
        <v>166</v>
      </c>
      <c r="C61" s="339"/>
      <c r="D61" s="90" t="s">
        <v>30</v>
      </c>
      <c r="E61" s="90" t="s">
        <v>30</v>
      </c>
      <c r="F61" s="90" t="s">
        <v>30</v>
      </c>
      <c r="G61" s="90" t="s">
        <v>30</v>
      </c>
      <c r="H61" s="90" t="s">
        <v>30</v>
      </c>
      <c r="I61" s="90" t="s">
        <v>30</v>
      </c>
      <c r="J61" s="90" t="s">
        <v>30</v>
      </c>
      <c r="K61" s="288"/>
      <c r="L61" s="289"/>
    </row>
    <row r="62" spans="2:12" ht="408.75" customHeight="1">
      <c r="B62" s="326" t="s">
        <v>167</v>
      </c>
      <c r="C62" s="326"/>
      <c r="D62" s="90" t="s">
        <v>30</v>
      </c>
      <c r="E62" s="90" t="s">
        <v>30</v>
      </c>
      <c r="F62" s="90" t="s">
        <v>30</v>
      </c>
      <c r="G62" s="90" t="s">
        <v>30</v>
      </c>
      <c r="H62" s="90" t="s">
        <v>30</v>
      </c>
      <c r="I62" s="90" t="s">
        <v>30</v>
      </c>
      <c r="J62" s="90" t="s">
        <v>30</v>
      </c>
      <c r="K62" s="288"/>
      <c r="L62" s="289"/>
    </row>
    <row r="63" spans="2:12" ht="234.75" customHeight="1">
      <c r="B63" s="229" t="s">
        <v>168</v>
      </c>
      <c r="C63" s="229"/>
      <c r="D63" s="90" t="s">
        <v>31</v>
      </c>
      <c r="E63" s="90" t="s">
        <v>31</v>
      </c>
      <c r="F63" s="90" t="s">
        <v>31</v>
      </c>
      <c r="G63" s="90" t="s">
        <v>31</v>
      </c>
      <c r="H63" s="90" t="s">
        <v>31</v>
      </c>
      <c r="I63" s="90" t="s">
        <v>31</v>
      </c>
      <c r="J63" s="90" t="s">
        <v>31</v>
      </c>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CUMPLE</v>
      </c>
      <c r="I64" s="18" t="str">
        <f t="shared" si="10"/>
        <v>CUMPLE</v>
      </c>
      <c r="J64" s="18" t="str">
        <f t="shared" si="10"/>
        <v>CUMPLE</v>
      </c>
      <c r="K64" s="166"/>
      <c r="L64" s="167"/>
    </row>
    <row r="65" spans="2:12" ht="81.75" customHeight="1">
      <c r="B65" s="229" t="s">
        <v>170</v>
      </c>
      <c r="C65" s="229"/>
      <c r="D65" s="90"/>
      <c r="E65" s="90"/>
      <c r="F65" s="90"/>
      <c r="G65" s="90"/>
      <c r="H65" s="90"/>
      <c r="I65" s="90" t="s">
        <v>31</v>
      </c>
      <c r="J65" s="90" t="s">
        <v>31</v>
      </c>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4:J35">
    <cfRule type="containsBlanks" dxfId="849" priority="15">
      <formula>LEN(TRIM(D24))=0</formula>
    </cfRule>
    <cfRule type="notContainsErrors" dxfId="848" priority="16">
      <formula>NOT(ISERROR(D24))</formula>
    </cfRule>
  </conditionalFormatting>
  <conditionalFormatting sqref="D34:J34">
    <cfRule type="containsBlanks" dxfId="847" priority="17">
      <formula>LEN(TRIM(D34))=0</formula>
    </cfRule>
    <cfRule type="notContainsErrors" dxfId="846" priority="18">
      <formula>NOT(ISERROR(D34))</formula>
    </cfRule>
  </conditionalFormatting>
  <conditionalFormatting sqref="D37:J37">
    <cfRule type="containsBlanks" dxfId="845" priority="13">
      <formula>LEN(TRIM(D37))=0</formula>
    </cfRule>
    <cfRule type="notContainsErrors" dxfId="844" priority="14">
      <formula>NOT(ISERROR(D37))</formula>
    </cfRule>
  </conditionalFormatting>
  <conditionalFormatting sqref="D40:J40 D43:J43 K64:L64">
    <cfRule type="notContainsErrors" dxfId="843" priority="34">
      <formula>NOT(ISERROR(D40))</formula>
    </cfRule>
    <cfRule type="containsBlanks" dxfId="842" priority="33">
      <formula>LEN(TRIM(D40))=0</formula>
    </cfRule>
  </conditionalFormatting>
  <conditionalFormatting sqref="D46:J53">
    <cfRule type="containsBlanks" dxfId="841" priority="11">
      <formula>LEN(TRIM(D46))=0</formula>
    </cfRule>
    <cfRule type="cellIs" dxfId="840" priority="9" operator="equal">
      <formula>"NO CUMPLE"</formula>
    </cfRule>
    <cfRule type="cellIs" dxfId="839" priority="10" operator="equal">
      <formula>"CUMPLE"</formula>
    </cfRule>
    <cfRule type="notContainsErrors" dxfId="838" priority="12">
      <formula>NOT(ISERROR(D46))</formula>
    </cfRule>
  </conditionalFormatting>
  <conditionalFormatting sqref="D54:J54">
    <cfRule type="cellIs" dxfId="837" priority="39" operator="equal">
      <formula>"N/A"</formula>
    </cfRule>
    <cfRule type="cellIs" dxfId="836" priority="43" operator="equal">
      <formula>"CUMPLE"</formula>
    </cfRule>
    <cfRule type="cellIs" dxfId="835" priority="44" operator="equal">
      <formula>"NO CUMPLE"</formula>
    </cfRule>
    <cfRule type="cellIs" dxfId="834" priority="45" operator="equal">
      <formula>"""CUMPLE"""</formula>
    </cfRule>
  </conditionalFormatting>
  <conditionalFormatting sqref="D55:J63">
    <cfRule type="cellIs" dxfId="833" priority="5" operator="equal">
      <formula>"NO CUMPLE"</formula>
    </cfRule>
    <cfRule type="cellIs" dxfId="832" priority="6" operator="equal">
      <formula>"CUMPLE"</formula>
    </cfRule>
    <cfRule type="containsBlanks" dxfId="831" priority="7">
      <formula>LEN(TRIM(D55))=0</formula>
    </cfRule>
    <cfRule type="notContainsErrors" dxfId="830" priority="8">
      <formula>NOT(ISERROR(D55))</formula>
    </cfRule>
  </conditionalFormatting>
  <conditionalFormatting sqref="D64:J64">
    <cfRule type="cellIs" dxfId="829" priority="37" operator="equal">
      <formula>"NO CUMPLE"</formula>
    </cfRule>
    <cfRule type="cellIs" dxfId="828" priority="36" operator="equal">
      <formula>"CUMPLE"</formula>
    </cfRule>
    <cfRule type="cellIs" dxfId="827" priority="35" operator="equal">
      <formula>"N/A"</formula>
    </cfRule>
    <cfRule type="cellIs" dxfId="826" priority="38" operator="equal">
      <formula>"""CUMPLE"""</formula>
    </cfRule>
  </conditionalFormatting>
  <conditionalFormatting sqref="D65:J65">
    <cfRule type="cellIs" dxfId="825" priority="2" operator="equal">
      <formula>"CUMPLE"</formula>
    </cfRule>
    <cfRule type="cellIs" dxfId="824" priority="1" operator="equal">
      <formula>"NO CUMPLE"</formula>
    </cfRule>
  </conditionalFormatting>
  <conditionalFormatting sqref="D65:K65">
    <cfRule type="containsBlanks" dxfId="823" priority="3">
      <formula>LEN(TRIM(D65))=0</formula>
    </cfRule>
    <cfRule type="notContainsErrors" dxfId="822" priority="4">
      <formula>NOT(ISERROR(D65))</formula>
    </cfRule>
  </conditionalFormatting>
  <conditionalFormatting sqref="F20:H20">
    <cfRule type="cellIs" dxfId="821" priority="50" operator="equal">
      <formula>"NO CUMPLE"</formula>
    </cfRule>
    <cfRule type="cellIs" dxfId="820" priority="49" operator="equal">
      <formula>"CUMPLE"</formula>
    </cfRule>
    <cfRule type="cellIs" dxfId="819" priority="51" operator="equal">
      <formula>"""CUMPLE"""</formula>
    </cfRule>
  </conditionalFormatting>
  <conditionalFormatting sqref="I11">
    <cfRule type="containsText" dxfId="818" priority="52" operator="containsText" text="INHABILITADO">
      <formula>NOT(ISERROR(SEARCH("INHABILITADO",I11)))</formula>
    </cfRule>
    <cfRule type="containsText" dxfId="817" priority="53" operator="containsText" text="HABILITADO">
      <formula>NOT(ISERROR(SEARCH("HABILITADO",I11)))</formula>
    </cfRule>
    <cfRule type="containsText" dxfId="816" priority="54" operator="containsText" text="HABILITADO">
      <formula>NOT(ISERROR(SEARCH("HABILITADO",I11)))</formula>
    </cfRule>
    <cfRule type="containsText" dxfId="815" priority="55" operator="containsText" text="NO CUMPLE">
      <formula>NOT(ISERROR(SEARCH("NO CUMPLE",I11)))</formula>
    </cfRule>
  </conditionalFormatting>
  <conditionalFormatting sqref="J20">
    <cfRule type="cellIs" dxfId="814" priority="25" operator="equal">
      <formula>"NO"</formula>
    </cfRule>
    <cfRule type="cellIs" dxfId="813" priority="26" operator="equal">
      <formula>"SI"</formula>
    </cfRule>
  </conditionalFormatting>
  <conditionalFormatting sqref="K19">
    <cfRule type="cellIs" dxfId="812" priority="40" operator="equal">
      <formula>"CUMPLE"</formula>
    </cfRule>
    <cfRule type="cellIs" dxfId="811" priority="41" operator="equal">
      <formula>"NO CUMPLE"</formula>
    </cfRule>
    <cfRule type="cellIs" dxfId="810" priority="42" operator="equal">
      <formula>"""CUMPLE"""</formula>
    </cfRule>
  </conditionalFormatting>
  <conditionalFormatting sqref="K24:K63">
    <cfRule type="notContainsErrors" dxfId="809" priority="20">
      <formula>NOT(ISERROR(K24))</formula>
    </cfRule>
    <cfRule type="containsBlanks" dxfId="808" priority="19">
      <formula>LEN(TRIM(K24))=0</formula>
    </cfRule>
  </conditionalFormatting>
  <conditionalFormatting sqref="L15">
    <cfRule type="cellIs" dxfId="807" priority="46" operator="equal">
      <formula>"CUMPLE"</formula>
    </cfRule>
    <cfRule type="cellIs" dxfId="806" priority="47" operator="equal">
      <formula>"NO CUMPLE"</formula>
    </cfRule>
    <cfRule type="cellIs" dxfId="805" priority="48" operator="equal">
      <formula>"""CUMPLE"""</formula>
    </cfRule>
  </conditionalFormatting>
  <conditionalFormatting sqref="L20">
    <cfRule type="cellIs" dxfId="804" priority="23" operator="equal">
      <formula>"NO"</formula>
    </cfRule>
    <cfRule type="cellIs" dxfId="803" priority="24" operator="equal">
      <formula>"SI"</formula>
    </cfRule>
  </conditionalFormatting>
  <dataValidations disablePrompts="1" count="3">
    <dataValidation type="list" allowBlank="1" showInputMessage="1" showErrorMessage="1" sqref="L57:L64" xr:uid="{00000000-0002-0000-0D00-000000000000}">
      <formula1>"0,1,2,3,4,5,6"</formula1>
    </dataValidation>
    <dataValidation type="list" allowBlank="1" showInputMessage="1" showErrorMessage="1" sqref="D24:J26" xr:uid="{00000000-0002-0000-0D00-000001000000}">
      <formula1>$C$15:$C$19</formula1>
    </dataValidation>
    <dataValidation type="list" allowBlank="1" showInputMessage="1" showErrorMessage="1" sqref="D65:I65" xr:uid="{00000000-0002-0000-0D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00000000-0002-0000-0D00-000003000000}">
          <x14:formula1>
            <xm:f>'DATOS INICIALES'!$C$44:$C$45</xm:f>
          </x14:formula1>
          <xm:sqref>D47:I53 J47:J52</xm:sqref>
        </x14:dataValidation>
        <x14:dataValidation type="list" allowBlank="1" showInputMessage="1" showErrorMessage="1" xr:uid="{00000000-0002-0000-0D00-000004000000}">
          <x14:formula1>
            <xm:f>'DATOS INICIALES'!$A$49:$A$51</xm:f>
          </x14:formula1>
          <xm:sqref>D55:I57 D58:J63 J55:J56 D46:J46</xm:sqref>
        </x14:dataValidation>
        <x14:dataValidation type="list" allowBlank="1" showInputMessage="1" showErrorMessage="1" xr:uid="{00000000-0002-0000-0D00-000005000000}">
          <x14:formula1>
            <xm:f>'DATOS INICIALES'!$A$53:$A$58</xm:f>
          </x14:formula1>
          <xm:sqref>D23:I23</xm:sqref>
        </x14:dataValidation>
        <x14:dataValidation type="list" allowBlank="1" showInputMessage="1" showErrorMessage="1" xr:uid="{00000000-0002-0000-0D00-000006000000}">
          <x14:formula1>
            <xm:f>'DATOS INICIALES'!$D$21:$D$25</xm:f>
          </x14:formula1>
          <xm:sqref>M47:M54</xm:sqref>
        </x14:dataValidation>
        <x14:dataValidation type="list" allowBlank="1" showInputMessage="1" showErrorMessage="1" xr:uid="{00000000-0002-0000-0D00-000007000000}">
          <x14:formula1>
            <xm:f>'DATOS INICIALES'!$A$13:$A$41</xm:f>
          </x14:formula1>
          <xm:sqref>D31:I31</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6" width="26.140625" customWidth="1"/>
    <col min="7" max="7" width="37.140625" customWidth="1"/>
    <col min="8"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+PROPONENTES!B20</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4</v>
      </c>
      <c r="J15" s="293">
        <f>IF(AND(I15&gt;=1,I15&lt;=2),L8,IF(AND(I15&gt;=3,I15&lt;=4),L9,IF(AND(I15&gt;=5,I15&lt;=7),L10)))</f>
        <v>3938.6952868965518</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3168.61</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51" customHeight="1">
      <c r="B24" s="333" t="s">
        <v>118</v>
      </c>
      <c r="C24" s="334"/>
      <c r="D24" s="90" t="s">
        <v>313</v>
      </c>
      <c r="E24" s="90" t="s">
        <v>313</v>
      </c>
      <c r="F24" s="90" t="s">
        <v>313</v>
      </c>
      <c r="G24" s="90" t="s">
        <v>313</v>
      </c>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314</v>
      </c>
      <c r="E27" s="91" t="s">
        <v>315</v>
      </c>
      <c r="F27" s="91" t="s">
        <v>316</v>
      </c>
      <c r="G27" s="91" t="s">
        <v>317</v>
      </c>
      <c r="H27" s="91"/>
      <c r="I27" s="91"/>
      <c r="J27" s="91"/>
      <c r="K27" s="288"/>
      <c r="L27" s="289"/>
    </row>
    <row r="28" spans="2:14" ht="409.5" customHeight="1">
      <c r="B28" s="336"/>
      <c r="C28" s="28" t="s">
        <v>127</v>
      </c>
      <c r="D28" s="91" t="s">
        <v>318</v>
      </c>
      <c r="E28" s="91" t="s">
        <v>319</v>
      </c>
      <c r="F28" s="91" t="s">
        <v>320</v>
      </c>
      <c r="G28" s="91" t="s">
        <v>321</v>
      </c>
      <c r="H28" s="91"/>
      <c r="I28" s="91"/>
      <c r="J28" s="91"/>
      <c r="K28" s="288"/>
      <c r="L28" s="289"/>
    </row>
    <row r="29" spans="2:14" ht="52.5" customHeight="1">
      <c r="B29" s="336"/>
      <c r="C29" s="28" t="s">
        <v>132</v>
      </c>
      <c r="D29" s="95">
        <v>44193</v>
      </c>
      <c r="E29" s="95">
        <v>44193</v>
      </c>
      <c r="F29" s="95">
        <v>43712</v>
      </c>
      <c r="G29" s="95">
        <v>43612</v>
      </c>
      <c r="H29" s="95"/>
      <c r="I29" s="95"/>
      <c r="J29" s="95"/>
      <c r="K29" s="288"/>
      <c r="L29" s="289"/>
    </row>
    <row r="30" spans="2:14" ht="54.75" customHeight="1">
      <c r="B30" s="336"/>
      <c r="C30" s="28" t="s">
        <v>133</v>
      </c>
      <c r="D30" s="95">
        <v>44438</v>
      </c>
      <c r="E30" s="95">
        <v>44419</v>
      </c>
      <c r="F30" s="95">
        <v>44033</v>
      </c>
      <c r="G30" s="95">
        <v>44067</v>
      </c>
      <c r="H30" s="95"/>
      <c r="I30" s="95"/>
      <c r="J30" s="95"/>
      <c r="K30" s="288"/>
      <c r="L30" s="289"/>
    </row>
    <row r="31" spans="2:14" ht="41.25" customHeight="1">
      <c r="B31" s="336"/>
      <c r="C31" s="28" t="s">
        <v>134</v>
      </c>
      <c r="D31" s="92">
        <v>2021</v>
      </c>
      <c r="E31" s="92">
        <v>2021</v>
      </c>
      <c r="F31" s="92">
        <v>2020</v>
      </c>
      <c r="G31" s="92">
        <v>2020</v>
      </c>
      <c r="H31" s="92"/>
      <c r="I31" s="92"/>
      <c r="J31" s="92"/>
      <c r="K31" s="288"/>
      <c r="L31" s="289"/>
    </row>
    <row r="32" spans="2:14" ht="83.25" customHeight="1">
      <c r="B32" s="336"/>
      <c r="C32" s="28" t="s">
        <v>135</v>
      </c>
      <c r="D32" s="91" t="s">
        <v>322</v>
      </c>
      <c r="E32" s="91" t="s">
        <v>322</v>
      </c>
      <c r="F32" s="91" t="s">
        <v>323</v>
      </c>
      <c r="G32" s="91" t="s">
        <v>324</v>
      </c>
      <c r="H32" s="91"/>
      <c r="I32" s="91"/>
      <c r="J32" s="91"/>
      <c r="K32" s="288"/>
      <c r="L32" s="289"/>
    </row>
    <row r="33" spans="2:12" ht="46.5" customHeight="1">
      <c r="B33" s="336"/>
      <c r="C33" s="28" t="s">
        <v>140</v>
      </c>
      <c r="D33" s="91" t="s">
        <v>313</v>
      </c>
      <c r="E33" s="91" t="s">
        <v>313</v>
      </c>
      <c r="F33" s="91" t="s">
        <v>313</v>
      </c>
      <c r="G33" s="91" t="s">
        <v>313</v>
      </c>
      <c r="H33" s="91"/>
      <c r="I33" s="91"/>
      <c r="J33" s="91"/>
      <c r="K33" s="288"/>
      <c r="L33" s="289"/>
    </row>
    <row r="34" spans="2:12" ht="27.75" customHeight="1">
      <c r="B34" s="336"/>
      <c r="C34" s="30" t="s">
        <v>144</v>
      </c>
      <c r="D34" s="96">
        <v>113</v>
      </c>
      <c r="E34" s="96">
        <v>108</v>
      </c>
      <c r="F34" s="96">
        <v>95</v>
      </c>
      <c r="G34" s="97">
        <v>93</v>
      </c>
      <c r="H34" s="97"/>
      <c r="I34" s="97"/>
      <c r="J34" s="97"/>
      <c r="K34" s="288"/>
      <c r="L34" s="289"/>
    </row>
    <row r="35" spans="2:12" ht="102.75" customHeight="1">
      <c r="B35" s="336"/>
      <c r="C35" s="28" t="s">
        <v>145</v>
      </c>
      <c r="D35" s="93">
        <v>1579.88</v>
      </c>
      <c r="E35" s="93">
        <v>670.38</v>
      </c>
      <c r="F35" s="93">
        <v>1229.98</v>
      </c>
      <c r="G35" s="93">
        <v>1588.73</v>
      </c>
      <c r="H35" s="93"/>
      <c r="I35" s="93"/>
      <c r="J35" s="93"/>
      <c r="K35" s="290"/>
      <c r="L35" s="291"/>
    </row>
    <row r="36" spans="2:12" ht="48" customHeight="1">
      <c r="B36" s="336"/>
      <c r="C36" s="28" t="s">
        <v>146</v>
      </c>
      <c r="D36" s="105">
        <f>IFERROR(D35*VLOOKUP(D31,'DATOS INICIALES'!$A$12:$B$41,2,0),"0")</f>
        <v>1435362056.8800001</v>
      </c>
      <c r="E36" s="105">
        <f>IFERROR(E35*VLOOKUP(E31,'DATOS INICIALES'!$A$12:$B$41,2,0),"0")</f>
        <v>609057659.88</v>
      </c>
      <c r="F36" s="105">
        <f>IFERROR(F35*VLOOKUP(F31,'DATOS INICIALES'!$A$12:$B$41,2,0),"0")</f>
        <v>1079680133.9400001</v>
      </c>
      <c r="G36" s="105">
        <f>IFERROR(G35*VLOOKUP(G31,'DATOS INICIALES'!$A$12:$B$41,2,0),"0")</f>
        <v>1394591960.1900001</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v>1</v>
      </c>
      <c r="F37" s="94">
        <v>1</v>
      </c>
      <c r="G37" s="94">
        <v>1</v>
      </c>
      <c r="H37" s="94"/>
      <c r="I37" s="94"/>
      <c r="J37" s="94"/>
      <c r="K37" s="288"/>
      <c r="L37" s="289"/>
    </row>
    <row r="38" spans="2:12" ht="48.75" customHeight="1">
      <c r="B38" s="336"/>
      <c r="C38" s="28" t="s">
        <v>148</v>
      </c>
      <c r="D38" s="105">
        <f t="shared" ref="D38:J38" si="3">IF(D24="","0",D37*D36)</f>
        <v>1435362056.8800001</v>
      </c>
      <c r="E38" s="105">
        <f t="shared" si="3"/>
        <v>609057659.88</v>
      </c>
      <c r="F38" s="105">
        <f t="shared" si="3"/>
        <v>1079680133.9400001</v>
      </c>
      <c r="G38" s="105">
        <f t="shared" si="3"/>
        <v>1394591960.1900001</v>
      </c>
      <c r="H38" s="105" t="str">
        <f t="shared" si="3"/>
        <v>0</v>
      </c>
      <c r="I38" s="105" t="str">
        <f t="shared" si="3"/>
        <v>0</v>
      </c>
      <c r="J38" s="105" t="str">
        <f t="shared" si="3"/>
        <v>0</v>
      </c>
      <c r="K38" s="288"/>
      <c r="L38" s="289"/>
    </row>
    <row r="39" spans="2:12" ht="65.25" customHeight="1">
      <c r="B39" s="336"/>
      <c r="C39" s="28" t="s">
        <v>149</v>
      </c>
      <c r="D39" s="106">
        <f t="shared" ref="D39:J39" si="4">IFERROR(D35*D37,"0")</f>
        <v>1579.88</v>
      </c>
      <c r="E39" s="106">
        <f t="shared" si="4"/>
        <v>670.38</v>
      </c>
      <c r="F39" s="106">
        <f t="shared" si="4"/>
        <v>1229.98</v>
      </c>
      <c r="G39" s="106">
        <f t="shared" si="4"/>
        <v>1588.73</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27</v>
      </c>
      <c r="F47" s="96" t="s">
        <v>27</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27</v>
      </c>
      <c r="F49" s="96" t="s">
        <v>27</v>
      </c>
      <c r="G49" s="96" t="s">
        <v>27</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t="s">
        <v>27</v>
      </c>
      <c r="E51" s="96" t="s">
        <v>27</v>
      </c>
      <c r="F51" s="96" t="s">
        <v>27</v>
      </c>
      <c r="G51" s="96" t="s">
        <v>27</v>
      </c>
      <c r="H51" s="96"/>
      <c r="I51" s="96"/>
      <c r="J51" s="97"/>
      <c r="K51" s="288"/>
      <c r="L51" s="289"/>
    </row>
    <row r="52" spans="2:12" ht="24.75" customHeight="1">
      <c r="B52" s="328"/>
      <c r="C52" s="31">
        <f>+'DATOS INICIALES'!D26</f>
        <v>93141500</v>
      </c>
      <c r="D52" s="96" t="s">
        <v>27</v>
      </c>
      <c r="E52" s="96" t="s">
        <v>27</v>
      </c>
      <c r="F52" s="96" t="s">
        <v>27</v>
      </c>
      <c r="G52" s="96" t="s">
        <v>27</v>
      </c>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30</v>
      </c>
      <c r="E59" s="90" t="s">
        <v>30</v>
      </c>
      <c r="F59" s="90" t="s">
        <v>30</v>
      </c>
      <c r="G59" s="90" t="s">
        <v>31</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30</v>
      </c>
      <c r="E61" s="90" t="s">
        <v>30</v>
      </c>
      <c r="F61" s="90" t="s">
        <v>30</v>
      </c>
      <c r="G61" s="90" t="s">
        <v>30</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t="s">
        <v>31</v>
      </c>
      <c r="E65" s="90"/>
      <c r="F65" s="90"/>
      <c r="G65" s="90" t="s">
        <v>31</v>
      </c>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802" priority="15">
      <formula>LEN(TRIM(D25))=0</formula>
    </cfRule>
    <cfRule type="notContainsErrors" dxfId="801" priority="16">
      <formula>NOT(ISERROR(D25))</formula>
    </cfRule>
  </conditionalFormatting>
  <conditionalFormatting sqref="D34:J34 D24:K24">
    <cfRule type="containsBlanks" dxfId="800" priority="17">
      <formula>LEN(TRIM(D24))=0</formula>
    </cfRule>
  </conditionalFormatting>
  <conditionalFormatting sqref="D37:J37">
    <cfRule type="containsBlanks" dxfId="799" priority="13">
      <formula>LEN(TRIM(D37))=0</formula>
    </cfRule>
    <cfRule type="notContainsErrors" dxfId="798" priority="14">
      <formula>NOT(ISERROR(D37))</formula>
    </cfRule>
  </conditionalFormatting>
  <conditionalFormatting sqref="D40:J40 D43:J43 K64:L64">
    <cfRule type="notContainsErrors" dxfId="797" priority="34">
      <formula>NOT(ISERROR(D40))</formula>
    </cfRule>
    <cfRule type="containsBlanks" dxfId="796" priority="33">
      <formula>LEN(TRIM(D40))=0</formula>
    </cfRule>
  </conditionalFormatting>
  <conditionalFormatting sqref="D46:J53">
    <cfRule type="containsBlanks" dxfId="795" priority="11">
      <formula>LEN(TRIM(D46))=0</formula>
    </cfRule>
    <cfRule type="cellIs" dxfId="794" priority="9" operator="equal">
      <formula>"NO CUMPLE"</formula>
    </cfRule>
    <cfRule type="cellIs" dxfId="793" priority="10" operator="equal">
      <formula>"CUMPLE"</formula>
    </cfRule>
    <cfRule type="notContainsErrors" dxfId="792" priority="12">
      <formula>NOT(ISERROR(D46))</formula>
    </cfRule>
  </conditionalFormatting>
  <conditionalFormatting sqref="D54:J54">
    <cfRule type="cellIs" dxfId="791" priority="39" operator="equal">
      <formula>"N/A"</formula>
    </cfRule>
    <cfRule type="cellIs" dxfId="790" priority="43" operator="equal">
      <formula>"CUMPLE"</formula>
    </cfRule>
    <cfRule type="cellIs" dxfId="789" priority="44" operator="equal">
      <formula>"NO CUMPLE"</formula>
    </cfRule>
    <cfRule type="cellIs" dxfId="788" priority="45" operator="equal">
      <formula>"""CUMPLE"""</formula>
    </cfRule>
  </conditionalFormatting>
  <conditionalFormatting sqref="D55:J63">
    <cfRule type="cellIs" dxfId="787" priority="5" operator="equal">
      <formula>"NO CUMPLE"</formula>
    </cfRule>
    <cfRule type="cellIs" dxfId="786" priority="6" operator="equal">
      <formula>"CUMPLE"</formula>
    </cfRule>
    <cfRule type="containsBlanks" dxfId="785" priority="7">
      <formula>LEN(TRIM(D55))=0</formula>
    </cfRule>
    <cfRule type="notContainsErrors" dxfId="784" priority="8">
      <formula>NOT(ISERROR(D55))</formula>
    </cfRule>
  </conditionalFormatting>
  <conditionalFormatting sqref="D64:J64">
    <cfRule type="cellIs" dxfId="783" priority="37" operator="equal">
      <formula>"NO CUMPLE"</formula>
    </cfRule>
    <cfRule type="cellIs" dxfId="782" priority="36" operator="equal">
      <formula>"CUMPLE"</formula>
    </cfRule>
    <cfRule type="cellIs" dxfId="781" priority="35" operator="equal">
      <formula>"N/A"</formula>
    </cfRule>
    <cfRule type="cellIs" dxfId="780" priority="38" operator="equal">
      <formula>"""CUMPLE"""</formula>
    </cfRule>
  </conditionalFormatting>
  <conditionalFormatting sqref="D65:J65">
    <cfRule type="cellIs" dxfId="779" priority="2" operator="equal">
      <formula>"CUMPLE"</formula>
    </cfRule>
    <cfRule type="cellIs" dxfId="778" priority="1" operator="equal">
      <formula>"NO CUMPLE"</formula>
    </cfRule>
  </conditionalFormatting>
  <conditionalFormatting sqref="D24:K24 D34:J34">
    <cfRule type="notContainsErrors" dxfId="777" priority="18">
      <formula>NOT(ISERROR(D24))</formula>
    </cfRule>
  </conditionalFormatting>
  <conditionalFormatting sqref="D65:K65">
    <cfRule type="containsBlanks" dxfId="776" priority="3">
      <formula>LEN(TRIM(D65))=0</formula>
    </cfRule>
    <cfRule type="notContainsErrors" dxfId="775" priority="4">
      <formula>NOT(ISERROR(D65))</formula>
    </cfRule>
  </conditionalFormatting>
  <conditionalFormatting sqref="F20:H20">
    <cfRule type="cellIs" dxfId="774" priority="50" operator="equal">
      <formula>"NO CUMPLE"</formula>
    </cfRule>
    <cfRule type="cellIs" dxfId="773" priority="49" operator="equal">
      <formula>"CUMPLE"</formula>
    </cfRule>
    <cfRule type="cellIs" dxfId="772" priority="51" operator="equal">
      <formula>"""CUMPLE"""</formula>
    </cfRule>
  </conditionalFormatting>
  <conditionalFormatting sqref="I11">
    <cfRule type="containsText" dxfId="771" priority="52" operator="containsText" text="INHABILITADO">
      <formula>NOT(ISERROR(SEARCH("INHABILITADO",I11)))</formula>
    </cfRule>
    <cfRule type="containsText" dxfId="770" priority="53" operator="containsText" text="HABILITADO">
      <formula>NOT(ISERROR(SEARCH("HABILITADO",I11)))</formula>
    </cfRule>
    <cfRule type="containsText" dxfId="769" priority="54" operator="containsText" text="HABILITADO">
      <formula>NOT(ISERROR(SEARCH("HABILITADO",I11)))</formula>
    </cfRule>
    <cfRule type="containsText" dxfId="768" priority="55" operator="containsText" text="NO CUMPLE">
      <formula>NOT(ISERROR(SEARCH("NO CUMPLE",I11)))</formula>
    </cfRule>
  </conditionalFormatting>
  <conditionalFormatting sqref="J20">
    <cfRule type="cellIs" dxfId="767" priority="25" operator="equal">
      <formula>"NO"</formula>
    </cfRule>
    <cfRule type="cellIs" dxfId="766" priority="26" operator="equal">
      <formula>"SI"</formula>
    </cfRule>
  </conditionalFormatting>
  <conditionalFormatting sqref="K19">
    <cfRule type="cellIs" dxfId="765" priority="40" operator="equal">
      <formula>"CUMPLE"</formula>
    </cfRule>
    <cfRule type="cellIs" dxfId="764" priority="41" operator="equal">
      <formula>"NO CUMPLE"</formula>
    </cfRule>
    <cfRule type="cellIs" dxfId="763" priority="42" operator="equal">
      <formula>"""CUMPLE"""</formula>
    </cfRule>
  </conditionalFormatting>
  <conditionalFormatting sqref="K25:K63">
    <cfRule type="notContainsErrors" dxfId="762" priority="20">
      <formula>NOT(ISERROR(K25))</formula>
    </cfRule>
    <cfRule type="containsBlanks" dxfId="761" priority="19">
      <formula>LEN(TRIM(K25))=0</formula>
    </cfRule>
  </conditionalFormatting>
  <conditionalFormatting sqref="L15">
    <cfRule type="cellIs" dxfId="760" priority="46" operator="equal">
      <formula>"CUMPLE"</formula>
    </cfRule>
    <cfRule type="cellIs" dxfId="759" priority="47" operator="equal">
      <formula>"NO CUMPLE"</formula>
    </cfRule>
    <cfRule type="cellIs" dxfId="758" priority="48" operator="equal">
      <formula>"""CUMPLE"""</formula>
    </cfRule>
  </conditionalFormatting>
  <conditionalFormatting sqref="L20">
    <cfRule type="cellIs" dxfId="757" priority="23" operator="equal">
      <formula>"NO"</formula>
    </cfRule>
    <cfRule type="cellIs" dxfId="756" priority="24" operator="equal">
      <formula>"SI"</formula>
    </cfRule>
  </conditionalFormatting>
  <dataValidations count="3">
    <dataValidation type="list" allowBlank="1" showInputMessage="1" showErrorMessage="1" sqref="D65:I65" xr:uid="{00000000-0002-0000-0E00-000000000000}">
      <formula1>"CUMPLE,NO CUMPLE"</formula1>
    </dataValidation>
    <dataValidation type="list" allowBlank="1" showInputMessage="1" showErrorMessage="1" sqref="D24:J26" xr:uid="{00000000-0002-0000-0E00-000001000000}">
      <formula1>$C$15:$C$19</formula1>
    </dataValidation>
    <dataValidation type="list" allowBlank="1" showInputMessage="1" showErrorMessage="1" sqref="L57:L64" xr:uid="{00000000-0002-0000-0E00-000002000000}">
      <formula1>"0,1,2,3,4,5,6"</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E00-000003000000}">
          <x14:formula1>
            <xm:f>'DATOS INICIALES'!$A$13:$A$41</xm:f>
          </x14:formula1>
          <xm:sqref>D31:I31</xm:sqref>
        </x14:dataValidation>
        <x14:dataValidation type="list" allowBlank="1" showInputMessage="1" showErrorMessage="1" xr:uid="{00000000-0002-0000-0E00-000004000000}">
          <x14:formula1>
            <xm:f>'DATOS INICIALES'!$D$21:$D$25</xm:f>
          </x14:formula1>
          <xm:sqref>M47:M54</xm:sqref>
        </x14:dataValidation>
        <x14:dataValidation type="list" allowBlank="1" showInputMessage="1" showErrorMessage="1" xr:uid="{00000000-0002-0000-0E00-000005000000}">
          <x14:formula1>
            <xm:f>'DATOS INICIALES'!$A$53:$A$58</xm:f>
          </x14:formula1>
          <xm:sqref>D23:I23</xm:sqref>
        </x14:dataValidation>
        <x14:dataValidation type="list" allowBlank="1" showInputMessage="1" showErrorMessage="1" xr:uid="{00000000-0002-0000-0E00-000006000000}">
          <x14:formula1>
            <xm:f>'DATOS INICIALES'!$A$49:$A$51</xm:f>
          </x14:formula1>
          <xm:sqref>D55:I57 D58:J63 J55:J56 D46:J46</xm:sqref>
        </x14:dataValidation>
        <x14:dataValidation type="list" allowBlank="1" showInputMessage="1" showErrorMessage="1" xr:uid="{00000000-0002-0000-0E00-000007000000}">
          <x14:formula1>
            <xm:f>'DATOS INICIALES'!$C$44:$C$45</xm:f>
          </x14:formula1>
          <xm:sqref>D47:I53 J47:J52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+PROPONENTES!B21</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5608.7679999999991</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325</v>
      </c>
      <c r="E24" s="90" t="s">
        <v>325</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326</v>
      </c>
      <c r="E27" s="91" t="s">
        <v>327</v>
      </c>
      <c r="F27" s="91"/>
      <c r="G27" s="91"/>
      <c r="H27" s="91"/>
      <c r="I27" s="91"/>
      <c r="J27" s="91"/>
      <c r="K27" s="288"/>
      <c r="L27" s="289"/>
    </row>
    <row r="28" spans="2:14" ht="237" customHeight="1">
      <c r="B28" s="336"/>
      <c r="C28" s="28" t="s">
        <v>127</v>
      </c>
      <c r="D28" s="91" t="s">
        <v>328</v>
      </c>
      <c r="E28" s="91" t="s">
        <v>329</v>
      </c>
      <c r="F28" s="91"/>
      <c r="G28" s="91"/>
      <c r="H28" s="91"/>
      <c r="I28" s="91"/>
      <c r="J28" s="91"/>
      <c r="K28" s="288"/>
      <c r="L28" s="289"/>
    </row>
    <row r="29" spans="2:14" ht="52.5" customHeight="1">
      <c r="B29" s="336"/>
      <c r="C29" s="28" t="s">
        <v>132</v>
      </c>
      <c r="D29" s="95">
        <v>41624</v>
      </c>
      <c r="E29" s="95">
        <v>41624</v>
      </c>
      <c r="F29" s="95"/>
      <c r="G29" s="95"/>
      <c r="H29" s="95"/>
      <c r="I29" s="95"/>
      <c r="J29" s="95"/>
      <c r="K29" s="288"/>
      <c r="L29" s="289"/>
    </row>
    <row r="30" spans="2:14" ht="54.75" customHeight="1">
      <c r="B30" s="336"/>
      <c r="C30" s="28" t="s">
        <v>133</v>
      </c>
      <c r="D30" s="95">
        <v>41835</v>
      </c>
      <c r="E30" s="95">
        <v>41928</v>
      </c>
      <c r="F30" s="95"/>
      <c r="G30" s="95"/>
      <c r="H30" s="95"/>
      <c r="I30" s="95"/>
      <c r="J30" s="95"/>
      <c r="K30" s="288"/>
      <c r="L30" s="289"/>
    </row>
    <row r="31" spans="2:14" ht="41.25" customHeight="1">
      <c r="B31" s="336"/>
      <c r="C31" s="28" t="s">
        <v>134</v>
      </c>
      <c r="D31" s="92">
        <v>2014</v>
      </c>
      <c r="E31" s="92">
        <v>2014</v>
      </c>
      <c r="F31" s="92"/>
      <c r="G31" s="92"/>
      <c r="H31" s="92"/>
      <c r="I31" s="92"/>
      <c r="J31" s="92"/>
      <c r="K31" s="288"/>
      <c r="L31" s="289"/>
    </row>
    <row r="32" spans="2:14" ht="63" customHeight="1">
      <c r="B32" s="336"/>
      <c r="C32" s="28" t="s">
        <v>135</v>
      </c>
      <c r="D32" s="91" t="s">
        <v>330</v>
      </c>
      <c r="E32" s="91" t="s">
        <v>330</v>
      </c>
      <c r="F32" s="91"/>
      <c r="G32" s="91"/>
      <c r="H32" s="91"/>
      <c r="I32" s="91"/>
      <c r="J32" s="91"/>
      <c r="K32" s="288"/>
      <c r="L32" s="289"/>
    </row>
    <row r="33" spans="2:12" ht="46.5" customHeight="1">
      <c r="B33" s="336"/>
      <c r="C33" s="28" t="s">
        <v>140</v>
      </c>
      <c r="D33" s="91" t="s">
        <v>331</v>
      </c>
      <c r="E33" s="91" t="s">
        <v>332</v>
      </c>
      <c r="F33" s="91"/>
      <c r="G33" s="91"/>
      <c r="H33" s="91"/>
      <c r="I33" s="91"/>
      <c r="J33" s="91"/>
      <c r="K33" s="288"/>
      <c r="L33" s="289"/>
    </row>
    <row r="34" spans="2:12" ht="27.75" customHeight="1">
      <c r="B34" s="336"/>
      <c r="C34" s="30" t="s">
        <v>144</v>
      </c>
      <c r="D34" s="96">
        <v>11</v>
      </c>
      <c r="E34" s="96">
        <v>18</v>
      </c>
      <c r="F34" s="96"/>
      <c r="G34" s="97"/>
      <c r="H34" s="97"/>
      <c r="I34" s="97"/>
      <c r="J34" s="97"/>
      <c r="K34" s="288"/>
      <c r="L34" s="289"/>
    </row>
    <row r="35" spans="2:12" ht="102.75" customHeight="1">
      <c r="B35" s="336"/>
      <c r="C35" s="28" t="s">
        <v>145</v>
      </c>
      <c r="D35" s="93">
        <v>2029.22</v>
      </c>
      <c r="E35" s="93">
        <v>7142.86</v>
      </c>
      <c r="F35" s="93"/>
      <c r="G35" s="93"/>
      <c r="H35" s="93"/>
      <c r="I35" s="93"/>
      <c r="J35" s="93"/>
      <c r="K35" s="290"/>
      <c r="L35" s="291"/>
    </row>
    <row r="36" spans="2:12" ht="48" customHeight="1">
      <c r="B36" s="336"/>
      <c r="C36" s="28" t="s">
        <v>146</v>
      </c>
      <c r="D36" s="105">
        <f>IFERROR(D35*VLOOKUP(D31,'DATOS INICIALES'!$A$12:$B$41,2,0),"0")</f>
        <v>1249999520</v>
      </c>
      <c r="E36" s="105">
        <f>IFERROR(E35*VLOOKUP(E31,'DATOS INICIALES'!$A$12:$B$41,2,0),"0")</f>
        <v>4400001760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0.3</v>
      </c>
      <c r="E37" s="94">
        <v>0.7</v>
      </c>
      <c r="F37" s="94"/>
      <c r="G37" s="94"/>
      <c r="H37" s="94"/>
      <c r="I37" s="94"/>
      <c r="J37" s="94"/>
      <c r="K37" s="288"/>
      <c r="L37" s="289"/>
    </row>
    <row r="38" spans="2:12" ht="48.75" customHeight="1">
      <c r="B38" s="336"/>
      <c r="C38" s="28" t="s">
        <v>148</v>
      </c>
      <c r="D38" s="105">
        <f t="shared" ref="D38:J38" si="3">IF(D24="","0",D37*D36)</f>
        <v>374999856</v>
      </c>
      <c r="E38" s="105">
        <f t="shared" si="3"/>
        <v>3080001232</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608.76599999999996</v>
      </c>
      <c r="E39" s="106">
        <f t="shared" si="4"/>
        <v>5000.0019999999995</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29</v>
      </c>
      <c r="E47" s="96" t="s">
        <v>29</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29</v>
      </c>
      <c r="E50" s="96" t="s">
        <v>27</v>
      </c>
      <c r="F50" s="96"/>
      <c r="G50" s="96"/>
      <c r="H50" s="96"/>
      <c r="I50" s="96"/>
      <c r="J50" s="97"/>
      <c r="K50" s="288"/>
      <c r="L50" s="289"/>
    </row>
    <row r="51" spans="2:12" ht="24.75" customHeight="1">
      <c r="B51" s="328"/>
      <c r="C51" s="31">
        <f>+'DATOS INICIALES'!D25</f>
        <v>80161500</v>
      </c>
      <c r="D51" s="96" t="s">
        <v>29</v>
      </c>
      <c r="E51" s="96" t="s">
        <v>29</v>
      </c>
      <c r="F51" s="96"/>
      <c r="G51" s="96"/>
      <c r="H51" s="96"/>
      <c r="I51" s="96"/>
      <c r="J51" s="97"/>
      <c r="K51" s="288"/>
      <c r="L51" s="289"/>
    </row>
    <row r="52" spans="2:12" ht="24.75" customHeight="1">
      <c r="B52" s="328"/>
      <c r="C52" s="31">
        <f>+'DATOS INICIALES'!D26</f>
        <v>93141500</v>
      </c>
      <c r="D52" s="96" t="s">
        <v>29</v>
      </c>
      <c r="E52" s="96" t="s">
        <v>29</v>
      </c>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30</v>
      </c>
      <c r="E59" s="90" t="s">
        <v>30</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30</v>
      </c>
      <c r="E61" s="90" t="s">
        <v>30</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755" priority="15">
      <formula>LEN(TRIM(D25))=0</formula>
    </cfRule>
    <cfRule type="notContainsErrors" dxfId="754" priority="16">
      <formula>NOT(ISERROR(D25))</formula>
    </cfRule>
  </conditionalFormatting>
  <conditionalFormatting sqref="D34:J34 D24:K24">
    <cfRule type="containsBlanks" dxfId="753" priority="17">
      <formula>LEN(TRIM(D24))=0</formula>
    </cfRule>
  </conditionalFormatting>
  <conditionalFormatting sqref="D37:J37">
    <cfRule type="containsBlanks" dxfId="752" priority="13">
      <formula>LEN(TRIM(D37))=0</formula>
    </cfRule>
    <cfRule type="notContainsErrors" dxfId="751" priority="14">
      <formula>NOT(ISERROR(D37))</formula>
    </cfRule>
  </conditionalFormatting>
  <conditionalFormatting sqref="D40:J40 D43:J43 K64:L64">
    <cfRule type="notContainsErrors" dxfId="750" priority="34">
      <formula>NOT(ISERROR(D40))</formula>
    </cfRule>
    <cfRule type="containsBlanks" dxfId="749" priority="33">
      <formula>LEN(TRIM(D40))=0</formula>
    </cfRule>
  </conditionalFormatting>
  <conditionalFormatting sqref="D46:J53">
    <cfRule type="containsBlanks" dxfId="748" priority="11">
      <formula>LEN(TRIM(D46))=0</formula>
    </cfRule>
    <cfRule type="cellIs" dxfId="747" priority="9" operator="equal">
      <formula>"NO CUMPLE"</formula>
    </cfRule>
    <cfRule type="cellIs" dxfId="746" priority="10" operator="equal">
      <formula>"CUMPLE"</formula>
    </cfRule>
    <cfRule type="notContainsErrors" dxfId="745" priority="12">
      <formula>NOT(ISERROR(D46))</formula>
    </cfRule>
  </conditionalFormatting>
  <conditionalFormatting sqref="D54:J54">
    <cfRule type="cellIs" dxfId="744" priority="39" operator="equal">
      <formula>"N/A"</formula>
    </cfRule>
    <cfRule type="cellIs" dxfId="743" priority="43" operator="equal">
      <formula>"CUMPLE"</formula>
    </cfRule>
    <cfRule type="cellIs" dxfId="742" priority="44" operator="equal">
      <formula>"NO CUMPLE"</formula>
    </cfRule>
    <cfRule type="cellIs" dxfId="741" priority="45" operator="equal">
      <formula>"""CUMPLE"""</formula>
    </cfRule>
  </conditionalFormatting>
  <conditionalFormatting sqref="D55:J63">
    <cfRule type="cellIs" dxfId="740" priority="5" operator="equal">
      <formula>"NO CUMPLE"</formula>
    </cfRule>
    <cfRule type="cellIs" dxfId="739" priority="6" operator="equal">
      <formula>"CUMPLE"</formula>
    </cfRule>
    <cfRule type="containsBlanks" dxfId="738" priority="7">
      <formula>LEN(TRIM(D55))=0</formula>
    </cfRule>
    <cfRule type="notContainsErrors" dxfId="737" priority="8">
      <formula>NOT(ISERROR(D55))</formula>
    </cfRule>
  </conditionalFormatting>
  <conditionalFormatting sqref="D64:J64">
    <cfRule type="cellIs" dxfId="736" priority="37" operator="equal">
      <formula>"NO CUMPLE"</formula>
    </cfRule>
    <cfRule type="cellIs" dxfId="735" priority="36" operator="equal">
      <formula>"CUMPLE"</formula>
    </cfRule>
    <cfRule type="cellIs" dxfId="734" priority="35" operator="equal">
      <formula>"N/A"</formula>
    </cfRule>
    <cfRule type="cellIs" dxfId="733" priority="38" operator="equal">
      <formula>"""CUMPLE"""</formula>
    </cfRule>
  </conditionalFormatting>
  <conditionalFormatting sqref="D65:J65">
    <cfRule type="cellIs" dxfId="732" priority="2" operator="equal">
      <formula>"CUMPLE"</formula>
    </cfRule>
    <cfRule type="cellIs" dxfId="731" priority="1" operator="equal">
      <formula>"NO CUMPLE"</formula>
    </cfRule>
  </conditionalFormatting>
  <conditionalFormatting sqref="D24:K24 D34:J34">
    <cfRule type="notContainsErrors" dxfId="730" priority="18">
      <formula>NOT(ISERROR(D24))</formula>
    </cfRule>
  </conditionalFormatting>
  <conditionalFormatting sqref="D65:K65">
    <cfRule type="containsBlanks" dxfId="729" priority="3">
      <formula>LEN(TRIM(D65))=0</formula>
    </cfRule>
    <cfRule type="notContainsErrors" dxfId="728" priority="4">
      <formula>NOT(ISERROR(D65))</formula>
    </cfRule>
  </conditionalFormatting>
  <conditionalFormatting sqref="F20:H20">
    <cfRule type="cellIs" dxfId="727" priority="50" operator="equal">
      <formula>"NO CUMPLE"</formula>
    </cfRule>
    <cfRule type="cellIs" dxfId="726" priority="49" operator="equal">
      <formula>"CUMPLE"</formula>
    </cfRule>
    <cfRule type="cellIs" dxfId="725" priority="51" operator="equal">
      <formula>"""CUMPLE"""</formula>
    </cfRule>
  </conditionalFormatting>
  <conditionalFormatting sqref="I11">
    <cfRule type="containsText" dxfId="724" priority="52" operator="containsText" text="INHABILITADO">
      <formula>NOT(ISERROR(SEARCH("INHABILITADO",I11)))</formula>
    </cfRule>
    <cfRule type="containsText" dxfId="723" priority="53" operator="containsText" text="HABILITADO">
      <formula>NOT(ISERROR(SEARCH("HABILITADO",I11)))</formula>
    </cfRule>
    <cfRule type="containsText" dxfId="722" priority="54" operator="containsText" text="HABILITADO">
      <formula>NOT(ISERROR(SEARCH("HABILITADO",I11)))</formula>
    </cfRule>
    <cfRule type="containsText" dxfId="721" priority="55" operator="containsText" text="NO CUMPLE">
      <formula>NOT(ISERROR(SEARCH("NO CUMPLE",I11)))</formula>
    </cfRule>
  </conditionalFormatting>
  <conditionalFormatting sqref="J20">
    <cfRule type="cellIs" dxfId="720" priority="25" operator="equal">
      <formula>"NO"</formula>
    </cfRule>
    <cfRule type="cellIs" dxfId="719" priority="26" operator="equal">
      <formula>"SI"</formula>
    </cfRule>
  </conditionalFormatting>
  <conditionalFormatting sqref="K19">
    <cfRule type="cellIs" dxfId="718" priority="40" operator="equal">
      <formula>"CUMPLE"</formula>
    </cfRule>
    <cfRule type="cellIs" dxfId="717" priority="41" operator="equal">
      <formula>"NO CUMPLE"</formula>
    </cfRule>
    <cfRule type="cellIs" dxfId="716" priority="42" operator="equal">
      <formula>"""CUMPLE"""</formula>
    </cfRule>
  </conditionalFormatting>
  <conditionalFormatting sqref="K25:K63">
    <cfRule type="notContainsErrors" dxfId="715" priority="20">
      <formula>NOT(ISERROR(K25))</formula>
    </cfRule>
    <cfRule type="containsBlanks" dxfId="714" priority="19">
      <formula>LEN(TRIM(K25))=0</formula>
    </cfRule>
  </conditionalFormatting>
  <conditionalFormatting sqref="L15">
    <cfRule type="cellIs" dxfId="713" priority="46" operator="equal">
      <formula>"CUMPLE"</formula>
    </cfRule>
    <cfRule type="cellIs" dxfId="712" priority="47" operator="equal">
      <formula>"NO CUMPLE"</formula>
    </cfRule>
    <cfRule type="cellIs" dxfId="711" priority="48" operator="equal">
      <formula>"""CUMPLE"""</formula>
    </cfRule>
  </conditionalFormatting>
  <conditionalFormatting sqref="L20">
    <cfRule type="cellIs" dxfId="710" priority="23" operator="equal">
      <formula>"NO"</formula>
    </cfRule>
    <cfRule type="cellIs" dxfId="709" priority="24" operator="equal">
      <formula>"SI"</formula>
    </cfRule>
  </conditionalFormatting>
  <dataValidations count="3">
    <dataValidation type="list" allowBlank="1" showInputMessage="1" showErrorMessage="1" sqref="L57:L64" xr:uid="{00000000-0002-0000-0F00-000000000000}">
      <formula1>"0,1,2,3,4,5,6"</formula1>
    </dataValidation>
    <dataValidation type="list" allowBlank="1" showInputMessage="1" showErrorMessage="1" sqref="D24:J26" xr:uid="{00000000-0002-0000-0F00-000001000000}">
      <formula1>$C$15:$C$19</formula1>
    </dataValidation>
    <dataValidation type="list" allowBlank="1" showInputMessage="1" showErrorMessage="1" sqref="D65:I65" xr:uid="{00000000-0002-0000-0F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F00-000003000000}">
          <x14:formula1>
            <xm:f>'DATOS INICIALES'!$C$44:$C$45</xm:f>
          </x14:formula1>
          <xm:sqref>D47:I53 J47:J52</xm:sqref>
        </x14:dataValidation>
        <x14:dataValidation type="list" allowBlank="1" showInputMessage="1" showErrorMessage="1" xr:uid="{00000000-0002-0000-0F00-000004000000}">
          <x14:formula1>
            <xm:f>'DATOS INICIALES'!$A$49:$A$51</xm:f>
          </x14:formula1>
          <xm:sqref>D55:I57 D58:J63 J55:J56 D46:J46</xm:sqref>
        </x14:dataValidation>
        <x14:dataValidation type="list" allowBlank="1" showInputMessage="1" showErrorMessage="1" xr:uid="{00000000-0002-0000-0F00-000005000000}">
          <x14:formula1>
            <xm:f>'DATOS INICIALES'!$A$53:$A$58</xm:f>
          </x14:formula1>
          <xm:sqref>D23:I23</xm:sqref>
        </x14:dataValidation>
        <x14:dataValidation type="list" allowBlank="1" showInputMessage="1" showErrorMessage="1" xr:uid="{00000000-0002-0000-0F00-000006000000}">
          <x14:formula1>
            <xm:f>'DATOS INICIALES'!$D$21:$D$25</xm:f>
          </x14:formula1>
          <xm:sqref>M47:M54</xm:sqref>
        </x14:dataValidation>
        <x14:dataValidation type="list" allowBlank="1" showInputMessage="1" showErrorMessage="1" xr:uid="{00000000-0002-0000-0F00-000007000000}">
          <x14:formula1>
            <xm:f>'DATOS INICIALES'!$A$13:$A$41</xm:f>
          </x14:formula1>
          <xm:sqref>D31:I31</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+PROPONENTES!B22</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13858.486000000001</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64.5" customHeight="1">
      <c r="B24" s="333" t="s">
        <v>118</v>
      </c>
      <c r="C24" s="334"/>
      <c r="D24" s="90" t="s">
        <v>333</v>
      </c>
      <c r="E24" s="90" t="s">
        <v>333</v>
      </c>
      <c r="F24" s="90"/>
      <c r="G24" s="90"/>
      <c r="H24" s="90"/>
      <c r="I24" s="90"/>
      <c r="J24" s="90"/>
      <c r="K24" s="288"/>
      <c r="L24" s="289"/>
    </row>
    <row r="25" spans="2:14" ht="75.75" customHeight="1">
      <c r="B25" s="333" t="s">
        <v>119</v>
      </c>
      <c r="C25" s="334"/>
      <c r="D25" s="90"/>
      <c r="E25" s="90" t="s">
        <v>334</v>
      </c>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335</v>
      </c>
      <c r="E27" s="91" t="s">
        <v>336</v>
      </c>
      <c r="F27" s="91"/>
      <c r="G27" s="91"/>
      <c r="H27" s="91"/>
      <c r="I27" s="91"/>
      <c r="J27" s="91"/>
      <c r="K27" s="288"/>
      <c r="L27" s="289"/>
    </row>
    <row r="28" spans="2:14" ht="234" customHeight="1">
      <c r="B28" s="336"/>
      <c r="C28" s="28" t="s">
        <v>127</v>
      </c>
      <c r="D28" s="91" t="s">
        <v>337</v>
      </c>
      <c r="E28" s="91" t="s">
        <v>338</v>
      </c>
      <c r="F28" s="91"/>
      <c r="G28" s="91"/>
      <c r="H28" s="91"/>
      <c r="I28" s="91"/>
      <c r="J28" s="91"/>
      <c r="K28" s="288"/>
      <c r="L28" s="289"/>
    </row>
    <row r="29" spans="2:14" ht="52.5" customHeight="1">
      <c r="B29" s="336"/>
      <c r="C29" s="28" t="s">
        <v>132</v>
      </c>
      <c r="D29" s="95">
        <v>43509</v>
      </c>
      <c r="E29" s="95">
        <v>43885</v>
      </c>
      <c r="F29" s="95"/>
      <c r="G29" s="95"/>
      <c r="H29" s="95"/>
      <c r="I29" s="95"/>
      <c r="J29" s="95"/>
      <c r="K29" s="288"/>
      <c r="L29" s="289"/>
    </row>
    <row r="30" spans="2:14" ht="54.75" customHeight="1">
      <c r="B30" s="336"/>
      <c r="C30" s="28" t="s">
        <v>133</v>
      </c>
      <c r="D30" s="95">
        <v>43880</v>
      </c>
      <c r="E30" s="95">
        <v>44229</v>
      </c>
      <c r="F30" s="95"/>
      <c r="G30" s="95"/>
      <c r="H30" s="95"/>
      <c r="I30" s="95"/>
      <c r="J30" s="95"/>
      <c r="K30" s="288"/>
      <c r="L30" s="289"/>
    </row>
    <row r="31" spans="2:14" ht="41.25" customHeight="1">
      <c r="B31" s="336"/>
      <c r="C31" s="28" t="s">
        <v>134</v>
      </c>
      <c r="D31" s="92">
        <v>2020</v>
      </c>
      <c r="E31" s="92">
        <v>2021</v>
      </c>
      <c r="F31" s="92"/>
      <c r="G31" s="92"/>
      <c r="H31" s="92"/>
      <c r="I31" s="92"/>
      <c r="J31" s="92"/>
      <c r="K31" s="288"/>
      <c r="L31" s="289"/>
    </row>
    <row r="32" spans="2:14" ht="63" customHeight="1">
      <c r="B32" s="336"/>
      <c r="C32" s="28" t="s">
        <v>135</v>
      </c>
      <c r="D32" s="91" t="s">
        <v>339</v>
      </c>
      <c r="E32" s="91" t="s">
        <v>339</v>
      </c>
      <c r="F32" s="91"/>
      <c r="G32" s="91"/>
      <c r="H32" s="91"/>
      <c r="I32" s="91"/>
      <c r="J32" s="91"/>
      <c r="K32" s="288"/>
      <c r="L32" s="289"/>
    </row>
    <row r="33" spans="2:12" ht="46.5" customHeight="1">
      <c r="B33" s="336"/>
      <c r="C33" s="28" t="s">
        <v>140</v>
      </c>
      <c r="D33" s="91" t="s">
        <v>340</v>
      </c>
      <c r="E33" s="91" t="s">
        <v>341</v>
      </c>
      <c r="F33" s="91"/>
      <c r="G33" s="91"/>
      <c r="H33" s="91"/>
      <c r="I33" s="91"/>
      <c r="J33" s="91"/>
      <c r="K33" s="288"/>
      <c r="L33" s="289"/>
    </row>
    <row r="34" spans="2:12" ht="27.75" customHeight="1">
      <c r="B34" s="336"/>
      <c r="C34" s="30" t="s">
        <v>144</v>
      </c>
      <c r="D34" s="96">
        <v>71</v>
      </c>
      <c r="E34" s="96" t="s">
        <v>342</v>
      </c>
      <c r="F34" s="96"/>
      <c r="G34" s="97"/>
      <c r="H34" s="97"/>
      <c r="I34" s="97"/>
      <c r="J34" s="97"/>
      <c r="K34" s="288"/>
      <c r="L34" s="289"/>
    </row>
    <row r="35" spans="2:12" ht="102.75" customHeight="1">
      <c r="B35" s="336"/>
      <c r="C35" s="28" t="s">
        <v>145</v>
      </c>
      <c r="D35" s="93">
        <v>8301.0400000000009</v>
      </c>
      <c r="E35" s="93">
        <v>6387.55</v>
      </c>
      <c r="F35" s="93"/>
      <c r="G35" s="93"/>
      <c r="H35" s="93"/>
      <c r="I35" s="93"/>
      <c r="J35" s="93"/>
      <c r="K35" s="290"/>
      <c r="L35" s="291"/>
    </row>
    <row r="36" spans="2:12" ht="48" customHeight="1">
      <c r="B36" s="336"/>
      <c r="C36" s="28" t="s">
        <v>146</v>
      </c>
      <c r="D36" s="105">
        <f>IFERROR(D35*VLOOKUP(D31,'DATOS INICIALES'!$A$12:$B$41,2,0),"0")</f>
        <v>7286677815.1200008</v>
      </c>
      <c r="E36" s="105">
        <f>IFERROR(E35*VLOOKUP(E31,'DATOS INICIALES'!$A$12:$B$41,2,0),"0")</f>
        <v>5803255251.3000002</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0.9</v>
      </c>
      <c r="E37" s="94">
        <v>0.25</v>
      </c>
      <c r="F37" s="94"/>
      <c r="G37" s="94"/>
      <c r="H37" s="94"/>
      <c r="I37" s="94"/>
      <c r="J37" s="94"/>
      <c r="K37" s="288"/>
      <c r="L37" s="289"/>
    </row>
    <row r="38" spans="2:12" ht="48.75" customHeight="1">
      <c r="B38" s="336"/>
      <c r="C38" s="28" t="s">
        <v>148</v>
      </c>
      <c r="D38" s="105">
        <f t="shared" ref="D38:J38" si="3">IF(D24="","0",D37*D36)</f>
        <v>6558010033.6080008</v>
      </c>
      <c r="E38" s="105">
        <f t="shared" si="3"/>
        <v>1450813812.825</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7470.9360000000006</v>
      </c>
      <c r="E39" s="106">
        <f t="shared" si="4"/>
        <v>1596.8875</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v>0.75</v>
      </c>
      <c r="F40" s="94"/>
      <c r="G40" s="94"/>
      <c r="H40" s="94"/>
      <c r="I40" s="94"/>
      <c r="J40" s="94"/>
      <c r="K40" s="288"/>
      <c r="L40" s="289"/>
    </row>
    <row r="41" spans="2:12" ht="65.25" customHeight="1">
      <c r="B41" s="336"/>
      <c r="C41" s="28" t="s">
        <v>151</v>
      </c>
      <c r="D41" s="107" t="str">
        <f t="shared" ref="D41:J41" si="5">IF(D25="","0",D40*D36)</f>
        <v>0</v>
      </c>
      <c r="E41" s="107">
        <f t="shared" si="5"/>
        <v>4352441438.4750004</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4790.6625000000004</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t="s">
        <v>27</v>
      </c>
      <c r="E52" s="96" t="s">
        <v>27</v>
      </c>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30</v>
      </c>
      <c r="E59" s="90" t="s">
        <v>30</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30</v>
      </c>
      <c r="E61" s="90" t="s">
        <v>30</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708" priority="17">
      <formula>LEN(TRIM(D25))=0</formula>
    </cfRule>
    <cfRule type="notContainsErrors" dxfId="707" priority="18">
      <formula>NOT(ISERROR(D25))</formula>
    </cfRule>
  </conditionalFormatting>
  <conditionalFormatting sqref="D34:J34 D24:K24">
    <cfRule type="containsBlanks" dxfId="706" priority="19">
      <formula>LEN(TRIM(D24))=0</formula>
    </cfRule>
  </conditionalFormatting>
  <conditionalFormatting sqref="D37:J37">
    <cfRule type="containsBlanks" dxfId="705" priority="15">
      <formula>LEN(TRIM(D37))=0</formula>
    </cfRule>
    <cfRule type="notContainsErrors" dxfId="704" priority="16">
      <formula>NOT(ISERROR(D37))</formula>
    </cfRule>
  </conditionalFormatting>
  <conditionalFormatting sqref="D40:J40">
    <cfRule type="containsBlanks" dxfId="703" priority="13">
      <formula>LEN(TRIM(D40))=0</formula>
    </cfRule>
    <cfRule type="notContainsErrors" dxfId="702" priority="14">
      <formula>NOT(ISERROR(D40))</formula>
    </cfRule>
  </conditionalFormatting>
  <conditionalFormatting sqref="D43:J43 K64:L64">
    <cfRule type="notContainsErrors" dxfId="701" priority="36">
      <formula>NOT(ISERROR(D43))</formula>
    </cfRule>
    <cfRule type="containsBlanks" dxfId="700" priority="35">
      <formula>LEN(TRIM(D43))=0</formula>
    </cfRule>
  </conditionalFormatting>
  <conditionalFormatting sqref="D46:J53">
    <cfRule type="cellIs" dxfId="699" priority="9" operator="equal">
      <formula>"NO CUMPLE"</formula>
    </cfRule>
    <cfRule type="cellIs" dxfId="698" priority="10" operator="equal">
      <formula>"CUMPLE"</formula>
    </cfRule>
    <cfRule type="containsBlanks" dxfId="697" priority="11">
      <formula>LEN(TRIM(D46))=0</formula>
    </cfRule>
    <cfRule type="notContainsErrors" dxfId="696" priority="12">
      <formula>NOT(ISERROR(D46))</formula>
    </cfRule>
  </conditionalFormatting>
  <conditionalFormatting sqref="D54:J54">
    <cfRule type="cellIs" dxfId="695" priority="41" operator="equal">
      <formula>"N/A"</formula>
    </cfRule>
    <cfRule type="cellIs" dxfId="694" priority="47" operator="equal">
      <formula>"""CUMPLE"""</formula>
    </cfRule>
    <cfRule type="cellIs" dxfId="693" priority="46" operator="equal">
      <formula>"NO CUMPLE"</formula>
    </cfRule>
    <cfRule type="cellIs" dxfId="692" priority="45" operator="equal">
      <formula>"CUMPLE"</formula>
    </cfRule>
  </conditionalFormatting>
  <conditionalFormatting sqref="D55:J63">
    <cfRule type="cellIs" dxfId="691" priority="5" operator="equal">
      <formula>"NO CUMPLE"</formula>
    </cfRule>
    <cfRule type="cellIs" dxfId="690" priority="6" operator="equal">
      <formula>"CUMPLE"</formula>
    </cfRule>
    <cfRule type="containsBlanks" dxfId="689" priority="7">
      <formula>LEN(TRIM(D55))=0</formula>
    </cfRule>
    <cfRule type="notContainsErrors" dxfId="688" priority="8">
      <formula>NOT(ISERROR(D55))</formula>
    </cfRule>
  </conditionalFormatting>
  <conditionalFormatting sqref="D64:J64">
    <cfRule type="cellIs" dxfId="687" priority="37" operator="equal">
      <formula>"N/A"</formula>
    </cfRule>
    <cfRule type="cellIs" dxfId="686" priority="38" operator="equal">
      <formula>"CUMPLE"</formula>
    </cfRule>
    <cfRule type="cellIs" dxfId="685" priority="40" operator="equal">
      <formula>"""CUMPLE"""</formula>
    </cfRule>
    <cfRule type="cellIs" dxfId="684" priority="39" operator="equal">
      <formula>"NO CUMPLE"</formula>
    </cfRule>
  </conditionalFormatting>
  <conditionalFormatting sqref="D65:J65">
    <cfRule type="cellIs" dxfId="683" priority="2" operator="equal">
      <formula>"CUMPLE"</formula>
    </cfRule>
    <cfRule type="cellIs" dxfId="682" priority="1" operator="equal">
      <formula>"NO CUMPLE"</formula>
    </cfRule>
  </conditionalFormatting>
  <conditionalFormatting sqref="D24:K24 D34:J34">
    <cfRule type="notContainsErrors" dxfId="681" priority="20">
      <formula>NOT(ISERROR(D24))</formula>
    </cfRule>
  </conditionalFormatting>
  <conditionalFormatting sqref="D65:K65">
    <cfRule type="containsBlanks" dxfId="680" priority="3">
      <formula>LEN(TRIM(D65))=0</formula>
    </cfRule>
    <cfRule type="notContainsErrors" dxfId="679" priority="4">
      <formula>NOT(ISERROR(D65))</formula>
    </cfRule>
  </conditionalFormatting>
  <conditionalFormatting sqref="F20:H20">
    <cfRule type="cellIs" dxfId="678" priority="51" operator="equal">
      <formula>"CUMPLE"</formula>
    </cfRule>
    <cfRule type="cellIs" dxfId="677" priority="52" operator="equal">
      <formula>"NO CUMPLE"</formula>
    </cfRule>
    <cfRule type="cellIs" dxfId="676" priority="53" operator="equal">
      <formula>"""CUMPLE"""</formula>
    </cfRule>
  </conditionalFormatting>
  <conditionalFormatting sqref="I11">
    <cfRule type="containsText" dxfId="675" priority="54" operator="containsText" text="INHABILITADO">
      <formula>NOT(ISERROR(SEARCH("INHABILITADO",I11)))</formula>
    </cfRule>
    <cfRule type="containsText" dxfId="674" priority="55" operator="containsText" text="HABILITADO">
      <formula>NOT(ISERROR(SEARCH("HABILITADO",I11)))</formula>
    </cfRule>
    <cfRule type="containsText" dxfId="673" priority="56" operator="containsText" text="HABILITADO">
      <formula>NOT(ISERROR(SEARCH("HABILITADO",I11)))</formula>
    </cfRule>
    <cfRule type="containsText" dxfId="672" priority="57" operator="containsText" text="NO CUMPLE">
      <formula>NOT(ISERROR(SEARCH("NO CUMPLE",I11)))</formula>
    </cfRule>
  </conditionalFormatting>
  <conditionalFormatting sqref="J20">
    <cfRule type="cellIs" dxfId="671" priority="28" operator="equal">
      <formula>"SI"</formula>
    </cfRule>
    <cfRule type="cellIs" dxfId="670" priority="27" operator="equal">
      <formula>"NO"</formula>
    </cfRule>
  </conditionalFormatting>
  <conditionalFormatting sqref="K19">
    <cfRule type="cellIs" dxfId="669" priority="42" operator="equal">
      <formula>"CUMPLE"</formula>
    </cfRule>
    <cfRule type="cellIs" dxfId="668" priority="43" operator="equal">
      <formula>"NO CUMPLE"</formula>
    </cfRule>
    <cfRule type="cellIs" dxfId="667" priority="44" operator="equal">
      <formula>"""CUMPLE"""</formula>
    </cfRule>
  </conditionalFormatting>
  <conditionalFormatting sqref="K25:K63">
    <cfRule type="notContainsErrors" dxfId="666" priority="22">
      <formula>NOT(ISERROR(K25))</formula>
    </cfRule>
    <cfRule type="containsBlanks" dxfId="665" priority="21">
      <formula>LEN(TRIM(K25))=0</formula>
    </cfRule>
  </conditionalFormatting>
  <conditionalFormatting sqref="L15">
    <cfRule type="cellIs" dxfId="664" priority="48" operator="equal">
      <formula>"CUMPLE"</formula>
    </cfRule>
    <cfRule type="cellIs" dxfId="663" priority="49" operator="equal">
      <formula>"NO CUMPLE"</formula>
    </cfRule>
    <cfRule type="cellIs" dxfId="662" priority="50" operator="equal">
      <formula>"""CUMPLE"""</formula>
    </cfRule>
  </conditionalFormatting>
  <conditionalFormatting sqref="L20">
    <cfRule type="cellIs" dxfId="661" priority="26" operator="equal">
      <formula>"SI"</formula>
    </cfRule>
    <cfRule type="cellIs" dxfId="660" priority="25" operator="equal">
      <formula>"NO"</formula>
    </cfRule>
  </conditionalFormatting>
  <dataValidations count="3">
    <dataValidation type="list" allowBlank="1" showInputMessage="1" showErrorMessage="1" sqref="D65:I65" xr:uid="{00000000-0002-0000-1000-000000000000}">
      <formula1>"CUMPLE,NO CUMPLE"</formula1>
    </dataValidation>
    <dataValidation type="list" allowBlank="1" showInputMessage="1" showErrorMessage="1" sqref="D24:J26" xr:uid="{00000000-0002-0000-1000-000001000000}">
      <formula1>$C$15:$C$19</formula1>
    </dataValidation>
    <dataValidation type="list" allowBlank="1" showInputMessage="1" showErrorMessage="1" sqref="L57:L64" xr:uid="{00000000-0002-0000-10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000-000003000000}">
          <x14:formula1>
            <xm:f>'DATOS INICIALES'!$A$13:$A$41</xm:f>
          </x14:formula1>
          <xm:sqref>D31:I31</xm:sqref>
        </x14:dataValidation>
        <x14:dataValidation type="list" allowBlank="1" showInputMessage="1" showErrorMessage="1" xr:uid="{00000000-0002-0000-1000-000004000000}">
          <x14:formula1>
            <xm:f>'DATOS INICIALES'!$D$21:$D$25</xm:f>
          </x14:formula1>
          <xm:sqref>M47:M54</xm:sqref>
        </x14:dataValidation>
        <x14:dataValidation type="list" allowBlank="1" showInputMessage="1" showErrorMessage="1" xr:uid="{00000000-0002-0000-1000-000005000000}">
          <x14:formula1>
            <xm:f>'DATOS INICIALES'!$A$53:$A$58</xm:f>
          </x14:formula1>
          <xm:sqref>D23:I23</xm:sqref>
        </x14:dataValidation>
        <x14:dataValidation type="list" allowBlank="1" showInputMessage="1" showErrorMessage="1" xr:uid="{00000000-0002-0000-1000-000006000000}">
          <x14:formula1>
            <xm:f>'DATOS INICIALES'!$A$49:$A$51</xm:f>
          </x14:formula1>
          <xm:sqref>D55:I57 D58:J63 J55:J56 D46:J46</xm:sqref>
        </x14:dataValidation>
        <x14:dataValidation type="list" allowBlank="1" showInputMessage="1" showErrorMessage="1" xr:uid="{00000000-0002-0000-1000-000007000000}">
          <x14:formula1>
            <xm:f>'DATOS INICIALES'!$C$44:$C$45</xm:f>
          </x14:formula1>
          <xm:sqref>D47:I53 J47:J52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+PROPONENTES!B23</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4</v>
      </c>
      <c r="J15" s="293">
        <f>IF(AND(I15&gt;=1,I15&lt;=2),L8,IF(AND(I15&gt;=3,I15&lt;=4),L9,IF(AND(I15&gt;=5,I15&lt;=7),L10)))</f>
        <v>3938.6952868965518</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11038.855</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343</v>
      </c>
      <c r="E24" s="90" t="s">
        <v>343</v>
      </c>
      <c r="F24" s="90" t="s">
        <v>344</v>
      </c>
      <c r="G24" s="90" t="s">
        <v>344</v>
      </c>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345</v>
      </c>
      <c r="E27" s="91" t="s">
        <v>346</v>
      </c>
      <c r="F27" s="91" t="s">
        <v>347</v>
      </c>
      <c r="G27" s="91" t="s">
        <v>348</v>
      </c>
      <c r="H27" s="91"/>
      <c r="I27" s="91"/>
      <c r="J27" s="91"/>
      <c r="K27" s="288"/>
      <c r="L27" s="289"/>
    </row>
    <row r="28" spans="2:14" ht="262.5" customHeight="1">
      <c r="B28" s="336"/>
      <c r="C28" s="28" t="s">
        <v>127</v>
      </c>
      <c r="D28" s="91" t="s">
        <v>349</v>
      </c>
      <c r="E28" s="91" t="s">
        <v>350</v>
      </c>
      <c r="F28" s="91" t="s">
        <v>351</v>
      </c>
      <c r="G28" s="91" t="s">
        <v>352</v>
      </c>
      <c r="H28" s="91"/>
      <c r="I28" s="91"/>
      <c r="J28" s="91"/>
      <c r="K28" s="288"/>
      <c r="L28" s="289"/>
    </row>
    <row r="29" spans="2:14" ht="52.5" customHeight="1">
      <c r="B29" s="336"/>
      <c r="C29" s="28" t="s">
        <v>132</v>
      </c>
      <c r="D29" s="95">
        <v>41673</v>
      </c>
      <c r="E29" s="95">
        <v>43858</v>
      </c>
      <c r="F29" s="95">
        <v>42046</v>
      </c>
      <c r="G29" s="95">
        <v>42786</v>
      </c>
      <c r="H29" s="95"/>
      <c r="I29" s="95"/>
      <c r="J29" s="95"/>
      <c r="K29" s="288"/>
      <c r="L29" s="289"/>
    </row>
    <row r="30" spans="2:14" ht="54.75" customHeight="1">
      <c r="B30" s="336"/>
      <c r="C30" s="28" t="s">
        <v>133</v>
      </c>
      <c r="D30" s="95">
        <v>42037</v>
      </c>
      <c r="E30" s="95">
        <v>44148</v>
      </c>
      <c r="F30" s="95">
        <v>42302</v>
      </c>
      <c r="G30" s="95">
        <v>43088</v>
      </c>
      <c r="H30" s="95"/>
      <c r="I30" s="95"/>
      <c r="J30" s="95"/>
      <c r="K30" s="288"/>
      <c r="L30" s="289"/>
    </row>
    <row r="31" spans="2:14" ht="41.25" customHeight="1">
      <c r="B31" s="336"/>
      <c r="C31" s="28" t="s">
        <v>134</v>
      </c>
      <c r="D31" s="92">
        <v>2015</v>
      </c>
      <c r="E31" s="92">
        <v>2020</v>
      </c>
      <c r="F31" s="92">
        <v>2015</v>
      </c>
      <c r="G31" s="92">
        <v>2017</v>
      </c>
      <c r="H31" s="92"/>
      <c r="I31" s="92"/>
      <c r="J31" s="92"/>
      <c r="K31" s="288"/>
      <c r="L31" s="289"/>
    </row>
    <row r="32" spans="2:14" ht="63" customHeight="1">
      <c r="B32" s="336"/>
      <c r="C32" s="28" t="s">
        <v>135</v>
      </c>
      <c r="D32" s="91" t="s">
        <v>245</v>
      </c>
      <c r="E32" s="91" t="s">
        <v>245</v>
      </c>
      <c r="F32" s="91" t="s">
        <v>353</v>
      </c>
      <c r="G32" s="91" t="s">
        <v>354</v>
      </c>
      <c r="H32" s="91"/>
      <c r="I32" s="91"/>
      <c r="J32" s="91"/>
      <c r="K32" s="288"/>
      <c r="L32" s="289"/>
    </row>
    <row r="33" spans="2:12" ht="46.5" customHeight="1">
      <c r="B33" s="336"/>
      <c r="C33" s="28" t="s">
        <v>140</v>
      </c>
      <c r="D33" s="91" t="s">
        <v>355</v>
      </c>
      <c r="E33" s="91" t="s">
        <v>356</v>
      </c>
      <c r="F33" s="91" t="s">
        <v>357</v>
      </c>
      <c r="G33" s="91" t="s">
        <v>358</v>
      </c>
      <c r="H33" s="91"/>
      <c r="I33" s="91"/>
      <c r="J33" s="91"/>
      <c r="K33" s="288"/>
      <c r="L33" s="289"/>
    </row>
    <row r="34" spans="2:12" ht="27.75" customHeight="1">
      <c r="B34" s="336"/>
      <c r="C34" s="30" t="s">
        <v>144</v>
      </c>
      <c r="D34" s="96">
        <v>3</v>
      </c>
      <c r="E34" s="96">
        <v>12</v>
      </c>
      <c r="F34" s="96">
        <v>47</v>
      </c>
      <c r="G34" s="97">
        <v>52</v>
      </c>
      <c r="H34" s="97"/>
      <c r="I34" s="97"/>
      <c r="J34" s="97"/>
      <c r="K34" s="288"/>
      <c r="L34" s="289"/>
    </row>
    <row r="35" spans="2:12" ht="102.75" customHeight="1">
      <c r="B35" s="336"/>
      <c r="C35" s="28" t="s">
        <v>145</v>
      </c>
      <c r="D35" s="93">
        <v>11970.9</v>
      </c>
      <c r="E35" s="93">
        <v>10106.81</v>
      </c>
      <c r="F35" s="93">
        <v>4922.8</v>
      </c>
      <c r="G35" s="93">
        <v>10149.69</v>
      </c>
      <c r="H35" s="93"/>
      <c r="I35" s="93"/>
      <c r="J35" s="93"/>
      <c r="K35" s="290"/>
      <c r="L35" s="291"/>
    </row>
    <row r="36" spans="2:12" ht="48" customHeight="1">
      <c r="B36" s="336"/>
      <c r="C36" s="28" t="s">
        <v>146</v>
      </c>
      <c r="D36" s="105">
        <f>IFERROR(D35*VLOOKUP(D31,'DATOS INICIALES'!$A$12:$B$41,2,0),"0")</f>
        <v>7713449415</v>
      </c>
      <c r="E36" s="105">
        <f>IFERROR(E35*VLOOKUP(E31,'DATOS INICIALES'!$A$12:$B$41,2,0),"0")</f>
        <v>8871788138.4300003</v>
      </c>
      <c r="F36" s="105">
        <f>IFERROR(F35*VLOOKUP(F31,'DATOS INICIALES'!$A$12:$B$41,2,0),"0")</f>
        <v>3172006180</v>
      </c>
      <c r="G36" s="105">
        <f>IFERROR(G35*VLOOKUP(G31,'DATOS INICIALES'!$A$12:$B$41,2,0),"0")</f>
        <v>7487598857.7300005</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0.5</v>
      </c>
      <c r="E37" s="94">
        <v>0.5</v>
      </c>
      <c r="F37" s="94">
        <v>0.3</v>
      </c>
      <c r="G37" s="94">
        <v>0.5</v>
      </c>
      <c r="H37" s="94"/>
      <c r="I37" s="94"/>
      <c r="J37" s="94"/>
      <c r="K37" s="288"/>
      <c r="L37" s="289"/>
    </row>
    <row r="38" spans="2:12" ht="48.75" customHeight="1">
      <c r="B38" s="336"/>
      <c r="C38" s="28" t="s">
        <v>148</v>
      </c>
      <c r="D38" s="105">
        <f t="shared" ref="D38:J38" si="3">IF(D24="","0",D37*D36)</f>
        <v>3856724707.5</v>
      </c>
      <c r="E38" s="105">
        <f t="shared" si="3"/>
        <v>4435894069.2150002</v>
      </c>
      <c r="F38" s="105">
        <f t="shared" si="3"/>
        <v>951601854</v>
      </c>
      <c r="G38" s="105">
        <f t="shared" si="3"/>
        <v>3743799428.8650002</v>
      </c>
      <c r="H38" s="105" t="str">
        <f t="shared" si="3"/>
        <v>0</v>
      </c>
      <c r="I38" s="105" t="str">
        <f t="shared" si="3"/>
        <v>0</v>
      </c>
      <c r="J38" s="105" t="str">
        <f t="shared" si="3"/>
        <v>0</v>
      </c>
      <c r="K38" s="288"/>
      <c r="L38" s="289"/>
    </row>
    <row r="39" spans="2:12" ht="65.25" customHeight="1">
      <c r="B39" s="336"/>
      <c r="C39" s="28" t="s">
        <v>149</v>
      </c>
      <c r="D39" s="106">
        <f t="shared" ref="D39:J39" si="4">IFERROR(D35*D37,"0")</f>
        <v>5985.45</v>
      </c>
      <c r="E39" s="106">
        <f t="shared" si="4"/>
        <v>5053.4049999999997</v>
      </c>
      <c r="F39" s="106">
        <f t="shared" si="4"/>
        <v>1476.84</v>
      </c>
      <c r="G39" s="106">
        <f t="shared" si="4"/>
        <v>5074.8450000000003</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27</v>
      </c>
      <c r="F47" s="96" t="s">
        <v>27</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27</v>
      </c>
      <c r="F49" s="96" t="s">
        <v>27</v>
      </c>
      <c r="G49" s="96" t="s">
        <v>29</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t="s">
        <v>29</v>
      </c>
      <c r="E51" s="96" t="s">
        <v>27</v>
      </c>
      <c r="F51" s="96" t="s">
        <v>27</v>
      </c>
      <c r="G51" s="96" t="s">
        <v>27</v>
      </c>
      <c r="H51" s="96"/>
      <c r="I51" s="96"/>
      <c r="J51" s="97"/>
      <c r="K51" s="288"/>
      <c r="L51" s="289"/>
    </row>
    <row r="52" spans="2:12" ht="24.75" customHeight="1">
      <c r="B52" s="328"/>
      <c r="C52" s="31">
        <f>+'DATOS INICIALES'!D26</f>
        <v>93141500</v>
      </c>
      <c r="D52" s="96" t="s">
        <v>27</v>
      </c>
      <c r="E52" s="96" t="s">
        <v>27</v>
      </c>
      <c r="F52" s="96" t="s">
        <v>27</v>
      </c>
      <c r="G52" s="96" t="s">
        <v>29</v>
      </c>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30</v>
      </c>
      <c r="E59" s="90" t="s">
        <v>30</v>
      </c>
      <c r="F59" s="90" t="s">
        <v>30</v>
      </c>
      <c r="G59" s="90" t="s">
        <v>30</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30</v>
      </c>
      <c r="E61" s="90" t="s">
        <v>30</v>
      </c>
      <c r="F61" s="90" t="s">
        <v>30</v>
      </c>
      <c r="G61" s="90" t="s">
        <v>30</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659" priority="15">
      <formula>LEN(TRIM(D25))=0</formula>
    </cfRule>
    <cfRule type="notContainsErrors" dxfId="658" priority="16">
      <formula>NOT(ISERROR(D25))</formula>
    </cfRule>
  </conditionalFormatting>
  <conditionalFormatting sqref="D34:J34 D24:K24">
    <cfRule type="containsBlanks" dxfId="657" priority="17">
      <formula>LEN(TRIM(D24))=0</formula>
    </cfRule>
  </conditionalFormatting>
  <conditionalFormatting sqref="D37:J37">
    <cfRule type="containsBlanks" dxfId="656" priority="13">
      <formula>LEN(TRIM(D37))=0</formula>
    </cfRule>
    <cfRule type="notContainsErrors" dxfId="655" priority="14">
      <formula>NOT(ISERROR(D37))</formula>
    </cfRule>
  </conditionalFormatting>
  <conditionalFormatting sqref="D40:J40 D43:J43 K64:L64">
    <cfRule type="notContainsErrors" dxfId="654" priority="34">
      <formula>NOT(ISERROR(D40))</formula>
    </cfRule>
    <cfRule type="containsBlanks" dxfId="653" priority="33">
      <formula>LEN(TRIM(D40))=0</formula>
    </cfRule>
  </conditionalFormatting>
  <conditionalFormatting sqref="D46:J53">
    <cfRule type="containsBlanks" dxfId="652" priority="11">
      <formula>LEN(TRIM(D46))=0</formula>
    </cfRule>
    <cfRule type="cellIs" dxfId="651" priority="9" operator="equal">
      <formula>"NO CUMPLE"</formula>
    </cfRule>
    <cfRule type="cellIs" dxfId="650" priority="10" operator="equal">
      <formula>"CUMPLE"</formula>
    </cfRule>
    <cfRule type="notContainsErrors" dxfId="649" priority="12">
      <formula>NOT(ISERROR(D46))</formula>
    </cfRule>
  </conditionalFormatting>
  <conditionalFormatting sqref="D54:J54">
    <cfRule type="cellIs" dxfId="648" priority="39" operator="equal">
      <formula>"N/A"</formula>
    </cfRule>
    <cfRule type="cellIs" dxfId="647" priority="43" operator="equal">
      <formula>"CUMPLE"</formula>
    </cfRule>
    <cfRule type="cellIs" dxfId="646" priority="44" operator="equal">
      <formula>"NO CUMPLE"</formula>
    </cfRule>
    <cfRule type="cellIs" dxfId="645" priority="45" operator="equal">
      <formula>"""CUMPLE"""</formula>
    </cfRule>
  </conditionalFormatting>
  <conditionalFormatting sqref="D55:J63">
    <cfRule type="cellIs" dxfId="644" priority="5" operator="equal">
      <formula>"NO CUMPLE"</formula>
    </cfRule>
    <cfRule type="cellIs" dxfId="643" priority="6" operator="equal">
      <formula>"CUMPLE"</formula>
    </cfRule>
    <cfRule type="containsBlanks" dxfId="642" priority="7">
      <formula>LEN(TRIM(D55))=0</formula>
    </cfRule>
    <cfRule type="notContainsErrors" dxfId="641" priority="8">
      <formula>NOT(ISERROR(D55))</formula>
    </cfRule>
  </conditionalFormatting>
  <conditionalFormatting sqref="D64:J64">
    <cfRule type="cellIs" dxfId="640" priority="37" operator="equal">
      <formula>"NO CUMPLE"</formula>
    </cfRule>
    <cfRule type="cellIs" dxfId="639" priority="36" operator="equal">
      <formula>"CUMPLE"</formula>
    </cfRule>
    <cfRule type="cellIs" dxfId="638" priority="35" operator="equal">
      <formula>"N/A"</formula>
    </cfRule>
    <cfRule type="cellIs" dxfId="637" priority="38" operator="equal">
      <formula>"""CUMPLE"""</formula>
    </cfRule>
  </conditionalFormatting>
  <conditionalFormatting sqref="D65:J65">
    <cfRule type="cellIs" dxfId="636" priority="2" operator="equal">
      <formula>"CUMPLE"</formula>
    </cfRule>
    <cfRule type="cellIs" dxfId="635" priority="1" operator="equal">
      <formula>"NO CUMPLE"</formula>
    </cfRule>
  </conditionalFormatting>
  <conditionalFormatting sqref="D24:K24 D34:J34">
    <cfRule type="notContainsErrors" dxfId="634" priority="18">
      <formula>NOT(ISERROR(D24))</formula>
    </cfRule>
  </conditionalFormatting>
  <conditionalFormatting sqref="D65:K65">
    <cfRule type="containsBlanks" dxfId="633" priority="3">
      <formula>LEN(TRIM(D65))=0</formula>
    </cfRule>
    <cfRule type="notContainsErrors" dxfId="632" priority="4">
      <formula>NOT(ISERROR(D65))</formula>
    </cfRule>
  </conditionalFormatting>
  <conditionalFormatting sqref="F20:H20">
    <cfRule type="cellIs" dxfId="631" priority="50" operator="equal">
      <formula>"NO CUMPLE"</formula>
    </cfRule>
    <cfRule type="cellIs" dxfId="630" priority="49" operator="equal">
      <formula>"CUMPLE"</formula>
    </cfRule>
    <cfRule type="cellIs" dxfId="629" priority="51" operator="equal">
      <formula>"""CUMPLE"""</formula>
    </cfRule>
  </conditionalFormatting>
  <conditionalFormatting sqref="I11">
    <cfRule type="containsText" dxfId="628" priority="52" operator="containsText" text="INHABILITADO">
      <formula>NOT(ISERROR(SEARCH("INHABILITADO",I11)))</formula>
    </cfRule>
    <cfRule type="containsText" dxfId="627" priority="53" operator="containsText" text="HABILITADO">
      <formula>NOT(ISERROR(SEARCH("HABILITADO",I11)))</formula>
    </cfRule>
    <cfRule type="containsText" dxfId="626" priority="54" operator="containsText" text="HABILITADO">
      <formula>NOT(ISERROR(SEARCH("HABILITADO",I11)))</formula>
    </cfRule>
    <cfRule type="containsText" dxfId="625" priority="55" operator="containsText" text="NO CUMPLE">
      <formula>NOT(ISERROR(SEARCH("NO CUMPLE",I11)))</formula>
    </cfRule>
  </conditionalFormatting>
  <conditionalFormatting sqref="J20">
    <cfRule type="cellIs" dxfId="624" priority="25" operator="equal">
      <formula>"NO"</formula>
    </cfRule>
    <cfRule type="cellIs" dxfId="623" priority="26" operator="equal">
      <formula>"SI"</formula>
    </cfRule>
  </conditionalFormatting>
  <conditionalFormatting sqref="K19">
    <cfRule type="cellIs" dxfId="622" priority="40" operator="equal">
      <formula>"CUMPLE"</formula>
    </cfRule>
    <cfRule type="cellIs" dxfId="621" priority="41" operator="equal">
      <formula>"NO CUMPLE"</formula>
    </cfRule>
    <cfRule type="cellIs" dxfId="620" priority="42" operator="equal">
      <formula>"""CUMPLE"""</formula>
    </cfRule>
  </conditionalFormatting>
  <conditionalFormatting sqref="K25:K63">
    <cfRule type="notContainsErrors" dxfId="619" priority="20">
      <formula>NOT(ISERROR(K25))</formula>
    </cfRule>
    <cfRule type="containsBlanks" dxfId="618" priority="19">
      <formula>LEN(TRIM(K25))=0</formula>
    </cfRule>
  </conditionalFormatting>
  <conditionalFormatting sqref="L15">
    <cfRule type="cellIs" dxfId="617" priority="46" operator="equal">
      <formula>"CUMPLE"</formula>
    </cfRule>
    <cfRule type="cellIs" dxfId="616" priority="47" operator="equal">
      <formula>"NO CUMPLE"</formula>
    </cfRule>
    <cfRule type="cellIs" dxfId="615" priority="48" operator="equal">
      <formula>"""CUMPLE"""</formula>
    </cfRule>
  </conditionalFormatting>
  <conditionalFormatting sqref="L20">
    <cfRule type="cellIs" dxfId="614" priority="23" operator="equal">
      <formula>"NO"</formula>
    </cfRule>
    <cfRule type="cellIs" dxfId="613" priority="24" operator="equal">
      <formula>"SI"</formula>
    </cfRule>
  </conditionalFormatting>
  <dataValidations count="3">
    <dataValidation type="list" allowBlank="1" showInputMessage="1" showErrorMessage="1" sqref="L57:L64" xr:uid="{00000000-0002-0000-1100-000000000000}">
      <formula1>"0,1,2,3,4,5,6"</formula1>
    </dataValidation>
    <dataValidation type="list" allowBlank="1" showInputMessage="1" showErrorMessage="1" sqref="D24:J26" xr:uid="{00000000-0002-0000-1100-000001000000}">
      <formula1>$C$15:$C$19</formula1>
    </dataValidation>
    <dataValidation type="list" allowBlank="1" showInputMessage="1" showErrorMessage="1" sqref="D65:I65" xr:uid="{00000000-0002-0000-11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100-000003000000}">
          <x14:formula1>
            <xm:f>'DATOS INICIALES'!$C$44:$C$45</xm:f>
          </x14:formula1>
          <xm:sqref>D47:I53 J47:J52</xm:sqref>
        </x14:dataValidation>
        <x14:dataValidation type="list" allowBlank="1" showInputMessage="1" showErrorMessage="1" xr:uid="{00000000-0002-0000-1100-000004000000}">
          <x14:formula1>
            <xm:f>'DATOS INICIALES'!$A$49:$A$51</xm:f>
          </x14:formula1>
          <xm:sqref>D55:I57 D58:J63 J55:J56 D46:J46</xm:sqref>
        </x14:dataValidation>
        <x14:dataValidation type="list" allowBlank="1" showInputMessage="1" showErrorMessage="1" xr:uid="{00000000-0002-0000-1100-000005000000}">
          <x14:formula1>
            <xm:f>'DATOS INICIALES'!$A$53:$A$58</xm:f>
          </x14:formula1>
          <xm:sqref>D23:I23</xm:sqref>
        </x14:dataValidation>
        <x14:dataValidation type="list" allowBlank="1" showInputMessage="1" showErrorMessage="1" xr:uid="{00000000-0002-0000-1100-000006000000}">
          <x14:formula1>
            <xm:f>'DATOS INICIALES'!$D$21:$D$25</xm:f>
          </x14:formula1>
          <xm:sqref>M47:M54</xm:sqref>
        </x14:dataValidation>
        <x14:dataValidation type="list" allowBlank="1" showInputMessage="1" showErrorMessage="1" xr:uid="{00000000-0002-0000-1100-000007000000}">
          <x14:formula1>
            <xm:f>'DATOS INICIALES'!$A$13:$A$41</xm:f>
          </x14:formula1>
          <xm:sqref>D31:I31</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+PROPONENTES!B24</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1</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7664</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359</v>
      </c>
      <c r="E24" s="90"/>
      <c r="F24" s="90"/>
      <c r="G24" s="90"/>
      <c r="H24" s="90"/>
      <c r="I24" s="90"/>
      <c r="J24" s="90"/>
      <c r="K24" s="288"/>
      <c r="L24" s="289"/>
    </row>
    <row r="25" spans="2:14" ht="39.75" customHeight="1">
      <c r="B25" s="333" t="s">
        <v>119</v>
      </c>
      <c r="C25" s="334"/>
      <c r="D25" s="90" t="s">
        <v>360</v>
      </c>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361</v>
      </c>
      <c r="E27" s="91"/>
      <c r="F27" s="91"/>
      <c r="G27" s="91"/>
      <c r="H27" s="91"/>
      <c r="I27" s="91"/>
      <c r="J27" s="91"/>
      <c r="K27" s="288"/>
      <c r="L27" s="289"/>
    </row>
    <row r="28" spans="2:14" ht="156.75" customHeight="1">
      <c r="B28" s="336"/>
      <c r="C28" s="28" t="s">
        <v>127</v>
      </c>
      <c r="D28" s="91" t="s">
        <v>362</v>
      </c>
      <c r="E28" s="91"/>
      <c r="F28" s="91"/>
      <c r="G28" s="91"/>
      <c r="H28" s="91"/>
      <c r="I28" s="91"/>
      <c r="J28" s="91"/>
      <c r="K28" s="288"/>
      <c r="L28" s="289"/>
    </row>
    <row r="29" spans="2:14" ht="52.5" customHeight="1">
      <c r="B29" s="336"/>
      <c r="C29" s="28" t="s">
        <v>132</v>
      </c>
      <c r="D29" s="95" t="s">
        <v>363</v>
      </c>
      <c r="E29" s="95"/>
      <c r="F29" s="95"/>
      <c r="G29" s="95"/>
      <c r="H29" s="95"/>
      <c r="I29" s="95"/>
      <c r="J29" s="95"/>
      <c r="K29" s="288"/>
      <c r="L29" s="289"/>
    </row>
    <row r="30" spans="2:14" ht="54.75" customHeight="1">
      <c r="B30" s="336"/>
      <c r="C30" s="28" t="s">
        <v>133</v>
      </c>
      <c r="D30" s="95">
        <v>43822</v>
      </c>
      <c r="E30" s="95"/>
      <c r="F30" s="95"/>
      <c r="G30" s="95"/>
      <c r="H30" s="95"/>
      <c r="I30" s="95"/>
      <c r="J30" s="95"/>
      <c r="K30" s="288"/>
      <c r="L30" s="289"/>
    </row>
    <row r="31" spans="2:14" ht="41.25" customHeight="1">
      <c r="B31" s="336"/>
      <c r="C31" s="28" t="s">
        <v>134</v>
      </c>
      <c r="D31" s="92">
        <v>2019</v>
      </c>
      <c r="E31" s="92"/>
      <c r="F31" s="92"/>
      <c r="G31" s="92"/>
      <c r="H31" s="92"/>
      <c r="I31" s="92"/>
      <c r="J31" s="92"/>
      <c r="K31" s="288"/>
      <c r="L31" s="289"/>
    </row>
    <row r="32" spans="2:14" ht="63" customHeight="1">
      <c r="B32" s="336"/>
      <c r="C32" s="28" t="s">
        <v>135</v>
      </c>
      <c r="D32" s="91" t="s">
        <v>364</v>
      </c>
      <c r="E32" s="91"/>
      <c r="F32" s="91"/>
      <c r="G32" s="91"/>
      <c r="H32" s="91"/>
      <c r="I32" s="91"/>
      <c r="J32" s="91"/>
      <c r="K32" s="288"/>
      <c r="L32" s="289"/>
    </row>
    <row r="33" spans="2:12" ht="46.5" customHeight="1">
      <c r="B33" s="336"/>
      <c r="C33" s="28" t="s">
        <v>140</v>
      </c>
      <c r="D33" s="91" t="s">
        <v>365</v>
      </c>
      <c r="E33" s="91"/>
      <c r="F33" s="91"/>
      <c r="G33" s="91"/>
      <c r="H33" s="91"/>
      <c r="I33" s="91"/>
      <c r="J33" s="91"/>
      <c r="K33" s="288"/>
      <c r="L33" s="289"/>
    </row>
    <row r="34" spans="2:12" ht="27.75" customHeight="1">
      <c r="B34" s="336"/>
      <c r="C34" s="30" t="s">
        <v>144</v>
      </c>
      <c r="D34" s="96">
        <v>52</v>
      </c>
      <c r="E34" s="96"/>
      <c r="F34" s="96"/>
      <c r="G34" s="97"/>
      <c r="H34" s="97"/>
      <c r="I34" s="97"/>
      <c r="J34" s="97"/>
      <c r="K34" s="288"/>
      <c r="L34" s="289"/>
    </row>
    <row r="35" spans="2:12" ht="102.75" customHeight="1">
      <c r="B35" s="336"/>
      <c r="C35" s="28" t="s">
        <v>145</v>
      </c>
      <c r="D35" s="93">
        <v>7664</v>
      </c>
      <c r="E35" s="93"/>
      <c r="F35" s="93"/>
      <c r="G35" s="93"/>
      <c r="H35" s="93"/>
      <c r="I35" s="93"/>
      <c r="J35" s="93"/>
      <c r="K35" s="290"/>
      <c r="L35" s="291"/>
    </row>
    <row r="36" spans="2:12" ht="48" customHeight="1">
      <c r="B36" s="336"/>
      <c r="C36" s="28" t="s">
        <v>146</v>
      </c>
      <c r="D36" s="105">
        <f>IFERROR(D35*VLOOKUP(D31,'DATOS INICIALES'!$A$12:$B$41,2,0),"0")</f>
        <v>6346681024</v>
      </c>
      <c r="E36" s="105" t="str">
        <f>IFERROR(E35*VLOOKUP(E31,'DATOS INICIALES'!$A$12:$B$41,2,0),"0")</f>
        <v>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0.35</v>
      </c>
      <c r="E37" s="94"/>
      <c r="F37" s="94"/>
      <c r="G37" s="94"/>
      <c r="H37" s="94"/>
      <c r="I37" s="94"/>
      <c r="J37" s="94"/>
      <c r="K37" s="288"/>
      <c r="L37" s="289"/>
    </row>
    <row r="38" spans="2:12" ht="48.75" customHeight="1">
      <c r="B38" s="336"/>
      <c r="C38" s="28" t="s">
        <v>148</v>
      </c>
      <c r="D38" s="105">
        <f t="shared" ref="D38:J38" si="3">IF(D24="","0",D37*D36)</f>
        <v>2221338358.4000001</v>
      </c>
      <c r="E38" s="105" t="str">
        <f t="shared" si="3"/>
        <v>0</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2682.3999999999996</v>
      </c>
      <c r="E39" s="106">
        <f t="shared" si="4"/>
        <v>0</v>
      </c>
      <c r="F39" s="106">
        <f t="shared" si="4"/>
        <v>0</v>
      </c>
      <c r="G39" s="106">
        <f t="shared" si="4"/>
        <v>0</v>
      </c>
      <c r="H39" s="106">
        <f t="shared" si="4"/>
        <v>0</v>
      </c>
      <c r="I39" s="106">
        <f t="shared" si="4"/>
        <v>0</v>
      </c>
      <c r="J39" s="106">
        <f t="shared" si="4"/>
        <v>0</v>
      </c>
      <c r="K39" s="288"/>
      <c r="L39" s="289"/>
    </row>
    <row r="40" spans="2:12" ht="65.25" customHeight="1">
      <c r="B40" s="336"/>
      <c r="C40" s="28" t="s">
        <v>150</v>
      </c>
      <c r="D40" s="94">
        <v>0.65</v>
      </c>
      <c r="E40" s="94"/>
      <c r="F40" s="94"/>
      <c r="G40" s="94"/>
      <c r="H40" s="94"/>
      <c r="I40" s="94"/>
      <c r="J40" s="94"/>
      <c r="K40" s="288"/>
      <c r="L40" s="289"/>
    </row>
    <row r="41" spans="2:12" ht="65.25" customHeight="1">
      <c r="B41" s="336"/>
      <c r="C41" s="28" t="s">
        <v>151</v>
      </c>
      <c r="D41" s="107">
        <f t="shared" ref="D41:J41" si="5">IF(D25="","0",D40*D36)</f>
        <v>4125342665.5999999</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4981.6000000000004</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c r="F46" s="90"/>
      <c r="G46" s="90"/>
      <c r="H46" s="90"/>
      <c r="I46" s="90"/>
      <c r="J46" s="90"/>
      <c r="K46" s="288"/>
      <c r="L46" s="289"/>
    </row>
    <row r="47" spans="2:12" ht="24.75" customHeight="1">
      <c r="B47" s="327" t="s">
        <v>158</v>
      </c>
      <c r="C47" s="31">
        <f>+'DATOS INICIALES'!D21</f>
        <v>70101700</v>
      </c>
      <c r="D47" s="96" t="s">
        <v>27</v>
      </c>
      <c r="E47" s="96"/>
      <c r="F47" s="96"/>
      <c r="G47" s="96"/>
      <c r="H47" s="96"/>
      <c r="I47" s="96"/>
      <c r="J47" s="97"/>
      <c r="K47" s="288"/>
      <c r="L47" s="289"/>
    </row>
    <row r="48" spans="2:12" ht="24.75" customHeight="1">
      <c r="B48" s="328"/>
      <c r="C48" s="31">
        <f>+'DATOS INICIALES'!D22</f>
        <v>80101600</v>
      </c>
      <c r="D48" s="96" t="s">
        <v>29</v>
      </c>
      <c r="E48" s="96"/>
      <c r="F48" s="96"/>
      <c r="G48" s="96"/>
      <c r="H48" s="96"/>
      <c r="I48" s="96"/>
      <c r="J48" s="97"/>
      <c r="K48" s="288"/>
      <c r="L48" s="289"/>
    </row>
    <row r="49" spans="2:12" ht="24.75" customHeight="1">
      <c r="B49" s="328"/>
      <c r="C49" s="31">
        <f>+'DATOS INICIALES'!D23</f>
        <v>80101500</v>
      </c>
      <c r="D49" s="96" t="s">
        <v>27</v>
      </c>
      <c r="E49" s="96"/>
      <c r="F49" s="96"/>
      <c r="G49" s="96"/>
      <c r="H49" s="96"/>
      <c r="I49" s="96"/>
      <c r="J49" s="97"/>
      <c r="K49" s="288"/>
      <c r="L49" s="289"/>
    </row>
    <row r="50" spans="2:12" ht="24.75" customHeight="1">
      <c r="B50" s="328"/>
      <c r="C50" s="31">
        <f>+'DATOS INICIALES'!D24</f>
        <v>86101700</v>
      </c>
      <c r="D50" s="96" t="s">
        <v>27</v>
      </c>
      <c r="E50" s="96"/>
      <c r="F50" s="96"/>
      <c r="G50" s="96"/>
      <c r="H50" s="96"/>
      <c r="I50" s="96"/>
      <c r="J50" s="97"/>
      <c r="K50" s="288"/>
      <c r="L50" s="289"/>
    </row>
    <row r="51" spans="2:12" ht="24.75" customHeight="1">
      <c r="B51" s="328"/>
      <c r="C51" s="31">
        <f>+'DATOS INICIALES'!D25</f>
        <v>80161500</v>
      </c>
      <c r="D51" s="96" t="s">
        <v>29</v>
      </c>
      <c r="E51" s="96"/>
      <c r="F51" s="96"/>
      <c r="G51" s="96"/>
      <c r="H51" s="96"/>
      <c r="I51" s="96"/>
      <c r="J51" s="97"/>
      <c r="K51" s="288"/>
      <c r="L51" s="289"/>
    </row>
    <row r="52" spans="2:12" ht="24.75" customHeight="1">
      <c r="B52" s="328"/>
      <c r="C52" s="31">
        <f>+'DATOS INICIALES'!D26</f>
        <v>93141500</v>
      </c>
      <c r="D52" s="96" t="s">
        <v>27</v>
      </c>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N/A</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c r="F55" s="90"/>
      <c r="G55" s="90"/>
      <c r="H55" s="90"/>
      <c r="I55" s="90"/>
      <c r="J55" s="90"/>
      <c r="K55" s="295"/>
      <c r="L55" s="296"/>
    </row>
    <row r="56" spans="2:12" ht="353.25" hidden="1" customHeight="1">
      <c r="B56" s="330" t="s">
        <v>161</v>
      </c>
      <c r="C56" s="331"/>
      <c r="D56" s="90" t="s">
        <v>31</v>
      </c>
      <c r="E56" s="90"/>
      <c r="F56" s="90"/>
      <c r="G56" s="90"/>
      <c r="H56" s="90"/>
      <c r="I56" s="90"/>
      <c r="J56" s="90"/>
      <c r="K56" s="295"/>
      <c r="L56" s="296"/>
    </row>
    <row r="57" spans="2:12" ht="99" customHeight="1">
      <c r="B57" s="324" t="s">
        <v>162</v>
      </c>
      <c r="C57" s="325"/>
      <c r="D57" s="90" t="s">
        <v>31</v>
      </c>
      <c r="E57" s="90"/>
      <c r="F57" s="90"/>
      <c r="G57" s="90"/>
      <c r="H57" s="90"/>
      <c r="I57" s="90"/>
      <c r="J57" s="90"/>
      <c r="K57" s="288"/>
      <c r="L57" s="289"/>
    </row>
    <row r="58" spans="2:12" ht="105.75" customHeight="1">
      <c r="B58" s="324" t="s">
        <v>163</v>
      </c>
      <c r="C58" s="325"/>
      <c r="D58" s="90" t="s">
        <v>31</v>
      </c>
      <c r="E58" s="90"/>
      <c r="F58" s="90"/>
      <c r="G58" s="90"/>
      <c r="H58" s="90"/>
      <c r="I58" s="90"/>
      <c r="J58" s="90"/>
      <c r="K58" s="288"/>
      <c r="L58" s="289"/>
    </row>
    <row r="59" spans="2:12" ht="291.75" customHeight="1">
      <c r="B59" s="324" t="s">
        <v>164</v>
      </c>
      <c r="C59" s="325"/>
      <c r="D59" s="90" t="s">
        <v>31</v>
      </c>
      <c r="E59" s="90"/>
      <c r="F59" s="90"/>
      <c r="G59" s="90"/>
      <c r="H59" s="90"/>
      <c r="I59" s="90"/>
      <c r="J59" s="90"/>
      <c r="K59" s="288"/>
      <c r="L59" s="289"/>
    </row>
    <row r="60" spans="2:12" ht="336" customHeight="1">
      <c r="B60" s="229" t="s">
        <v>165</v>
      </c>
      <c r="C60" s="229"/>
      <c r="D60" s="90" t="s">
        <v>31</v>
      </c>
      <c r="E60" s="90"/>
      <c r="F60" s="90"/>
      <c r="G60" s="90"/>
      <c r="H60" s="90"/>
      <c r="I60" s="90"/>
      <c r="J60" s="90"/>
      <c r="K60" s="290"/>
      <c r="L60" s="291"/>
    </row>
    <row r="61" spans="2:12" ht="129.75" customHeight="1">
      <c r="B61" s="338" t="s">
        <v>166</v>
      </c>
      <c r="C61" s="339"/>
      <c r="D61" s="90" t="s">
        <v>31</v>
      </c>
      <c r="E61" s="90"/>
      <c r="F61" s="90"/>
      <c r="G61" s="90"/>
      <c r="H61" s="90"/>
      <c r="I61" s="90"/>
      <c r="J61" s="90"/>
      <c r="K61" s="288"/>
      <c r="L61" s="289"/>
    </row>
    <row r="62" spans="2:12" ht="408.75" customHeight="1">
      <c r="B62" s="326" t="s">
        <v>167</v>
      </c>
      <c r="C62" s="326"/>
      <c r="D62" s="90" t="s">
        <v>30</v>
      </c>
      <c r="E62" s="90"/>
      <c r="F62" s="90"/>
      <c r="G62" s="90"/>
      <c r="H62" s="90"/>
      <c r="I62" s="90"/>
      <c r="J62" s="90"/>
      <c r="K62" s="288"/>
      <c r="L62" s="289"/>
    </row>
    <row r="63" spans="2:12" ht="234.75" customHeight="1">
      <c r="B63" s="229" t="s">
        <v>168</v>
      </c>
      <c r="C63" s="229"/>
      <c r="D63" s="90" t="s">
        <v>31</v>
      </c>
      <c r="E63" s="90"/>
      <c r="F63" s="90"/>
      <c r="G63" s="90"/>
      <c r="H63" s="90"/>
      <c r="I63" s="90"/>
      <c r="J63" s="90"/>
      <c r="K63" s="370"/>
      <c r="L63" s="371"/>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N/A</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219" customHeight="1">
      <c r="B65" s="229" t="s">
        <v>170</v>
      </c>
      <c r="C65" s="229"/>
      <c r="D65" s="90" t="s">
        <v>31</v>
      </c>
      <c r="E65" s="90"/>
      <c r="F65" s="90"/>
      <c r="G65" s="90"/>
      <c r="H65" s="90"/>
      <c r="I65" s="90"/>
      <c r="J65" s="90"/>
      <c r="K65" s="370"/>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612" priority="19">
      <formula>LEN(TRIM(D25))=0</formula>
    </cfRule>
    <cfRule type="notContainsErrors" dxfId="611" priority="20">
      <formula>NOT(ISERROR(D25))</formula>
    </cfRule>
  </conditionalFormatting>
  <conditionalFormatting sqref="D34:J34 D24:K24">
    <cfRule type="containsBlanks" dxfId="610" priority="21">
      <formula>LEN(TRIM(D24))=0</formula>
    </cfRule>
  </conditionalFormatting>
  <conditionalFormatting sqref="D37:J37">
    <cfRule type="containsBlanks" dxfId="609" priority="17">
      <formula>LEN(TRIM(D37))=0</formula>
    </cfRule>
    <cfRule type="notContainsErrors" dxfId="608" priority="18">
      <formula>NOT(ISERROR(D37))</formula>
    </cfRule>
  </conditionalFormatting>
  <conditionalFormatting sqref="D40:J40">
    <cfRule type="containsBlanks" dxfId="607" priority="15">
      <formula>LEN(TRIM(D40))=0</formula>
    </cfRule>
    <cfRule type="notContainsErrors" dxfId="606" priority="16">
      <formula>NOT(ISERROR(D40))</formula>
    </cfRule>
  </conditionalFormatting>
  <conditionalFormatting sqref="D43:J43 K64:L64">
    <cfRule type="notContainsErrors" dxfId="605" priority="38">
      <formula>NOT(ISERROR(D43))</formula>
    </cfRule>
    <cfRule type="containsBlanks" dxfId="604" priority="37">
      <formula>LEN(TRIM(D43))=0</formula>
    </cfRule>
  </conditionalFormatting>
  <conditionalFormatting sqref="D46:J53">
    <cfRule type="containsBlanks" dxfId="603" priority="13">
      <formula>LEN(TRIM(D46))=0</formula>
    </cfRule>
    <cfRule type="cellIs" dxfId="602" priority="11" operator="equal">
      <formula>"NO CUMPLE"</formula>
    </cfRule>
    <cfRule type="cellIs" dxfId="601" priority="12" operator="equal">
      <formula>"CUMPLE"</formula>
    </cfRule>
    <cfRule type="notContainsErrors" dxfId="600" priority="14">
      <formula>NOT(ISERROR(D46))</formula>
    </cfRule>
  </conditionalFormatting>
  <conditionalFormatting sqref="D54:J54">
    <cfRule type="cellIs" dxfId="599" priority="43" operator="equal">
      <formula>"N/A"</formula>
    </cfRule>
    <cfRule type="cellIs" dxfId="598" priority="49" operator="equal">
      <formula>"""CUMPLE"""</formula>
    </cfRule>
    <cfRule type="cellIs" dxfId="597" priority="48" operator="equal">
      <formula>"NO CUMPLE"</formula>
    </cfRule>
    <cfRule type="cellIs" dxfId="596" priority="47" operator="equal">
      <formula>"CUMPLE"</formula>
    </cfRule>
  </conditionalFormatting>
  <conditionalFormatting sqref="D55:J63">
    <cfRule type="cellIs" dxfId="595" priority="7" operator="equal">
      <formula>"NO CUMPLE"</formula>
    </cfRule>
    <cfRule type="cellIs" dxfId="594" priority="8" operator="equal">
      <formula>"CUMPLE"</formula>
    </cfRule>
    <cfRule type="containsBlanks" dxfId="593" priority="9">
      <formula>LEN(TRIM(D55))=0</formula>
    </cfRule>
    <cfRule type="notContainsErrors" dxfId="592" priority="10">
      <formula>NOT(ISERROR(D55))</formula>
    </cfRule>
  </conditionalFormatting>
  <conditionalFormatting sqref="D64:J64">
    <cfRule type="cellIs" dxfId="591" priority="39" operator="equal">
      <formula>"N/A"</formula>
    </cfRule>
    <cfRule type="cellIs" dxfId="590" priority="40" operator="equal">
      <formula>"CUMPLE"</formula>
    </cfRule>
    <cfRule type="cellIs" dxfId="589" priority="42" operator="equal">
      <formula>"""CUMPLE"""</formula>
    </cfRule>
    <cfRule type="cellIs" dxfId="588" priority="41" operator="equal">
      <formula>"NO CUMPLE"</formula>
    </cfRule>
  </conditionalFormatting>
  <conditionalFormatting sqref="D65:J65">
    <cfRule type="cellIs" dxfId="587" priority="2" operator="equal">
      <formula>"CUMPLE"</formula>
    </cfRule>
    <cfRule type="cellIs" dxfId="586" priority="1" operator="equal">
      <formula>"NO CUMPLE"</formula>
    </cfRule>
  </conditionalFormatting>
  <conditionalFormatting sqref="D24:K24 D34:J34">
    <cfRule type="notContainsErrors" dxfId="585" priority="22">
      <formula>NOT(ISERROR(D24))</formula>
    </cfRule>
  </conditionalFormatting>
  <conditionalFormatting sqref="D65:K65">
    <cfRule type="containsBlanks" dxfId="584" priority="3">
      <formula>LEN(TRIM(D65))=0</formula>
    </cfRule>
    <cfRule type="notContainsErrors" dxfId="583" priority="4">
      <formula>NOT(ISERROR(D65))</formula>
    </cfRule>
  </conditionalFormatting>
  <conditionalFormatting sqref="F20:H20">
    <cfRule type="cellIs" dxfId="582" priority="53" operator="equal">
      <formula>"CUMPLE"</formula>
    </cfRule>
    <cfRule type="cellIs" dxfId="581" priority="54" operator="equal">
      <formula>"NO CUMPLE"</formula>
    </cfRule>
    <cfRule type="cellIs" dxfId="580" priority="55" operator="equal">
      <formula>"""CUMPLE"""</formula>
    </cfRule>
  </conditionalFormatting>
  <conditionalFormatting sqref="I11">
    <cfRule type="containsText" dxfId="579" priority="56" operator="containsText" text="INHABILITADO">
      <formula>NOT(ISERROR(SEARCH("INHABILITADO",I11)))</formula>
    </cfRule>
    <cfRule type="containsText" dxfId="578" priority="57" operator="containsText" text="HABILITADO">
      <formula>NOT(ISERROR(SEARCH("HABILITADO",I11)))</formula>
    </cfRule>
    <cfRule type="containsText" dxfId="577" priority="58" operator="containsText" text="HABILITADO">
      <formula>NOT(ISERROR(SEARCH("HABILITADO",I11)))</formula>
    </cfRule>
    <cfRule type="containsText" dxfId="576" priority="59" operator="containsText" text="NO CUMPLE">
      <formula>NOT(ISERROR(SEARCH("NO CUMPLE",I11)))</formula>
    </cfRule>
  </conditionalFormatting>
  <conditionalFormatting sqref="J20">
    <cfRule type="cellIs" dxfId="575" priority="30" operator="equal">
      <formula>"SI"</formula>
    </cfRule>
    <cfRule type="cellIs" dxfId="574" priority="29" operator="equal">
      <formula>"NO"</formula>
    </cfRule>
  </conditionalFormatting>
  <conditionalFormatting sqref="K19">
    <cfRule type="cellIs" dxfId="573" priority="44" operator="equal">
      <formula>"CUMPLE"</formula>
    </cfRule>
    <cfRule type="cellIs" dxfId="572" priority="45" operator="equal">
      <formula>"NO CUMPLE"</formula>
    </cfRule>
    <cfRule type="cellIs" dxfId="571" priority="46" operator="equal">
      <formula>"""CUMPLE"""</formula>
    </cfRule>
  </conditionalFormatting>
  <conditionalFormatting sqref="K25:K63">
    <cfRule type="notContainsErrors" dxfId="570" priority="6">
      <formula>NOT(ISERROR(K25))</formula>
    </cfRule>
    <cfRule type="containsBlanks" dxfId="569" priority="5">
      <formula>LEN(TRIM(K25))=0</formula>
    </cfRule>
  </conditionalFormatting>
  <conditionalFormatting sqref="L15">
    <cfRule type="cellIs" dxfId="568" priority="50" operator="equal">
      <formula>"CUMPLE"</formula>
    </cfRule>
    <cfRule type="cellIs" dxfId="567" priority="51" operator="equal">
      <formula>"NO CUMPLE"</formula>
    </cfRule>
    <cfRule type="cellIs" dxfId="566" priority="52" operator="equal">
      <formula>"""CUMPLE"""</formula>
    </cfRule>
  </conditionalFormatting>
  <conditionalFormatting sqref="L20">
    <cfRule type="cellIs" dxfId="565" priority="28" operator="equal">
      <formula>"SI"</formula>
    </cfRule>
    <cfRule type="cellIs" dxfId="564" priority="27" operator="equal">
      <formula>"NO"</formula>
    </cfRule>
  </conditionalFormatting>
  <dataValidations count="3">
    <dataValidation type="list" allowBlank="1" showInputMessage="1" showErrorMessage="1" sqref="D65:I65" xr:uid="{00000000-0002-0000-1200-000000000000}">
      <formula1>"CUMPLE,NO CUMPLE"</formula1>
    </dataValidation>
    <dataValidation type="list" allowBlank="1" showInputMessage="1" showErrorMessage="1" sqref="D24:J26" xr:uid="{00000000-0002-0000-1200-000001000000}">
      <formula1>$C$15:$C$19</formula1>
    </dataValidation>
    <dataValidation type="list" allowBlank="1" showInputMessage="1" showErrorMessage="1" sqref="L57:L64" xr:uid="{00000000-0002-0000-1200-000002000000}">
      <formula1>"0,1,2,3,4,5,6"</formula1>
    </dataValidation>
  </dataValidations>
  <printOptions horizontalCentered="1"/>
  <pageMargins left="0.51181102362204722" right="0.51181102362204722" top="0.74803149606299213" bottom="0.74803149606299213" header="0.31496062992125984" footer="0.31496062992125984"/>
  <pageSetup scale="30"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200-000003000000}">
          <x14:formula1>
            <xm:f>'DATOS INICIALES'!$A$13:$A$41</xm:f>
          </x14:formula1>
          <xm:sqref>D31:I31</xm:sqref>
        </x14:dataValidation>
        <x14:dataValidation type="list" allowBlank="1" showInputMessage="1" showErrorMessage="1" xr:uid="{00000000-0002-0000-1200-000004000000}">
          <x14:formula1>
            <xm:f>'DATOS INICIALES'!$D$21:$D$25</xm:f>
          </x14:formula1>
          <xm:sqref>M47:M54</xm:sqref>
        </x14:dataValidation>
        <x14:dataValidation type="list" allowBlank="1" showInputMessage="1" showErrorMessage="1" xr:uid="{00000000-0002-0000-1200-000005000000}">
          <x14:formula1>
            <xm:f>'DATOS INICIALES'!$A$53:$A$58</xm:f>
          </x14:formula1>
          <xm:sqref>D23:I23</xm:sqref>
        </x14:dataValidation>
        <x14:dataValidation type="list" allowBlank="1" showInputMessage="1" showErrorMessage="1" xr:uid="{00000000-0002-0000-1200-000006000000}">
          <x14:formula1>
            <xm:f>'DATOS INICIALES'!$A$49:$A$51</xm:f>
          </x14:formula1>
          <xm:sqref>D55:I57 D58:J63 J55:J56 D46:J46</xm:sqref>
        </x14:dataValidation>
        <x14:dataValidation type="list" allowBlank="1" showInputMessage="1" showErrorMessage="1" xr:uid="{00000000-0002-0000-1200-000007000000}">
          <x14:formula1>
            <xm:f>'DATOS INICIALES'!$C$44:$C$45</xm:f>
          </x14:formula1>
          <xm:sqref>D47:I53 J47:J52</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+PROPONENTES!B25</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4</v>
      </c>
      <c r="J15" s="293">
        <f>IF(AND(I15&gt;=1,I15&lt;=2),L8,IF(AND(I15&gt;=3,I15&lt;=4),L9,IF(AND(I15&gt;=5,I15&lt;=7),L10)))</f>
        <v>3938.6952868965518</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8994.4143000000004</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366</v>
      </c>
      <c r="E24" s="90" t="s">
        <v>366</v>
      </c>
      <c r="F24" s="90" t="s">
        <v>366</v>
      </c>
      <c r="G24" s="90" t="s">
        <v>366</v>
      </c>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367</v>
      </c>
      <c r="E27" s="91" t="s">
        <v>368</v>
      </c>
      <c r="F27" s="91" t="s">
        <v>369</v>
      </c>
      <c r="G27" s="91" t="s">
        <v>370</v>
      </c>
      <c r="H27" s="91"/>
      <c r="I27" s="91"/>
      <c r="J27" s="91"/>
      <c r="K27" s="288"/>
      <c r="L27" s="289"/>
    </row>
    <row r="28" spans="2:14" ht="263.25" customHeight="1">
      <c r="B28" s="336"/>
      <c r="C28" s="28" t="s">
        <v>127</v>
      </c>
      <c r="D28" s="91" t="s">
        <v>371</v>
      </c>
      <c r="E28" s="91" t="s">
        <v>372</v>
      </c>
      <c r="F28" s="91" t="s">
        <v>373</v>
      </c>
      <c r="G28" s="91" t="s">
        <v>374</v>
      </c>
      <c r="H28" s="91"/>
      <c r="I28" s="91"/>
      <c r="J28" s="91"/>
      <c r="K28" s="288"/>
      <c r="L28" s="289"/>
    </row>
    <row r="29" spans="2:14" ht="52.5" customHeight="1">
      <c r="B29" s="336"/>
      <c r="C29" s="28" t="s">
        <v>132</v>
      </c>
      <c r="D29" s="95">
        <v>43159</v>
      </c>
      <c r="E29" s="95">
        <v>43154</v>
      </c>
      <c r="F29" s="95">
        <v>39169</v>
      </c>
      <c r="G29" s="95">
        <v>43480</v>
      </c>
      <c r="H29" s="95"/>
      <c r="I29" s="95"/>
      <c r="J29" s="95"/>
      <c r="K29" s="288"/>
      <c r="L29" s="289"/>
    </row>
    <row r="30" spans="2:14" ht="54.75" customHeight="1">
      <c r="B30" s="336"/>
      <c r="C30" s="28" t="s">
        <v>133</v>
      </c>
      <c r="D30" s="95">
        <v>43552</v>
      </c>
      <c r="E30" s="95">
        <v>43726</v>
      </c>
      <c r="F30" s="95">
        <v>39595</v>
      </c>
      <c r="G30" s="95">
        <v>44022</v>
      </c>
      <c r="H30" s="95"/>
      <c r="I30" s="95"/>
      <c r="J30" s="95"/>
      <c r="K30" s="288"/>
      <c r="L30" s="289"/>
    </row>
    <row r="31" spans="2:14" ht="41.25" customHeight="1">
      <c r="B31" s="336"/>
      <c r="C31" s="28" t="s">
        <v>134</v>
      </c>
      <c r="D31" s="92">
        <v>2019</v>
      </c>
      <c r="E31" s="92">
        <v>2019</v>
      </c>
      <c r="F31" s="92">
        <v>2008</v>
      </c>
      <c r="G31" s="92">
        <v>2020</v>
      </c>
      <c r="H31" s="92"/>
      <c r="I31" s="92"/>
      <c r="J31" s="92"/>
      <c r="K31" s="288"/>
      <c r="L31" s="289"/>
    </row>
    <row r="32" spans="2:14" ht="63" customHeight="1">
      <c r="B32" s="336"/>
      <c r="C32" s="28" t="s">
        <v>135</v>
      </c>
      <c r="D32" s="91" t="s">
        <v>375</v>
      </c>
      <c r="E32" s="91" t="s">
        <v>376</v>
      </c>
      <c r="F32" s="91" t="s">
        <v>377</v>
      </c>
      <c r="G32" s="91" t="s">
        <v>378</v>
      </c>
      <c r="H32" s="91"/>
      <c r="I32" s="91"/>
      <c r="J32" s="91"/>
      <c r="K32" s="288"/>
      <c r="L32" s="289"/>
    </row>
    <row r="33" spans="2:12" ht="46.5" customHeight="1">
      <c r="B33" s="336"/>
      <c r="C33" s="28" t="s">
        <v>140</v>
      </c>
      <c r="D33" s="91" t="s">
        <v>379</v>
      </c>
      <c r="E33" s="91" t="s">
        <v>380</v>
      </c>
      <c r="F33" s="91" t="s">
        <v>381</v>
      </c>
      <c r="G33" s="91" t="s">
        <v>382</v>
      </c>
      <c r="H33" s="91"/>
      <c r="I33" s="91"/>
      <c r="J33" s="91"/>
      <c r="K33" s="288"/>
      <c r="L33" s="289"/>
    </row>
    <row r="34" spans="2:12" ht="27.75" customHeight="1">
      <c r="B34" s="336"/>
      <c r="C34" s="30" t="s">
        <v>144</v>
      </c>
      <c r="D34" s="96">
        <v>95</v>
      </c>
      <c r="E34" s="96">
        <v>43</v>
      </c>
      <c r="F34" s="96">
        <v>3</v>
      </c>
      <c r="G34" s="97">
        <v>35</v>
      </c>
      <c r="H34" s="97"/>
      <c r="I34" s="97"/>
      <c r="J34" s="97"/>
      <c r="K34" s="288"/>
      <c r="L34" s="289"/>
    </row>
    <row r="35" spans="2:12" ht="102.75" customHeight="1">
      <c r="B35" s="336"/>
      <c r="C35" s="28" t="s">
        <v>145</v>
      </c>
      <c r="D35" s="93">
        <v>2333.12</v>
      </c>
      <c r="E35" s="93">
        <v>6096.95</v>
      </c>
      <c r="F35" s="93">
        <v>4875.5600000000004</v>
      </c>
      <c r="G35" s="93">
        <v>12134.57</v>
      </c>
      <c r="H35" s="93"/>
      <c r="I35" s="93"/>
      <c r="J35" s="93"/>
      <c r="K35" s="290"/>
      <c r="L35" s="291"/>
    </row>
    <row r="36" spans="2:12" ht="48" customHeight="1">
      <c r="B36" s="336"/>
      <c r="C36" s="28" t="s">
        <v>146</v>
      </c>
      <c r="D36" s="105">
        <f>IFERROR(D35*VLOOKUP(D31,'DATOS INICIALES'!$A$12:$B$41,2,0),"0")</f>
        <v>1932094001.9199998</v>
      </c>
      <c r="E36" s="105">
        <f>IFERROR(E35*VLOOKUP(E31,'DATOS INICIALES'!$A$12:$B$41,2,0),"0")</f>
        <v>5048981846.1999998</v>
      </c>
      <c r="F36" s="105">
        <f>IFERROR(F35*VLOOKUP(F31,'DATOS INICIALES'!$A$12:$B$41,2,0),"0")</f>
        <v>2250070940</v>
      </c>
      <c r="G36" s="105">
        <f>IFERROR(G35*VLOOKUP(G31,'DATOS INICIALES'!$A$12:$B$41,2,0),"0")</f>
        <v>10651761949.709999</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0.3</v>
      </c>
      <c r="E37" s="94">
        <v>0.5</v>
      </c>
      <c r="F37" s="94">
        <v>0.3</v>
      </c>
      <c r="G37" s="94">
        <v>0.49</v>
      </c>
      <c r="H37" s="94"/>
      <c r="I37" s="94"/>
      <c r="J37" s="94"/>
      <c r="K37" s="288"/>
      <c r="L37" s="289"/>
    </row>
    <row r="38" spans="2:12" ht="48.75" customHeight="1">
      <c r="B38" s="336"/>
      <c r="C38" s="28" t="s">
        <v>148</v>
      </c>
      <c r="D38" s="105">
        <f t="shared" ref="D38:J38" si="3">IF(D24="","0",D37*D36)</f>
        <v>579628200.57599998</v>
      </c>
      <c r="E38" s="105">
        <f t="shared" si="3"/>
        <v>2524490923.0999999</v>
      </c>
      <c r="F38" s="105">
        <f t="shared" si="3"/>
        <v>675021282</v>
      </c>
      <c r="G38" s="105">
        <f t="shared" si="3"/>
        <v>5219363355.3578997</v>
      </c>
      <c r="H38" s="105" t="str">
        <f t="shared" si="3"/>
        <v>0</v>
      </c>
      <c r="I38" s="105" t="str">
        <f t="shared" si="3"/>
        <v>0</v>
      </c>
      <c r="J38" s="105" t="str">
        <f t="shared" si="3"/>
        <v>0</v>
      </c>
      <c r="K38" s="288"/>
      <c r="L38" s="289"/>
    </row>
    <row r="39" spans="2:12" ht="65.25" customHeight="1">
      <c r="B39" s="336"/>
      <c r="C39" s="28" t="s">
        <v>149</v>
      </c>
      <c r="D39" s="106">
        <f t="shared" ref="D39:J39" si="4">IFERROR(D35*D37,"0")</f>
        <v>699.93599999999992</v>
      </c>
      <c r="E39" s="106">
        <f t="shared" si="4"/>
        <v>3048.4749999999999</v>
      </c>
      <c r="F39" s="106">
        <f t="shared" si="4"/>
        <v>1462.6680000000001</v>
      </c>
      <c r="G39" s="106">
        <f t="shared" si="4"/>
        <v>5945.9393</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27</v>
      </c>
      <c r="F47" s="96" t="s">
        <v>27</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27</v>
      </c>
      <c r="F49" s="96" t="s">
        <v>27</v>
      </c>
      <c r="G49" s="96" t="s">
        <v>27</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t="s">
        <v>27</v>
      </c>
      <c r="E51" s="96" t="s">
        <v>27</v>
      </c>
      <c r="F51" s="96" t="s">
        <v>27</v>
      </c>
      <c r="G51" s="96" t="s">
        <v>27</v>
      </c>
      <c r="H51" s="96"/>
      <c r="I51" s="96"/>
      <c r="J51" s="97"/>
      <c r="K51" s="288"/>
      <c r="L51" s="289"/>
    </row>
    <row r="52" spans="2:12" ht="24.75" customHeight="1">
      <c r="B52" s="328"/>
      <c r="C52" s="31">
        <f>+'DATOS INICIALES'!D26</f>
        <v>93141500</v>
      </c>
      <c r="D52" s="96" t="s">
        <v>27</v>
      </c>
      <c r="E52" s="96" t="s">
        <v>27</v>
      </c>
      <c r="F52" s="96" t="s">
        <v>27</v>
      </c>
      <c r="G52" s="96" t="s">
        <v>27</v>
      </c>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31</v>
      </c>
      <c r="E59" s="90" t="s">
        <v>31</v>
      </c>
      <c r="F59" s="90" t="s">
        <v>31</v>
      </c>
      <c r="G59" s="90" t="s">
        <v>31</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31</v>
      </c>
      <c r="E61" s="90" t="s">
        <v>31</v>
      </c>
      <c r="F61" s="90" t="s">
        <v>31</v>
      </c>
      <c r="G61" s="90" t="s">
        <v>31</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c r="E65" s="90" t="s">
        <v>31</v>
      </c>
      <c r="F65" s="90"/>
      <c r="G65" s="90" t="s">
        <v>31</v>
      </c>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563" priority="15">
      <formula>LEN(TRIM(D25))=0</formula>
    </cfRule>
    <cfRule type="notContainsErrors" dxfId="562" priority="16">
      <formula>NOT(ISERROR(D25))</formula>
    </cfRule>
  </conditionalFormatting>
  <conditionalFormatting sqref="D34:J34 D24:K24">
    <cfRule type="containsBlanks" dxfId="561" priority="17">
      <formula>LEN(TRIM(D24))=0</formula>
    </cfRule>
  </conditionalFormatting>
  <conditionalFormatting sqref="D37:J37">
    <cfRule type="containsBlanks" dxfId="560" priority="13">
      <formula>LEN(TRIM(D37))=0</formula>
    </cfRule>
    <cfRule type="notContainsErrors" dxfId="559" priority="14">
      <formula>NOT(ISERROR(D37))</formula>
    </cfRule>
  </conditionalFormatting>
  <conditionalFormatting sqref="D40:J40 D43:J43 K64:L64">
    <cfRule type="notContainsErrors" dxfId="558" priority="34">
      <formula>NOT(ISERROR(D40))</formula>
    </cfRule>
    <cfRule type="containsBlanks" dxfId="557" priority="33">
      <formula>LEN(TRIM(D40))=0</formula>
    </cfRule>
  </conditionalFormatting>
  <conditionalFormatting sqref="D46:J53">
    <cfRule type="containsBlanks" dxfId="556" priority="11">
      <formula>LEN(TRIM(D46))=0</formula>
    </cfRule>
    <cfRule type="cellIs" dxfId="555" priority="9" operator="equal">
      <formula>"NO CUMPLE"</formula>
    </cfRule>
    <cfRule type="cellIs" dxfId="554" priority="10" operator="equal">
      <formula>"CUMPLE"</formula>
    </cfRule>
    <cfRule type="notContainsErrors" dxfId="553" priority="12">
      <formula>NOT(ISERROR(D46))</formula>
    </cfRule>
  </conditionalFormatting>
  <conditionalFormatting sqref="D54:J54">
    <cfRule type="cellIs" dxfId="552" priority="39" operator="equal">
      <formula>"N/A"</formula>
    </cfRule>
    <cfRule type="cellIs" dxfId="551" priority="43" operator="equal">
      <formula>"CUMPLE"</formula>
    </cfRule>
    <cfRule type="cellIs" dxfId="550" priority="44" operator="equal">
      <formula>"NO CUMPLE"</formula>
    </cfRule>
    <cfRule type="cellIs" dxfId="549" priority="45" operator="equal">
      <formula>"""CUMPLE"""</formula>
    </cfRule>
  </conditionalFormatting>
  <conditionalFormatting sqref="D55:J63">
    <cfRule type="cellIs" dxfId="548" priority="5" operator="equal">
      <formula>"NO CUMPLE"</formula>
    </cfRule>
    <cfRule type="cellIs" dxfId="547" priority="6" operator="equal">
      <formula>"CUMPLE"</formula>
    </cfRule>
    <cfRule type="containsBlanks" dxfId="546" priority="7">
      <formula>LEN(TRIM(D55))=0</formula>
    </cfRule>
    <cfRule type="notContainsErrors" dxfId="545" priority="8">
      <formula>NOT(ISERROR(D55))</formula>
    </cfRule>
  </conditionalFormatting>
  <conditionalFormatting sqref="D64:J64">
    <cfRule type="cellIs" dxfId="544" priority="37" operator="equal">
      <formula>"NO CUMPLE"</formula>
    </cfRule>
    <cfRule type="cellIs" dxfId="543" priority="36" operator="equal">
      <formula>"CUMPLE"</formula>
    </cfRule>
    <cfRule type="cellIs" dxfId="542" priority="35" operator="equal">
      <formula>"N/A"</formula>
    </cfRule>
    <cfRule type="cellIs" dxfId="541" priority="38" operator="equal">
      <formula>"""CUMPLE"""</formula>
    </cfRule>
  </conditionalFormatting>
  <conditionalFormatting sqref="D65:J65">
    <cfRule type="cellIs" dxfId="540" priority="2" operator="equal">
      <formula>"CUMPLE"</formula>
    </cfRule>
    <cfRule type="cellIs" dxfId="539" priority="1" operator="equal">
      <formula>"NO CUMPLE"</formula>
    </cfRule>
  </conditionalFormatting>
  <conditionalFormatting sqref="D24:K24 D34:J34">
    <cfRule type="notContainsErrors" dxfId="538" priority="18">
      <formula>NOT(ISERROR(D24))</formula>
    </cfRule>
  </conditionalFormatting>
  <conditionalFormatting sqref="D65:K65">
    <cfRule type="containsBlanks" dxfId="537" priority="3">
      <formula>LEN(TRIM(D65))=0</formula>
    </cfRule>
    <cfRule type="notContainsErrors" dxfId="536" priority="4">
      <formula>NOT(ISERROR(D65))</formula>
    </cfRule>
  </conditionalFormatting>
  <conditionalFormatting sqref="F20:H20">
    <cfRule type="cellIs" dxfId="535" priority="50" operator="equal">
      <formula>"NO CUMPLE"</formula>
    </cfRule>
    <cfRule type="cellIs" dxfId="534" priority="49" operator="equal">
      <formula>"CUMPLE"</formula>
    </cfRule>
    <cfRule type="cellIs" dxfId="533" priority="51" operator="equal">
      <formula>"""CUMPLE"""</formula>
    </cfRule>
  </conditionalFormatting>
  <conditionalFormatting sqref="I11">
    <cfRule type="containsText" dxfId="532" priority="52" operator="containsText" text="INHABILITADO">
      <formula>NOT(ISERROR(SEARCH("INHABILITADO",I11)))</formula>
    </cfRule>
    <cfRule type="containsText" dxfId="531" priority="53" operator="containsText" text="HABILITADO">
      <formula>NOT(ISERROR(SEARCH("HABILITADO",I11)))</formula>
    </cfRule>
    <cfRule type="containsText" dxfId="530" priority="54" operator="containsText" text="HABILITADO">
      <formula>NOT(ISERROR(SEARCH("HABILITADO",I11)))</formula>
    </cfRule>
    <cfRule type="containsText" dxfId="529" priority="55" operator="containsText" text="NO CUMPLE">
      <formula>NOT(ISERROR(SEARCH("NO CUMPLE",I11)))</formula>
    </cfRule>
  </conditionalFormatting>
  <conditionalFormatting sqref="J20">
    <cfRule type="cellIs" dxfId="528" priority="25" operator="equal">
      <formula>"NO"</formula>
    </cfRule>
    <cfRule type="cellIs" dxfId="527" priority="26" operator="equal">
      <formula>"SI"</formula>
    </cfRule>
  </conditionalFormatting>
  <conditionalFormatting sqref="K19">
    <cfRule type="cellIs" dxfId="526" priority="40" operator="equal">
      <formula>"CUMPLE"</formula>
    </cfRule>
    <cfRule type="cellIs" dxfId="525" priority="41" operator="equal">
      <formula>"NO CUMPLE"</formula>
    </cfRule>
    <cfRule type="cellIs" dxfId="524" priority="42" operator="equal">
      <formula>"""CUMPLE"""</formula>
    </cfRule>
  </conditionalFormatting>
  <conditionalFormatting sqref="K25:K63">
    <cfRule type="notContainsErrors" dxfId="523" priority="20">
      <formula>NOT(ISERROR(K25))</formula>
    </cfRule>
    <cfRule type="containsBlanks" dxfId="522" priority="19">
      <formula>LEN(TRIM(K25))=0</formula>
    </cfRule>
  </conditionalFormatting>
  <conditionalFormatting sqref="L15">
    <cfRule type="cellIs" dxfId="521" priority="46" operator="equal">
      <formula>"CUMPLE"</formula>
    </cfRule>
    <cfRule type="cellIs" dxfId="520" priority="47" operator="equal">
      <formula>"NO CUMPLE"</formula>
    </cfRule>
    <cfRule type="cellIs" dxfId="519" priority="48" operator="equal">
      <formula>"""CUMPLE"""</formula>
    </cfRule>
  </conditionalFormatting>
  <conditionalFormatting sqref="L20">
    <cfRule type="cellIs" dxfId="518" priority="23" operator="equal">
      <formula>"NO"</formula>
    </cfRule>
    <cfRule type="cellIs" dxfId="517" priority="24" operator="equal">
      <formula>"SI"</formula>
    </cfRule>
  </conditionalFormatting>
  <dataValidations count="3">
    <dataValidation type="list" allowBlank="1" showInputMessage="1" showErrorMessage="1" sqref="L57:L64" xr:uid="{00000000-0002-0000-1300-000000000000}">
      <formula1>"0,1,2,3,4,5,6"</formula1>
    </dataValidation>
    <dataValidation type="list" allowBlank="1" showInputMessage="1" showErrorMessage="1" sqref="D24:J26" xr:uid="{00000000-0002-0000-1300-000001000000}">
      <formula1>$C$15:$C$19</formula1>
    </dataValidation>
    <dataValidation type="list" allowBlank="1" showInputMessage="1" showErrorMessage="1" sqref="D65:I65" xr:uid="{00000000-0002-0000-13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300-000003000000}">
          <x14:formula1>
            <xm:f>'DATOS INICIALES'!$C$44:$C$45</xm:f>
          </x14:formula1>
          <xm:sqref>D47:I53 J47:J52</xm:sqref>
        </x14:dataValidation>
        <x14:dataValidation type="list" allowBlank="1" showInputMessage="1" showErrorMessage="1" xr:uid="{00000000-0002-0000-1300-000004000000}">
          <x14:formula1>
            <xm:f>'DATOS INICIALES'!$A$49:$A$51</xm:f>
          </x14:formula1>
          <xm:sqref>D55:I57 D58:J63 J55:J56 D46:J46</xm:sqref>
        </x14:dataValidation>
        <x14:dataValidation type="list" allowBlank="1" showInputMessage="1" showErrorMessage="1" xr:uid="{00000000-0002-0000-1300-000005000000}">
          <x14:formula1>
            <xm:f>'DATOS INICIALES'!$A$53:$A$58</xm:f>
          </x14:formula1>
          <xm:sqref>D23:I23</xm:sqref>
        </x14:dataValidation>
        <x14:dataValidation type="list" allowBlank="1" showInputMessage="1" showErrorMessage="1" xr:uid="{00000000-0002-0000-1300-000006000000}">
          <x14:formula1>
            <xm:f>'DATOS INICIALES'!$D$21:$D$25</xm:f>
          </x14:formula1>
          <xm:sqref>M47:M54</xm:sqref>
        </x14:dataValidation>
        <x14:dataValidation type="list" allowBlank="1" showInputMessage="1" showErrorMessage="1" xr:uid="{00000000-0002-0000-1300-000007000000}">
          <x14:formula1>
            <xm:f>'DATOS INICIALES'!$A$13:$A$41</xm:f>
          </x14:formula1>
          <xm:sqref>D31:I31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6" width="26.140625" customWidth="1"/>
    <col min="7" max="7" width="30.28515625" customWidth="1"/>
    <col min="8"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+PROPONENTES!B26</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4</v>
      </c>
      <c r="J15" s="293">
        <f>IF(AND(I15&gt;=1,I15&lt;=2),L8,IF(AND(I15&gt;=3,I15&lt;=4),L9,IF(AND(I15&gt;=5,I15&lt;=7),L10)))</f>
        <v>3938.6952868965518</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4687.9290000000001</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383</v>
      </c>
      <c r="E24" s="90" t="s">
        <v>383</v>
      </c>
      <c r="F24" s="90" t="s">
        <v>383</v>
      </c>
      <c r="G24" s="90" t="s">
        <v>383</v>
      </c>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384</v>
      </c>
      <c r="E27" s="91" t="s">
        <v>385</v>
      </c>
      <c r="F27" s="91" t="s">
        <v>386</v>
      </c>
      <c r="G27" s="91" t="s">
        <v>387</v>
      </c>
      <c r="H27" s="91"/>
      <c r="I27" s="91"/>
      <c r="J27" s="91"/>
      <c r="K27" s="288"/>
      <c r="L27" s="289"/>
    </row>
    <row r="28" spans="2:14" ht="253.5" customHeight="1">
      <c r="B28" s="336"/>
      <c r="C28" s="28" t="s">
        <v>127</v>
      </c>
      <c r="D28" s="91" t="s">
        <v>388</v>
      </c>
      <c r="E28" s="91" t="s">
        <v>389</v>
      </c>
      <c r="F28" s="91" t="s">
        <v>390</v>
      </c>
      <c r="G28" s="91" t="s">
        <v>391</v>
      </c>
      <c r="H28" s="91"/>
      <c r="I28" s="91"/>
      <c r="J28" s="91"/>
      <c r="K28" s="288"/>
      <c r="L28" s="289"/>
    </row>
    <row r="29" spans="2:14" ht="52.5" customHeight="1">
      <c r="B29" s="336"/>
      <c r="C29" s="28" t="s">
        <v>132</v>
      </c>
      <c r="D29" s="95">
        <v>40108</v>
      </c>
      <c r="E29" s="95">
        <v>40043</v>
      </c>
      <c r="F29" s="95">
        <v>40246</v>
      </c>
      <c r="G29" s="95">
        <v>43025</v>
      </c>
      <c r="H29" s="95"/>
      <c r="I29" s="95"/>
      <c r="J29" s="95"/>
      <c r="K29" s="288"/>
      <c r="L29" s="289"/>
    </row>
    <row r="30" spans="2:14" ht="54.75" customHeight="1">
      <c r="B30" s="336"/>
      <c r="C30" s="28" t="s">
        <v>133</v>
      </c>
      <c r="D30" s="95">
        <v>40380</v>
      </c>
      <c r="E30" s="95">
        <v>39863</v>
      </c>
      <c r="F30" s="95">
        <v>40459</v>
      </c>
      <c r="G30" s="95">
        <v>43334</v>
      </c>
      <c r="H30" s="95"/>
      <c r="I30" s="95"/>
      <c r="J30" s="95"/>
      <c r="K30" s="288"/>
      <c r="L30" s="289"/>
    </row>
    <row r="31" spans="2:14" ht="41.25" customHeight="1">
      <c r="B31" s="336"/>
      <c r="C31" s="28" t="s">
        <v>134</v>
      </c>
      <c r="D31" s="92">
        <v>2010</v>
      </c>
      <c r="E31" s="92">
        <v>2009</v>
      </c>
      <c r="F31" s="92">
        <v>2010</v>
      </c>
      <c r="G31" s="92">
        <v>2018</v>
      </c>
      <c r="H31" s="92"/>
      <c r="I31" s="92"/>
      <c r="J31" s="92"/>
      <c r="K31" s="288"/>
      <c r="L31" s="289"/>
    </row>
    <row r="32" spans="2:14" ht="63" customHeight="1">
      <c r="B32" s="336"/>
      <c r="C32" s="28" t="s">
        <v>135</v>
      </c>
      <c r="D32" s="91" t="s">
        <v>291</v>
      </c>
      <c r="E32" s="91" t="s">
        <v>392</v>
      </c>
      <c r="F32" s="91" t="s">
        <v>392</v>
      </c>
      <c r="G32" s="91" t="s">
        <v>291</v>
      </c>
      <c r="H32" s="91"/>
      <c r="I32" s="91"/>
      <c r="J32" s="91"/>
      <c r="K32" s="288"/>
      <c r="L32" s="289"/>
    </row>
    <row r="33" spans="2:12" ht="46.5" customHeight="1">
      <c r="B33" s="336"/>
      <c r="C33" s="28" t="s">
        <v>140</v>
      </c>
      <c r="D33" s="91" t="s">
        <v>393</v>
      </c>
      <c r="E33" s="91" t="s">
        <v>394</v>
      </c>
      <c r="F33" s="91" t="s">
        <v>394</v>
      </c>
      <c r="G33" s="91" t="s">
        <v>395</v>
      </c>
      <c r="H33" s="91"/>
      <c r="I33" s="91"/>
      <c r="J33" s="91"/>
      <c r="K33" s="288"/>
      <c r="L33" s="289"/>
    </row>
    <row r="34" spans="2:12" ht="27.75" customHeight="1">
      <c r="B34" s="336"/>
      <c r="C34" s="30" t="s">
        <v>144</v>
      </c>
      <c r="D34" s="96">
        <v>8</v>
      </c>
      <c r="E34" s="96">
        <v>9</v>
      </c>
      <c r="F34" s="96">
        <v>36</v>
      </c>
      <c r="G34" s="97">
        <v>153</v>
      </c>
      <c r="H34" s="97"/>
      <c r="I34" s="97"/>
      <c r="J34" s="97"/>
      <c r="K34" s="288"/>
      <c r="L34" s="289"/>
    </row>
    <row r="35" spans="2:12" ht="102.75" customHeight="1">
      <c r="B35" s="336"/>
      <c r="C35" s="28" t="s">
        <v>145</v>
      </c>
      <c r="D35" s="93">
        <v>5208.8100000000004</v>
      </c>
      <c r="E35" s="93">
        <v>1425.26</v>
      </c>
      <c r="F35" s="93">
        <v>751.03</v>
      </c>
      <c r="G35" s="93">
        <v>660.97</v>
      </c>
      <c r="H35" s="93"/>
      <c r="I35" s="93"/>
      <c r="J35" s="93"/>
      <c r="K35" s="290"/>
      <c r="L35" s="291"/>
    </row>
    <row r="36" spans="2:12" ht="48" customHeight="1">
      <c r="B36" s="336"/>
      <c r="C36" s="28" t="s">
        <v>146</v>
      </c>
      <c r="D36" s="105">
        <f>IFERROR(D35*VLOOKUP(D31,'DATOS INICIALES'!$A$12:$B$41,2,0),"0")</f>
        <v>2682537150</v>
      </c>
      <c r="E36" s="105">
        <f>IFERROR(E35*VLOOKUP(E31,'DATOS INICIALES'!$A$12:$B$41,2,0),"0")</f>
        <v>708211694</v>
      </c>
      <c r="F36" s="105">
        <f>IFERROR(F35*VLOOKUP(F31,'DATOS INICIALES'!$A$12:$B$41,2,0),"0")</f>
        <v>386780450</v>
      </c>
      <c r="G36" s="105">
        <f>IFERROR(G35*VLOOKUP(G31,'DATOS INICIALES'!$A$12:$B$41,2,0),"0")</f>
        <v>516377524.74000001</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0.9</v>
      </c>
      <c r="E37" s="94">
        <v>1</v>
      </c>
      <c r="F37" s="94">
        <v>1</v>
      </c>
      <c r="G37" s="94">
        <v>1</v>
      </c>
      <c r="H37" s="94"/>
      <c r="I37" s="94"/>
      <c r="J37" s="94"/>
      <c r="K37" s="288"/>
      <c r="L37" s="289"/>
    </row>
    <row r="38" spans="2:12" ht="48.75" customHeight="1">
      <c r="B38" s="336"/>
      <c r="C38" s="28" t="s">
        <v>148</v>
      </c>
      <c r="D38" s="105">
        <f t="shared" ref="D38:J38" si="3">IF(D24="","0",D37*D36)</f>
        <v>2414283435</v>
      </c>
      <c r="E38" s="105">
        <f t="shared" si="3"/>
        <v>708211694</v>
      </c>
      <c r="F38" s="105">
        <f t="shared" si="3"/>
        <v>386780450</v>
      </c>
      <c r="G38" s="105">
        <f t="shared" si="3"/>
        <v>516377524.74000001</v>
      </c>
      <c r="H38" s="105" t="str">
        <f t="shared" si="3"/>
        <v>0</v>
      </c>
      <c r="I38" s="105" t="str">
        <f t="shared" si="3"/>
        <v>0</v>
      </c>
      <c r="J38" s="105" t="str">
        <f t="shared" si="3"/>
        <v>0</v>
      </c>
      <c r="K38" s="288"/>
      <c r="L38" s="289"/>
    </row>
    <row r="39" spans="2:12" ht="65.25" customHeight="1">
      <c r="B39" s="336"/>
      <c r="C39" s="28" t="s">
        <v>149</v>
      </c>
      <c r="D39" s="106">
        <f t="shared" ref="D39:J39" si="4">IFERROR(D35*D37,"0")</f>
        <v>4687.9290000000001</v>
      </c>
      <c r="E39" s="106">
        <f t="shared" si="4"/>
        <v>1425.26</v>
      </c>
      <c r="F39" s="106">
        <f t="shared" si="4"/>
        <v>751.03</v>
      </c>
      <c r="G39" s="106">
        <f t="shared" si="4"/>
        <v>660.97</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27</v>
      </c>
      <c r="F47" s="96" t="s">
        <v>27</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27</v>
      </c>
      <c r="F49" s="96" t="s">
        <v>27</v>
      </c>
      <c r="G49" s="96" t="s">
        <v>27</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t="s">
        <v>29</v>
      </c>
      <c r="E51" s="96" t="s">
        <v>29</v>
      </c>
      <c r="F51" s="96" t="s">
        <v>27</v>
      </c>
      <c r="G51" s="96" t="s">
        <v>29</v>
      </c>
      <c r="H51" s="96"/>
      <c r="I51" s="96"/>
      <c r="J51" s="97"/>
      <c r="K51" s="288"/>
      <c r="L51" s="289"/>
    </row>
    <row r="52" spans="2:12" ht="24.75" customHeight="1">
      <c r="B52" s="328"/>
      <c r="C52" s="31">
        <f>+'DATOS INICIALES'!D26</f>
        <v>93141500</v>
      </c>
      <c r="D52" s="96" t="s">
        <v>27</v>
      </c>
      <c r="E52" s="96" t="s">
        <v>27</v>
      </c>
      <c r="F52" s="96" t="s">
        <v>27</v>
      </c>
      <c r="G52" s="96" t="s">
        <v>27</v>
      </c>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31</v>
      </c>
      <c r="E59" s="90" t="s">
        <v>31</v>
      </c>
      <c r="F59" s="90" t="s">
        <v>31</v>
      </c>
      <c r="G59" s="90" t="s">
        <v>31</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31</v>
      </c>
      <c r="E61" s="90" t="s">
        <v>31</v>
      </c>
      <c r="F61" s="90" t="s">
        <v>31</v>
      </c>
      <c r="G61" s="90" t="s">
        <v>31</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t="s">
        <v>31</v>
      </c>
      <c r="E65" s="90"/>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516" priority="15">
      <formula>LEN(TRIM(D25))=0</formula>
    </cfRule>
    <cfRule type="notContainsErrors" dxfId="515" priority="16">
      <formula>NOT(ISERROR(D25))</formula>
    </cfRule>
  </conditionalFormatting>
  <conditionalFormatting sqref="D34:J34 D24:K24">
    <cfRule type="containsBlanks" dxfId="514" priority="17">
      <formula>LEN(TRIM(D24))=0</formula>
    </cfRule>
  </conditionalFormatting>
  <conditionalFormatting sqref="D37:J37">
    <cfRule type="containsBlanks" dxfId="513" priority="13">
      <formula>LEN(TRIM(D37))=0</formula>
    </cfRule>
    <cfRule type="notContainsErrors" dxfId="512" priority="14">
      <formula>NOT(ISERROR(D37))</formula>
    </cfRule>
  </conditionalFormatting>
  <conditionalFormatting sqref="D40:J40 D43:J43 K64:L64">
    <cfRule type="notContainsErrors" dxfId="511" priority="34">
      <formula>NOT(ISERROR(D40))</formula>
    </cfRule>
    <cfRule type="containsBlanks" dxfId="510" priority="33">
      <formula>LEN(TRIM(D40))=0</formula>
    </cfRule>
  </conditionalFormatting>
  <conditionalFormatting sqref="D46:J53">
    <cfRule type="containsBlanks" dxfId="509" priority="11">
      <formula>LEN(TRIM(D46))=0</formula>
    </cfRule>
    <cfRule type="cellIs" dxfId="508" priority="9" operator="equal">
      <formula>"NO CUMPLE"</formula>
    </cfRule>
    <cfRule type="cellIs" dxfId="507" priority="10" operator="equal">
      <formula>"CUMPLE"</formula>
    </cfRule>
    <cfRule type="notContainsErrors" dxfId="506" priority="12">
      <formula>NOT(ISERROR(D46))</formula>
    </cfRule>
  </conditionalFormatting>
  <conditionalFormatting sqref="D54:J54">
    <cfRule type="cellIs" dxfId="505" priority="39" operator="equal">
      <formula>"N/A"</formula>
    </cfRule>
    <cfRule type="cellIs" dxfId="504" priority="43" operator="equal">
      <formula>"CUMPLE"</formula>
    </cfRule>
    <cfRule type="cellIs" dxfId="503" priority="44" operator="equal">
      <formula>"NO CUMPLE"</formula>
    </cfRule>
    <cfRule type="cellIs" dxfId="502" priority="45" operator="equal">
      <formula>"""CUMPLE"""</formula>
    </cfRule>
  </conditionalFormatting>
  <conditionalFormatting sqref="D55:J63">
    <cfRule type="cellIs" dxfId="501" priority="5" operator="equal">
      <formula>"NO CUMPLE"</formula>
    </cfRule>
    <cfRule type="cellIs" dxfId="500" priority="6" operator="equal">
      <formula>"CUMPLE"</formula>
    </cfRule>
    <cfRule type="containsBlanks" dxfId="499" priority="7">
      <formula>LEN(TRIM(D55))=0</formula>
    </cfRule>
    <cfRule type="notContainsErrors" dxfId="498" priority="8">
      <formula>NOT(ISERROR(D55))</formula>
    </cfRule>
  </conditionalFormatting>
  <conditionalFormatting sqref="D64:J64">
    <cfRule type="cellIs" dxfId="497" priority="37" operator="equal">
      <formula>"NO CUMPLE"</formula>
    </cfRule>
    <cfRule type="cellIs" dxfId="496" priority="36" operator="equal">
      <formula>"CUMPLE"</formula>
    </cfRule>
    <cfRule type="cellIs" dxfId="495" priority="35" operator="equal">
      <formula>"N/A"</formula>
    </cfRule>
    <cfRule type="cellIs" dxfId="494" priority="38" operator="equal">
      <formula>"""CUMPLE"""</formula>
    </cfRule>
  </conditionalFormatting>
  <conditionalFormatting sqref="D65:J65">
    <cfRule type="cellIs" dxfId="493" priority="2" operator="equal">
      <formula>"CUMPLE"</formula>
    </cfRule>
    <cfRule type="cellIs" dxfId="492" priority="1" operator="equal">
      <formula>"NO CUMPLE"</formula>
    </cfRule>
  </conditionalFormatting>
  <conditionalFormatting sqref="D24:K24 D34:J34">
    <cfRule type="notContainsErrors" dxfId="491" priority="18">
      <formula>NOT(ISERROR(D24))</formula>
    </cfRule>
  </conditionalFormatting>
  <conditionalFormatting sqref="D65:K65">
    <cfRule type="containsBlanks" dxfId="490" priority="3">
      <formula>LEN(TRIM(D65))=0</formula>
    </cfRule>
    <cfRule type="notContainsErrors" dxfId="489" priority="4">
      <formula>NOT(ISERROR(D65))</formula>
    </cfRule>
  </conditionalFormatting>
  <conditionalFormatting sqref="F20:H20">
    <cfRule type="cellIs" dxfId="488" priority="50" operator="equal">
      <formula>"NO CUMPLE"</formula>
    </cfRule>
    <cfRule type="cellIs" dxfId="487" priority="49" operator="equal">
      <formula>"CUMPLE"</formula>
    </cfRule>
    <cfRule type="cellIs" dxfId="486" priority="51" operator="equal">
      <formula>"""CUMPLE"""</formula>
    </cfRule>
  </conditionalFormatting>
  <conditionalFormatting sqref="I11">
    <cfRule type="containsText" dxfId="485" priority="52" operator="containsText" text="INHABILITADO">
      <formula>NOT(ISERROR(SEARCH("INHABILITADO",I11)))</formula>
    </cfRule>
    <cfRule type="containsText" dxfId="484" priority="53" operator="containsText" text="HABILITADO">
      <formula>NOT(ISERROR(SEARCH("HABILITADO",I11)))</formula>
    </cfRule>
    <cfRule type="containsText" dxfId="483" priority="54" operator="containsText" text="HABILITADO">
      <formula>NOT(ISERROR(SEARCH("HABILITADO",I11)))</formula>
    </cfRule>
    <cfRule type="containsText" dxfId="482" priority="55" operator="containsText" text="NO CUMPLE">
      <formula>NOT(ISERROR(SEARCH("NO CUMPLE",I11)))</formula>
    </cfRule>
  </conditionalFormatting>
  <conditionalFormatting sqref="J20">
    <cfRule type="cellIs" dxfId="481" priority="25" operator="equal">
      <formula>"NO"</formula>
    </cfRule>
    <cfRule type="cellIs" dxfId="480" priority="26" operator="equal">
      <formula>"SI"</formula>
    </cfRule>
  </conditionalFormatting>
  <conditionalFormatting sqref="K19">
    <cfRule type="cellIs" dxfId="479" priority="40" operator="equal">
      <formula>"CUMPLE"</formula>
    </cfRule>
    <cfRule type="cellIs" dxfId="478" priority="41" operator="equal">
      <formula>"NO CUMPLE"</formula>
    </cfRule>
    <cfRule type="cellIs" dxfId="477" priority="42" operator="equal">
      <formula>"""CUMPLE"""</formula>
    </cfRule>
  </conditionalFormatting>
  <conditionalFormatting sqref="K25:K63">
    <cfRule type="notContainsErrors" dxfId="476" priority="20">
      <formula>NOT(ISERROR(K25))</formula>
    </cfRule>
    <cfRule type="containsBlanks" dxfId="475" priority="19">
      <formula>LEN(TRIM(K25))=0</formula>
    </cfRule>
  </conditionalFormatting>
  <conditionalFormatting sqref="L15">
    <cfRule type="cellIs" dxfId="474" priority="46" operator="equal">
      <formula>"CUMPLE"</formula>
    </cfRule>
    <cfRule type="cellIs" dxfId="473" priority="47" operator="equal">
      <formula>"NO CUMPLE"</formula>
    </cfRule>
    <cfRule type="cellIs" dxfId="472" priority="48" operator="equal">
      <formula>"""CUMPLE"""</formula>
    </cfRule>
  </conditionalFormatting>
  <conditionalFormatting sqref="L20">
    <cfRule type="cellIs" dxfId="471" priority="23" operator="equal">
      <formula>"NO"</formula>
    </cfRule>
    <cfRule type="cellIs" dxfId="470" priority="24" operator="equal">
      <formula>"SI"</formula>
    </cfRule>
  </conditionalFormatting>
  <dataValidations count="3">
    <dataValidation type="list" allowBlank="1" showInputMessage="1" showErrorMessage="1" sqref="D65:I65" xr:uid="{00000000-0002-0000-1400-000000000000}">
      <formula1>"CUMPLE,NO CUMPLE"</formula1>
    </dataValidation>
    <dataValidation type="list" allowBlank="1" showInputMessage="1" showErrorMessage="1" sqref="D24:J26" xr:uid="{00000000-0002-0000-1400-000001000000}">
      <formula1>$C$15:$C$19</formula1>
    </dataValidation>
    <dataValidation type="list" allowBlank="1" showInputMessage="1" showErrorMessage="1" sqref="L57:L64" xr:uid="{00000000-0002-0000-1400-000002000000}">
      <formula1>"0,1,2,3,4,5,6"</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400-000003000000}">
          <x14:formula1>
            <xm:f>'DATOS INICIALES'!$A$13:$A$41</xm:f>
          </x14:formula1>
          <xm:sqref>D31:I31</xm:sqref>
        </x14:dataValidation>
        <x14:dataValidation type="list" allowBlank="1" showInputMessage="1" showErrorMessage="1" xr:uid="{00000000-0002-0000-1400-000004000000}">
          <x14:formula1>
            <xm:f>'DATOS INICIALES'!$D$21:$D$25</xm:f>
          </x14:formula1>
          <xm:sqref>M47:M54</xm:sqref>
        </x14:dataValidation>
        <x14:dataValidation type="list" allowBlank="1" showInputMessage="1" showErrorMessage="1" xr:uid="{00000000-0002-0000-1400-000005000000}">
          <x14:formula1>
            <xm:f>'DATOS INICIALES'!$A$53:$A$58</xm:f>
          </x14:formula1>
          <xm:sqref>D23:I23</xm:sqref>
        </x14:dataValidation>
        <x14:dataValidation type="list" allowBlank="1" showInputMessage="1" showErrorMessage="1" xr:uid="{00000000-0002-0000-1400-000006000000}">
          <x14:formula1>
            <xm:f>'DATOS INICIALES'!$A$49:$A$51</xm:f>
          </x14:formula1>
          <xm:sqref>D55:I57 D58:J63 J55:J56 D46:J46</xm:sqref>
        </x14:dataValidation>
        <x14:dataValidation type="list" allowBlank="1" showInputMessage="1" showErrorMessage="1" xr:uid="{00000000-0002-0000-1400-000007000000}">
          <x14:formula1>
            <xm:f>'DATOS INICIALES'!$C$44:$C$45</xm:f>
          </x14:formula1>
          <xm:sqref>D47:I53 J47:J52</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+PROPONENTES!B27</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4</v>
      </c>
      <c r="J15" s="293">
        <f>IF(AND(I15&gt;=1,I15&lt;=2),L8,IF(AND(I15&gt;=3,I15&lt;=4),L9,IF(AND(I15&gt;=5,I15&lt;=7),L10)))</f>
        <v>3938.6952868965518</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10773.223000000002</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396</v>
      </c>
      <c r="E24" s="90" t="s">
        <v>396</v>
      </c>
      <c r="F24" s="90" t="s">
        <v>396</v>
      </c>
      <c r="G24" s="90" t="s">
        <v>396</v>
      </c>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397</v>
      </c>
      <c r="E27" s="91" t="s">
        <v>398</v>
      </c>
      <c r="F27" s="91" t="s">
        <v>399</v>
      </c>
      <c r="G27" s="91" t="s">
        <v>400</v>
      </c>
      <c r="H27" s="91"/>
      <c r="I27" s="91"/>
      <c r="J27" s="91"/>
      <c r="K27" s="288"/>
      <c r="L27" s="289"/>
    </row>
    <row r="28" spans="2:14" ht="291.75" customHeight="1">
      <c r="B28" s="336"/>
      <c r="C28" s="28" t="s">
        <v>127</v>
      </c>
      <c r="D28" s="180" t="s">
        <v>401</v>
      </c>
      <c r="E28" s="91" t="s">
        <v>402</v>
      </c>
      <c r="F28" s="180" t="s">
        <v>403</v>
      </c>
      <c r="G28" s="180" t="s">
        <v>404</v>
      </c>
      <c r="H28" s="91"/>
      <c r="I28" s="91"/>
      <c r="J28" s="91"/>
      <c r="K28" s="288"/>
      <c r="L28" s="289"/>
    </row>
    <row r="29" spans="2:14" ht="52.5" customHeight="1">
      <c r="B29" s="336"/>
      <c r="C29" s="28" t="s">
        <v>132</v>
      </c>
      <c r="D29" s="95">
        <v>43391</v>
      </c>
      <c r="E29" s="95">
        <v>43390</v>
      </c>
      <c r="F29" s="95">
        <v>43759</v>
      </c>
      <c r="G29" s="95">
        <v>43136</v>
      </c>
      <c r="H29" s="95"/>
      <c r="I29" s="95"/>
      <c r="J29" s="95"/>
      <c r="K29" s="288"/>
      <c r="L29" s="289"/>
    </row>
    <row r="30" spans="2:14" ht="54.75" customHeight="1">
      <c r="B30" s="336"/>
      <c r="C30" s="28" t="s">
        <v>133</v>
      </c>
      <c r="D30" s="95">
        <v>43602</v>
      </c>
      <c r="E30" s="95">
        <v>43662</v>
      </c>
      <c r="F30" s="95">
        <v>44180</v>
      </c>
      <c r="G30" s="95">
        <v>43574</v>
      </c>
      <c r="H30" s="95"/>
      <c r="I30" s="95"/>
      <c r="J30" s="95"/>
      <c r="K30" s="288"/>
      <c r="L30" s="289"/>
    </row>
    <row r="31" spans="2:14" ht="41.25" customHeight="1">
      <c r="B31" s="336"/>
      <c r="C31" s="28" t="s">
        <v>134</v>
      </c>
      <c r="D31" s="92">
        <v>2019</v>
      </c>
      <c r="E31" s="92">
        <v>2019</v>
      </c>
      <c r="F31" s="92">
        <v>2020</v>
      </c>
      <c r="G31" s="92">
        <v>2019</v>
      </c>
      <c r="H31" s="92"/>
      <c r="I31" s="92"/>
      <c r="J31" s="92"/>
      <c r="K31" s="288"/>
      <c r="L31" s="289"/>
    </row>
    <row r="32" spans="2:14" ht="63" customHeight="1">
      <c r="B32" s="336"/>
      <c r="C32" s="28" t="s">
        <v>135</v>
      </c>
      <c r="D32" s="91" t="s">
        <v>405</v>
      </c>
      <c r="E32" s="91" t="s">
        <v>405</v>
      </c>
      <c r="F32" s="91" t="s">
        <v>405</v>
      </c>
      <c r="G32" s="91" t="s">
        <v>406</v>
      </c>
      <c r="H32" s="91"/>
      <c r="I32" s="91"/>
      <c r="J32" s="91"/>
      <c r="K32" s="288"/>
      <c r="L32" s="289"/>
    </row>
    <row r="33" spans="2:12" ht="46.5" customHeight="1">
      <c r="B33" s="336"/>
      <c r="C33" s="28" t="s">
        <v>140</v>
      </c>
      <c r="D33" s="91" t="s">
        <v>407</v>
      </c>
      <c r="E33" s="91" t="s">
        <v>407</v>
      </c>
      <c r="F33" s="91" t="s">
        <v>408</v>
      </c>
      <c r="G33" s="91" t="s">
        <v>406</v>
      </c>
      <c r="H33" s="91"/>
      <c r="I33" s="91"/>
      <c r="J33" s="91"/>
      <c r="K33" s="288"/>
      <c r="L33" s="289"/>
    </row>
    <row r="34" spans="2:12" ht="27.75" customHeight="1">
      <c r="B34" s="336"/>
      <c r="C34" s="30" t="s">
        <v>144</v>
      </c>
      <c r="D34" s="96">
        <v>164</v>
      </c>
      <c r="E34" s="96">
        <v>166</v>
      </c>
      <c r="F34" s="96">
        <v>189</v>
      </c>
      <c r="G34" s="97">
        <v>162</v>
      </c>
      <c r="H34" s="97"/>
      <c r="I34" s="97"/>
      <c r="J34" s="97"/>
      <c r="K34" s="288"/>
      <c r="L34" s="289"/>
    </row>
    <row r="35" spans="2:12" ht="102.75" customHeight="1">
      <c r="B35" s="336"/>
      <c r="C35" s="28" t="s">
        <v>145</v>
      </c>
      <c r="D35" s="93">
        <v>7075.06</v>
      </c>
      <c r="E35" s="93">
        <v>7075.06</v>
      </c>
      <c r="F35" s="93">
        <v>10226.35</v>
      </c>
      <c r="G35" s="93">
        <v>4449.6400000000003</v>
      </c>
      <c r="H35" s="93"/>
      <c r="I35" s="93"/>
      <c r="J35" s="93"/>
      <c r="K35" s="290"/>
      <c r="L35" s="291"/>
    </row>
    <row r="36" spans="2:12" ht="48" customHeight="1">
      <c r="B36" s="336"/>
      <c r="C36" s="28" t="s">
        <v>146</v>
      </c>
      <c r="D36" s="105">
        <f>IFERROR(D35*VLOOKUP(D31,'DATOS INICIALES'!$A$12:$B$41,2,0),"0")</f>
        <v>5858970386.96</v>
      </c>
      <c r="E36" s="105">
        <f>IFERROR(E35*VLOOKUP(E31,'DATOS INICIALES'!$A$12:$B$41,2,0),"0")</f>
        <v>5858970386.96</v>
      </c>
      <c r="F36" s="105">
        <f>IFERROR(F35*VLOOKUP(F31,'DATOS INICIALES'!$A$12:$B$41,2,0),"0")</f>
        <v>8976720709.0500011</v>
      </c>
      <c r="G36" s="105">
        <f>IFERROR(G35*VLOOKUP(G31,'DATOS INICIALES'!$A$12:$B$41,2,0),"0")</f>
        <v>3684818078.2400002</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0.4</v>
      </c>
      <c r="E37" s="94">
        <v>0.4</v>
      </c>
      <c r="F37" s="94">
        <v>0.5</v>
      </c>
      <c r="G37" s="94">
        <v>0.5</v>
      </c>
      <c r="H37" s="94"/>
      <c r="I37" s="94"/>
      <c r="J37" s="94"/>
      <c r="K37" s="288"/>
      <c r="L37" s="289"/>
    </row>
    <row r="38" spans="2:12" ht="48.75" customHeight="1">
      <c r="B38" s="336"/>
      <c r="C38" s="28" t="s">
        <v>148</v>
      </c>
      <c r="D38" s="105">
        <f t="shared" ref="D38:J38" si="3">IF(D24="","0",D37*D36)</f>
        <v>2343588154.7839999</v>
      </c>
      <c r="E38" s="105">
        <f t="shared" si="3"/>
        <v>2343588154.7839999</v>
      </c>
      <c r="F38" s="105">
        <f t="shared" si="3"/>
        <v>4488360354.5250006</v>
      </c>
      <c r="G38" s="105">
        <f t="shared" si="3"/>
        <v>1842409039.1200001</v>
      </c>
      <c r="H38" s="105" t="str">
        <f t="shared" si="3"/>
        <v>0</v>
      </c>
      <c r="I38" s="105" t="str">
        <f t="shared" si="3"/>
        <v>0</v>
      </c>
      <c r="J38" s="105" t="str">
        <f t="shared" si="3"/>
        <v>0</v>
      </c>
      <c r="K38" s="288"/>
      <c r="L38" s="289"/>
    </row>
    <row r="39" spans="2:12" ht="65.25" customHeight="1">
      <c r="B39" s="336"/>
      <c r="C39" s="28" t="s">
        <v>149</v>
      </c>
      <c r="D39" s="106">
        <f t="shared" ref="D39:J39" si="4">IFERROR(D35*D37,"0")</f>
        <v>2830.0240000000003</v>
      </c>
      <c r="E39" s="106">
        <f t="shared" si="4"/>
        <v>2830.0240000000003</v>
      </c>
      <c r="F39" s="106">
        <f t="shared" si="4"/>
        <v>5113.1750000000002</v>
      </c>
      <c r="G39" s="106">
        <f t="shared" si="4"/>
        <v>2224.8200000000002</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27</v>
      </c>
      <c r="F47" s="96" t="s">
        <v>27</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27</v>
      </c>
      <c r="F49" s="96" t="s">
        <v>27</v>
      </c>
      <c r="G49" s="96" t="s">
        <v>27</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t="s">
        <v>29</v>
      </c>
      <c r="E51" s="96" t="s">
        <v>29</v>
      </c>
      <c r="F51" s="96" t="s">
        <v>29</v>
      </c>
      <c r="G51" s="96" t="s">
        <v>29</v>
      </c>
      <c r="H51" s="96"/>
      <c r="I51" s="96"/>
      <c r="J51" s="97"/>
      <c r="K51" s="288"/>
      <c r="L51" s="289"/>
    </row>
    <row r="52" spans="2:12" ht="24.75" customHeight="1">
      <c r="B52" s="328"/>
      <c r="C52" s="31">
        <f>+'DATOS INICIALES'!D26</f>
        <v>93141500</v>
      </c>
      <c r="D52" s="96" t="s">
        <v>27</v>
      </c>
      <c r="E52" s="96" t="s">
        <v>27</v>
      </c>
      <c r="F52" s="96" t="s">
        <v>29</v>
      </c>
      <c r="G52" s="96" t="s">
        <v>27</v>
      </c>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31</v>
      </c>
      <c r="E59" s="90" t="s">
        <v>31</v>
      </c>
      <c r="F59" s="90" t="s">
        <v>31</v>
      </c>
      <c r="G59" s="90" t="s">
        <v>31</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31</v>
      </c>
      <c r="E61" s="90" t="s">
        <v>31</v>
      </c>
      <c r="F61" s="90" t="s">
        <v>31</v>
      </c>
      <c r="G61" s="90" t="s">
        <v>31</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t="s">
        <v>31</v>
      </c>
      <c r="E65" s="90" t="s">
        <v>31</v>
      </c>
      <c r="F65" s="90" t="s">
        <v>31</v>
      </c>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469" priority="15">
      <formula>LEN(TRIM(D25))=0</formula>
    </cfRule>
    <cfRule type="notContainsErrors" dxfId="468" priority="16">
      <formula>NOT(ISERROR(D25))</formula>
    </cfRule>
  </conditionalFormatting>
  <conditionalFormatting sqref="D34:J34 D24:K24">
    <cfRule type="containsBlanks" dxfId="467" priority="17">
      <formula>LEN(TRIM(D24))=0</formula>
    </cfRule>
  </conditionalFormatting>
  <conditionalFormatting sqref="D37:J37">
    <cfRule type="containsBlanks" dxfId="466" priority="13">
      <formula>LEN(TRIM(D37))=0</formula>
    </cfRule>
    <cfRule type="notContainsErrors" dxfId="465" priority="14">
      <formula>NOT(ISERROR(D37))</formula>
    </cfRule>
  </conditionalFormatting>
  <conditionalFormatting sqref="D40:J40 D43:J43 K64:L64">
    <cfRule type="notContainsErrors" dxfId="464" priority="34">
      <formula>NOT(ISERROR(D40))</formula>
    </cfRule>
    <cfRule type="containsBlanks" dxfId="463" priority="33">
      <formula>LEN(TRIM(D40))=0</formula>
    </cfRule>
  </conditionalFormatting>
  <conditionalFormatting sqref="D46:J53">
    <cfRule type="containsBlanks" dxfId="462" priority="11">
      <formula>LEN(TRIM(D46))=0</formula>
    </cfRule>
    <cfRule type="cellIs" dxfId="461" priority="9" operator="equal">
      <formula>"NO CUMPLE"</formula>
    </cfRule>
    <cfRule type="cellIs" dxfId="460" priority="10" operator="equal">
      <formula>"CUMPLE"</formula>
    </cfRule>
    <cfRule type="notContainsErrors" dxfId="459" priority="12">
      <formula>NOT(ISERROR(D46))</formula>
    </cfRule>
  </conditionalFormatting>
  <conditionalFormatting sqref="D54:J54">
    <cfRule type="cellIs" dxfId="458" priority="39" operator="equal">
      <formula>"N/A"</formula>
    </cfRule>
    <cfRule type="cellIs" dxfId="457" priority="43" operator="equal">
      <formula>"CUMPLE"</formula>
    </cfRule>
    <cfRule type="cellIs" dxfId="456" priority="44" operator="equal">
      <formula>"NO CUMPLE"</formula>
    </cfRule>
    <cfRule type="cellIs" dxfId="455" priority="45" operator="equal">
      <formula>"""CUMPLE"""</formula>
    </cfRule>
  </conditionalFormatting>
  <conditionalFormatting sqref="D55:J63">
    <cfRule type="cellIs" dxfId="454" priority="5" operator="equal">
      <formula>"NO CUMPLE"</formula>
    </cfRule>
    <cfRule type="cellIs" dxfId="453" priority="6" operator="equal">
      <formula>"CUMPLE"</formula>
    </cfRule>
    <cfRule type="containsBlanks" dxfId="452" priority="7">
      <formula>LEN(TRIM(D55))=0</formula>
    </cfRule>
    <cfRule type="notContainsErrors" dxfId="451" priority="8">
      <formula>NOT(ISERROR(D55))</formula>
    </cfRule>
  </conditionalFormatting>
  <conditionalFormatting sqref="D64:J64">
    <cfRule type="cellIs" dxfId="450" priority="37" operator="equal">
      <formula>"NO CUMPLE"</formula>
    </cfRule>
    <cfRule type="cellIs" dxfId="449" priority="36" operator="equal">
      <formula>"CUMPLE"</formula>
    </cfRule>
    <cfRule type="cellIs" dxfId="448" priority="35" operator="equal">
      <formula>"N/A"</formula>
    </cfRule>
    <cfRule type="cellIs" dxfId="447" priority="38" operator="equal">
      <formula>"""CUMPLE"""</formula>
    </cfRule>
  </conditionalFormatting>
  <conditionalFormatting sqref="D65:J65">
    <cfRule type="cellIs" dxfId="446" priority="2" operator="equal">
      <formula>"CUMPLE"</formula>
    </cfRule>
    <cfRule type="cellIs" dxfId="445" priority="1" operator="equal">
      <formula>"NO CUMPLE"</formula>
    </cfRule>
  </conditionalFormatting>
  <conditionalFormatting sqref="D24:K24 D34:J34">
    <cfRule type="notContainsErrors" dxfId="444" priority="18">
      <formula>NOT(ISERROR(D24))</formula>
    </cfRule>
  </conditionalFormatting>
  <conditionalFormatting sqref="D65:K65">
    <cfRule type="containsBlanks" dxfId="443" priority="3">
      <formula>LEN(TRIM(D65))=0</formula>
    </cfRule>
    <cfRule type="notContainsErrors" dxfId="442" priority="4">
      <formula>NOT(ISERROR(D65))</formula>
    </cfRule>
  </conditionalFormatting>
  <conditionalFormatting sqref="F20:H20">
    <cfRule type="cellIs" dxfId="441" priority="50" operator="equal">
      <formula>"NO CUMPLE"</formula>
    </cfRule>
    <cfRule type="cellIs" dxfId="440" priority="49" operator="equal">
      <formula>"CUMPLE"</formula>
    </cfRule>
    <cfRule type="cellIs" dxfId="439" priority="51" operator="equal">
      <formula>"""CUMPLE"""</formula>
    </cfRule>
  </conditionalFormatting>
  <conditionalFormatting sqref="I11">
    <cfRule type="containsText" dxfId="438" priority="52" operator="containsText" text="INHABILITADO">
      <formula>NOT(ISERROR(SEARCH("INHABILITADO",I11)))</formula>
    </cfRule>
    <cfRule type="containsText" dxfId="437" priority="53" operator="containsText" text="HABILITADO">
      <formula>NOT(ISERROR(SEARCH("HABILITADO",I11)))</formula>
    </cfRule>
    <cfRule type="containsText" dxfId="436" priority="54" operator="containsText" text="HABILITADO">
      <formula>NOT(ISERROR(SEARCH("HABILITADO",I11)))</formula>
    </cfRule>
    <cfRule type="containsText" dxfId="435" priority="55" operator="containsText" text="NO CUMPLE">
      <formula>NOT(ISERROR(SEARCH("NO CUMPLE",I11)))</formula>
    </cfRule>
  </conditionalFormatting>
  <conditionalFormatting sqref="J20">
    <cfRule type="cellIs" dxfId="434" priority="25" operator="equal">
      <formula>"NO"</formula>
    </cfRule>
    <cfRule type="cellIs" dxfId="433" priority="26" operator="equal">
      <formula>"SI"</formula>
    </cfRule>
  </conditionalFormatting>
  <conditionalFormatting sqref="K19">
    <cfRule type="cellIs" dxfId="432" priority="40" operator="equal">
      <formula>"CUMPLE"</formula>
    </cfRule>
    <cfRule type="cellIs" dxfId="431" priority="41" operator="equal">
      <formula>"NO CUMPLE"</formula>
    </cfRule>
    <cfRule type="cellIs" dxfId="430" priority="42" operator="equal">
      <formula>"""CUMPLE"""</formula>
    </cfRule>
  </conditionalFormatting>
  <conditionalFormatting sqref="K25:K63">
    <cfRule type="notContainsErrors" dxfId="429" priority="20">
      <formula>NOT(ISERROR(K25))</formula>
    </cfRule>
    <cfRule type="containsBlanks" dxfId="428" priority="19">
      <formula>LEN(TRIM(K25))=0</formula>
    </cfRule>
  </conditionalFormatting>
  <conditionalFormatting sqref="L15">
    <cfRule type="cellIs" dxfId="427" priority="46" operator="equal">
      <formula>"CUMPLE"</formula>
    </cfRule>
    <cfRule type="cellIs" dxfId="426" priority="47" operator="equal">
      <formula>"NO CUMPLE"</formula>
    </cfRule>
    <cfRule type="cellIs" dxfId="425" priority="48" operator="equal">
      <formula>"""CUMPLE"""</formula>
    </cfRule>
  </conditionalFormatting>
  <conditionalFormatting sqref="L20">
    <cfRule type="cellIs" dxfId="424" priority="23" operator="equal">
      <formula>"NO"</formula>
    </cfRule>
    <cfRule type="cellIs" dxfId="423" priority="24" operator="equal">
      <formula>"SI"</formula>
    </cfRule>
  </conditionalFormatting>
  <dataValidations count="3">
    <dataValidation type="list" allowBlank="1" showInputMessage="1" showErrorMessage="1" sqref="L57:L64" xr:uid="{00000000-0002-0000-1500-000000000000}">
      <formula1>"0,1,2,3,4,5,6"</formula1>
    </dataValidation>
    <dataValidation type="list" allowBlank="1" showInputMessage="1" showErrorMessage="1" sqref="D24:J26" xr:uid="{00000000-0002-0000-1500-000001000000}">
      <formula1>$C$15:$C$19</formula1>
    </dataValidation>
    <dataValidation type="list" allowBlank="1" showInputMessage="1" showErrorMessage="1" sqref="D65:I65" xr:uid="{00000000-0002-0000-15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500-000003000000}">
          <x14:formula1>
            <xm:f>'DATOS INICIALES'!$C$44:$C$45</xm:f>
          </x14:formula1>
          <xm:sqref>D47:I53 J47:J52</xm:sqref>
        </x14:dataValidation>
        <x14:dataValidation type="list" allowBlank="1" showInputMessage="1" showErrorMessage="1" xr:uid="{00000000-0002-0000-1500-000004000000}">
          <x14:formula1>
            <xm:f>'DATOS INICIALES'!$A$49:$A$51</xm:f>
          </x14:formula1>
          <xm:sqref>D55:I57 D58:J63 J55:J56 D46:J46</xm:sqref>
        </x14:dataValidation>
        <x14:dataValidation type="list" allowBlank="1" showInputMessage="1" showErrorMessage="1" xr:uid="{00000000-0002-0000-1500-000005000000}">
          <x14:formula1>
            <xm:f>'DATOS INICIALES'!$A$53:$A$58</xm:f>
          </x14:formula1>
          <xm:sqref>D23:I23</xm:sqref>
        </x14:dataValidation>
        <x14:dataValidation type="list" allowBlank="1" showInputMessage="1" showErrorMessage="1" xr:uid="{00000000-0002-0000-1500-000006000000}">
          <x14:formula1>
            <xm:f>'DATOS INICIALES'!$D$21:$D$25</xm:f>
          </x14:formula1>
          <xm:sqref>M47:M54</xm:sqref>
        </x14:dataValidation>
        <x14:dataValidation type="list" allowBlank="1" showInputMessage="1" showErrorMessage="1" xr:uid="{00000000-0002-0000-1500-000007000000}">
          <x14:formula1>
            <xm:f>'DATOS INICIALES'!$A$13:$A$41</xm:f>
          </x14:formula1>
          <xm:sqref>D31:I31</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+PROPONENTES!B28</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4239.9750000000004</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409</v>
      </c>
      <c r="E24" s="90" t="s">
        <v>409</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410</v>
      </c>
      <c r="E27" s="91" t="s">
        <v>411</v>
      </c>
      <c r="F27" s="91"/>
      <c r="G27" s="91"/>
      <c r="H27" s="91"/>
      <c r="I27" s="91"/>
      <c r="J27" s="91"/>
      <c r="K27" s="288"/>
      <c r="L27" s="289"/>
    </row>
    <row r="28" spans="2:14" ht="156.75" customHeight="1">
      <c r="B28" s="336"/>
      <c r="C28" s="28" t="s">
        <v>127</v>
      </c>
      <c r="D28" s="180" t="s">
        <v>412</v>
      </c>
      <c r="E28" s="180" t="s">
        <v>413</v>
      </c>
      <c r="F28" s="91"/>
      <c r="G28" s="91"/>
      <c r="H28" s="91"/>
      <c r="I28" s="91"/>
      <c r="J28" s="91"/>
      <c r="K28" s="288"/>
      <c r="L28" s="289"/>
    </row>
    <row r="29" spans="2:14" ht="52.5" customHeight="1">
      <c r="B29" s="336"/>
      <c r="C29" s="28" t="s">
        <v>132</v>
      </c>
      <c r="D29" s="95">
        <v>42240</v>
      </c>
      <c r="E29" s="95">
        <v>41990</v>
      </c>
      <c r="F29" s="95"/>
      <c r="G29" s="95"/>
      <c r="H29" s="95"/>
      <c r="I29" s="95"/>
      <c r="J29" s="95"/>
      <c r="K29" s="288"/>
      <c r="L29" s="289"/>
    </row>
    <row r="30" spans="2:14" ht="54.75" customHeight="1">
      <c r="B30" s="336"/>
      <c r="C30" s="28" t="s">
        <v>133</v>
      </c>
      <c r="D30" s="95">
        <v>42429</v>
      </c>
      <c r="E30" s="95">
        <v>42720</v>
      </c>
      <c r="F30" s="95"/>
      <c r="G30" s="95"/>
      <c r="H30" s="95"/>
      <c r="I30" s="95"/>
      <c r="J30" s="95"/>
      <c r="K30" s="288"/>
      <c r="L30" s="289"/>
    </row>
    <row r="31" spans="2:14" ht="41.25" customHeight="1">
      <c r="B31" s="336"/>
      <c r="C31" s="28" t="s">
        <v>134</v>
      </c>
      <c r="D31" s="92">
        <v>2016</v>
      </c>
      <c r="E31" s="92">
        <v>2016</v>
      </c>
      <c r="F31" s="92"/>
      <c r="G31" s="92"/>
      <c r="H31" s="92"/>
      <c r="I31" s="92"/>
      <c r="J31" s="92"/>
      <c r="K31" s="288"/>
      <c r="L31" s="289"/>
    </row>
    <row r="32" spans="2:14" ht="63" customHeight="1">
      <c r="B32" s="336"/>
      <c r="C32" s="28" t="s">
        <v>135</v>
      </c>
      <c r="D32" s="91" t="s">
        <v>378</v>
      </c>
      <c r="E32" s="91" t="s">
        <v>378</v>
      </c>
      <c r="F32" s="91"/>
      <c r="G32" s="91"/>
      <c r="H32" s="91"/>
      <c r="I32" s="91"/>
      <c r="J32" s="91"/>
      <c r="K32" s="288"/>
      <c r="L32" s="289"/>
    </row>
    <row r="33" spans="2:12" ht="46.5" customHeight="1">
      <c r="B33" s="336"/>
      <c r="C33" s="28" t="s">
        <v>140</v>
      </c>
      <c r="D33" s="91" t="s">
        <v>409</v>
      </c>
      <c r="E33" s="91" t="s">
        <v>409</v>
      </c>
      <c r="F33" s="91"/>
      <c r="G33" s="91"/>
      <c r="H33" s="91"/>
      <c r="I33" s="91"/>
      <c r="J33" s="91"/>
      <c r="K33" s="288"/>
      <c r="L33" s="289"/>
    </row>
    <row r="34" spans="2:12" ht="27.75" customHeight="1">
      <c r="B34" s="336"/>
      <c r="C34" s="30" t="s">
        <v>144</v>
      </c>
      <c r="D34" s="96">
        <v>14</v>
      </c>
      <c r="E34" s="96">
        <v>12</v>
      </c>
      <c r="F34" s="96"/>
      <c r="G34" s="97"/>
      <c r="H34" s="97"/>
      <c r="I34" s="97"/>
      <c r="J34" s="97"/>
      <c r="K34" s="288"/>
      <c r="L34" s="289"/>
    </row>
    <row r="35" spans="2:12" ht="102.75" customHeight="1">
      <c r="B35" s="336"/>
      <c r="C35" s="28" t="s">
        <v>145</v>
      </c>
      <c r="D35" s="93">
        <v>8479.9500000000007</v>
      </c>
      <c r="E35" s="93">
        <v>4680.01</v>
      </c>
      <c r="F35" s="93"/>
      <c r="G35" s="93"/>
      <c r="H35" s="93"/>
      <c r="I35" s="93"/>
      <c r="J35" s="93"/>
      <c r="K35" s="290"/>
      <c r="L35" s="291"/>
    </row>
    <row r="36" spans="2:12" ht="48" customHeight="1">
      <c r="B36" s="336"/>
      <c r="C36" s="28" t="s">
        <v>146</v>
      </c>
      <c r="D36" s="105">
        <f>IFERROR(D35*VLOOKUP(D31,'DATOS INICIALES'!$A$12:$B$41,2,0),"0")</f>
        <v>5846543927.250001</v>
      </c>
      <c r="E36" s="105">
        <f>IFERROR(E35*VLOOKUP(E31,'DATOS INICIALES'!$A$12:$B$41,2,0),"0")</f>
        <v>3226656294.5500002</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0.5</v>
      </c>
      <c r="E37" s="94">
        <v>0.5</v>
      </c>
      <c r="F37" s="94"/>
      <c r="G37" s="94"/>
      <c r="H37" s="94"/>
      <c r="I37" s="94"/>
      <c r="J37" s="94"/>
      <c r="K37" s="288"/>
      <c r="L37" s="289"/>
    </row>
    <row r="38" spans="2:12" ht="48.75" customHeight="1">
      <c r="B38" s="336"/>
      <c r="C38" s="28" t="s">
        <v>148</v>
      </c>
      <c r="D38" s="105">
        <f t="shared" ref="D38:J38" si="3">IF(D24="","0",D37*D36)</f>
        <v>2923271963.6250005</v>
      </c>
      <c r="E38" s="105">
        <f t="shared" si="3"/>
        <v>1613328147.2750001</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4239.9750000000004</v>
      </c>
      <c r="E39" s="106">
        <f t="shared" si="4"/>
        <v>2340.0050000000001</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t="s">
        <v>27</v>
      </c>
      <c r="E52" s="96" t="s">
        <v>27</v>
      </c>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31</v>
      </c>
      <c r="E59" s="90" t="s">
        <v>31</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31</v>
      </c>
      <c r="E61" s="90" t="s">
        <v>31</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422" priority="11">
      <formula>LEN(TRIM(D25))=0</formula>
    </cfRule>
    <cfRule type="notContainsErrors" dxfId="421" priority="12">
      <formula>NOT(ISERROR(D25))</formula>
    </cfRule>
  </conditionalFormatting>
  <conditionalFormatting sqref="D34:J34 D24:K24">
    <cfRule type="containsBlanks" dxfId="420" priority="13">
      <formula>LEN(TRIM(D24))=0</formula>
    </cfRule>
  </conditionalFormatting>
  <conditionalFormatting sqref="D37:J37">
    <cfRule type="containsBlanks" dxfId="419" priority="9">
      <formula>LEN(TRIM(D37))=0</formula>
    </cfRule>
    <cfRule type="notContainsErrors" dxfId="418" priority="10">
      <formula>NOT(ISERROR(D37))</formula>
    </cfRule>
  </conditionalFormatting>
  <conditionalFormatting sqref="D40:J40 D43:J43 K64:L64 D65:K65">
    <cfRule type="notContainsErrors" dxfId="417" priority="30">
      <formula>NOT(ISERROR(D40))</formula>
    </cfRule>
    <cfRule type="containsBlanks" dxfId="416" priority="29">
      <formula>LEN(TRIM(D40))=0</formula>
    </cfRule>
  </conditionalFormatting>
  <conditionalFormatting sqref="D46:J53">
    <cfRule type="cellIs" dxfId="415" priority="5" operator="equal">
      <formula>"NO CUMPLE"</formula>
    </cfRule>
    <cfRule type="cellIs" dxfId="414" priority="6" operator="equal">
      <formula>"CUMPLE"</formula>
    </cfRule>
    <cfRule type="containsBlanks" dxfId="413" priority="7">
      <formula>LEN(TRIM(D46))=0</formula>
    </cfRule>
    <cfRule type="notContainsErrors" dxfId="412" priority="8">
      <formula>NOT(ISERROR(D46))</formula>
    </cfRule>
  </conditionalFormatting>
  <conditionalFormatting sqref="D54:J54">
    <cfRule type="cellIs" dxfId="411" priority="39" operator="equal">
      <formula>"CUMPLE"</formula>
    </cfRule>
    <cfRule type="cellIs" dxfId="410" priority="35" operator="equal">
      <formula>"N/A"</formula>
    </cfRule>
    <cfRule type="cellIs" dxfId="409" priority="41" operator="equal">
      <formula>"""CUMPLE"""</formula>
    </cfRule>
    <cfRule type="cellIs" dxfId="408" priority="40" operator="equal">
      <formula>"NO CUMPLE"</formula>
    </cfRule>
  </conditionalFormatting>
  <conditionalFormatting sqref="D55:J63">
    <cfRule type="cellIs" dxfId="407" priority="2" operator="equal">
      <formula>"CUMPLE"</formula>
    </cfRule>
    <cfRule type="containsBlanks" dxfId="406" priority="3">
      <formula>LEN(TRIM(D55))=0</formula>
    </cfRule>
    <cfRule type="notContainsErrors" dxfId="405" priority="4">
      <formula>NOT(ISERROR(D55))</formula>
    </cfRule>
    <cfRule type="cellIs" dxfId="404" priority="1" operator="equal">
      <formula>"NO CUMPLE"</formula>
    </cfRule>
  </conditionalFormatting>
  <conditionalFormatting sqref="D64:J64">
    <cfRule type="cellIs" dxfId="403" priority="31" operator="equal">
      <formula>"N/A"</formula>
    </cfRule>
    <cfRule type="cellIs" dxfId="402" priority="32" operator="equal">
      <formula>"CUMPLE"</formula>
    </cfRule>
    <cfRule type="cellIs" dxfId="401" priority="33" operator="equal">
      <formula>"NO CUMPLE"</formula>
    </cfRule>
    <cfRule type="cellIs" dxfId="400" priority="34" operator="equal">
      <formula>"""CUMPLE"""</formula>
    </cfRule>
  </conditionalFormatting>
  <conditionalFormatting sqref="D65:J65">
    <cfRule type="cellIs" dxfId="399" priority="24" operator="equal">
      <formula>"CUMPLE"</formula>
    </cfRule>
    <cfRule type="cellIs" dxfId="398" priority="23" operator="equal">
      <formula>"NO CUMPLE"</formula>
    </cfRule>
  </conditionalFormatting>
  <conditionalFormatting sqref="D24:K24 D34:J34">
    <cfRule type="notContainsErrors" dxfId="397" priority="14">
      <formula>NOT(ISERROR(D24))</formula>
    </cfRule>
  </conditionalFormatting>
  <conditionalFormatting sqref="F20:H20">
    <cfRule type="cellIs" dxfId="396" priority="45" operator="equal">
      <formula>"CUMPLE"</formula>
    </cfRule>
    <cfRule type="cellIs" dxfId="395" priority="46" operator="equal">
      <formula>"NO CUMPLE"</formula>
    </cfRule>
    <cfRule type="cellIs" dxfId="394" priority="47" operator="equal">
      <formula>"""CUMPLE"""</formula>
    </cfRule>
  </conditionalFormatting>
  <conditionalFormatting sqref="I11">
    <cfRule type="containsText" dxfId="393" priority="48" operator="containsText" text="INHABILITADO">
      <formula>NOT(ISERROR(SEARCH("INHABILITADO",I11)))</formula>
    </cfRule>
    <cfRule type="containsText" dxfId="392" priority="49" operator="containsText" text="HABILITADO">
      <formula>NOT(ISERROR(SEARCH("HABILITADO",I11)))</formula>
    </cfRule>
    <cfRule type="containsText" dxfId="391" priority="50" operator="containsText" text="HABILITADO">
      <formula>NOT(ISERROR(SEARCH("HABILITADO",I11)))</formula>
    </cfRule>
    <cfRule type="containsText" dxfId="390" priority="51" operator="containsText" text="NO CUMPLE">
      <formula>NOT(ISERROR(SEARCH("NO CUMPLE",I11)))</formula>
    </cfRule>
  </conditionalFormatting>
  <conditionalFormatting sqref="J20">
    <cfRule type="cellIs" dxfId="389" priority="22" operator="equal">
      <formula>"SI"</formula>
    </cfRule>
    <cfRule type="cellIs" dxfId="388" priority="21" operator="equal">
      <formula>"NO"</formula>
    </cfRule>
  </conditionalFormatting>
  <conditionalFormatting sqref="K19">
    <cfRule type="cellIs" dxfId="387" priority="36" operator="equal">
      <formula>"CUMPLE"</formula>
    </cfRule>
    <cfRule type="cellIs" dxfId="386" priority="37" operator="equal">
      <formula>"NO CUMPLE"</formula>
    </cfRule>
    <cfRule type="cellIs" dxfId="385" priority="38" operator="equal">
      <formula>"""CUMPLE"""</formula>
    </cfRule>
  </conditionalFormatting>
  <conditionalFormatting sqref="K25:K63">
    <cfRule type="containsBlanks" dxfId="384" priority="15">
      <formula>LEN(TRIM(K25))=0</formula>
    </cfRule>
    <cfRule type="notContainsErrors" dxfId="383" priority="16">
      <formula>NOT(ISERROR(K25))</formula>
    </cfRule>
  </conditionalFormatting>
  <conditionalFormatting sqref="L15">
    <cfRule type="cellIs" dxfId="382" priority="42" operator="equal">
      <formula>"CUMPLE"</formula>
    </cfRule>
    <cfRule type="cellIs" dxfId="381" priority="43" operator="equal">
      <formula>"NO CUMPLE"</formula>
    </cfRule>
    <cfRule type="cellIs" dxfId="380" priority="44" operator="equal">
      <formula>"""CUMPLE"""</formula>
    </cfRule>
  </conditionalFormatting>
  <conditionalFormatting sqref="L20">
    <cfRule type="cellIs" dxfId="379" priority="20" operator="equal">
      <formula>"SI"</formula>
    </cfRule>
    <cfRule type="cellIs" dxfId="378" priority="19" operator="equal">
      <formula>"NO"</formula>
    </cfRule>
  </conditionalFormatting>
  <dataValidations count="3">
    <dataValidation type="list" allowBlank="1" showInputMessage="1" showErrorMessage="1" sqref="D65:I65" xr:uid="{00000000-0002-0000-1600-000000000000}">
      <formula1>"CUMPLE,NO CUMPLE"</formula1>
    </dataValidation>
    <dataValidation type="list" allowBlank="1" showInputMessage="1" showErrorMessage="1" sqref="D24:J26" xr:uid="{00000000-0002-0000-1600-000001000000}">
      <formula1>$C$15:$C$19</formula1>
    </dataValidation>
    <dataValidation type="list" allowBlank="1" showInputMessage="1" showErrorMessage="1" sqref="L57:L64" xr:uid="{00000000-0002-0000-16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600-000003000000}">
          <x14:formula1>
            <xm:f>'DATOS INICIALES'!$A$13:$A$41</xm:f>
          </x14:formula1>
          <xm:sqref>D31:I31</xm:sqref>
        </x14:dataValidation>
        <x14:dataValidation type="list" allowBlank="1" showInputMessage="1" showErrorMessage="1" xr:uid="{00000000-0002-0000-1600-000004000000}">
          <x14:formula1>
            <xm:f>'DATOS INICIALES'!$D$21:$D$25</xm:f>
          </x14:formula1>
          <xm:sqref>M47:M54</xm:sqref>
        </x14:dataValidation>
        <x14:dataValidation type="list" allowBlank="1" showInputMessage="1" showErrorMessage="1" xr:uid="{00000000-0002-0000-1600-000005000000}">
          <x14:formula1>
            <xm:f>'DATOS INICIALES'!$A$53:$A$58</xm:f>
          </x14:formula1>
          <xm:sqref>D23:I23</xm:sqref>
        </x14:dataValidation>
        <x14:dataValidation type="list" allowBlank="1" showInputMessage="1" showErrorMessage="1" xr:uid="{00000000-0002-0000-1600-000006000000}">
          <x14:formula1>
            <xm:f>'DATOS INICIALES'!$A$49:$A$51</xm:f>
          </x14:formula1>
          <xm:sqref>D55:I57 D58:J63 J55:J56 D46:J46</xm:sqref>
        </x14:dataValidation>
        <x14:dataValidation type="list" allowBlank="1" showInputMessage="1" showErrorMessage="1" xr:uid="{00000000-0002-0000-1600-000007000000}">
          <x14:formula1>
            <xm:f>'DATOS INICIALES'!$C$44:$C$45</xm:f>
          </x14:formula1>
          <xm:sqref>D47:I53 J47:J52</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65"/>
  <sheetViews>
    <sheetView view="pageBreakPreview" topLeftCell="C1" zoomScale="55" zoomScaleNormal="55" zoomScaleSheetLayoutView="55" workbookViewId="0">
      <pane ySplit="11" topLeftCell="A6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+PROPONENTES!B29</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4772.88</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68.25" customHeight="1">
      <c r="B24" s="333" t="s">
        <v>118</v>
      </c>
      <c r="C24" s="334"/>
      <c r="D24" s="90" t="s">
        <v>414</v>
      </c>
      <c r="E24" s="90" t="s">
        <v>414</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415</v>
      </c>
      <c r="E27" s="91" t="s">
        <v>416</v>
      </c>
      <c r="F27" s="91"/>
      <c r="G27" s="91"/>
      <c r="H27" s="91"/>
      <c r="I27" s="91"/>
      <c r="J27" s="91"/>
      <c r="K27" s="288"/>
      <c r="L27" s="289"/>
    </row>
    <row r="28" spans="2:14" ht="170.25" customHeight="1">
      <c r="B28" s="336"/>
      <c r="C28" s="28" t="s">
        <v>127</v>
      </c>
      <c r="D28" s="91" t="s">
        <v>417</v>
      </c>
      <c r="E28" s="180" t="s">
        <v>418</v>
      </c>
      <c r="F28" s="91"/>
      <c r="G28" s="91"/>
      <c r="H28" s="91"/>
      <c r="I28" s="91"/>
      <c r="J28" s="91"/>
      <c r="K28" s="288"/>
      <c r="L28" s="289"/>
    </row>
    <row r="29" spans="2:14" ht="52.5" customHeight="1">
      <c r="B29" s="336"/>
      <c r="C29" s="28" t="s">
        <v>132</v>
      </c>
      <c r="D29" s="95">
        <v>43563</v>
      </c>
      <c r="E29" s="95">
        <v>43878</v>
      </c>
      <c r="F29" s="95"/>
      <c r="G29" s="95"/>
      <c r="H29" s="95"/>
      <c r="I29" s="95"/>
      <c r="J29" s="95"/>
      <c r="K29" s="288"/>
      <c r="L29" s="289"/>
    </row>
    <row r="30" spans="2:14" ht="54.75" customHeight="1">
      <c r="B30" s="336"/>
      <c r="C30" s="28" t="s">
        <v>133</v>
      </c>
      <c r="D30" s="95" t="s">
        <v>419</v>
      </c>
      <c r="E30" s="95">
        <v>44185</v>
      </c>
      <c r="F30" s="95"/>
      <c r="G30" s="95"/>
      <c r="H30" s="95"/>
      <c r="I30" s="95"/>
      <c r="J30" s="95"/>
      <c r="K30" s="288"/>
      <c r="L30" s="289"/>
    </row>
    <row r="31" spans="2:14" ht="41.25" customHeight="1">
      <c r="B31" s="336"/>
      <c r="C31" s="28" t="s">
        <v>134</v>
      </c>
      <c r="D31" s="92">
        <v>2019</v>
      </c>
      <c r="E31" s="92">
        <v>2020</v>
      </c>
      <c r="F31" s="92"/>
      <c r="G31" s="92"/>
      <c r="H31" s="92"/>
      <c r="I31" s="92"/>
      <c r="J31" s="92"/>
      <c r="K31" s="288"/>
      <c r="L31" s="289"/>
    </row>
    <row r="32" spans="2:14" ht="63" customHeight="1">
      <c r="B32" s="336"/>
      <c r="C32" s="28" t="s">
        <v>135</v>
      </c>
      <c r="D32" s="91" t="s">
        <v>420</v>
      </c>
      <c r="E32" s="91" t="s">
        <v>421</v>
      </c>
      <c r="F32" s="91"/>
      <c r="G32" s="91"/>
      <c r="H32" s="91"/>
      <c r="I32" s="91"/>
      <c r="J32" s="91"/>
      <c r="K32" s="288"/>
      <c r="L32" s="289"/>
    </row>
    <row r="33" spans="2:12" ht="46.5" customHeight="1">
      <c r="B33" s="336"/>
      <c r="C33" s="28" t="s">
        <v>140</v>
      </c>
      <c r="D33" s="91" t="s">
        <v>422</v>
      </c>
      <c r="E33" s="91" t="s">
        <v>423</v>
      </c>
      <c r="F33" s="91"/>
      <c r="G33" s="91"/>
      <c r="H33" s="91"/>
      <c r="I33" s="91"/>
      <c r="J33" s="91"/>
      <c r="K33" s="288"/>
      <c r="L33" s="289"/>
    </row>
    <row r="34" spans="2:12" ht="27.75" customHeight="1">
      <c r="B34" s="336"/>
      <c r="C34" s="30" t="s">
        <v>144</v>
      </c>
      <c r="D34" s="96">
        <v>131</v>
      </c>
      <c r="E34" s="96">
        <v>140</v>
      </c>
      <c r="F34" s="96"/>
      <c r="G34" s="97"/>
      <c r="H34" s="97"/>
      <c r="I34" s="97"/>
      <c r="J34" s="97"/>
      <c r="K34" s="288"/>
      <c r="L34" s="289"/>
    </row>
    <row r="35" spans="2:12" ht="102.75" customHeight="1">
      <c r="B35" s="336"/>
      <c r="C35" s="28" t="s">
        <v>145</v>
      </c>
      <c r="D35" s="93">
        <v>10658</v>
      </c>
      <c r="E35" s="93">
        <v>2428.12</v>
      </c>
      <c r="F35" s="93"/>
      <c r="G35" s="93"/>
      <c r="H35" s="93"/>
      <c r="I35" s="93"/>
      <c r="J35" s="93"/>
      <c r="K35" s="290"/>
      <c r="L35" s="291"/>
    </row>
    <row r="36" spans="2:12" ht="48" customHeight="1">
      <c r="B36" s="336"/>
      <c r="C36" s="28" t="s">
        <v>146</v>
      </c>
      <c r="D36" s="105">
        <f>IFERROR(D35*VLOOKUP(D31,'DATOS INICIALES'!$A$12:$B$41,2,0),"0")</f>
        <v>8826060328</v>
      </c>
      <c r="E36" s="105">
        <f>IFERROR(E35*VLOOKUP(E31,'DATOS INICIALES'!$A$12:$B$41,2,0),"0")</f>
        <v>2131411020.3599999</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0.22</v>
      </c>
      <c r="E37" s="94">
        <v>1</v>
      </c>
      <c r="F37" s="94"/>
      <c r="G37" s="94"/>
      <c r="H37" s="94"/>
      <c r="I37" s="94"/>
      <c r="J37" s="94"/>
      <c r="K37" s="288"/>
      <c r="L37" s="289"/>
    </row>
    <row r="38" spans="2:12" ht="48.75" customHeight="1">
      <c r="B38" s="336"/>
      <c r="C38" s="28" t="s">
        <v>148</v>
      </c>
      <c r="D38" s="105">
        <f t="shared" ref="D38:J38" si="3">IF(D24="","0",D37*D36)</f>
        <v>1941733272.1600001</v>
      </c>
      <c r="E38" s="105">
        <f t="shared" si="3"/>
        <v>2131411020.3599999</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2344.7600000000002</v>
      </c>
      <c r="E39" s="106">
        <f t="shared" si="4"/>
        <v>2428.12</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t="s">
        <v>27</v>
      </c>
      <c r="E52" s="96" t="s">
        <v>27</v>
      </c>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31</v>
      </c>
      <c r="E59" s="90" t="s">
        <v>31</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31</v>
      </c>
      <c r="E61" s="90" t="s">
        <v>31</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370"/>
      <c r="L63" s="371"/>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154.5" customHeight="1">
      <c r="B65" s="229" t="s">
        <v>170</v>
      </c>
      <c r="C65" s="229"/>
      <c r="D65" s="90" t="s">
        <v>31</v>
      </c>
      <c r="E65" s="90" t="s">
        <v>31</v>
      </c>
      <c r="F65" s="90"/>
      <c r="G65" s="90"/>
      <c r="H65" s="90"/>
      <c r="I65" s="90"/>
      <c r="J65" s="90"/>
      <c r="K65" s="370"/>
      <c r="L65" s="371"/>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377" priority="19">
      <formula>LEN(TRIM(D25))=0</formula>
    </cfRule>
    <cfRule type="notContainsErrors" dxfId="376" priority="20">
      <formula>NOT(ISERROR(D25))</formula>
    </cfRule>
  </conditionalFormatting>
  <conditionalFormatting sqref="D34:J34 D24:K24">
    <cfRule type="containsBlanks" dxfId="375" priority="21">
      <formula>LEN(TRIM(D24))=0</formula>
    </cfRule>
  </conditionalFormatting>
  <conditionalFormatting sqref="D37:J37">
    <cfRule type="containsBlanks" dxfId="374" priority="17">
      <formula>LEN(TRIM(D37))=0</formula>
    </cfRule>
    <cfRule type="notContainsErrors" dxfId="373" priority="18">
      <formula>NOT(ISERROR(D37))</formula>
    </cfRule>
  </conditionalFormatting>
  <conditionalFormatting sqref="D40:J40 D43:J43 K64:L64">
    <cfRule type="containsBlanks" dxfId="372" priority="37">
      <formula>LEN(TRIM(D40))=0</formula>
    </cfRule>
    <cfRule type="notContainsErrors" dxfId="371" priority="38">
      <formula>NOT(ISERROR(D40))</formula>
    </cfRule>
  </conditionalFormatting>
  <conditionalFormatting sqref="D46:J53">
    <cfRule type="cellIs" dxfId="370" priority="13" operator="equal">
      <formula>"NO CUMPLE"</formula>
    </cfRule>
    <cfRule type="cellIs" dxfId="369" priority="14" operator="equal">
      <formula>"CUMPLE"</formula>
    </cfRule>
    <cfRule type="containsBlanks" dxfId="368" priority="15">
      <formula>LEN(TRIM(D46))=0</formula>
    </cfRule>
    <cfRule type="notContainsErrors" dxfId="367" priority="16">
      <formula>NOT(ISERROR(D46))</formula>
    </cfRule>
  </conditionalFormatting>
  <conditionalFormatting sqref="D54:J54">
    <cfRule type="cellIs" dxfId="366" priority="43" operator="equal">
      <formula>"N/A"</formula>
    </cfRule>
    <cfRule type="cellIs" dxfId="365" priority="47" operator="equal">
      <formula>"CUMPLE"</formula>
    </cfRule>
    <cfRule type="cellIs" dxfId="364" priority="48" operator="equal">
      <formula>"NO CUMPLE"</formula>
    </cfRule>
    <cfRule type="cellIs" dxfId="363" priority="49" operator="equal">
      <formula>"""CUMPLE"""</formula>
    </cfRule>
  </conditionalFormatting>
  <conditionalFormatting sqref="D55:J63">
    <cfRule type="cellIs" dxfId="362" priority="9" operator="equal">
      <formula>"NO CUMPLE"</formula>
    </cfRule>
    <cfRule type="cellIs" dxfId="361" priority="10" operator="equal">
      <formula>"CUMPLE"</formula>
    </cfRule>
    <cfRule type="containsBlanks" dxfId="360" priority="11">
      <formula>LEN(TRIM(D55))=0</formula>
    </cfRule>
    <cfRule type="notContainsErrors" dxfId="359" priority="12">
      <formula>NOT(ISERROR(D55))</formula>
    </cfRule>
  </conditionalFormatting>
  <conditionalFormatting sqref="D64:J64">
    <cfRule type="cellIs" dxfId="358" priority="42" operator="equal">
      <formula>"""CUMPLE"""</formula>
    </cfRule>
    <cfRule type="cellIs" dxfId="357" priority="41" operator="equal">
      <formula>"NO CUMPLE"</formula>
    </cfRule>
    <cfRule type="cellIs" dxfId="356" priority="40" operator="equal">
      <formula>"CUMPLE"</formula>
    </cfRule>
    <cfRule type="cellIs" dxfId="355" priority="39" operator="equal">
      <formula>"N/A"</formula>
    </cfRule>
  </conditionalFormatting>
  <conditionalFormatting sqref="D65:J65">
    <cfRule type="cellIs" dxfId="354" priority="3" operator="equal">
      <formula>"NO CUMPLE"</formula>
    </cfRule>
    <cfRule type="cellIs" dxfId="353" priority="4" operator="equal">
      <formula>"CUMPLE"</formula>
    </cfRule>
  </conditionalFormatting>
  <conditionalFormatting sqref="D24:K24 D34:J34">
    <cfRule type="notContainsErrors" dxfId="352" priority="22">
      <formula>NOT(ISERROR(D24))</formula>
    </cfRule>
  </conditionalFormatting>
  <conditionalFormatting sqref="D65:K65">
    <cfRule type="notContainsErrors" dxfId="351" priority="2">
      <formula>NOT(ISERROR(D65))</formula>
    </cfRule>
    <cfRule type="containsBlanks" dxfId="350" priority="1">
      <formula>LEN(TRIM(D65))=0</formula>
    </cfRule>
  </conditionalFormatting>
  <conditionalFormatting sqref="F20:H20">
    <cfRule type="cellIs" dxfId="349" priority="53" operator="equal">
      <formula>"CUMPLE"</formula>
    </cfRule>
    <cfRule type="cellIs" dxfId="348" priority="54" operator="equal">
      <formula>"NO CUMPLE"</formula>
    </cfRule>
    <cfRule type="cellIs" dxfId="347" priority="55" operator="equal">
      <formula>"""CUMPLE"""</formula>
    </cfRule>
  </conditionalFormatting>
  <conditionalFormatting sqref="I11">
    <cfRule type="containsText" dxfId="346" priority="56" operator="containsText" text="INHABILITADO">
      <formula>NOT(ISERROR(SEARCH("INHABILITADO",I11)))</formula>
    </cfRule>
    <cfRule type="containsText" dxfId="345" priority="57" operator="containsText" text="HABILITADO">
      <formula>NOT(ISERROR(SEARCH("HABILITADO",I11)))</formula>
    </cfRule>
    <cfRule type="containsText" dxfId="344" priority="58" operator="containsText" text="HABILITADO">
      <formula>NOT(ISERROR(SEARCH("HABILITADO",I11)))</formula>
    </cfRule>
    <cfRule type="containsText" dxfId="343" priority="59" operator="containsText" text="NO CUMPLE">
      <formula>NOT(ISERROR(SEARCH("NO CUMPLE",I11)))</formula>
    </cfRule>
  </conditionalFormatting>
  <conditionalFormatting sqref="J20">
    <cfRule type="cellIs" dxfId="342" priority="30" operator="equal">
      <formula>"SI"</formula>
    </cfRule>
    <cfRule type="cellIs" dxfId="341" priority="29" operator="equal">
      <formula>"NO"</formula>
    </cfRule>
  </conditionalFormatting>
  <conditionalFormatting sqref="K19">
    <cfRule type="cellIs" dxfId="340" priority="44" operator="equal">
      <formula>"CUMPLE"</formula>
    </cfRule>
    <cfRule type="cellIs" dxfId="339" priority="45" operator="equal">
      <formula>"NO CUMPLE"</formula>
    </cfRule>
    <cfRule type="cellIs" dxfId="338" priority="46" operator="equal">
      <formula>"""CUMPLE"""</formula>
    </cfRule>
  </conditionalFormatting>
  <conditionalFormatting sqref="K25:K63">
    <cfRule type="containsBlanks" dxfId="337" priority="7">
      <formula>LEN(TRIM(K25))=0</formula>
    </cfRule>
    <cfRule type="notContainsErrors" dxfId="336" priority="8">
      <formula>NOT(ISERROR(K25))</formula>
    </cfRule>
  </conditionalFormatting>
  <conditionalFormatting sqref="L15">
    <cfRule type="cellIs" dxfId="335" priority="50" operator="equal">
      <formula>"CUMPLE"</formula>
    </cfRule>
    <cfRule type="cellIs" dxfId="334" priority="51" operator="equal">
      <formula>"NO CUMPLE"</formula>
    </cfRule>
    <cfRule type="cellIs" dxfId="333" priority="52" operator="equal">
      <formula>"""CUMPLE"""</formula>
    </cfRule>
  </conditionalFormatting>
  <conditionalFormatting sqref="L20">
    <cfRule type="cellIs" dxfId="332" priority="28" operator="equal">
      <formula>"SI"</formula>
    </cfRule>
    <cfRule type="cellIs" dxfId="331" priority="27" operator="equal">
      <formula>"NO"</formula>
    </cfRule>
  </conditionalFormatting>
  <dataValidations count="3">
    <dataValidation type="list" allowBlank="1" showInputMessage="1" showErrorMessage="1" sqref="L57:L65" xr:uid="{00000000-0002-0000-1700-000000000000}">
      <formula1>"0,1,2,3,4,5,6"</formula1>
    </dataValidation>
    <dataValidation type="list" allowBlank="1" showInputMessage="1" showErrorMessage="1" sqref="D24:J26" xr:uid="{00000000-0002-0000-1700-000001000000}">
      <formula1>$C$15:$C$19</formula1>
    </dataValidation>
    <dataValidation type="list" allowBlank="1" showInputMessage="1" showErrorMessage="1" sqref="D65:I65" xr:uid="{00000000-0002-0000-17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700-000003000000}">
          <x14:formula1>
            <xm:f>'DATOS INICIALES'!$C$44:$C$45</xm:f>
          </x14:formula1>
          <xm:sqref>D47:I53 J47:J52</xm:sqref>
        </x14:dataValidation>
        <x14:dataValidation type="list" allowBlank="1" showInputMessage="1" showErrorMessage="1" xr:uid="{00000000-0002-0000-1700-000004000000}">
          <x14:formula1>
            <xm:f>'DATOS INICIALES'!$A$49:$A$51</xm:f>
          </x14:formula1>
          <xm:sqref>D55:I57 D58:J63 J55:J56 D46:J46</xm:sqref>
        </x14:dataValidation>
        <x14:dataValidation type="list" allowBlank="1" showInputMessage="1" showErrorMessage="1" xr:uid="{00000000-0002-0000-1700-000005000000}">
          <x14:formula1>
            <xm:f>'DATOS INICIALES'!$A$53:$A$58</xm:f>
          </x14:formula1>
          <xm:sqref>D23:I23</xm:sqref>
        </x14:dataValidation>
        <x14:dataValidation type="list" allowBlank="1" showInputMessage="1" showErrorMessage="1" xr:uid="{00000000-0002-0000-1700-000006000000}">
          <x14:formula1>
            <xm:f>'DATOS INICIALES'!$D$21:$D$25</xm:f>
          </x14:formula1>
          <xm:sqref>M47:M54</xm:sqref>
        </x14:dataValidation>
        <x14:dataValidation type="list" allowBlank="1" showInputMessage="1" showErrorMessage="1" xr:uid="{00000000-0002-0000-1700-000007000000}">
          <x14:formula1>
            <xm:f>'DATOS INICIALES'!$A$13:$A$41</xm:f>
          </x14:formula1>
          <xm:sqref>D31:I31</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65"/>
  <sheetViews>
    <sheetView view="pageBreakPreview" zoomScale="55" zoomScaleNormal="55" zoomScaleSheetLayoutView="55" workbookViewId="0">
      <pane ySplit="11" topLeftCell="A63"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+PROPONENTES!B30</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14395.496999999999</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424</v>
      </c>
      <c r="E24" s="90" t="s">
        <v>425</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426</v>
      </c>
      <c r="E27" s="91" t="s">
        <v>427</v>
      </c>
      <c r="F27" s="91"/>
      <c r="G27" s="91"/>
      <c r="H27" s="91"/>
      <c r="I27" s="91"/>
      <c r="J27" s="91"/>
      <c r="K27" s="288"/>
      <c r="L27" s="289"/>
    </row>
    <row r="28" spans="2:14" ht="180.75" customHeight="1">
      <c r="B28" s="336"/>
      <c r="C28" s="28" t="s">
        <v>127</v>
      </c>
      <c r="D28" s="181" t="s">
        <v>428</v>
      </c>
      <c r="E28" s="91" t="s">
        <v>429</v>
      </c>
      <c r="F28" s="91"/>
      <c r="G28" s="91"/>
      <c r="H28" s="91"/>
      <c r="I28" s="91"/>
      <c r="J28" s="91"/>
      <c r="K28" s="288"/>
      <c r="L28" s="289"/>
    </row>
    <row r="29" spans="2:14" ht="52.5" customHeight="1">
      <c r="B29" s="336"/>
      <c r="C29" s="28" t="s">
        <v>132</v>
      </c>
      <c r="D29" s="95">
        <v>39224</v>
      </c>
      <c r="E29" s="95">
        <v>39268</v>
      </c>
      <c r="F29" s="95"/>
      <c r="G29" s="95"/>
      <c r="H29" s="95"/>
      <c r="I29" s="95"/>
      <c r="J29" s="95"/>
      <c r="K29" s="288"/>
      <c r="L29" s="289"/>
    </row>
    <row r="30" spans="2:14" ht="54.75" customHeight="1">
      <c r="B30" s="336"/>
      <c r="C30" s="28" t="s">
        <v>133</v>
      </c>
      <c r="D30" s="95">
        <v>39690</v>
      </c>
      <c r="E30" s="95">
        <v>39500</v>
      </c>
      <c r="F30" s="95"/>
      <c r="G30" s="95"/>
      <c r="H30" s="95"/>
      <c r="I30" s="95"/>
      <c r="J30" s="95"/>
      <c r="K30" s="288"/>
      <c r="L30" s="289"/>
    </row>
    <row r="31" spans="2:14" ht="41.25" customHeight="1">
      <c r="B31" s="336"/>
      <c r="C31" s="28" t="s">
        <v>134</v>
      </c>
      <c r="D31" s="92">
        <v>2008</v>
      </c>
      <c r="E31" s="92">
        <v>2008</v>
      </c>
      <c r="F31" s="92"/>
      <c r="G31" s="92"/>
      <c r="H31" s="92"/>
      <c r="I31" s="92"/>
      <c r="J31" s="92"/>
      <c r="K31" s="288"/>
      <c r="L31" s="289"/>
    </row>
    <row r="32" spans="2:14" ht="81.75" customHeight="1">
      <c r="B32" s="336"/>
      <c r="C32" s="28" t="s">
        <v>135</v>
      </c>
      <c r="D32" s="91" t="s">
        <v>430</v>
      </c>
      <c r="E32" s="91" t="s">
        <v>431</v>
      </c>
      <c r="F32" s="91"/>
      <c r="G32" s="91"/>
      <c r="H32" s="91"/>
      <c r="I32" s="91"/>
      <c r="J32" s="91"/>
      <c r="K32" s="288"/>
      <c r="L32" s="289"/>
    </row>
    <row r="33" spans="2:12" ht="46.5" customHeight="1">
      <c r="B33" s="336"/>
      <c r="C33" s="28" t="s">
        <v>140</v>
      </c>
      <c r="D33" s="91" t="s">
        <v>432</v>
      </c>
      <c r="E33" s="91" t="s">
        <v>433</v>
      </c>
      <c r="F33" s="91"/>
      <c r="G33" s="91"/>
      <c r="H33" s="91"/>
      <c r="I33" s="91"/>
      <c r="J33" s="91"/>
      <c r="K33" s="288"/>
      <c r="L33" s="289"/>
    </row>
    <row r="34" spans="2:12" ht="27.75" customHeight="1">
      <c r="B34" s="336"/>
      <c r="C34" s="30" t="s">
        <v>144</v>
      </c>
      <c r="D34" s="96">
        <v>1</v>
      </c>
      <c r="E34" s="96">
        <v>2</v>
      </c>
      <c r="F34" s="96"/>
      <c r="G34" s="97"/>
      <c r="H34" s="97"/>
      <c r="I34" s="97"/>
      <c r="J34" s="97"/>
      <c r="K34" s="288"/>
      <c r="L34" s="289"/>
    </row>
    <row r="35" spans="2:12" ht="102.75" customHeight="1">
      <c r="B35" s="336"/>
      <c r="C35" s="28" t="s">
        <v>145</v>
      </c>
      <c r="D35" s="93">
        <v>17819.5</v>
      </c>
      <c r="E35" s="93">
        <v>5154.3599999999997</v>
      </c>
      <c r="F35" s="93"/>
      <c r="G35" s="93"/>
      <c r="H35" s="93"/>
      <c r="I35" s="93"/>
      <c r="J35" s="93"/>
      <c r="K35" s="290"/>
      <c r="L35" s="291"/>
    </row>
    <row r="36" spans="2:12" ht="48" customHeight="1">
      <c r="B36" s="336"/>
      <c r="C36" s="28" t="s">
        <v>146</v>
      </c>
      <c r="D36" s="105">
        <f>IFERROR(D35*VLOOKUP(D31,'DATOS INICIALES'!$A$12:$B$41,2,0),"0")</f>
        <v>8223699250</v>
      </c>
      <c r="E36" s="105">
        <f>IFERROR(E35*VLOOKUP(E31,'DATOS INICIALES'!$A$12:$B$41,2,0),"0")</f>
        <v>2378737140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0.75</v>
      </c>
      <c r="E37" s="94">
        <v>0.2</v>
      </c>
      <c r="F37" s="94"/>
      <c r="G37" s="94"/>
      <c r="H37" s="94"/>
      <c r="I37" s="94"/>
      <c r="J37" s="94"/>
      <c r="K37" s="288"/>
      <c r="L37" s="289"/>
    </row>
    <row r="38" spans="2:12" ht="48.75" customHeight="1">
      <c r="B38" s="336"/>
      <c r="C38" s="28" t="s">
        <v>148</v>
      </c>
      <c r="D38" s="105">
        <f t="shared" ref="D38:J38" si="3">IF(D24="","0",D37*D36)</f>
        <v>6167774437.5</v>
      </c>
      <c r="E38" s="105">
        <f t="shared" si="3"/>
        <v>475747428</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13364.625</v>
      </c>
      <c r="E39" s="106">
        <f t="shared" si="4"/>
        <v>1030.8720000000001</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t="s">
        <v>27</v>
      </c>
      <c r="E52" s="96" t="s">
        <v>27</v>
      </c>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31</v>
      </c>
      <c r="E59" s="90" t="s">
        <v>31</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31</v>
      </c>
      <c r="E61" s="90" t="s">
        <v>31</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90"/>
      <c r="L63" s="291"/>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165" customHeight="1">
      <c r="B65" s="229" t="s">
        <v>170</v>
      </c>
      <c r="C65" s="229"/>
      <c r="D65" s="90" t="s">
        <v>31</v>
      </c>
      <c r="E65" s="90" t="s">
        <v>31</v>
      </c>
      <c r="F65" s="90"/>
      <c r="G65" s="90"/>
      <c r="H65" s="90"/>
      <c r="I65" s="90"/>
      <c r="J65" s="90"/>
      <c r="K65" s="290"/>
      <c r="L65" s="291"/>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330" priority="19">
      <formula>LEN(TRIM(D25))=0</formula>
    </cfRule>
    <cfRule type="notContainsErrors" dxfId="329" priority="20">
      <formula>NOT(ISERROR(D25))</formula>
    </cfRule>
  </conditionalFormatting>
  <conditionalFormatting sqref="D34:J34 D24:K24">
    <cfRule type="containsBlanks" dxfId="328" priority="21">
      <formula>LEN(TRIM(D24))=0</formula>
    </cfRule>
  </conditionalFormatting>
  <conditionalFormatting sqref="D37:J37">
    <cfRule type="containsBlanks" dxfId="327" priority="17">
      <formula>LEN(TRIM(D37))=0</formula>
    </cfRule>
    <cfRule type="notContainsErrors" dxfId="326" priority="18">
      <formula>NOT(ISERROR(D37))</formula>
    </cfRule>
  </conditionalFormatting>
  <conditionalFormatting sqref="D40:J40 D43:J43 K64:L64">
    <cfRule type="containsBlanks" dxfId="325" priority="37">
      <formula>LEN(TRIM(D40))=0</formula>
    </cfRule>
    <cfRule type="notContainsErrors" dxfId="324" priority="38">
      <formula>NOT(ISERROR(D40))</formula>
    </cfRule>
  </conditionalFormatting>
  <conditionalFormatting sqref="D46:J53">
    <cfRule type="cellIs" dxfId="323" priority="13" operator="equal">
      <formula>"NO CUMPLE"</formula>
    </cfRule>
    <cfRule type="cellIs" dxfId="322" priority="14" operator="equal">
      <formula>"CUMPLE"</formula>
    </cfRule>
    <cfRule type="containsBlanks" dxfId="321" priority="15">
      <formula>LEN(TRIM(D46))=0</formula>
    </cfRule>
    <cfRule type="notContainsErrors" dxfId="320" priority="16">
      <formula>NOT(ISERROR(D46))</formula>
    </cfRule>
  </conditionalFormatting>
  <conditionalFormatting sqref="D54:J54">
    <cfRule type="cellIs" dxfId="319" priority="43" operator="equal">
      <formula>"N/A"</formula>
    </cfRule>
    <cfRule type="cellIs" dxfId="318" priority="47" operator="equal">
      <formula>"CUMPLE"</formula>
    </cfRule>
    <cfRule type="cellIs" dxfId="317" priority="48" operator="equal">
      <formula>"NO CUMPLE"</formula>
    </cfRule>
    <cfRule type="cellIs" dxfId="316" priority="49" operator="equal">
      <formula>"""CUMPLE"""</formula>
    </cfRule>
  </conditionalFormatting>
  <conditionalFormatting sqref="D55:J63">
    <cfRule type="cellIs" dxfId="315" priority="9" operator="equal">
      <formula>"NO CUMPLE"</formula>
    </cfRule>
    <cfRule type="cellIs" dxfId="314" priority="10" operator="equal">
      <formula>"CUMPLE"</formula>
    </cfRule>
    <cfRule type="containsBlanks" dxfId="313" priority="11">
      <formula>LEN(TRIM(D55))=0</formula>
    </cfRule>
    <cfRule type="notContainsErrors" dxfId="312" priority="12">
      <formula>NOT(ISERROR(D55))</formula>
    </cfRule>
  </conditionalFormatting>
  <conditionalFormatting sqref="D64:J64">
    <cfRule type="cellIs" dxfId="311" priority="42" operator="equal">
      <formula>"""CUMPLE"""</formula>
    </cfRule>
    <cfRule type="cellIs" dxfId="310" priority="41" operator="equal">
      <formula>"NO CUMPLE"</formula>
    </cfRule>
    <cfRule type="cellIs" dxfId="309" priority="40" operator="equal">
      <formula>"CUMPLE"</formula>
    </cfRule>
    <cfRule type="cellIs" dxfId="308" priority="39" operator="equal">
      <formula>"N/A"</formula>
    </cfRule>
  </conditionalFormatting>
  <conditionalFormatting sqref="D65:J65">
    <cfRule type="cellIs" dxfId="307" priority="3" operator="equal">
      <formula>"NO CUMPLE"</formula>
    </cfRule>
    <cfRule type="cellIs" dxfId="306" priority="4" operator="equal">
      <formula>"CUMPLE"</formula>
    </cfRule>
  </conditionalFormatting>
  <conditionalFormatting sqref="D24:K24 D34:J34">
    <cfRule type="notContainsErrors" dxfId="305" priority="22">
      <formula>NOT(ISERROR(D24))</formula>
    </cfRule>
  </conditionalFormatting>
  <conditionalFormatting sqref="D65:K65">
    <cfRule type="notContainsErrors" dxfId="304" priority="2">
      <formula>NOT(ISERROR(D65))</formula>
    </cfRule>
    <cfRule type="containsBlanks" dxfId="303" priority="1">
      <formula>LEN(TRIM(D65))=0</formula>
    </cfRule>
  </conditionalFormatting>
  <conditionalFormatting sqref="F20:H20">
    <cfRule type="cellIs" dxfId="302" priority="53" operator="equal">
      <formula>"CUMPLE"</formula>
    </cfRule>
    <cfRule type="cellIs" dxfId="301" priority="54" operator="equal">
      <formula>"NO CUMPLE"</formula>
    </cfRule>
    <cfRule type="cellIs" dxfId="300" priority="55" operator="equal">
      <formula>"""CUMPLE"""</formula>
    </cfRule>
  </conditionalFormatting>
  <conditionalFormatting sqref="I11">
    <cfRule type="containsText" dxfId="299" priority="56" operator="containsText" text="INHABILITADO">
      <formula>NOT(ISERROR(SEARCH("INHABILITADO",I11)))</formula>
    </cfRule>
    <cfRule type="containsText" dxfId="298" priority="57" operator="containsText" text="HABILITADO">
      <formula>NOT(ISERROR(SEARCH("HABILITADO",I11)))</formula>
    </cfRule>
    <cfRule type="containsText" dxfId="297" priority="58" operator="containsText" text="HABILITADO">
      <formula>NOT(ISERROR(SEARCH("HABILITADO",I11)))</formula>
    </cfRule>
    <cfRule type="containsText" dxfId="296" priority="59" operator="containsText" text="NO CUMPLE">
      <formula>NOT(ISERROR(SEARCH("NO CUMPLE",I11)))</formula>
    </cfRule>
  </conditionalFormatting>
  <conditionalFormatting sqref="J20">
    <cfRule type="cellIs" dxfId="295" priority="30" operator="equal">
      <formula>"SI"</formula>
    </cfRule>
    <cfRule type="cellIs" dxfId="294" priority="29" operator="equal">
      <formula>"NO"</formula>
    </cfRule>
  </conditionalFormatting>
  <conditionalFormatting sqref="K19">
    <cfRule type="cellIs" dxfId="293" priority="44" operator="equal">
      <formula>"CUMPLE"</formula>
    </cfRule>
    <cfRule type="cellIs" dxfId="292" priority="45" operator="equal">
      <formula>"NO CUMPLE"</formula>
    </cfRule>
    <cfRule type="cellIs" dxfId="291" priority="46" operator="equal">
      <formula>"""CUMPLE"""</formula>
    </cfRule>
  </conditionalFormatting>
  <conditionalFormatting sqref="K25:K63">
    <cfRule type="containsBlanks" dxfId="290" priority="7">
      <formula>LEN(TRIM(K25))=0</formula>
    </cfRule>
    <cfRule type="notContainsErrors" dxfId="289" priority="8">
      <formula>NOT(ISERROR(K25))</formula>
    </cfRule>
  </conditionalFormatting>
  <conditionalFormatting sqref="L15">
    <cfRule type="cellIs" dxfId="288" priority="50" operator="equal">
      <formula>"CUMPLE"</formula>
    </cfRule>
    <cfRule type="cellIs" dxfId="287" priority="51" operator="equal">
      <formula>"NO CUMPLE"</formula>
    </cfRule>
    <cfRule type="cellIs" dxfId="286" priority="52" operator="equal">
      <formula>"""CUMPLE"""</formula>
    </cfRule>
  </conditionalFormatting>
  <conditionalFormatting sqref="L20">
    <cfRule type="cellIs" dxfId="285" priority="28" operator="equal">
      <formula>"SI"</formula>
    </cfRule>
    <cfRule type="cellIs" dxfId="284" priority="27" operator="equal">
      <formula>"NO"</formula>
    </cfRule>
  </conditionalFormatting>
  <dataValidations count="3">
    <dataValidation type="list" allowBlank="1" showInputMessage="1" showErrorMessage="1" sqref="D65:I65" xr:uid="{00000000-0002-0000-1800-000000000000}">
      <formula1>"CUMPLE,NO CUMPLE"</formula1>
    </dataValidation>
    <dataValidation type="list" allowBlank="1" showInputMessage="1" showErrorMessage="1" sqref="D24:J26" xr:uid="{00000000-0002-0000-1800-000001000000}">
      <formula1>$C$15:$C$19</formula1>
    </dataValidation>
    <dataValidation type="list" allowBlank="1" showInputMessage="1" showErrorMessage="1" sqref="L57:L64" xr:uid="{00000000-0002-0000-1800-000002000000}">
      <formula1>"0,1,2,3,4,5,6"</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800-000003000000}">
          <x14:formula1>
            <xm:f>'DATOS INICIALES'!$A$13:$A$41</xm:f>
          </x14:formula1>
          <xm:sqref>D31:I31</xm:sqref>
        </x14:dataValidation>
        <x14:dataValidation type="list" allowBlank="1" showInputMessage="1" showErrorMessage="1" xr:uid="{00000000-0002-0000-1800-000004000000}">
          <x14:formula1>
            <xm:f>'DATOS INICIALES'!$D$21:$D$25</xm:f>
          </x14:formula1>
          <xm:sqref>M47:M54</xm:sqref>
        </x14:dataValidation>
        <x14:dataValidation type="list" allowBlank="1" showInputMessage="1" showErrorMessage="1" xr:uid="{00000000-0002-0000-1800-000005000000}">
          <x14:formula1>
            <xm:f>'DATOS INICIALES'!$A$53:$A$58</xm:f>
          </x14:formula1>
          <xm:sqref>D23:I23</xm:sqref>
        </x14:dataValidation>
        <x14:dataValidation type="list" allowBlank="1" showInputMessage="1" showErrorMessage="1" xr:uid="{00000000-0002-0000-1800-000006000000}">
          <x14:formula1>
            <xm:f>'DATOS INICIALES'!$A$49:$A$51</xm:f>
          </x14:formula1>
          <xm:sqref>D55:I57 D58:J63 J55:J56 D46:J46</xm:sqref>
        </x14:dataValidation>
        <x14:dataValidation type="list" allowBlank="1" showInputMessage="1" showErrorMessage="1" xr:uid="{00000000-0002-0000-1800-000007000000}">
          <x14:formula1>
            <xm:f>'DATOS INICIALES'!$C$44:$C$45</xm:f>
          </x14:formula1>
          <xm:sqref>D47:I53 J47:J52</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45.28515625" customWidth="1"/>
    <col min="5" max="5" width="37.570312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+PROPONENTES!B31</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12426.001</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434</v>
      </c>
      <c r="E24" s="90" t="s">
        <v>434</v>
      </c>
      <c r="F24" s="90"/>
      <c r="G24" s="90"/>
      <c r="H24" s="90"/>
      <c r="I24" s="90"/>
      <c r="J24" s="90"/>
      <c r="K24" s="288"/>
      <c r="L24" s="289"/>
    </row>
    <row r="25" spans="2:14" ht="39.75" customHeight="1">
      <c r="B25" s="333" t="s">
        <v>119</v>
      </c>
      <c r="C25" s="334"/>
      <c r="D25" s="90" t="s">
        <v>435</v>
      </c>
      <c r="E25" s="90" t="s">
        <v>435</v>
      </c>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436</v>
      </c>
      <c r="E27" s="91" t="s">
        <v>437</v>
      </c>
      <c r="F27" s="91"/>
      <c r="G27" s="91"/>
      <c r="H27" s="91"/>
      <c r="I27" s="91"/>
      <c r="J27" s="91"/>
      <c r="K27" s="288"/>
      <c r="L27" s="289"/>
    </row>
    <row r="28" spans="2:14" ht="190.5" customHeight="1">
      <c r="B28" s="336"/>
      <c r="C28" s="28" t="s">
        <v>127</v>
      </c>
      <c r="D28" s="91" t="s">
        <v>438</v>
      </c>
      <c r="E28" s="91" t="s">
        <v>439</v>
      </c>
      <c r="F28" s="91"/>
      <c r="G28" s="91"/>
      <c r="H28" s="91"/>
      <c r="I28" s="91"/>
      <c r="J28" s="91"/>
      <c r="K28" s="288"/>
      <c r="L28" s="289"/>
    </row>
    <row r="29" spans="2:14" ht="52.5" customHeight="1">
      <c r="B29" s="336"/>
      <c r="C29" s="28" t="s">
        <v>132</v>
      </c>
      <c r="D29" s="95">
        <v>43213</v>
      </c>
      <c r="E29" s="95">
        <v>43195</v>
      </c>
      <c r="F29" s="95"/>
      <c r="G29" s="95"/>
      <c r="H29" s="95"/>
      <c r="I29" s="95"/>
      <c r="J29" s="95"/>
      <c r="K29" s="288"/>
      <c r="L29" s="289"/>
    </row>
    <row r="30" spans="2:14" ht="54.75" customHeight="1">
      <c r="B30" s="336"/>
      <c r="C30" s="28" t="s">
        <v>133</v>
      </c>
      <c r="D30" s="95">
        <v>43515</v>
      </c>
      <c r="E30" s="95">
        <v>43422</v>
      </c>
      <c r="F30" s="95"/>
      <c r="G30" s="95"/>
      <c r="H30" s="95"/>
      <c r="I30" s="95"/>
      <c r="J30" s="95"/>
      <c r="K30" s="288"/>
      <c r="L30" s="289"/>
    </row>
    <row r="31" spans="2:14" ht="41.25" customHeight="1">
      <c r="B31" s="336"/>
      <c r="C31" s="28" t="s">
        <v>134</v>
      </c>
      <c r="D31" s="92">
        <v>2019</v>
      </c>
      <c r="E31" s="92">
        <v>2018</v>
      </c>
      <c r="F31" s="92"/>
      <c r="G31" s="92"/>
      <c r="H31" s="92"/>
      <c r="I31" s="92"/>
      <c r="J31" s="92"/>
      <c r="K31" s="288"/>
      <c r="L31" s="289"/>
    </row>
    <row r="32" spans="2:14" ht="63" customHeight="1">
      <c r="B32" s="336"/>
      <c r="C32" s="28" t="s">
        <v>135</v>
      </c>
      <c r="D32" s="91" t="s">
        <v>66</v>
      </c>
      <c r="E32" s="91" t="s">
        <v>440</v>
      </c>
      <c r="F32" s="91"/>
      <c r="G32" s="91"/>
      <c r="H32" s="91"/>
      <c r="I32" s="91"/>
      <c r="J32" s="91"/>
      <c r="K32" s="288"/>
      <c r="L32" s="289"/>
    </row>
    <row r="33" spans="2:12" ht="46.5" customHeight="1">
      <c r="B33" s="336"/>
      <c r="C33" s="28" t="s">
        <v>140</v>
      </c>
      <c r="D33" s="91" t="s">
        <v>441</v>
      </c>
      <c r="E33" s="91" t="s">
        <v>442</v>
      </c>
      <c r="F33" s="91"/>
      <c r="G33" s="91"/>
      <c r="H33" s="91"/>
      <c r="I33" s="91"/>
      <c r="J33" s="91"/>
      <c r="K33" s="288"/>
      <c r="L33" s="289"/>
    </row>
    <row r="34" spans="2:12" ht="27.75" customHeight="1">
      <c r="B34" s="336"/>
      <c r="C34" s="30" t="s">
        <v>144</v>
      </c>
      <c r="D34" s="96">
        <v>36</v>
      </c>
      <c r="E34" s="96">
        <v>34</v>
      </c>
      <c r="F34" s="96"/>
      <c r="G34" s="97"/>
      <c r="H34" s="97"/>
      <c r="I34" s="97"/>
      <c r="J34" s="97"/>
      <c r="K34" s="288"/>
      <c r="L34" s="289"/>
    </row>
    <row r="35" spans="2:12" ht="102.75" customHeight="1">
      <c r="B35" s="336"/>
      <c r="C35" s="28" t="s">
        <v>145</v>
      </c>
      <c r="D35" s="93">
        <v>6824.41</v>
      </c>
      <c r="E35" s="93">
        <v>7855.04</v>
      </c>
      <c r="F35" s="93"/>
      <c r="G35" s="93"/>
      <c r="H35" s="93"/>
      <c r="I35" s="93"/>
      <c r="J35" s="93"/>
      <c r="K35" s="290"/>
      <c r="L35" s="291"/>
    </row>
    <row r="36" spans="2:12" ht="48" customHeight="1">
      <c r="B36" s="336"/>
      <c r="C36" s="28" t="s">
        <v>146</v>
      </c>
      <c r="D36" s="105">
        <f>IFERROR(D35*VLOOKUP(D31,'DATOS INICIALES'!$A$12:$B$41,2,0),"0")</f>
        <v>5651403111.5599995</v>
      </c>
      <c r="E36" s="105">
        <f>IFERROR(E35*VLOOKUP(E31,'DATOS INICIALES'!$A$12:$B$41,2,0),"0")</f>
        <v>6136687159.6800003</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0.52</v>
      </c>
      <c r="E37" s="94">
        <v>0.75</v>
      </c>
      <c r="F37" s="94"/>
      <c r="G37" s="94"/>
      <c r="H37" s="94"/>
      <c r="I37" s="94"/>
      <c r="J37" s="94"/>
      <c r="K37" s="288"/>
      <c r="L37" s="289"/>
    </row>
    <row r="38" spans="2:12" ht="48.75" customHeight="1">
      <c r="B38" s="336"/>
      <c r="C38" s="28" t="s">
        <v>148</v>
      </c>
      <c r="D38" s="105">
        <f t="shared" ref="D38:J38" si="3">IF(D24="","0",D37*D36)</f>
        <v>2938729618.0112</v>
      </c>
      <c r="E38" s="105">
        <f t="shared" si="3"/>
        <v>4602515369.7600002</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3548.6932000000002</v>
      </c>
      <c r="E39" s="106">
        <f t="shared" si="4"/>
        <v>5891.28</v>
      </c>
      <c r="F39" s="106">
        <f t="shared" si="4"/>
        <v>0</v>
      </c>
      <c r="G39" s="106">
        <f t="shared" si="4"/>
        <v>0</v>
      </c>
      <c r="H39" s="106">
        <f t="shared" si="4"/>
        <v>0</v>
      </c>
      <c r="I39" s="106">
        <f t="shared" si="4"/>
        <v>0</v>
      </c>
      <c r="J39" s="106">
        <f t="shared" si="4"/>
        <v>0</v>
      </c>
      <c r="K39" s="288"/>
      <c r="L39" s="289"/>
    </row>
    <row r="40" spans="2:12" ht="65.25" customHeight="1">
      <c r="B40" s="336"/>
      <c r="C40" s="28" t="s">
        <v>150</v>
      </c>
      <c r="D40" s="94">
        <v>0.38</v>
      </c>
      <c r="E40" s="94">
        <v>0.05</v>
      </c>
      <c r="F40" s="94"/>
      <c r="G40" s="94"/>
      <c r="H40" s="94"/>
      <c r="I40" s="94"/>
      <c r="J40" s="94"/>
      <c r="K40" s="288"/>
      <c r="L40" s="289"/>
    </row>
    <row r="41" spans="2:12" ht="65.25" customHeight="1">
      <c r="B41" s="336"/>
      <c r="C41" s="28" t="s">
        <v>151</v>
      </c>
      <c r="D41" s="107">
        <f t="shared" ref="D41:J41" si="5">IF(D25="","0",D40*D36)</f>
        <v>2147533182.3927999</v>
      </c>
      <c r="E41" s="107">
        <f t="shared" si="5"/>
        <v>306834357.98400003</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2593.2757999999999</v>
      </c>
      <c r="E42" s="106">
        <f t="shared" ref="E42:J42" si="6">IF(E25="",0,E35*E40)</f>
        <v>392.75200000000001</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30</v>
      </c>
      <c r="E59" s="90" t="s">
        <v>30</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30</v>
      </c>
      <c r="E61" s="90" t="s">
        <v>30</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283" priority="13">
      <formula>LEN(TRIM(D25))=0</formula>
    </cfRule>
    <cfRule type="notContainsErrors" dxfId="282" priority="14">
      <formula>NOT(ISERROR(D25))</formula>
    </cfRule>
  </conditionalFormatting>
  <conditionalFormatting sqref="D34:J34 D24:K24 D37:J37 D40:J40 D43:J43 D46:J53 D55:J63 K64:L64 D65:K65">
    <cfRule type="containsBlanks" dxfId="281" priority="15">
      <formula>LEN(TRIM(D24))=0</formula>
    </cfRule>
  </conditionalFormatting>
  <conditionalFormatting sqref="D46:J53">
    <cfRule type="cellIs" dxfId="280" priority="11" operator="equal">
      <formula>"NO CUMPLE"</formula>
    </cfRule>
    <cfRule type="cellIs" dxfId="279" priority="12" operator="equal">
      <formula>"CUMPLE"</formula>
    </cfRule>
  </conditionalFormatting>
  <conditionalFormatting sqref="D54:J54">
    <cfRule type="cellIs" dxfId="278" priority="27" operator="equal">
      <formula>"""CUMPLE"""</formula>
    </cfRule>
    <cfRule type="cellIs" dxfId="277" priority="26" operator="equal">
      <formula>"NO CUMPLE"</formula>
    </cfRule>
    <cfRule type="cellIs" dxfId="276" priority="25" operator="equal">
      <formula>"CUMPLE"</formula>
    </cfRule>
    <cfRule type="cellIs" dxfId="275" priority="21" operator="equal">
      <formula>"N/A"</formula>
    </cfRule>
  </conditionalFormatting>
  <conditionalFormatting sqref="D55:J63">
    <cfRule type="cellIs" dxfId="274" priority="3" operator="equal">
      <formula>"NO CUMPLE"</formula>
    </cfRule>
    <cfRule type="cellIs" dxfId="273" priority="4" operator="equal">
      <formula>"CUMPLE"</formula>
    </cfRule>
  </conditionalFormatting>
  <conditionalFormatting sqref="D64:J64">
    <cfRule type="cellIs" dxfId="272" priority="19" operator="equal">
      <formula>"NO CUMPLE"</formula>
    </cfRule>
    <cfRule type="cellIs" dxfId="271" priority="20" operator="equal">
      <formula>"""CUMPLE"""</formula>
    </cfRule>
    <cfRule type="cellIs" dxfId="270" priority="17" operator="equal">
      <formula>"N/A"</formula>
    </cfRule>
    <cfRule type="cellIs" dxfId="269" priority="18" operator="equal">
      <formula>"CUMPLE"</formula>
    </cfRule>
  </conditionalFormatting>
  <conditionalFormatting sqref="D65:J65">
    <cfRule type="cellIs" dxfId="268" priority="9" operator="equal">
      <formula>"NO CUMPLE"</formula>
    </cfRule>
    <cfRule type="cellIs" dxfId="267" priority="10" operator="equal">
      <formula>"CUMPLE"</formula>
    </cfRule>
  </conditionalFormatting>
  <conditionalFormatting sqref="D24:K24 D34:J34 D37:J37 D40:J40 D43:J43 D46:J53 D55:J63 K64:L64 D65:K65">
    <cfRule type="notContainsErrors" dxfId="266" priority="16">
      <formula>NOT(ISERROR(D24))</formula>
    </cfRule>
  </conditionalFormatting>
  <conditionalFormatting sqref="F20:H20">
    <cfRule type="cellIs" dxfId="265" priority="31" operator="equal">
      <formula>"CUMPLE"</formula>
    </cfRule>
    <cfRule type="cellIs" dxfId="264" priority="32" operator="equal">
      <formula>"NO CUMPLE"</formula>
    </cfRule>
    <cfRule type="cellIs" dxfId="263" priority="33" operator="equal">
      <formula>"""CUMPLE"""</formula>
    </cfRule>
  </conditionalFormatting>
  <conditionalFormatting sqref="I11">
    <cfRule type="containsText" dxfId="262" priority="37" operator="containsText" text="NO CUMPLE">
      <formula>NOT(ISERROR(SEARCH("NO CUMPLE",I11)))</formula>
    </cfRule>
    <cfRule type="containsText" dxfId="261" priority="34" operator="containsText" text="INHABILITADO">
      <formula>NOT(ISERROR(SEARCH("INHABILITADO",I11)))</formula>
    </cfRule>
    <cfRule type="containsText" dxfId="260" priority="35" operator="containsText" text="HABILITADO">
      <formula>NOT(ISERROR(SEARCH("HABILITADO",I11)))</formula>
    </cfRule>
    <cfRule type="containsText" dxfId="259" priority="36" operator="containsText" text="HABILITADO">
      <formula>NOT(ISERROR(SEARCH("HABILITADO",I11)))</formula>
    </cfRule>
  </conditionalFormatting>
  <conditionalFormatting sqref="J20">
    <cfRule type="cellIs" dxfId="258" priority="8" operator="equal">
      <formula>"SI"</formula>
    </cfRule>
    <cfRule type="cellIs" dxfId="257" priority="7" operator="equal">
      <formula>"NO"</formula>
    </cfRule>
  </conditionalFormatting>
  <conditionalFormatting sqref="K19">
    <cfRule type="cellIs" dxfId="256" priority="22" operator="equal">
      <formula>"CUMPLE"</formula>
    </cfRule>
    <cfRule type="cellIs" dxfId="255" priority="23" operator="equal">
      <formula>"NO CUMPLE"</formula>
    </cfRule>
    <cfRule type="cellIs" dxfId="254" priority="24" operator="equal">
      <formula>"""CUMPLE"""</formula>
    </cfRule>
  </conditionalFormatting>
  <conditionalFormatting sqref="K25:K63">
    <cfRule type="notContainsErrors" dxfId="253" priority="2">
      <formula>NOT(ISERROR(K25))</formula>
    </cfRule>
    <cfRule type="containsBlanks" dxfId="252" priority="1">
      <formula>LEN(TRIM(K25))=0</formula>
    </cfRule>
  </conditionalFormatting>
  <conditionalFormatting sqref="L15">
    <cfRule type="cellIs" dxfId="251" priority="28" operator="equal">
      <formula>"CUMPLE"</formula>
    </cfRule>
    <cfRule type="cellIs" dxfId="250" priority="29" operator="equal">
      <formula>"NO CUMPLE"</formula>
    </cfRule>
    <cfRule type="cellIs" dxfId="249" priority="30" operator="equal">
      <formula>"""CUMPLE"""</formula>
    </cfRule>
  </conditionalFormatting>
  <conditionalFormatting sqref="L20">
    <cfRule type="cellIs" dxfId="248" priority="5" operator="equal">
      <formula>"NO"</formula>
    </cfRule>
    <cfRule type="cellIs" dxfId="247" priority="6" operator="equal">
      <formula>"SI"</formula>
    </cfRule>
  </conditionalFormatting>
  <dataValidations count="3">
    <dataValidation type="list" allowBlank="1" showInputMessage="1" showErrorMessage="1" sqref="L57:L64" xr:uid="{00000000-0002-0000-1900-000000000000}">
      <formula1>"0,1,2,3,4,5,6"</formula1>
    </dataValidation>
    <dataValidation type="list" allowBlank="1" showInputMessage="1" showErrorMessage="1" sqref="D24:J26" xr:uid="{00000000-0002-0000-1900-000001000000}">
      <formula1>$C$15:$C$19</formula1>
    </dataValidation>
    <dataValidation type="list" allowBlank="1" showInputMessage="1" showErrorMessage="1" sqref="D65:I65" xr:uid="{00000000-0002-0000-19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900-000003000000}">
          <x14:formula1>
            <xm:f>'DATOS INICIALES'!$C$44:$C$45</xm:f>
          </x14:formula1>
          <xm:sqref>D47:I53 J47:J52</xm:sqref>
        </x14:dataValidation>
        <x14:dataValidation type="list" allowBlank="1" showInputMessage="1" showErrorMessage="1" xr:uid="{00000000-0002-0000-1900-000004000000}">
          <x14:formula1>
            <xm:f>'DATOS INICIALES'!$A$49:$A$51</xm:f>
          </x14:formula1>
          <xm:sqref>D55:I57 D58:J63 J55:J56 D46:J46</xm:sqref>
        </x14:dataValidation>
        <x14:dataValidation type="list" allowBlank="1" showInputMessage="1" showErrorMessage="1" xr:uid="{00000000-0002-0000-1900-000005000000}">
          <x14:formula1>
            <xm:f>'DATOS INICIALES'!$A$53:$A$58</xm:f>
          </x14:formula1>
          <xm:sqref>D23:I23</xm:sqref>
        </x14:dataValidation>
        <x14:dataValidation type="list" allowBlank="1" showInputMessage="1" showErrorMessage="1" xr:uid="{00000000-0002-0000-1900-000006000000}">
          <x14:formula1>
            <xm:f>'DATOS INICIALES'!$D$21:$D$25</xm:f>
          </x14:formula1>
          <xm:sqref>M47:M54</xm:sqref>
        </x14:dataValidation>
        <x14:dataValidation type="list" allowBlank="1" showInputMessage="1" showErrorMessage="1" xr:uid="{00000000-0002-0000-1900-000007000000}">
          <x14:formula1>
            <xm:f>'DATOS INICIALES'!$A$13:$A$41</xm:f>
          </x14:formula1>
          <xm:sqref>D31:I31</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+PROPONENTES!B32</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6654.97</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IF(VLOOKUP(C11,PUNTAJE!B15:AF129,27,FALSE)=0.25,"SI","NO")</f>
        <v>#N/A</v>
      </c>
      <c r="K20" s="38" t="s">
        <v>113</v>
      </c>
      <c r="L20" s="143" t="e">
        <f>IF(VLOOKUP(C11,PUNTAJE!B15:AF129,31,FALSE)=0.25,"SI","NO")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443</v>
      </c>
      <c r="E24" s="90" t="s">
        <v>444</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445</v>
      </c>
      <c r="E27" s="91" t="s">
        <v>446</v>
      </c>
      <c r="F27" s="91"/>
      <c r="G27" s="91"/>
      <c r="H27" s="91"/>
      <c r="I27" s="91"/>
      <c r="J27" s="91"/>
      <c r="K27" s="288"/>
      <c r="L27" s="289"/>
    </row>
    <row r="28" spans="2:14" ht="166.5" customHeight="1">
      <c r="B28" s="336"/>
      <c r="C28" s="28" t="s">
        <v>127</v>
      </c>
      <c r="D28" s="91" t="s">
        <v>447</v>
      </c>
      <c r="E28" s="91" t="s">
        <v>448</v>
      </c>
      <c r="F28" s="91"/>
      <c r="G28" s="91"/>
      <c r="H28" s="91"/>
      <c r="I28" s="91"/>
      <c r="J28" s="91"/>
      <c r="K28" s="288"/>
      <c r="L28" s="289"/>
    </row>
    <row r="29" spans="2:14" ht="52.5" customHeight="1">
      <c r="B29" s="336"/>
      <c r="C29" s="28" t="s">
        <v>132</v>
      </c>
      <c r="D29" s="95">
        <v>43724</v>
      </c>
      <c r="E29" s="95">
        <v>43510</v>
      </c>
      <c r="F29" s="95"/>
      <c r="G29" s="95"/>
      <c r="H29" s="95"/>
      <c r="I29" s="95"/>
      <c r="J29" s="95"/>
      <c r="K29" s="288"/>
      <c r="L29" s="289"/>
    </row>
    <row r="30" spans="2:14" ht="54.75" customHeight="1">
      <c r="B30" s="336"/>
      <c r="C30" s="28" t="s">
        <v>133</v>
      </c>
      <c r="D30" s="95">
        <v>44254</v>
      </c>
      <c r="E30" s="95">
        <v>44099</v>
      </c>
      <c r="F30" s="95"/>
      <c r="G30" s="95"/>
      <c r="H30" s="95"/>
      <c r="I30" s="95"/>
      <c r="J30" s="95"/>
      <c r="K30" s="288"/>
      <c r="L30" s="289"/>
    </row>
    <row r="31" spans="2:14" ht="41.25" customHeight="1">
      <c r="B31" s="336"/>
      <c r="C31" s="28" t="s">
        <v>134</v>
      </c>
      <c r="D31" s="92">
        <v>2021</v>
      </c>
      <c r="E31" s="92">
        <v>2020</v>
      </c>
      <c r="F31" s="92"/>
      <c r="G31" s="92"/>
      <c r="H31" s="92"/>
      <c r="I31" s="92"/>
      <c r="J31" s="92"/>
      <c r="K31" s="288"/>
      <c r="L31" s="289"/>
    </row>
    <row r="32" spans="2:14" ht="63" customHeight="1">
      <c r="B32" s="336"/>
      <c r="C32" s="28" t="s">
        <v>135</v>
      </c>
      <c r="D32" s="91" t="s">
        <v>449</v>
      </c>
      <c r="E32" s="91" t="s">
        <v>450</v>
      </c>
      <c r="F32" s="91"/>
      <c r="G32" s="91"/>
      <c r="H32" s="91"/>
      <c r="I32" s="91"/>
      <c r="J32" s="91"/>
      <c r="K32" s="288"/>
      <c r="L32" s="289"/>
    </row>
    <row r="33" spans="2:12" ht="46.5" customHeight="1">
      <c r="B33" s="336"/>
      <c r="C33" s="28" t="s">
        <v>140</v>
      </c>
      <c r="D33" s="91" t="s">
        <v>451</v>
      </c>
      <c r="E33" s="91" t="s">
        <v>444</v>
      </c>
      <c r="F33" s="91"/>
      <c r="G33" s="91"/>
      <c r="H33" s="91"/>
      <c r="I33" s="91"/>
      <c r="J33" s="91"/>
      <c r="K33" s="288"/>
      <c r="L33" s="289"/>
    </row>
    <row r="34" spans="2:12" ht="27.75" customHeight="1">
      <c r="B34" s="336"/>
      <c r="C34" s="30" t="s">
        <v>144</v>
      </c>
      <c r="D34" s="96">
        <v>7</v>
      </c>
      <c r="E34" s="96">
        <v>41</v>
      </c>
      <c r="F34" s="96"/>
      <c r="G34" s="97"/>
      <c r="H34" s="97"/>
      <c r="I34" s="97"/>
      <c r="J34" s="97"/>
      <c r="K34" s="288"/>
      <c r="L34" s="289"/>
    </row>
    <row r="35" spans="2:12" ht="102.75" customHeight="1">
      <c r="B35" s="336"/>
      <c r="C35" s="28" t="s">
        <v>145</v>
      </c>
      <c r="D35" s="93">
        <v>4483.22</v>
      </c>
      <c r="E35" s="93">
        <v>5117.5600000000004</v>
      </c>
      <c r="F35" s="93"/>
      <c r="G35" s="93"/>
      <c r="H35" s="93"/>
      <c r="I35" s="93"/>
      <c r="J35" s="93"/>
      <c r="K35" s="290"/>
      <c r="L35" s="291"/>
    </row>
    <row r="36" spans="2:12" ht="48" customHeight="1">
      <c r="B36" s="336"/>
      <c r="C36" s="28" t="s">
        <v>146</v>
      </c>
      <c r="D36" s="105">
        <f>IFERROR(D35*VLOOKUP(D31,'DATOS INICIALES'!$A$12:$B$41,2,0),"0")</f>
        <v>4073121933.7200003</v>
      </c>
      <c r="E36" s="105">
        <f>IFERROR(E35*VLOOKUP(E31,'DATOS INICIALES'!$A$12:$B$41,2,0),"0")</f>
        <v>4492209520.6800003</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0.4</v>
      </c>
      <c r="E37" s="94">
        <v>0.95</v>
      </c>
      <c r="F37" s="94"/>
      <c r="G37" s="94"/>
      <c r="H37" s="94"/>
      <c r="I37" s="94"/>
      <c r="J37" s="94"/>
      <c r="K37" s="288"/>
      <c r="L37" s="289"/>
    </row>
    <row r="38" spans="2:12" ht="48.75" customHeight="1">
      <c r="B38" s="336"/>
      <c r="C38" s="28" t="s">
        <v>148</v>
      </c>
      <c r="D38" s="105">
        <f t="shared" ref="D38:J38" si="3">IF(D24="","0",D37*D36)</f>
        <v>1629248773.4880002</v>
      </c>
      <c r="E38" s="105">
        <f t="shared" si="3"/>
        <v>4267599044.6459999</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1793.2880000000002</v>
      </c>
      <c r="E39" s="106">
        <f t="shared" si="4"/>
        <v>4861.6819999999998</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27</v>
      </c>
      <c r="F50" s="96"/>
      <c r="G50" s="96"/>
      <c r="H50" s="96"/>
      <c r="I50" s="96"/>
      <c r="J50" s="97"/>
      <c r="K50" s="288"/>
      <c r="L50" s="289"/>
    </row>
    <row r="51" spans="2:12" ht="24.75" customHeight="1">
      <c r="B51" s="328"/>
      <c r="C51" s="31">
        <f>+'DATOS INICIALES'!D25</f>
        <v>80161500</v>
      </c>
      <c r="D51" s="96" t="s">
        <v>27</v>
      </c>
      <c r="E51" s="96" t="s">
        <v>27</v>
      </c>
      <c r="F51" s="96"/>
      <c r="G51" s="96"/>
      <c r="H51" s="96"/>
      <c r="I51" s="96"/>
      <c r="J51" s="97"/>
      <c r="K51" s="288"/>
      <c r="L51" s="289"/>
    </row>
    <row r="52" spans="2:12" ht="24.75" customHeight="1">
      <c r="B52" s="328"/>
      <c r="C52" s="31">
        <f>+'DATOS INICIALES'!D26</f>
        <v>93141500</v>
      </c>
      <c r="D52" s="96"/>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30</v>
      </c>
      <c r="E59" s="90" t="s">
        <v>30</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30</v>
      </c>
      <c r="E61" s="90" t="s">
        <v>30</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246" priority="13">
      <formula>LEN(TRIM(D25))=0</formula>
    </cfRule>
    <cfRule type="notContainsErrors" dxfId="245" priority="14">
      <formula>NOT(ISERROR(D25))</formula>
    </cfRule>
  </conditionalFormatting>
  <conditionalFormatting sqref="D34:J34 D24:K24 D37:J37 D40:J40 D43:J43 D46:J53 D55:J63 K64:L64 D65:K65">
    <cfRule type="containsBlanks" dxfId="244" priority="15">
      <formula>LEN(TRIM(D24))=0</formula>
    </cfRule>
  </conditionalFormatting>
  <conditionalFormatting sqref="D46:J53">
    <cfRule type="cellIs" dxfId="243" priority="11" operator="equal">
      <formula>"NO CUMPLE"</formula>
    </cfRule>
    <cfRule type="cellIs" dxfId="242" priority="12" operator="equal">
      <formula>"CUMPLE"</formula>
    </cfRule>
  </conditionalFormatting>
  <conditionalFormatting sqref="D54:J54">
    <cfRule type="cellIs" dxfId="241" priority="27" operator="equal">
      <formula>"""CUMPLE"""</formula>
    </cfRule>
    <cfRule type="cellIs" dxfId="240" priority="26" operator="equal">
      <formula>"NO CUMPLE"</formula>
    </cfRule>
    <cfRule type="cellIs" dxfId="239" priority="25" operator="equal">
      <formula>"CUMPLE"</formula>
    </cfRule>
    <cfRule type="cellIs" dxfId="238" priority="21" operator="equal">
      <formula>"N/A"</formula>
    </cfRule>
  </conditionalFormatting>
  <conditionalFormatting sqref="D55:J63">
    <cfRule type="cellIs" dxfId="237" priority="3" operator="equal">
      <formula>"NO CUMPLE"</formula>
    </cfRule>
    <cfRule type="cellIs" dxfId="236" priority="4" operator="equal">
      <formula>"CUMPLE"</formula>
    </cfRule>
  </conditionalFormatting>
  <conditionalFormatting sqref="D64:J64">
    <cfRule type="cellIs" dxfId="235" priority="19" operator="equal">
      <formula>"NO CUMPLE"</formula>
    </cfRule>
    <cfRule type="cellIs" dxfId="234" priority="20" operator="equal">
      <formula>"""CUMPLE"""</formula>
    </cfRule>
    <cfRule type="cellIs" dxfId="233" priority="17" operator="equal">
      <formula>"N/A"</formula>
    </cfRule>
    <cfRule type="cellIs" dxfId="232" priority="18" operator="equal">
      <formula>"CUMPLE"</formula>
    </cfRule>
  </conditionalFormatting>
  <conditionalFormatting sqref="D65:J65">
    <cfRule type="cellIs" dxfId="231" priority="9" operator="equal">
      <formula>"NO CUMPLE"</formula>
    </cfRule>
    <cfRule type="cellIs" dxfId="230" priority="10" operator="equal">
      <formula>"CUMPLE"</formula>
    </cfRule>
  </conditionalFormatting>
  <conditionalFormatting sqref="D24:K24 D34:J34 D37:J37 D40:J40 D43:J43 D46:J53 D55:J63 K64:L64 D65:K65">
    <cfRule type="notContainsErrors" dxfId="229" priority="16">
      <formula>NOT(ISERROR(D24))</formula>
    </cfRule>
  </conditionalFormatting>
  <conditionalFormatting sqref="F20:H20">
    <cfRule type="cellIs" dxfId="228" priority="31" operator="equal">
      <formula>"CUMPLE"</formula>
    </cfRule>
    <cfRule type="cellIs" dxfId="227" priority="32" operator="equal">
      <formula>"NO CUMPLE"</formula>
    </cfRule>
    <cfRule type="cellIs" dxfId="226" priority="33" operator="equal">
      <formula>"""CUMPLE"""</formula>
    </cfRule>
  </conditionalFormatting>
  <conditionalFormatting sqref="I11">
    <cfRule type="containsText" dxfId="225" priority="37" operator="containsText" text="NO CUMPLE">
      <formula>NOT(ISERROR(SEARCH("NO CUMPLE",I11)))</formula>
    </cfRule>
    <cfRule type="containsText" dxfId="224" priority="34" operator="containsText" text="INHABILITADO">
      <formula>NOT(ISERROR(SEARCH("INHABILITADO",I11)))</formula>
    </cfRule>
    <cfRule type="containsText" dxfId="223" priority="35" operator="containsText" text="HABILITADO">
      <formula>NOT(ISERROR(SEARCH("HABILITADO",I11)))</formula>
    </cfRule>
    <cfRule type="containsText" dxfId="222" priority="36" operator="containsText" text="HABILITADO">
      <formula>NOT(ISERROR(SEARCH("HABILITADO",I11)))</formula>
    </cfRule>
  </conditionalFormatting>
  <conditionalFormatting sqref="J20">
    <cfRule type="cellIs" dxfId="221" priority="8" operator="equal">
      <formula>"SI"</formula>
    </cfRule>
    <cfRule type="cellIs" dxfId="220" priority="7" operator="equal">
      <formula>"NO"</formula>
    </cfRule>
  </conditionalFormatting>
  <conditionalFormatting sqref="K19">
    <cfRule type="cellIs" dxfId="219" priority="22" operator="equal">
      <formula>"CUMPLE"</formula>
    </cfRule>
    <cfRule type="cellIs" dxfId="218" priority="23" operator="equal">
      <formula>"NO CUMPLE"</formula>
    </cfRule>
    <cfRule type="cellIs" dxfId="217" priority="24" operator="equal">
      <formula>"""CUMPLE"""</formula>
    </cfRule>
  </conditionalFormatting>
  <conditionalFormatting sqref="K25:K63">
    <cfRule type="notContainsErrors" dxfId="216" priority="2">
      <formula>NOT(ISERROR(K25))</formula>
    </cfRule>
    <cfRule type="containsBlanks" dxfId="215" priority="1">
      <formula>LEN(TRIM(K25))=0</formula>
    </cfRule>
  </conditionalFormatting>
  <conditionalFormatting sqref="L15">
    <cfRule type="cellIs" dxfId="214" priority="28" operator="equal">
      <formula>"CUMPLE"</formula>
    </cfRule>
    <cfRule type="cellIs" dxfId="213" priority="29" operator="equal">
      <formula>"NO CUMPLE"</formula>
    </cfRule>
    <cfRule type="cellIs" dxfId="212" priority="30" operator="equal">
      <formula>"""CUMPLE"""</formula>
    </cfRule>
  </conditionalFormatting>
  <conditionalFormatting sqref="L20">
    <cfRule type="cellIs" dxfId="211" priority="5" operator="equal">
      <formula>"NO"</formula>
    </cfRule>
    <cfRule type="cellIs" dxfId="210" priority="6" operator="equal">
      <formula>"SI"</formula>
    </cfRule>
  </conditionalFormatting>
  <dataValidations count="3">
    <dataValidation type="list" allowBlank="1" showInputMessage="1" showErrorMessage="1" sqref="D65:I65" xr:uid="{00000000-0002-0000-1A00-000000000000}">
      <formula1>"CUMPLE,NO CUMPLE"</formula1>
    </dataValidation>
    <dataValidation type="list" allowBlank="1" showInputMessage="1" showErrorMessage="1" sqref="D24:J26" xr:uid="{00000000-0002-0000-1A00-000001000000}">
      <formula1>$C$15:$C$19</formula1>
    </dataValidation>
    <dataValidation type="list" allowBlank="1" showInputMessage="1" showErrorMessage="1" sqref="L57:L64" xr:uid="{00000000-0002-0000-1A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A00-000003000000}">
          <x14:formula1>
            <xm:f>'DATOS INICIALES'!$A$13:$A$41</xm:f>
          </x14:formula1>
          <xm:sqref>D31:I31</xm:sqref>
        </x14:dataValidation>
        <x14:dataValidation type="list" allowBlank="1" showInputMessage="1" showErrorMessage="1" xr:uid="{00000000-0002-0000-1A00-000004000000}">
          <x14:formula1>
            <xm:f>'DATOS INICIALES'!$D$21:$D$25</xm:f>
          </x14:formula1>
          <xm:sqref>M47:M54</xm:sqref>
        </x14:dataValidation>
        <x14:dataValidation type="list" allowBlank="1" showInputMessage="1" showErrorMessage="1" xr:uid="{00000000-0002-0000-1A00-000005000000}">
          <x14:formula1>
            <xm:f>'DATOS INICIALES'!$A$53:$A$58</xm:f>
          </x14:formula1>
          <xm:sqref>D23:I23</xm:sqref>
        </x14:dataValidation>
        <x14:dataValidation type="list" allowBlank="1" showInputMessage="1" showErrorMessage="1" xr:uid="{00000000-0002-0000-1A00-000006000000}">
          <x14:formula1>
            <xm:f>'DATOS INICIALES'!$A$49:$A$51</xm:f>
          </x14:formula1>
          <xm:sqref>D55:I57 D58:J63 J55:J56 D46:J46</xm:sqref>
        </x14:dataValidation>
        <x14:dataValidation type="list" allowBlank="1" showInputMessage="1" showErrorMessage="1" xr:uid="{00000000-0002-0000-1A00-000007000000}">
          <x14:formula1>
            <xm:f>'DATOS INICIALES'!$C$44:$C$45</xm:f>
          </x14:formula1>
          <xm:sqref>D47:I53 J47:J52</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8.42578125" customWidth="1"/>
    <col min="6" max="6" width="37" customWidth="1"/>
    <col min="7"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+PROPONENTES!B33</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21664.34</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IF(VLOOKUP(C11,PUNTAJE!B15:AF154,27,FALSE)=0.25,"SI","NO")</f>
        <v>#N/A</v>
      </c>
      <c r="K20" s="38" t="s">
        <v>113</v>
      </c>
      <c r="L20" s="143" t="e">
        <f>IF(VLOOKUP(C11,PUNTAJE!B15:AF154,31,FALSE)=0.25,"SI","NO")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452</v>
      </c>
      <c r="E24" s="90" t="s">
        <v>452</v>
      </c>
      <c r="F24" s="90" t="s">
        <v>452</v>
      </c>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453</v>
      </c>
      <c r="E27" s="91" t="s">
        <v>454</v>
      </c>
      <c r="F27" s="91" t="s">
        <v>455</v>
      </c>
      <c r="G27" s="91"/>
      <c r="H27" s="91"/>
      <c r="I27" s="91"/>
      <c r="J27" s="91"/>
      <c r="K27" s="288"/>
      <c r="L27" s="289"/>
    </row>
    <row r="28" spans="2:14" ht="249.75" customHeight="1">
      <c r="B28" s="336"/>
      <c r="C28" s="28" t="s">
        <v>127</v>
      </c>
      <c r="D28" s="91" t="s">
        <v>456</v>
      </c>
      <c r="E28" s="91" t="s">
        <v>457</v>
      </c>
      <c r="F28" s="91" t="s">
        <v>458</v>
      </c>
      <c r="G28" s="91"/>
      <c r="H28" s="91"/>
      <c r="I28" s="91"/>
      <c r="J28" s="91"/>
      <c r="K28" s="288"/>
      <c r="L28" s="289"/>
    </row>
    <row r="29" spans="2:14" ht="52.5" customHeight="1">
      <c r="B29" s="336"/>
      <c r="C29" s="28" t="s">
        <v>132</v>
      </c>
      <c r="D29" s="95">
        <v>42758</v>
      </c>
      <c r="E29" s="95">
        <v>43417</v>
      </c>
      <c r="F29" s="95">
        <v>43672</v>
      </c>
      <c r="G29" s="95"/>
      <c r="H29" s="95"/>
      <c r="I29" s="95"/>
      <c r="J29" s="95"/>
      <c r="K29" s="288"/>
      <c r="L29" s="289"/>
    </row>
    <row r="30" spans="2:14" ht="54.75" customHeight="1">
      <c r="B30" s="336"/>
      <c r="C30" s="28" t="s">
        <v>133</v>
      </c>
      <c r="D30" s="95">
        <v>43206</v>
      </c>
      <c r="E30" s="95">
        <v>43813</v>
      </c>
      <c r="F30" s="95">
        <v>44106</v>
      </c>
      <c r="G30" s="95"/>
      <c r="H30" s="95"/>
      <c r="I30" s="95"/>
      <c r="J30" s="95"/>
      <c r="K30" s="288"/>
      <c r="L30" s="289"/>
    </row>
    <row r="31" spans="2:14" ht="41.25" customHeight="1">
      <c r="B31" s="336"/>
      <c r="C31" s="28" t="s">
        <v>134</v>
      </c>
      <c r="D31" s="92">
        <v>2018</v>
      </c>
      <c r="E31" s="92">
        <v>2019</v>
      </c>
      <c r="F31" s="92">
        <v>2020</v>
      </c>
      <c r="G31" s="92"/>
      <c r="H31" s="92"/>
      <c r="I31" s="92"/>
      <c r="J31" s="92"/>
      <c r="K31" s="288"/>
      <c r="L31" s="289"/>
    </row>
    <row r="32" spans="2:14" ht="63" customHeight="1">
      <c r="B32" s="336"/>
      <c r="C32" s="28" t="s">
        <v>135</v>
      </c>
      <c r="D32" s="91" t="s">
        <v>452</v>
      </c>
      <c r="E32" s="91" t="s">
        <v>452</v>
      </c>
      <c r="F32" s="91" t="s">
        <v>452</v>
      </c>
      <c r="G32" s="91"/>
      <c r="H32" s="91"/>
      <c r="I32" s="91"/>
      <c r="J32" s="91"/>
      <c r="K32" s="288"/>
      <c r="L32" s="289"/>
    </row>
    <row r="33" spans="2:12" ht="46.5" customHeight="1">
      <c r="B33" s="336"/>
      <c r="C33" s="28" t="s">
        <v>140</v>
      </c>
      <c r="D33" s="91" t="s">
        <v>459</v>
      </c>
      <c r="E33" s="91" t="s">
        <v>460</v>
      </c>
      <c r="F33" s="91" t="s">
        <v>460</v>
      </c>
      <c r="G33" s="91"/>
      <c r="H33" s="91"/>
      <c r="I33" s="91"/>
      <c r="J33" s="91"/>
      <c r="K33" s="288"/>
      <c r="L33" s="289"/>
    </row>
    <row r="34" spans="2:12" ht="27.75" customHeight="1">
      <c r="B34" s="336"/>
      <c r="C34" s="30" t="s">
        <v>144</v>
      </c>
      <c r="D34" s="96">
        <v>30</v>
      </c>
      <c r="E34" s="96">
        <v>40</v>
      </c>
      <c r="F34" s="96">
        <v>51</v>
      </c>
      <c r="G34" s="97"/>
      <c r="H34" s="97"/>
      <c r="I34" s="97"/>
      <c r="J34" s="97"/>
      <c r="K34" s="288"/>
      <c r="L34" s="289"/>
    </row>
    <row r="35" spans="2:12" ht="102.75" customHeight="1">
      <c r="B35" s="336"/>
      <c r="C35" s="28" t="s">
        <v>145</v>
      </c>
      <c r="D35" s="93">
        <v>13377.67</v>
      </c>
      <c r="E35" s="93">
        <v>8286.67</v>
      </c>
      <c r="F35" s="93">
        <v>6267.31</v>
      </c>
      <c r="G35" s="93"/>
      <c r="H35" s="93"/>
      <c r="I35" s="93"/>
      <c r="J35" s="93"/>
      <c r="K35" s="290"/>
      <c r="L35" s="291"/>
    </row>
    <row r="36" spans="2:12" ht="48" customHeight="1">
      <c r="B36" s="336"/>
      <c r="C36" s="28" t="s">
        <v>146</v>
      </c>
      <c r="D36" s="105">
        <f>IFERROR(D35*VLOOKUP(D31,'DATOS INICIALES'!$A$12:$B$41,2,0),"0")</f>
        <v>10451197666.139999</v>
      </c>
      <c r="E36" s="105">
        <f>IFERROR(E35*VLOOKUP(E31,'DATOS INICIALES'!$A$12:$B$41,2,0),"0")</f>
        <v>6862324013.7200003</v>
      </c>
      <c r="F36" s="105">
        <f>IFERROR(F35*VLOOKUP(F31,'DATOS INICIALES'!$A$12:$B$41,2,0),"0")</f>
        <v>5501463519.9300003</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v>1</v>
      </c>
      <c r="F37" s="94">
        <v>1</v>
      </c>
      <c r="G37" s="94"/>
      <c r="H37" s="94"/>
      <c r="I37" s="94"/>
      <c r="J37" s="94"/>
      <c r="K37" s="288"/>
      <c r="L37" s="289"/>
    </row>
    <row r="38" spans="2:12" ht="48.75" customHeight="1">
      <c r="B38" s="336"/>
      <c r="C38" s="28" t="s">
        <v>148</v>
      </c>
      <c r="D38" s="105">
        <f t="shared" ref="D38:J38" si="3">IF(D24="","0",D37*D36)</f>
        <v>10451197666.139999</v>
      </c>
      <c r="E38" s="105">
        <f t="shared" si="3"/>
        <v>6862324013.7200003</v>
      </c>
      <c r="F38" s="105">
        <f t="shared" si="3"/>
        <v>5501463519.9300003</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13377.67</v>
      </c>
      <c r="E39" s="106">
        <f t="shared" si="4"/>
        <v>8286.67</v>
      </c>
      <c r="F39" s="106">
        <f t="shared" si="4"/>
        <v>6267.31</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c r="H46" s="90"/>
      <c r="I46" s="90"/>
      <c r="J46" s="90"/>
      <c r="K46" s="288"/>
      <c r="L46" s="289"/>
    </row>
    <row r="47" spans="2:12" ht="24.75" customHeight="1">
      <c r="B47" s="327" t="s">
        <v>158</v>
      </c>
      <c r="C47" s="31">
        <f>+'DATOS INICIALES'!D21</f>
        <v>70101700</v>
      </c>
      <c r="D47" s="96" t="s">
        <v>27</v>
      </c>
      <c r="E47" s="96" t="s">
        <v>27</v>
      </c>
      <c r="F47" s="96" t="s">
        <v>27</v>
      </c>
      <c r="G47" s="96"/>
      <c r="H47" s="96"/>
      <c r="I47" s="96"/>
      <c r="J47" s="97"/>
      <c r="K47" s="288"/>
      <c r="L47" s="289"/>
    </row>
    <row r="48" spans="2:12" ht="24.75" customHeight="1">
      <c r="B48" s="328"/>
      <c r="C48" s="31">
        <f>+'DATOS INICIALES'!D22</f>
        <v>80101600</v>
      </c>
      <c r="D48" s="96" t="s">
        <v>27</v>
      </c>
      <c r="E48" s="96" t="s">
        <v>27</v>
      </c>
      <c r="F48" s="96" t="s">
        <v>27</v>
      </c>
      <c r="G48" s="96"/>
      <c r="H48" s="96"/>
      <c r="I48" s="96"/>
      <c r="J48" s="97"/>
      <c r="K48" s="288"/>
      <c r="L48" s="289"/>
    </row>
    <row r="49" spans="2:12" ht="24.75" customHeight="1">
      <c r="B49" s="328"/>
      <c r="C49" s="31">
        <f>+'DATOS INICIALES'!D23</f>
        <v>80101500</v>
      </c>
      <c r="D49" s="96" t="s">
        <v>27</v>
      </c>
      <c r="E49" s="96" t="s">
        <v>27</v>
      </c>
      <c r="F49" s="96" t="s">
        <v>27</v>
      </c>
      <c r="G49" s="96"/>
      <c r="H49" s="96"/>
      <c r="I49" s="96"/>
      <c r="J49" s="97"/>
      <c r="K49" s="288"/>
      <c r="L49" s="289"/>
    </row>
    <row r="50" spans="2:12" ht="24.75" customHeight="1">
      <c r="B50" s="328"/>
      <c r="C50" s="31">
        <f>+'DATOS INICIALES'!D24</f>
        <v>86101700</v>
      </c>
      <c r="D50" s="96" t="s">
        <v>27</v>
      </c>
      <c r="E50" s="96" t="s">
        <v>27</v>
      </c>
      <c r="F50" s="96" t="s">
        <v>27</v>
      </c>
      <c r="G50" s="96"/>
      <c r="H50" s="96"/>
      <c r="I50" s="96"/>
      <c r="J50" s="97"/>
      <c r="K50" s="288"/>
      <c r="L50" s="289"/>
    </row>
    <row r="51" spans="2:12" ht="24.75" customHeight="1">
      <c r="B51" s="328"/>
      <c r="C51" s="31">
        <f>+'DATOS INICIALES'!D25</f>
        <v>80161500</v>
      </c>
      <c r="D51" s="96" t="s">
        <v>27</v>
      </c>
      <c r="E51" s="96" t="s">
        <v>27</v>
      </c>
      <c r="F51" s="96" t="s">
        <v>27</v>
      </c>
      <c r="G51" s="96"/>
      <c r="H51" s="96"/>
      <c r="I51" s="96"/>
      <c r="J51" s="97"/>
      <c r="K51" s="288"/>
      <c r="L51" s="289"/>
    </row>
    <row r="52" spans="2:12" ht="24.75" customHeight="1">
      <c r="B52" s="328"/>
      <c r="C52" s="31">
        <f>+'DATOS INICIALES'!D26</f>
        <v>93141500</v>
      </c>
      <c r="D52" s="96"/>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t="s">
        <v>33</v>
      </c>
      <c r="G55" s="90"/>
      <c r="H55" s="90"/>
      <c r="I55" s="90"/>
      <c r="J55" s="90"/>
      <c r="K55" s="295" t="s">
        <v>461</v>
      </c>
      <c r="L55" s="296"/>
    </row>
    <row r="56" spans="2:12" ht="353.25" hidden="1" customHeight="1">
      <c r="B56" s="330" t="s">
        <v>161</v>
      </c>
      <c r="C56" s="331"/>
      <c r="D56" s="90" t="s">
        <v>31</v>
      </c>
      <c r="E56" s="90" t="s">
        <v>31</v>
      </c>
      <c r="F56" s="90" t="s">
        <v>31</v>
      </c>
      <c r="G56" s="90"/>
      <c r="H56" s="90"/>
      <c r="I56" s="90"/>
      <c r="J56" s="90"/>
      <c r="K56" s="295"/>
      <c r="L56" s="296"/>
    </row>
    <row r="57" spans="2:12" ht="99" customHeight="1">
      <c r="B57" s="324" t="s">
        <v>162</v>
      </c>
      <c r="C57" s="325"/>
      <c r="D57" s="90" t="s">
        <v>31</v>
      </c>
      <c r="E57" s="90" t="s">
        <v>31</v>
      </c>
      <c r="F57" s="90" t="s">
        <v>31</v>
      </c>
      <c r="G57" s="90"/>
      <c r="H57" s="90"/>
      <c r="I57" s="90"/>
      <c r="J57" s="90"/>
      <c r="K57" s="288"/>
      <c r="L57" s="289"/>
    </row>
    <row r="58" spans="2:12" ht="105.75" customHeight="1">
      <c r="B58" s="324" t="s">
        <v>163</v>
      </c>
      <c r="C58" s="325"/>
      <c r="D58" s="90" t="s">
        <v>31</v>
      </c>
      <c r="E58" s="90" t="s">
        <v>31</v>
      </c>
      <c r="F58" s="90" t="s">
        <v>31</v>
      </c>
      <c r="G58" s="90"/>
      <c r="H58" s="90"/>
      <c r="I58" s="90"/>
      <c r="J58" s="90"/>
      <c r="K58" s="288"/>
      <c r="L58" s="289"/>
    </row>
    <row r="59" spans="2:12" ht="291.75" customHeight="1">
      <c r="B59" s="324" t="s">
        <v>164</v>
      </c>
      <c r="C59" s="325"/>
      <c r="D59" s="90" t="s">
        <v>30</v>
      </c>
      <c r="E59" s="90" t="s">
        <v>30</v>
      </c>
      <c r="F59" s="90" t="s">
        <v>30</v>
      </c>
      <c r="G59" s="90"/>
      <c r="H59" s="90"/>
      <c r="I59" s="90"/>
      <c r="J59" s="90"/>
      <c r="K59" s="288"/>
      <c r="L59" s="289"/>
    </row>
    <row r="60" spans="2:12" ht="336" customHeight="1">
      <c r="B60" s="229" t="s">
        <v>165</v>
      </c>
      <c r="C60" s="229"/>
      <c r="D60" s="90" t="s">
        <v>31</v>
      </c>
      <c r="E60" s="90" t="s">
        <v>31</v>
      </c>
      <c r="F60" s="90" t="s">
        <v>33</v>
      </c>
      <c r="G60" s="90"/>
      <c r="H60" s="90"/>
      <c r="I60" s="90"/>
      <c r="J60" s="90"/>
      <c r="K60" s="290"/>
      <c r="L60" s="291"/>
    </row>
    <row r="61" spans="2:12" ht="129.75" customHeight="1">
      <c r="B61" s="338" t="s">
        <v>166</v>
      </c>
      <c r="C61" s="339"/>
      <c r="D61" s="90" t="s">
        <v>30</v>
      </c>
      <c r="E61" s="90" t="s">
        <v>30</v>
      </c>
      <c r="F61" s="90" t="s">
        <v>30</v>
      </c>
      <c r="G61" s="90"/>
      <c r="H61" s="90"/>
      <c r="I61" s="90"/>
      <c r="J61" s="90"/>
      <c r="K61" s="288"/>
      <c r="L61" s="289"/>
    </row>
    <row r="62" spans="2:12" ht="408.75" customHeight="1">
      <c r="B62" s="326" t="s">
        <v>167</v>
      </c>
      <c r="C62" s="326"/>
      <c r="D62" s="90" t="s">
        <v>30</v>
      </c>
      <c r="E62" s="90" t="s">
        <v>30</v>
      </c>
      <c r="F62" s="90" t="s">
        <v>30</v>
      </c>
      <c r="G62" s="90"/>
      <c r="H62" s="90"/>
      <c r="I62" s="90"/>
      <c r="J62" s="90"/>
      <c r="K62" s="288"/>
      <c r="L62" s="289"/>
    </row>
    <row r="63" spans="2:12" ht="234.75" customHeight="1">
      <c r="B63" s="229" t="s">
        <v>168</v>
      </c>
      <c r="C63" s="229"/>
      <c r="D63" s="90" t="s">
        <v>31</v>
      </c>
      <c r="E63" s="90" t="s">
        <v>31</v>
      </c>
      <c r="F63" s="90" t="s">
        <v>33</v>
      </c>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NO CUMPLE</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209" priority="13">
      <formula>LEN(TRIM(D25))=0</formula>
    </cfRule>
    <cfRule type="notContainsErrors" dxfId="208" priority="14">
      <formula>NOT(ISERROR(D25))</formula>
    </cfRule>
  </conditionalFormatting>
  <conditionalFormatting sqref="D34:J34 D24:K24 D37:J37 D40:J40 D43:J43 D46:J53 D55:J63 K64:L64 D65:K65">
    <cfRule type="containsBlanks" dxfId="207" priority="15">
      <formula>LEN(TRIM(D24))=0</formula>
    </cfRule>
  </conditionalFormatting>
  <conditionalFormatting sqref="D46:J53">
    <cfRule type="cellIs" dxfId="206" priority="11" operator="equal">
      <formula>"NO CUMPLE"</formula>
    </cfRule>
    <cfRule type="cellIs" dxfId="205" priority="12" operator="equal">
      <formula>"CUMPLE"</formula>
    </cfRule>
  </conditionalFormatting>
  <conditionalFormatting sqref="D54:J54">
    <cfRule type="cellIs" dxfId="204" priority="27" operator="equal">
      <formula>"""CUMPLE"""</formula>
    </cfRule>
    <cfRule type="cellIs" dxfId="203" priority="26" operator="equal">
      <formula>"NO CUMPLE"</formula>
    </cfRule>
    <cfRule type="cellIs" dxfId="202" priority="25" operator="equal">
      <formula>"CUMPLE"</formula>
    </cfRule>
    <cfRule type="cellIs" dxfId="201" priority="21" operator="equal">
      <formula>"N/A"</formula>
    </cfRule>
  </conditionalFormatting>
  <conditionalFormatting sqref="D55:J63">
    <cfRule type="cellIs" dxfId="200" priority="3" operator="equal">
      <formula>"NO CUMPLE"</formula>
    </cfRule>
    <cfRule type="cellIs" dxfId="199" priority="4" operator="equal">
      <formula>"CUMPLE"</formula>
    </cfRule>
  </conditionalFormatting>
  <conditionalFormatting sqref="D64:J64">
    <cfRule type="cellIs" dxfId="198" priority="19" operator="equal">
      <formula>"NO CUMPLE"</formula>
    </cfRule>
    <cfRule type="cellIs" dxfId="197" priority="20" operator="equal">
      <formula>"""CUMPLE"""</formula>
    </cfRule>
    <cfRule type="cellIs" dxfId="196" priority="17" operator="equal">
      <formula>"N/A"</formula>
    </cfRule>
    <cfRule type="cellIs" dxfId="195" priority="18" operator="equal">
      <formula>"CUMPLE"</formula>
    </cfRule>
  </conditionalFormatting>
  <conditionalFormatting sqref="D65:J65">
    <cfRule type="cellIs" dxfId="194" priority="9" operator="equal">
      <formula>"NO CUMPLE"</formula>
    </cfRule>
    <cfRule type="cellIs" dxfId="193" priority="10" operator="equal">
      <formula>"CUMPLE"</formula>
    </cfRule>
  </conditionalFormatting>
  <conditionalFormatting sqref="D24:K24 D34:J34 D37:J37 D40:J40 D43:J43 D46:J53 D55:J63 K64:L64 D65:K65">
    <cfRule type="notContainsErrors" dxfId="192" priority="16">
      <formula>NOT(ISERROR(D24))</formula>
    </cfRule>
  </conditionalFormatting>
  <conditionalFormatting sqref="F20:H20">
    <cfRule type="cellIs" dxfId="191" priority="31" operator="equal">
      <formula>"CUMPLE"</formula>
    </cfRule>
    <cfRule type="cellIs" dxfId="190" priority="32" operator="equal">
      <formula>"NO CUMPLE"</formula>
    </cfRule>
    <cfRule type="cellIs" dxfId="189" priority="33" operator="equal">
      <formula>"""CUMPLE"""</formula>
    </cfRule>
  </conditionalFormatting>
  <conditionalFormatting sqref="I11">
    <cfRule type="containsText" dxfId="188" priority="37" operator="containsText" text="NO CUMPLE">
      <formula>NOT(ISERROR(SEARCH("NO CUMPLE",I11)))</formula>
    </cfRule>
    <cfRule type="containsText" dxfId="187" priority="34" operator="containsText" text="INHABILITADO">
      <formula>NOT(ISERROR(SEARCH("INHABILITADO",I11)))</formula>
    </cfRule>
    <cfRule type="containsText" dxfId="186" priority="35" operator="containsText" text="HABILITADO">
      <formula>NOT(ISERROR(SEARCH("HABILITADO",I11)))</formula>
    </cfRule>
    <cfRule type="containsText" dxfId="185" priority="36" operator="containsText" text="HABILITADO">
      <formula>NOT(ISERROR(SEARCH("HABILITADO",I11)))</formula>
    </cfRule>
  </conditionalFormatting>
  <conditionalFormatting sqref="J20">
    <cfRule type="cellIs" dxfId="184" priority="8" operator="equal">
      <formula>"SI"</formula>
    </cfRule>
    <cfRule type="cellIs" dxfId="183" priority="7" operator="equal">
      <formula>"NO"</formula>
    </cfRule>
  </conditionalFormatting>
  <conditionalFormatting sqref="K19">
    <cfRule type="cellIs" dxfId="182" priority="22" operator="equal">
      <formula>"CUMPLE"</formula>
    </cfRule>
    <cfRule type="cellIs" dxfId="181" priority="23" operator="equal">
      <formula>"NO CUMPLE"</formula>
    </cfRule>
    <cfRule type="cellIs" dxfId="180" priority="24" operator="equal">
      <formula>"""CUMPLE"""</formula>
    </cfRule>
  </conditionalFormatting>
  <conditionalFormatting sqref="K25:K63">
    <cfRule type="notContainsErrors" dxfId="179" priority="2">
      <formula>NOT(ISERROR(K25))</formula>
    </cfRule>
    <cfRule type="containsBlanks" dxfId="178" priority="1">
      <formula>LEN(TRIM(K25))=0</formula>
    </cfRule>
  </conditionalFormatting>
  <conditionalFormatting sqref="L15">
    <cfRule type="cellIs" dxfId="177" priority="28" operator="equal">
      <formula>"CUMPLE"</formula>
    </cfRule>
    <cfRule type="cellIs" dxfId="176" priority="29" operator="equal">
      <formula>"NO CUMPLE"</formula>
    </cfRule>
    <cfRule type="cellIs" dxfId="175" priority="30" operator="equal">
      <formula>"""CUMPLE"""</formula>
    </cfRule>
  </conditionalFormatting>
  <conditionalFormatting sqref="L20">
    <cfRule type="cellIs" dxfId="174" priority="5" operator="equal">
      <formula>"NO"</formula>
    </cfRule>
    <cfRule type="cellIs" dxfId="173" priority="6" operator="equal">
      <formula>"SI"</formula>
    </cfRule>
  </conditionalFormatting>
  <dataValidations count="3">
    <dataValidation type="list" allowBlank="1" showInputMessage="1" showErrorMessage="1" sqref="L57:L64" xr:uid="{00000000-0002-0000-1B00-000000000000}">
      <formula1>"0,1,2,3,4,5,6"</formula1>
    </dataValidation>
    <dataValidation type="list" allowBlank="1" showInputMessage="1" showErrorMessage="1" sqref="D24:J26" xr:uid="{00000000-0002-0000-1B00-000001000000}">
      <formula1>$C$15:$C$19</formula1>
    </dataValidation>
    <dataValidation type="list" allowBlank="1" showInputMessage="1" showErrorMessage="1" sqref="D65:I65" xr:uid="{00000000-0002-0000-1B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B00-000003000000}">
          <x14:formula1>
            <xm:f>'DATOS INICIALES'!$C$44:$C$45</xm:f>
          </x14:formula1>
          <xm:sqref>D47:I53 J47:J52</xm:sqref>
        </x14:dataValidation>
        <x14:dataValidation type="list" allowBlank="1" showInputMessage="1" showErrorMessage="1" xr:uid="{00000000-0002-0000-1B00-000004000000}">
          <x14:formula1>
            <xm:f>'DATOS INICIALES'!$A$49:$A$51</xm:f>
          </x14:formula1>
          <xm:sqref>D55:I57 D58:J63 J55:J56 D46:J46</xm:sqref>
        </x14:dataValidation>
        <x14:dataValidation type="list" allowBlank="1" showInputMessage="1" showErrorMessage="1" xr:uid="{00000000-0002-0000-1B00-000005000000}">
          <x14:formula1>
            <xm:f>'DATOS INICIALES'!$A$53:$A$58</xm:f>
          </x14:formula1>
          <xm:sqref>D23:I23</xm:sqref>
        </x14:dataValidation>
        <x14:dataValidation type="list" allowBlank="1" showInputMessage="1" showErrorMessage="1" xr:uid="{00000000-0002-0000-1B00-000006000000}">
          <x14:formula1>
            <xm:f>'DATOS INICIALES'!$D$21:$D$25</xm:f>
          </x14:formula1>
          <xm:sqref>M47:M54</xm:sqref>
        </x14:dataValidation>
        <x14:dataValidation type="list" allowBlank="1" showInputMessage="1" showErrorMessage="1" xr:uid="{00000000-0002-0000-1B00-000007000000}">
          <x14:formula1>
            <xm:f>'DATOS INICIALES'!$A$13:$A$41</xm:f>
          </x14:formula1>
          <xm:sqref>D31:I31</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65"/>
  <sheetViews>
    <sheetView view="pageBreakPreview" topLeftCell="B1"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6" width="26.140625" customWidth="1"/>
    <col min="7" max="7" width="35.140625" customWidth="1"/>
    <col min="8"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+PROPONENTES!B34</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4</v>
      </c>
      <c r="J15" s="293">
        <f>IF(AND(I15&gt;=1,I15&lt;=2),L8,IF(AND(I15&gt;=3,I15&lt;=4),L9,IF(AND(I15&gt;=5,I15&lt;=7),L10)))</f>
        <v>3938.6952868965518</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55841.509999999995</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IF(VLOOKUP(C11,PUNTAJE!B15:AF154,27,FALSE)=0.25,"SI","NO")</f>
        <v>#N/A</v>
      </c>
      <c r="K20" s="38" t="s">
        <v>113</v>
      </c>
      <c r="L20" s="143" t="e">
        <f>IF(VLOOKUP(C11,PUNTAJE!B15:AF154,31,FALSE)=0.25,"SI","NO")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462</v>
      </c>
      <c r="E24" s="90" t="s">
        <v>462</v>
      </c>
      <c r="F24" s="90" t="s">
        <v>462</v>
      </c>
      <c r="G24" s="90" t="s">
        <v>462</v>
      </c>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463</v>
      </c>
      <c r="E27" s="91" t="s">
        <v>464</v>
      </c>
      <c r="F27" s="91" t="s">
        <v>465</v>
      </c>
      <c r="G27" s="91" t="s">
        <v>466</v>
      </c>
      <c r="H27" s="91"/>
      <c r="I27" s="91"/>
      <c r="J27" s="91"/>
      <c r="K27" s="288"/>
      <c r="L27" s="289"/>
    </row>
    <row r="28" spans="2:14" ht="207.75" customHeight="1">
      <c r="B28" s="336"/>
      <c r="C28" s="28" t="s">
        <v>127</v>
      </c>
      <c r="D28" s="91" t="s">
        <v>467</v>
      </c>
      <c r="E28" s="91" t="s">
        <v>468</v>
      </c>
      <c r="F28" s="91" t="s">
        <v>469</v>
      </c>
      <c r="G28" s="91" t="s">
        <v>470</v>
      </c>
      <c r="H28" s="91"/>
      <c r="I28" s="91"/>
      <c r="J28" s="91"/>
      <c r="K28" s="288"/>
      <c r="L28" s="289"/>
    </row>
    <row r="29" spans="2:14" ht="52.5" customHeight="1">
      <c r="B29" s="336"/>
      <c r="C29" s="28" t="s">
        <v>132</v>
      </c>
      <c r="D29" s="95">
        <v>43124</v>
      </c>
      <c r="E29" s="95">
        <v>43166</v>
      </c>
      <c r="F29" s="95">
        <v>43516</v>
      </c>
      <c r="G29" s="95" t="s">
        <v>471</v>
      </c>
      <c r="H29" s="95"/>
      <c r="I29" s="95"/>
      <c r="J29" s="95"/>
      <c r="K29" s="288"/>
      <c r="L29" s="289"/>
    </row>
    <row r="30" spans="2:14" ht="54.75" customHeight="1">
      <c r="B30" s="336"/>
      <c r="C30" s="28" t="s">
        <v>133</v>
      </c>
      <c r="D30" s="95">
        <v>43519</v>
      </c>
      <c r="E30" s="95">
        <v>43525</v>
      </c>
      <c r="F30" s="95">
        <v>43803</v>
      </c>
      <c r="G30" s="95">
        <v>43096</v>
      </c>
      <c r="H30" s="95"/>
      <c r="I30" s="95"/>
      <c r="J30" s="95"/>
      <c r="K30" s="288"/>
      <c r="L30" s="289"/>
    </row>
    <row r="31" spans="2:14" ht="41.25" customHeight="1">
      <c r="B31" s="336"/>
      <c r="C31" s="28" t="s">
        <v>134</v>
      </c>
      <c r="D31" s="92">
        <v>2019</v>
      </c>
      <c r="E31" s="92">
        <v>2019</v>
      </c>
      <c r="F31" s="92">
        <v>2019</v>
      </c>
      <c r="G31" s="92">
        <v>2017</v>
      </c>
      <c r="H31" s="92"/>
      <c r="I31" s="92"/>
      <c r="J31" s="92"/>
      <c r="K31" s="288"/>
      <c r="L31" s="289"/>
    </row>
    <row r="32" spans="2:14" ht="63" customHeight="1">
      <c r="B32" s="336"/>
      <c r="C32" s="28" t="s">
        <v>135</v>
      </c>
      <c r="D32" s="91" t="s">
        <v>472</v>
      </c>
      <c r="E32" s="91" t="s">
        <v>473</v>
      </c>
      <c r="F32" s="91" t="s">
        <v>472</v>
      </c>
      <c r="G32" s="91" t="s">
        <v>474</v>
      </c>
      <c r="H32" s="91"/>
      <c r="I32" s="91"/>
      <c r="J32" s="91"/>
      <c r="K32" s="288"/>
      <c r="L32" s="289"/>
    </row>
    <row r="33" spans="2:12" ht="46.5" customHeight="1">
      <c r="B33" s="336"/>
      <c r="C33" s="28" t="s">
        <v>140</v>
      </c>
      <c r="D33" s="91" t="s">
        <v>462</v>
      </c>
      <c r="E33" s="91" t="s">
        <v>462</v>
      </c>
      <c r="F33" s="91" t="s">
        <v>462</v>
      </c>
      <c r="G33" s="91" t="s">
        <v>462</v>
      </c>
      <c r="H33" s="91"/>
      <c r="I33" s="91"/>
      <c r="J33" s="91"/>
      <c r="K33" s="288"/>
      <c r="L33" s="289"/>
    </row>
    <row r="34" spans="2:12" ht="27.75" customHeight="1">
      <c r="B34" s="336"/>
      <c r="C34" s="30" t="s">
        <v>144</v>
      </c>
      <c r="D34" s="96">
        <v>168</v>
      </c>
      <c r="E34" s="96">
        <v>170</v>
      </c>
      <c r="F34" s="96">
        <v>178</v>
      </c>
      <c r="G34" s="97">
        <v>161</v>
      </c>
      <c r="H34" s="97"/>
      <c r="I34" s="97"/>
      <c r="J34" s="97"/>
      <c r="K34" s="288"/>
      <c r="L34" s="289"/>
    </row>
    <row r="35" spans="2:12" ht="102.75" customHeight="1">
      <c r="B35" s="336"/>
      <c r="C35" s="28" t="s">
        <v>145</v>
      </c>
      <c r="D35" s="93">
        <v>25842.17</v>
      </c>
      <c r="E35" s="93">
        <v>12156.03</v>
      </c>
      <c r="F35" s="93">
        <v>8514.2800000000007</v>
      </c>
      <c r="G35" s="93">
        <v>9329.0300000000007</v>
      </c>
      <c r="H35" s="93"/>
      <c r="I35" s="93"/>
      <c r="J35" s="93"/>
      <c r="K35" s="290"/>
      <c r="L35" s="291"/>
    </row>
    <row r="36" spans="2:12" ht="48" customHeight="1">
      <c r="B36" s="336"/>
      <c r="C36" s="28" t="s">
        <v>146</v>
      </c>
      <c r="D36" s="105">
        <f>IFERROR(D35*VLOOKUP(D31,'DATOS INICIALES'!$A$12:$B$41,2,0),"0")</f>
        <v>21400314451.719997</v>
      </c>
      <c r="E36" s="105">
        <f>IFERROR(E35*VLOOKUP(E31,'DATOS INICIALES'!$A$12:$B$41,2,0),"0")</f>
        <v>10066602939.480001</v>
      </c>
      <c r="F36" s="105">
        <f>IFERROR(F35*VLOOKUP(F31,'DATOS INICIALES'!$A$12:$B$41,2,0),"0")</f>
        <v>7050811496.4800005</v>
      </c>
      <c r="G36" s="105">
        <f>IFERROR(G35*VLOOKUP(G31,'DATOS INICIALES'!$A$12:$B$41,2,0),"0")</f>
        <v>6882184024.5100002</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1</v>
      </c>
      <c r="E37" s="94">
        <v>1</v>
      </c>
      <c r="F37" s="94">
        <v>1</v>
      </c>
      <c r="G37" s="94">
        <v>1</v>
      </c>
      <c r="H37" s="94"/>
      <c r="I37" s="94"/>
      <c r="J37" s="94"/>
      <c r="K37" s="288"/>
      <c r="L37" s="289"/>
    </row>
    <row r="38" spans="2:12" ht="48.75" customHeight="1">
      <c r="B38" s="336"/>
      <c r="C38" s="28" t="s">
        <v>148</v>
      </c>
      <c r="D38" s="105">
        <f t="shared" ref="D38:J38" si="3">IF(D24="","0",D37*D36)</f>
        <v>21400314451.719997</v>
      </c>
      <c r="E38" s="105">
        <f t="shared" si="3"/>
        <v>10066602939.480001</v>
      </c>
      <c r="F38" s="105">
        <f t="shared" si="3"/>
        <v>7050811496.4800005</v>
      </c>
      <c r="G38" s="105">
        <f t="shared" si="3"/>
        <v>6882184024.5100002</v>
      </c>
      <c r="H38" s="105" t="str">
        <f t="shared" si="3"/>
        <v>0</v>
      </c>
      <c r="I38" s="105" t="str">
        <f t="shared" si="3"/>
        <v>0</v>
      </c>
      <c r="J38" s="105" t="str">
        <f t="shared" si="3"/>
        <v>0</v>
      </c>
      <c r="K38" s="288"/>
      <c r="L38" s="289"/>
    </row>
    <row r="39" spans="2:12" ht="65.25" customHeight="1">
      <c r="B39" s="336"/>
      <c r="C39" s="28" t="s">
        <v>149</v>
      </c>
      <c r="D39" s="106">
        <f t="shared" ref="D39:J39" si="4">IFERROR(D35*D37,"0")</f>
        <v>25842.17</v>
      </c>
      <c r="E39" s="106">
        <f t="shared" si="4"/>
        <v>12156.03</v>
      </c>
      <c r="F39" s="106">
        <f t="shared" si="4"/>
        <v>8514.2800000000007</v>
      </c>
      <c r="G39" s="106">
        <f t="shared" si="4"/>
        <v>9329.0300000000007</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t="s">
        <v>31</v>
      </c>
      <c r="H46" s="90"/>
      <c r="I46" s="90"/>
      <c r="J46" s="90"/>
      <c r="K46" s="288"/>
      <c r="L46" s="289"/>
    </row>
    <row r="47" spans="2:12" ht="24.75" customHeight="1">
      <c r="B47" s="327" t="s">
        <v>158</v>
      </c>
      <c r="C47" s="31">
        <f>+'DATOS INICIALES'!D21</f>
        <v>70101700</v>
      </c>
      <c r="D47" s="96" t="s">
        <v>27</v>
      </c>
      <c r="E47" s="96" t="s">
        <v>27</v>
      </c>
      <c r="F47" s="96" t="s">
        <v>27</v>
      </c>
      <c r="G47" s="96" t="s">
        <v>27</v>
      </c>
      <c r="H47" s="96"/>
      <c r="I47" s="96"/>
      <c r="J47" s="97"/>
      <c r="K47" s="288"/>
      <c r="L47" s="289"/>
    </row>
    <row r="48" spans="2:12" ht="24.75" customHeight="1">
      <c r="B48" s="328"/>
      <c r="C48" s="31">
        <f>+'DATOS INICIALES'!D22</f>
        <v>80101600</v>
      </c>
      <c r="D48" s="96" t="s">
        <v>27</v>
      </c>
      <c r="E48" s="96" t="s">
        <v>27</v>
      </c>
      <c r="F48" s="96" t="s">
        <v>27</v>
      </c>
      <c r="G48" s="96" t="s">
        <v>27</v>
      </c>
      <c r="H48" s="96"/>
      <c r="I48" s="96"/>
      <c r="J48" s="97"/>
      <c r="K48" s="288"/>
      <c r="L48" s="289"/>
    </row>
    <row r="49" spans="2:12" ht="24.75" customHeight="1">
      <c r="B49" s="328"/>
      <c r="C49" s="31">
        <f>+'DATOS INICIALES'!D23</f>
        <v>80101500</v>
      </c>
      <c r="D49" s="96" t="s">
        <v>27</v>
      </c>
      <c r="E49" s="96" t="s">
        <v>29</v>
      </c>
      <c r="F49" s="96" t="s">
        <v>29</v>
      </c>
      <c r="G49" s="96" t="s">
        <v>27</v>
      </c>
      <c r="H49" s="96"/>
      <c r="I49" s="96"/>
      <c r="J49" s="97"/>
      <c r="K49" s="288"/>
      <c r="L49" s="289"/>
    </row>
    <row r="50" spans="2:12" ht="24.75" customHeight="1">
      <c r="B50" s="328"/>
      <c r="C50" s="31">
        <f>+'DATOS INICIALES'!D24</f>
        <v>86101700</v>
      </c>
      <c r="D50" s="96" t="s">
        <v>27</v>
      </c>
      <c r="E50" s="96" t="s">
        <v>27</v>
      </c>
      <c r="F50" s="96" t="s">
        <v>27</v>
      </c>
      <c r="G50" s="96" t="s">
        <v>27</v>
      </c>
      <c r="H50" s="96"/>
      <c r="I50" s="96"/>
      <c r="J50" s="97"/>
      <c r="K50" s="288"/>
      <c r="L50" s="289"/>
    </row>
    <row r="51" spans="2:12" ht="24.75" customHeight="1">
      <c r="B51" s="328"/>
      <c r="C51" s="31">
        <f>+'DATOS INICIALES'!D25</f>
        <v>80161500</v>
      </c>
      <c r="D51" s="96"/>
      <c r="E51" s="96"/>
      <c r="F51" s="96"/>
      <c r="G51" s="96"/>
      <c r="H51" s="96"/>
      <c r="I51" s="96"/>
      <c r="J51" s="97"/>
      <c r="K51" s="288"/>
      <c r="L51" s="289"/>
    </row>
    <row r="52" spans="2:12" ht="24.75" customHeight="1">
      <c r="B52" s="328"/>
      <c r="C52" s="31">
        <f>+'DATOS INICIALES'!D26</f>
        <v>93141500</v>
      </c>
      <c r="D52" s="96"/>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CUMPLE</v>
      </c>
      <c r="H54" s="18" t="str">
        <f t="shared" si="9"/>
        <v>N/A</v>
      </c>
      <c r="I54" s="18" t="str">
        <f t="shared" si="9"/>
        <v>N/A</v>
      </c>
      <c r="J54" s="18" t="str">
        <f t="shared" si="9"/>
        <v>N/A</v>
      </c>
      <c r="K54" s="288"/>
      <c r="L54" s="289"/>
    </row>
    <row r="55" spans="2:12" ht="296.25" customHeight="1">
      <c r="B55" s="330" t="s">
        <v>160</v>
      </c>
      <c r="C55" s="331"/>
      <c r="D55" s="90" t="s">
        <v>31</v>
      </c>
      <c r="E55" s="90" t="s">
        <v>31</v>
      </c>
      <c r="F55" s="90" t="s">
        <v>31</v>
      </c>
      <c r="G55" s="90" t="s">
        <v>31</v>
      </c>
      <c r="H55" s="90"/>
      <c r="I55" s="90"/>
      <c r="J55" s="90"/>
      <c r="K55" s="295"/>
      <c r="L55" s="296"/>
    </row>
    <row r="56" spans="2:12" ht="353.25" hidden="1" customHeight="1">
      <c r="B56" s="330" t="s">
        <v>161</v>
      </c>
      <c r="C56" s="331"/>
      <c r="D56" s="90" t="s">
        <v>31</v>
      </c>
      <c r="E56" s="90" t="s">
        <v>31</v>
      </c>
      <c r="F56" s="90" t="s">
        <v>31</v>
      </c>
      <c r="G56" s="90" t="s">
        <v>31</v>
      </c>
      <c r="H56" s="90"/>
      <c r="I56" s="90"/>
      <c r="J56" s="90"/>
      <c r="K56" s="295"/>
      <c r="L56" s="296"/>
    </row>
    <row r="57" spans="2:12" ht="99" customHeight="1">
      <c r="B57" s="324" t="s">
        <v>162</v>
      </c>
      <c r="C57" s="325"/>
      <c r="D57" s="90" t="s">
        <v>31</v>
      </c>
      <c r="E57" s="90" t="s">
        <v>31</v>
      </c>
      <c r="F57" s="90" t="s">
        <v>31</v>
      </c>
      <c r="G57" s="90" t="s">
        <v>31</v>
      </c>
      <c r="H57" s="90"/>
      <c r="I57" s="90"/>
      <c r="J57" s="90"/>
      <c r="K57" s="288"/>
      <c r="L57" s="289"/>
    </row>
    <row r="58" spans="2:12" ht="105.75" customHeight="1">
      <c r="B58" s="324" t="s">
        <v>163</v>
      </c>
      <c r="C58" s="325"/>
      <c r="D58" s="90" t="s">
        <v>31</v>
      </c>
      <c r="E58" s="90" t="s">
        <v>31</v>
      </c>
      <c r="F58" s="90" t="s">
        <v>31</v>
      </c>
      <c r="G58" s="90" t="s">
        <v>31</v>
      </c>
      <c r="H58" s="90"/>
      <c r="I58" s="90"/>
      <c r="J58" s="90"/>
      <c r="K58" s="288"/>
      <c r="L58" s="289"/>
    </row>
    <row r="59" spans="2:12" ht="291.75" customHeight="1">
      <c r="B59" s="324" t="s">
        <v>164</v>
      </c>
      <c r="C59" s="325"/>
      <c r="D59" s="90" t="s">
        <v>30</v>
      </c>
      <c r="E59" s="90" t="s">
        <v>30</v>
      </c>
      <c r="F59" s="90" t="s">
        <v>30</v>
      </c>
      <c r="G59" s="90" t="s">
        <v>30</v>
      </c>
      <c r="H59" s="90"/>
      <c r="I59" s="90"/>
      <c r="J59" s="90"/>
      <c r="K59" s="288"/>
      <c r="L59" s="289"/>
    </row>
    <row r="60" spans="2:12" ht="336" customHeight="1">
      <c r="B60" s="229" t="s">
        <v>165</v>
      </c>
      <c r="C60" s="229"/>
      <c r="D60" s="90" t="s">
        <v>31</v>
      </c>
      <c r="E60" s="90" t="s">
        <v>31</v>
      </c>
      <c r="F60" s="90" t="s">
        <v>31</v>
      </c>
      <c r="G60" s="90" t="s">
        <v>31</v>
      </c>
      <c r="H60" s="90"/>
      <c r="I60" s="90"/>
      <c r="J60" s="90"/>
      <c r="K60" s="290"/>
      <c r="L60" s="291"/>
    </row>
    <row r="61" spans="2:12" ht="129.75" customHeight="1">
      <c r="B61" s="338" t="s">
        <v>166</v>
      </c>
      <c r="C61" s="339"/>
      <c r="D61" s="90" t="s">
        <v>30</v>
      </c>
      <c r="E61" s="90" t="s">
        <v>30</v>
      </c>
      <c r="F61" s="90" t="s">
        <v>30</v>
      </c>
      <c r="G61" s="90" t="s">
        <v>30</v>
      </c>
      <c r="H61" s="90"/>
      <c r="I61" s="90"/>
      <c r="J61" s="90"/>
      <c r="K61" s="288"/>
      <c r="L61" s="289"/>
    </row>
    <row r="62" spans="2:12" ht="408.75" customHeight="1">
      <c r="B62" s="326" t="s">
        <v>167</v>
      </c>
      <c r="C62" s="326"/>
      <c r="D62" s="90" t="s">
        <v>30</v>
      </c>
      <c r="E62" s="90" t="s">
        <v>30</v>
      </c>
      <c r="F62" s="90" t="s">
        <v>30</v>
      </c>
      <c r="G62" s="90" t="s">
        <v>30</v>
      </c>
      <c r="H62" s="90"/>
      <c r="I62" s="90"/>
      <c r="J62" s="90"/>
      <c r="K62" s="288"/>
      <c r="L62" s="289"/>
    </row>
    <row r="63" spans="2:12" ht="234.75" customHeight="1">
      <c r="B63" s="229" t="s">
        <v>168</v>
      </c>
      <c r="C63" s="229"/>
      <c r="D63" s="90" t="s">
        <v>31</v>
      </c>
      <c r="E63" s="90" t="s">
        <v>31</v>
      </c>
      <c r="F63" s="90" t="s">
        <v>31</v>
      </c>
      <c r="G63" s="90" t="s">
        <v>31</v>
      </c>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CUMPLE</v>
      </c>
      <c r="H64" s="18" t="str">
        <f t="shared" si="10"/>
        <v>N/A</v>
      </c>
      <c r="I64" s="18" t="str">
        <f t="shared" si="10"/>
        <v>N/A</v>
      </c>
      <c r="J64" s="18" t="str">
        <f t="shared" si="10"/>
        <v>N/A</v>
      </c>
      <c r="K64" s="166"/>
      <c r="L64" s="167"/>
    </row>
    <row r="65" spans="2:12" ht="81.75" customHeight="1">
      <c r="B65" s="229" t="s">
        <v>170</v>
      </c>
      <c r="C65" s="229"/>
      <c r="D65" s="90" t="s">
        <v>31</v>
      </c>
      <c r="E65" s="90" t="s">
        <v>31</v>
      </c>
      <c r="F65" s="90" t="s">
        <v>31</v>
      </c>
      <c r="G65" s="90" t="s">
        <v>31</v>
      </c>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72" priority="13">
      <formula>LEN(TRIM(D25))=0</formula>
    </cfRule>
    <cfRule type="notContainsErrors" dxfId="171" priority="14">
      <formula>NOT(ISERROR(D25))</formula>
    </cfRule>
  </conditionalFormatting>
  <conditionalFormatting sqref="D34:J34 D24:K24 D37:J37 D40:J40 D43:J43 D46:J53 D55:J63 K64:L64 D65:K65">
    <cfRule type="containsBlanks" dxfId="170" priority="15">
      <formula>LEN(TRIM(D24))=0</formula>
    </cfRule>
  </conditionalFormatting>
  <conditionalFormatting sqref="D46:J53">
    <cfRule type="cellIs" dxfId="169" priority="11" operator="equal">
      <formula>"NO CUMPLE"</formula>
    </cfRule>
    <cfRule type="cellIs" dxfId="168" priority="12" operator="equal">
      <formula>"CUMPLE"</formula>
    </cfRule>
  </conditionalFormatting>
  <conditionalFormatting sqref="D54:J54">
    <cfRule type="cellIs" dxfId="167" priority="27" operator="equal">
      <formula>"""CUMPLE"""</formula>
    </cfRule>
    <cfRule type="cellIs" dxfId="166" priority="26" operator="equal">
      <formula>"NO CUMPLE"</formula>
    </cfRule>
    <cfRule type="cellIs" dxfId="165" priority="25" operator="equal">
      <formula>"CUMPLE"</formula>
    </cfRule>
    <cfRule type="cellIs" dxfId="164" priority="21" operator="equal">
      <formula>"N/A"</formula>
    </cfRule>
  </conditionalFormatting>
  <conditionalFormatting sqref="D55:J63">
    <cfRule type="cellIs" dxfId="163" priority="3" operator="equal">
      <formula>"NO CUMPLE"</formula>
    </cfRule>
    <cfRule type="cellIs" dxfId="162" priority="4" operator="equal">
      <formula>"CUMPLE"</formula>
    </cfRule>
  </conditionalFormatting>
  <conditionalFormatting sqref="D64:J64">
    <cfRule type="cellIs" dxfId="161" priority="19" operator="equal">
      <formula>"NO CUMPLE"</formula>
    </cfRule>
    <cfRule type="cellIs" dxfId="160" priority="20" operator="equal">
      <formula>"""CUMPLE"""</formula>
    </cfRule>
    <cfRule type="cellIs" dxfId="159" priority="17" operator="equal">
      <formula>"N/A"</formula>
    </cfRule>
    <cfRule type="cellIs" dxfId="158" priority="18" operator="equal">
      <formula>"CUMPLE"</formula>
    </cfRule>
  </conditionalFormatting>
  <conditionalFormatting sqref="D65:J65">
    <cfRule type="cellIs" dxfId="157" priority="9" operator="equal">
      <formula>"NO CUMPLE"</formula>
    </cfRule>
    <cfRule type="cellIs" dxfId="156" priority="10" operator="equal">
      <formula>"CUMPLE"</formula>
    </cfRule>
  </conditionalFormatting>
  <conditionalFormatting sqref="D24:K24 D34:J34 D37:J37 D40:J40 D43:J43 D46:J53 D55:J63 K64:L64 D65:K65">
    <cfRule type="notContainsErrors" dxfId="155" priority="16">
      <formula>NOT(ISERROR(D24))</formula>
    </cfRule>
  </conditionalFormatting>
  <conditionalFormatting sqref="F20:H20">
    <cfRule type="cellIs" dxfId="154" priority="31" operator="equal">
      <formula>"CUMPLE"</formula>
    </cfRule>
    <cfRule type="cellIs" dxfId="153" priority="32" operator="equal">
      <formula>"NO CUMPLE"</formula>
    </cfRule>
    <cfRule type="cellIs" dxfId="152" priority="33" operator="equal">
      <formula>"""CUMPLE"""</formula>
    </cfRule>
  </conditionalFormatting>
  <conditionalFormatting sqref="I11">
    <cfRule type="containsText" dxfId="151" priority="37" operator="containsText" text="NO CUMPLE">
      <formula>NOT(ISERROR(SEARCH("NO CUMPLE",I11)))</formula>
    </cfRule>
    <cfRule type="containsText" dxfId="150" priority="34" operator="containsText" text="INHABILITADO">
      <formula>NOT(ISERROR(SEARCH("INHABILITADO",I11)))</formula>
    </cfRule>
    <cfRule type="containsText" dxfId="149" priority="35" operator="containsText" text="HABILITADO">
      <formula>NOT(ISERROR(SEARCH("HABILITADO",I11)))</formula>
    </cfRule>
    <cfRule type="containsText" dxfId="148" priority="36" operator="containsText" text="HABILITADO">
      <formula>NOT(ISERROR(SEARCH("HABILITADO",I11)))</formula>
    </cfRule>
  </conditionalFormatting>
  <conditionalFormatting sqref="J20">
    <cfRule type="cellIs" dxfId="147" priority="8" operator="equal">
      <formula>"SI"</formula>
    </cfRule>
    <cfRule type="cellIs" dxfId="146" priority="7" operator="equal">
      <formula>"NO"</formula>
    </cfRule>
  </conditionalFormatting>
  <conditionalFormatting sqref="K19">
    <cfRule type="cellIs" dxfId="145" priority="22" operator="equal">
      <formula>"CUMPLE"</formula>
    </cfRule>
    <cfRule type="cellIs" dxfId="144" priority="23" operator="equal">
      <formula>"NO CUMPLE"</formula>
    </cfRule>
    <cfRule type="cellIs" dxfId="143" priority="24" operator="equal">
      <formula>"""CUMPLE"""</formula>
    </cfRule>
  </conditionalFormatting>
  <conditionalFormatting sqref="K25:K63">
    <cfRule type="notContainsErrors" dxfId="142" priority="2">
      <formula>NOT(ISERROR(K25))</formula>
    </cfRule>
    <cfRule type="containsBlanks" dxfId="141" priority="1">
      <formula>LEN(TRIM(K25))=0</formula>
    </cfRule>
  </conditionalFormatting>
  <conditionalFormatting sqref="L15">
    <cfRule type="cellIs" dxfId="140" priority="28" operator="equal">
      <formula>"CUMPLE"</formula>
    </cfRule>
    <cfRule type="cellIs" dxfId="139" priority="29" operator="equal">
      <formula>"NO CUMPLE"</formula>
    </cfRule>
    <cfRule type="cellIs" dxfId="138" priority="30" operator="equal">
      <formula>"""CUMPLE"""</formula>
    </cfRule>
  </conditionalFormatting>
  <conditionalFormatting sqref="L20">
    <cfRule type="cellIs" dxfId="137" priority="5" operator="equal">
      <formula>"NO"</formula>
    </cfRule>
    <cfRule type="cellIs" dxfId="136" priority="6" operator="equal">
      <formula>"SI"</formula>
    </cfRule>
  </conditionalFormatting>
  <dataValidations count="3">
    <dataValidation type="list" allowBlank="1" showInputMessage="1" showErrorMessage="1" sqref="D65:I65" xr:uid="{00000000-0002-0000-1C00-000000000000}">
      <formula1>"CUMPLE,NO CUMPLE"</formula1>
    </dataValidation>
    <dataValidation type="list" allowBlank="1" showInputMessage="1" showErrorMessage="1" sqref="D24:J26" xr:uid="{00000000-0002-0000-1C00-000001000000}">
      <formula1>$C$15:$C$19</formula1>
    </dataValidation>
    <dataValidation type="list" allowBlank="1" showInputMessage="1" showErrorMessage="1" sqref="L57:L64" xr:uid="{00000000-0002-0000-1C00-000002000000}">
      <formula1>"0,1,2,3,4,5,6"</formula1>
    </dataValidation>
  </dataValidations>
  <printOptions horizontalCentered="1"/>
  <pageMargins left="0.51181102362204722" right="0.51181102362204722" top="0.74803149606299213" bottom="0.74803149606299213" header="0.31496062992125984" footer="0.31496062992125984"/>
  <pageSetup scale="31"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C00-000003000000}">
          <x14:formula1>
            <xm:f>'DATOS INICIALES'!$A$13:$A$41</xm:f>
          </x14:formula1>
          <xm:sqref>D31:I31</xm:sqref>
        </x14:dataValidation>
        <x14:dataValidation type="list" allowBlank="1" showInputMessage="1" showErrorMessage="1" xr:uid="{00000000-0002-0000-1C00-000004000000}">
          <x14:formula1>
            <xm:f>'DATOS INICIALES'!$D$21:$D$25</xm:f>
          </x14:formula1>
          <xm:sqref>M47:M54</xm:sqref>
        </x14:dataValidation>
        <x14:dataValidation type="list" allowBlank="1" showInputMessage="1" showErrorMessage="1" xr:uid="{00000000-0002-0000-1C00-000005000000}">
          <x14:formula1>
            <xm:f>'DATOS INICIALES'!$A$53:$A$58</xm:f>
          </x14:formula1>
          <xm:sqref>D23:I23</xm:sqref>
        </x14:dataValidation>
        <x14:dataValidation type="list" allowBlank="1" showInputMessage="1" showErrorMessage="1" xr:uid="{00000000-0002-0000-1C00-000006000000}">
          <x14:formula1>
            <xm:f>'DATOS INICIALES'!$A$49:$A$51</xm:f>
          </x14:formula1>
          <xm:sqref>D55:I57 D58:J63 J55:J56 D46:J46</xm:sqref>
        </x14:dataValidation>
        <x14:dataValidation type="list" allowBlank="1" showInputMessage="1" showErrorMessage="1" xr:uid="{00000000-0002-0000-1C00-000007000000}">
          <x14:formula1>
            <xm:f>'DATOS INICIALES'!$C$44:$C$45</xm:f>
          </x14:formula1>
          <xm:sqref>J47:J52 D47:I53</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65"/>
  <sheetViews>
    <sheetView view="pageBreakPreview" zoomScale="55" zoomScaleNormal="55" zoomScaleSheetLayoutView="55"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+PROPONENTES!B35</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1</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31624.057499999995</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IF(VLOOKUP(C11,PUNTAJE!B15:AF154,27,FALSE)=0.25,"SI","NO")</f>
        <v>#N/A</v>
      </c>
      <c r="K20" s="38" t="s">
        <v>113</v>
      </c>
      <c r="L20" s="143" t="e">
        <f>IF(VLOOKUP(C11,PUNTAJE!B15:AF154,31,FALSE)=0.25,"SI","NO")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475</v>
      </c>
      <c r="E24" s="90"/>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476</v>
      </c>
      <c r="E27" s="91"/>
      <c r="F27" s="91"/>
      <c r="G27" s="91"/>
      <c r="H27" s="91"/>
      <c r="I27" s="91"/>
      <c r="J27" s="91"/>
      <c r="K27" s="288"/>
      <c r="L27" s="289"/>
    </row>
    <row r="28" spans="2:14" ht="156.75" customHeight="1">
      <c r="B28" s="336"/>
      <c r="C28" s="28" t="s">
        <v>127</v>
      </c>
      <c r="D28" s="91" t="s">
        <v>477</v>
      </c>
      <c r="E28" s="91"/>
      <c r="F28" s="91"/>
      <c r="G28" s="91"/>
      <c r="H28" s="91"/>
      <c r="I28" s="91"/>
      <c r="J28" s="91"/>
      <c r="K28" s="288"/>
      <c r="L28" s="289"/>
    </row>
    <row r="29" spans="2:14" ht="52.5" customHeight="1">
      <c r="B29" s="336"/>
      <c r="C29" s="28" t="s">
        <v>132</v>
      </c>
      <c r="D29" s="95">
        <v>38873</v>
      </c>
      <c r="E29" s="95"/>
      <c r="F29" s="95"/>
      <c r="G29" s="95"/>
      <c r="H29" s="95"/>
      <c r="I29" s="95"/>
      <c r="J29" s="95"/>
      <c r="K29" s="288"/>
      <c r="L29" s="289"/>
    </row>
    <row r="30" spans="2:14" ht="54.75" customHeight="1">
      <c r="B30" s="336"/>
      <c r="C30" s="28" t="s">
        <v>133</v>
      </c>
      <c r="D30" s="95">
        <v>39741</v>
      </c>
      <c r="E30" s="95"/>
      <c r="F30" s="95"/>
      <c r="G30" s="95"/>
      <c r="H30" s="95"/>
      <c r="I30" s="95"/>
      <c r="J30" s="95"/>
      <c r="K30" s="288"/>
      <c r="L30" s="289"/>
    </row>
    <row r="31" spans="2:14" ht="41.25" customHeight="1">
      <c r="B31" s="336"/>
      <c r="C31" s="28" t="s">
        <v>134</v>
      </c>
      <c r="D31" s="92">
        <v>2008</v>
      </c>
      <c r="E31" s="92"/>
      <c r="F31" s="92"/>
      <c r="G31" s="92"/>
      <c r="H31" s="92"/>
      <c r="I31" s="92"/>
      <c r="J31" s="92"/>
      <c r="K31" s="288"/>
      <c r="L31" s="289"/>
    </row>
    <row r="32" spans="2:14" ht="63" customHeight="1">
      <c r="B32" s="336"/>
      <c r="C32" s="28" t="s">
        <v>135</v>
      </c>
      <c r="D32" s="91" t="s">
        <v>478</v>
      </c>
      <c r="E32" s="91"/>
      <c r="F32" s="91"/>
      <c r="G32" s="91"/>
      <c r="H32" s="91"/>
      <c r="I32" s="91"/>
      <c r="J32" s="91"/>
      <c r="K32" s="288"/>
      <c r="L32" s="289"/>
    </row>
    <row r="33" spans="2:12" ht="46.5" customHeight="1">
      <c r="B33" s="336"/>
      <c r="C33" s="28" t="s">
        <v>140</v>
      </c>
      <c r="D33" s="91" t="s">
        <v>479</v>
      </c>
      <c r="E33" s="91"/>
      <c r="F33" s="91"/>
      <c r="G33" s="91"/>
      <c r="H33" s="91"/>
      <c r="I33" s="91"/>
      <c r="J33" s="91"/>
      <c r="K33" s="288"/>
      <c r="L33" s="289"/>
    </row>
    <row r="34" spans="2:12" ht="27.75" customHeight="1">
      <c r="B34" s="336"/>
      <c r="C34" s="30" t="s">
        <v>144</v>
      </c>
      <c r="D34" s="96">
        <v>5</v>
      </c>
      <c r="E34" s="96"/>
      <c r="F34" s="96"/>
      <c r="G34" s="97"/>
      <c r="H34" s="97"/>
      <c r="I34" s="97"/>
      <c r="J34" s="97"/>
      <c r="K34" s="288"/>
      <c r="L34" s="289"/>
    </row>
    <row r="35" spans="2:12" ht="102.75" customHeight="1">
      <c r="B35" s="336"/>
      <c r="C35" s="28" t="s">
        <v>145</v>
      </c>
      <c r="D35" s="93">
        <v>90354.45</v>
      </c>
      <c r="E35" s="93"/>
      <c r="F35" s="93"/>
      <c r="G35" s="93"/>
      <c r="H35" s="93"/>
      <c r="I35" s="93"/>
      <c r="J35" s="93"/>
      <c r="K35" s="290"/>
      <c r="L35" s="291"/>
    </row>
    <row r="36" spans="2:12" ht="48" customHeight="1">
      <c r="B36" s="336"/>
      <c r="C36" s="28" t="s">
        <v>146</v>
      </c>
      <c r="D36" s="105">
        <f>IFERROR(D35*VLOOKUP(D31,'DATOS INICIALES'!$A$12:$B$41,2,0),"0")</f>
        <v>41698578675</v>
      </c>
      <c r="E36" s="105" t="str">
        <f>IFERROR(E35*VLOOKUP(E31,'DATOS INICIALES'!$A$12:$B$41,2,0),"0")</f>
        <v>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0.35</v>
      </c>
      <c r="E37" s="94"/>
      <c r="F37" s="94"/>
      <c r="G37" s="94"/>
      <c r="H37" s="94"/>
      <c r="I37" s="94"/>
      <c r="J37" s="94"/>
      <c r="K37" s="288"/>
      <c r="L37" s="289"/>
    </row>
    <row r="38" spans="2:12" ht="48.75" customHeight="1">
      <c r="B38" s="336"/>
      <c r="C38" s="28" t="s">
        <v>148</v>
      </c>
      <c r="D38" s="105">
        <f t="shared" ref="D38:J38" si="3">IF(D24="","0",D37*D36)</f>
        <v>14594502536.25</v>
      </c>
      <c r="E38" s="105" t="str">
        <f t="shared" si="3"/>
        <v>0</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31624.057499999995</v>
      </c>
      <c r="E39" s="106">
        <f t="shared" si="4"/>
        <v>0</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c r="F46" s="90"/>
      <c r="G46" s="90"/>
      <c r="H46" s="90"/>
      <c r="I46" s="90"/>
      <c r="J46" s="90"/>
      <c r="K46" s="288"/>
      <c r="L46" s="289"/>
    </row>
    <row r="47" spans="2:12" ht="24.75" customHeight="1">
      <c r="B47" s="327" t="s">
        <v>158</v>
      </c>
      <c r="C47" s="31">
        <f>+'DATOS INICIALES'!D21</f>
        <v>70101700</v>
      </c>
      <c r="D47" s="96" t="s">
        <v>29</v>
      </c>
      <c r="E47" s="96"/>
      <c r="F47" s="96"/>
      <c r="G47" s="96"/>
      <c r="H47" s="96"/>
      <c r="I47" s="96"/>
      <c r="J47" s="97"/>
      <c r="K47" s="288"/>
      <c r="L47" s="289"/>
    </row>
    <row r="48" spans="2:12" ht="24.75" customHeight="1">
      <c r="B48" s="328"/>
      <c r="C48" s="31">
        <f>+'DATOS INICIALES'!D22</f>
        <v>80101600</v>
      </c>
      <c r="D48" s="96" t="s">
        <v>27</v>
      </c>
      <c r="E48" s="96"/>
      <c r="F48" s="96"/>
      <c r="G48" s="96"/>
      <c r="H48" s="96"/>
      <c r="I48" s="96"/>
      <c r="J48" s="97"/>
      <c r="K48" s="288"/>
      <c r="L48" s="289"/>
    </row>
    <row r="49" spans="2:12" ht="24.75" customHeight="1">
      <c r="B49" s="328"/>
      <c r="C49" s="31">
        <f>+'DATOS INICIALES'!D23</f>
        <v>80101500</v>
      </c>
      <c r="D49" s="96" t="s">
        <v>29</v>
      </c>
      <c r="E49" s="96"/>
      <c r="F49" s="96"/>
      <c r="G49" s="96"/>
      <c r="H49" s="96"/>
      <c r="I49" s="96"/>
      <c r="J49" s="97"/>
      <c r="K49" s="288"/>
      <c r="L49" s="289"/>
    </row>
    <row r="50" spans="2:12" ht="24.75" customHeight="1">
      <c r="B50" s="328"/>
      <c r="C50" s="31">
        <f>+'DATOS INICIALES'!D24</f>
        <v>86101700</v>
      </c>
      <c r="D50" s="96" t="s">
        <v>27</v>
      </c>
      <c r="E50" s="96"/>
      <c r="F50" s="96"/>
      <c r="G50" s="96"/>
      <c r="H50" s="96"/>
      <c r="I50" s="96"/>
      <c r="J50" s="97"/>
      <c r="K50" s="288"/>
      <c r="L50" s="289"/>
    </row>
    <row r="51" spans="2:12" ht="24.75" customHeight="1">
      <c r="B51" s="328"/>
      <c r="C51" s="31">
        <f>+'DATOS INICIALES'!D25</f>
        <v>80161500</v>
      </c>
      <c r="D51" s="96" t="s">
        <v>27</v>
      </c>
      <c r="E51" s="96"/>
      <c r="F51" s="96"/>
      <c r="G51" s="96"/>
      <c r="H51" s="96"/>
      <c r="I51" s="96"/>
      <c r="J51" s="97"/>
      <c r="K51" s="288"/>
      <c r="L51" s="289"/>
    </row>
    <row r="52" spans="2:12" ht="24.75" customHeight="1">
      <c r="B52" s="328"/>
      <c r="C52" s="31">
        <f>+'DATOS INICIALES'!D26</f>
        <v>93141500</v>
      </c>
      <c r="D52" s="96"/>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N/A</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c r="F55" s="90"/>
      <c r="G55" s="90"/>
      <c r="H55" s="90"/>
      <c r="I55" s="90"/>
      <c r="J55" s="90"/>
      <c r="K55" s="295"/>
      <c r="L55" s="296"/>
    </row>
    <row r="56" spans="2:12" ht="353.25" hidden="1" customHeight="1">
      <c r="B56" s="330" t="s">
        <v>161</v>
      </c>
      <c r="C56" s="331"/>
      <c r="D56" s="90" t="s">
        <v>31</v>
      </c>
      <c r="E56" s="90"/>
      <c r="F56" s="90"/>
      <c r="G56" s="90"/>
      <c r="H56" s="90"/>
      <c r="I56" s="90"/>
      <c r="J56" s="90"/>
      <c r="K56" s="295"/>
      <c r="L56" s="296"/>
    </row>
    <row r="57" spans="2:12" ht="99" customHeight="1">
      <c r="B57" s="324" t="s">
        <v>162</v>
      </c>
      <c r="C57" s="325"/>
      <c r="D57" s="90" t="s">
        <v>31</v>
      </c>
      <c r="E57" s="90"/>
      <c r="F57" s="90"/>
      <c r="G57" s="90"/>
      <c r="H57" s="90"/>
      <c r="I57" s="90"/>
      <c r="J57" s="90"/>
      <c r="K57" s="288"/>
      <c r="L57" s="289"/>
    </row>
    <row r="58" spans="2:12" ht="105.75" customHeight="1">
      <c r="B58" s="324" t="s">
        <v>163</v>
      </c>
      <c r="C58" s="325"/>
      <c r="D58" s="90" t="s">
        <v>31</v>
      </c>
      <c r="E58" s="90"/>
      <c r="F58" s="90"/>
      <c r="G58" s="90"/>
      <c r="H58" s="90"/>
      <c r="I58" s="90"/>
      <c r="J58" s="90"/>
      <c r="K58" s="288"/>
      <c r="L58" s="289"/>
    </row>
    <row r="59" spans="2:12" ht="291.75" customHeight="1">
      <c r="B59" s="324" t="s">
        <v>164</v>
      </c>
      <c r="C59" s="325"/>
      <c r="D59" s="90" t="s">
        <v>30</v>
      </c>
      <c r="E59" s="90"/>
      <c r="F59" s="90"/>
      <c r="G59" s="90"/>
      <c r="H59" s="90"/>
      <c r="I59" s="90"/>
      <c r="J59" s="90"/>
      <c r="K59" s="288"/>
      <c r="L59" s="289"/>
    </row>
    <row r="60" spans="2:12" ht="336" customHeight="1">
      <c r="B60" s="229" t="s">
        <v>165</v>
      </c>
      <c r="C60" s="229"/>
      <c r="D60" s="90" t="s">
        <v>31</v>
      </c>
      <c r="E60" s="90"/>
      <c r="F60" s="90"/>
      <c r="G60" s="90"/>
      <c r="H60" s="90"/>
      <c r="I60" s="90"/>
      <c r="J60" s="90"/>
      <c r="K60" s="290"/>
      <c r="L60" s="291"/>
    </row>
    <row r="61" spans="2:12" ht="129.75" customHeight="1">
      <c r="B61" s="338" t="s">
        <v>166</v>
      </c>
      <c r="C61" s="339"/>
      <c r="D61" s="90" t="s">
        <v>30</v>
      </c>
      <c r="E61" s="90"/>
      <c r="F61" s="90"/>
      <c r="G61" s="90"/>
      <c r="H61" s="90"/>
      <c r="I61" s="90"/>
      <c r="J61" s="90"/>
      <c r="K61" s="288"/>
      <c r="L61" s="289"/>
    </row>
    <row r="62" spans="2:12" ht="408.75" customHeight="1">
      <c r="B62" s="326" t="s">
        <v>167</v>
      </c>
      <c r="C62" s="326"/>
      <c r="D62" s="90" t="s">
        <v>30</v>
      </c>
      <c r="E62" s="90"/>
      <c r="F62" s="90"/>
      <c r="G62" s="90"/>
      <c r="H62" s="90"/>
      <c r="I62" s="90"/>
      <c r="J62" s="90"/>
      <c r="K62" s="288"/>
      <c r="L62" s="289"/>
    </row>
    <row r="63" spans="2:12" ht="234.75" customHeight="1">
      <c r="B63" s="229" t="s">
        <v>168</v>
      </c>
      <c r="C63" s="229"/>
      <c r="D63" s="90" t="s">
        <v>31</v>
      </c>
      <c r="E63" s="90"/>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N/A</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t="s">
        <v>31</v>
      </c>
      <c r="E65" s="90"/>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35" priority="13">
      <formula>LEN(TRIM(D25))=0</formula>
    </cfRule>
    <cfRule type="notContainsErrors" dxfId="134" priority="14">
      <formula>NOT(ISERROR(D25))</formula>
    </cfRule>
  </conditionalFormatting>
  <conditionalFormatting sqref="D34:J34 D24:K24 D37:J37 D40:J40 D43:J43 D46:J53 D55:J63 K64:L64 D65:K65">
    <cfRule type="containsBlanks" dxfId="133" priority="15">
      <formula>LEN(TRIM(D24))=0</formula>
    </cfRule>
  </conditionalFormatting>
  <conditionalFormatting sqref="D46:J53">
    <cfRule type="cellIs" dxfId="132" priority="11" operator="equal">
      <formula>"NO CUMPLE"</formula>
    </cfRule>
    <cfRule type="cellIs" dxfId="131" priority="12" operator="equal">
      <formula>"CUMPLE"</formula>
    </cfRule>
  </conditionalFormatting>
  <conditionalFormatting sqref="D54:J54">
    <cfRule type="cellIs" dxfId="130" priority="27" operator="equal">
      <formula>"""CUMPLE"""</formula>
    </cfRule>
    <cfRule type="cellIs" dxfId="129" priority="26" operator="equal">
      <formula>"NO CUMPLE"</formula>
    </cfRule>
    <cfRule type="cellIs" dxfId="128" priority="25" operator="equal">
      <formula>"CUMPLE"</formula>
    </cfRule>
    <cfRule type="cellIs" dxfId="127" priority="21" operator="equal">
      <formula>"N/A"</formula>
    </cfRule>
  </conditionalFormatting>
  <conditionalFormatting sqref="D55:J63">
    <cfRule type="cellIs" dxfId="126" priority="3" operator="equal">
      <formula>"NO CUMPLE"</formula>
    </cfRule>
    <cfRule type="cellIs" dxfId="125" priority="4" operator="equal">
      <formula>"CUMPLE"</formula>
    </cfRule>
  </conditionalFormatting>
  <conditionalFormatting sqref="D64:J64">
    <cfRule type="cellIs" dxfId="124" priority="19" operator="equal">
      <formula>"NO CUMPLE"</formula>
    </cfRule>
    <cfRule type="cellIs" dxfId="123" priority="20" operator="equal">
      <formula>"""CUMPLE"""</formula>
    </cfRule>
    <cfRule type="cellIs" dxfId="122" priority="17" operator="equal">
      <formula>"N/A"</formula>
    </cfRule>
    <cfRule type="cellIs" dxfId="121" priority="18" operator="equal">
      <formula>"CUMPLE"</formula>
    </cfRule>
  </conditionalFormatting>
  <conditionalFormatting sqref="D65:J65">
    <cfRule type="cellIs" dxfId="120" priority="9" operator="equal">
      <formula>"NO CUMPLE"</formula>
    </cfRule>
    <cfRule type="cellIs" dxfId="119" priority="10" operator="equal">
      <formula>"CUMPLE"</formula>
    </cfRule>
  </conditionalFormatting>
  <conditionalFormatting sqref="D24:K24 D34:J34 D37:J37 D40:J40 D43:J43 D46:J53 D55:J63 K64:L64 D65:K65">
    <cfRule type="notContainsErrors" dxfId="118" priority="16">
      <formula>NOT(ISERROR(D24))</formula>
    </cfRule>
  </conditionalFormatting>
  <conditionalFormatting sqref="F20:H20">
    <cfRule type="cellIs" dxfId="117" priority="31" operator="equal">
      <formula>"CUMPLE"</formula>
    </cfRule>
    <cfRule type="cellIs" dxfId="116" priority="32" operator="equal">
      <formula>"NO CUMPLE"</formula>
    </cfRule>
    <cfRule type="cellIs" dxfId="115" priority="33" operator="equal">
      <formula>"""CUMPLE"""</formula>
    </cfRule>
  </conditionalFormatting>
  <conditionalFormatting sqref="I11">
    <cfRule type="containsText" dxfId="114" priority="37" operator="containsText" text="NO CUMPLE">
      <formula>NOT(ISERROR(SEARCH("NO CUMPLE",I11)))</formula>
    </cfRule>
    <cfRule type="containsText" dxfId="113" priority="34" operator="containsText" text="INHABILITADO">
      <formula>NOT(ISERROR(SEARCH("INHABILITADO",I11)))</formula>
    </cfRule>
    <cfRule type="containsText" dxfId="112" priority="35" operator="containsText" text="HABILITADO">
      <formula>NOT(ISERROR(SEARCH("HABILITADO",I11)))</formula>
    </cfRule>
    <cfRule type="containsText" dxfId="111" priority="36" operator="containsText" text="HABILITADO">
      <formula>NOT(ISERROR(SEARCH("HABILITADO",I11)))</formula>
    </cfRule>
  </conditionalFormatting>
  <conditionalFormatting sqref="J20">
    <cfRule type="cellIs" dxfId="110" priority="8" operator="equal">
      <formula>"SI"</formula>
    </cfRule>
    <cfRule type="cellIs" dxfId="109" priority="7" operator="equal">
      <formula>"NO"</formula>
    </cfRule>
  </conditionalFormatting>
  <conditionalFormatting sqref="K19">
    <cfRule type="cellIs" dxfId="108" priority="22" operator="equal">
      <formula>"CUMPLE"</formula>
    </cfRule>
    <cfRule type="cellIs" dxfId="107" priority="23" operator="equal">
      <formula>"NO CUMPLE"</formula>
    </cfRule>
    <cfRule type="cellIs" dxfId="106" priority="24" operator="equal">
      <formula>"""CUMPLE"""</formula>
    </cfRule>
  </conditionalFormatting>
  <conditionalFormatting sqref="K25:K63">
    <cfRule type="notContainsErrors" dxfId="105" priority="2">
      <formula>NOT(ISERROR(K25))</formula>
    </cfRule>
    <cfRule type="containsBlanks" dxfId="104" priority="1">
      <formula>LEN(TRIM(K25))=0</formula>
    </cfRule>
  </conditionalFormatting>
  <conditionalFormatting sqref="L15">
    <cfRule type="cellIs" dxfId="103" priority="28" operator="equal">
      <formula>"CUMPLE"</formula>
    </cfRule>
    <cfRule type="cellIs" dxfId="102" priority="29" operator="equal">
      <formula>"NO CUMPLE"</formula>
    </cfRule>
    <cfRule type="cellIs" dxfId="101" priority="30" operator="equal">
      <formula>"""CUMPLE"""</formula>
    </cfRule>
  </conditionalFormatting>
  <conditionalFormatting sqref="L20">
    <cfRule type="cellIs" dxfId="100" priority="5" operator="equal">
      <formula>"NO"</formula>
    </cfRule>
    <cfRule type="cellIs" dxfId="99" priority="6" operator="equal">
      <formula>"SI"</formula>
    </cfRule>
  </conditionalFormatting>
  <dataValidations count="3">
    <dataValidation type="list" allowBlank="1" showInputMessage="1" showErrorMessage="1" sqref="L57:L64" xr:uid="{00000000-0002-0000-1D00-000000000000}">
      <formula1>"0,1,2,3,4,5,6"</formula1>
    </dataValidation>
    <dataValidation type="list" allowBlank="1" showInputMessage="1" showErrorMessage="1" sqref="D24:J26" xr:uid="{00000000-0002-0000-1D00-000001000000}">
      <formula1>$C$15:$C$19</formula1>
    </dataValidation>
    <dataValidation type="list" allowBlank="1" showInputMessage="1" showErrorMessage="1" sqref="D65:I65" xr:uid="{00000000-0002-0000-1D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D00-000003000000}">
          <x14:formula1>
            <xm:f>'DATOS INICIALES'!$C$44:$C$45</xm:f>
          </x14:formula1>
          <xm:sqref>D47:I53 J47:J52</xm:sqref>
        </x14:dataValidation>
        <x14:dataValidation type="list" allowBlank="1" showInputMessage="1" showErrorMessage="1" xr:uid="{00000000-0002-0000-1D00-000004000000}">
          <x14:formula1>
            <xm:f>'DATOS INICIALES'!$A$49:$A$51</xm:f>
          </x14:formula1>
          <xm:sqref>D55:I57 D58:J63 J55:J56 D46:J46</xm:sqref>
        </x14:dataValidation>
        <x14:dataValidation type="list" allowBlank="1" showInputMessage="1" showErrorMessage="1" xr:uid="{00000000-0002-0000-1D00-000005000000}">
          <x14:formula1>
            <xm:f>'DATOS INICIALES'!$A$53:$A$58</xm:f>
          </x14:formula1>
          <xm:sqref>D23:I23</xm:sqref>
        </x14:dataValidation>
        <x14:dataValidation type="list" allowBlank="1" showInputMessage="1" showErrorMessage="1" xr:uid="{00000000-0002-0000-1D00-000006000000}">
          <x14:formula1>
            <xm:f>'DATOS INICIALES'!$D$21:$D$25</xm:f>
          </x14:formula1>
          <xm:sqref>M47:M54</xm:sqref>
        </x14:dataValidation>
        <x14:dataValidation type="list" allowBlank="1" showInputMessage="1" showErrorMessage="1" xr:uid="{00000000-0002-0000-1D00-000007000000}">
          <x14:formula1>
            <xm:f>'DATOS INICIALES'!$A$13:$A$41</xm:f>
          </x14:formula1>
          <xm:sqref>D31:I31</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65"/>
  <sheetViews>
    <sheetView view="pageBreakPreview" zoomScale="40" zoomScaleNormal="55" zoomScaleSheetLayoutView="40" workbookViewId="0">
      <pane ySplit="11" topLeftCell="A12"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+PROPONENTES!B36</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72698.94</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IF(VLOOKUP(C11,PUNTAJE!B15:AF154,27,FALSE)=0.25,"SI","NO")</f>
        <v>#N/A</v>
      </c>
      <c r="K20" s="38" t="s">
        <v>113</v>
      </c>
      <c r="L20" s="143" t="e">
        <f>IF(VLOOKUP(C11,PUNTAJE!B15:AF154,31,FALSE)=0.25,"SI","NO")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480</v>
      </c>
      <c r="E24" s="90" t="s">
        <v>481</v>
      </c>
      <c r="F24" s="90"/>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482</v>
      </c>
      <c r="E27" s="91" t="s">
        <v>483</v>
      </c>
      <c r="F27" s="91"/>
      <c r="G27" s="91"/>
      <c r="H27" s="91"/>
      <c r="I27" s="91"/>
      <c r="J27" s="91"/>
      <c r="K27" s="288"/>
      <c r="L27" s="289"/>
    </row>
    <row r="28" spans="2:14" ht="189" customHeight="1">
      <c r="B28" s="336"/>
      <c r="C28" s="28" t="s">
        <v>127</v>
      </c>
      <c r="D28" s="91" t="s">
        <v>484</v>
      </c>
      <c r="E28" s="91" t="s">
        <v>485</v>
      </c>
      <c r="F28" s="91"/>
      <c r="G28" s="91"/>
      <c r="H28" s="91"/>
      <c r="I28" s="91"/>
      <c r="J28" s="91"/>
      <c r="K28" s="288"/>
      <c r="L28" s="289"/>
    </row>
    <row r="29" spans="2:14" ht="52.5" customHeight="1">
      <c r="B29" s="336"/>
      <c r="C29" s="28" t="s">
        <v>132</v>
      </c>
      <c r="D29" s="95">
        <v>43160</v>
      </c>
      <c r="E29" s="95">
        <v>40578</v>
      </c>
      <c r="F29" s="95"/>
      <c r="G29" s="95"/>
      <c r="H29" s="95"/>
      <c r="I29" s="95"/>
      <c r="J29" s="95"/>
      <c r="K29" s="288"/>
      <c r="L29" s="289"/>
    </row>
    <row r="30" spans="2:14" ht="54.75" customHeight="1">
      <c r="B30" s="336"/>
      <c r="C30" s="28" t="s">
        <v>133</v>
      </c>
      <c r="D30" s="95">
        <v>43296</v>
      </c>
      <c r="E30" s="95">
        <v>44870</v>
      </c>
      <c r="F30" s="95"/>
      <c r="G30" s="95"/>
      <c r="H30" s="95"/>
      <c r="I30" s="95"/>
      <c r="J30" s="95"/>
      <c r="K30" s="288"/>
      <c r="L30" s="289"/>
    </row>
    <row r="31" spans="2:14" ht="41.25" customHeight="1">
      <c r="B31" s="336"/>
      <c r="C31" s="28" t="s">
        <v>134</v>
      </c>
      <c r="D31" s="92">
        <v>2018</v>
      </c>
      <c r="E31" s="92">
        <v>2022</v>
      </c>
      <c r="F31" s="92"/>
      <c r="G31" s="92"/>
      <c r="H31" s="92"/>
      <c r="I31" s="92"/>
      <c r="J31" s="92"/>
      <c r="K31" s="288"/>
      <c r="L31" s="289"/>
    </row>
    <row r="32" spans="2:14" ht="63" customHeight="1">
      <c r="B32" s="336"/>
      <c r="C32" s="28" t="s">
        <v>135</v>
      </c>
      <c r="D32" s="91" t="s">
        <v>486</v>
      </c>
      <c r="E32" s="91" t="s">
        <v>487</v>
      </c>
      <c r="F32" s="91"/>
      <c r="G32" s="91"/>
      <c r="H32" s="91"/>
      <c r="I32" s="91"/>
      <c r="J32" s="91"/>
      <c r="K32" s="288"/>
      <c r="L32" s="289"/>
    </row>
    <row r="33" spans="2:12" ht="46.5" customHeight="1">
      <c r="B33" s="336"/>
      <c r="C33" s="28" t="s">
        <v>140</v>
      </c>
      <c r="D33" s="91" t="s">
        <v>488</v>
      </c>
      <c r="E33" s="91" t="s">
        <v>489</v>
      </c>
      <c r="F33" s="91"/>
      <c r="G33" s="91"/>
      <c r="H33" s="91"/>
      <c r="I33" s="91"/>
      <c r="J33" s="91"/>
      <c r="K33" s="288"/>
      <c r="L33" s="289"/>
    </row>
    <row r="34" spans="2:12" ht="27.75" customHeight="1">
      <c r="B34" s="336"/>
      <c r="C34" s="30" t="s">
        <v>144</v>
      </c>
      <c r="D34" s="96">
        <v>31</v>
      </c>
      <c r="E34" s="96">
        <v>23</v>
      </c>
      <c r="F34" s="96"/>
      <c r="G34" s="97"/>
      <c r="H34" s="97"/>
      <c r="I34" s="97"/>
      <c r="J34" s="97"/>
      <c r="K34" s="288"/>
      <c r="L34" s="289"/>
    </row>
    <row r="35" spans="2:12" ht="102.75" customHeight="1">
      <c r="B35" s="336"/>
      <c r="C35" s="28" t="s">
        <v>145</v>
      </c>
      <c r="D35" s="93">
        <v>1331.79</v>
      </c>
      <c r="E35" s="93">
        <v>72698.94</v>
      </c>
      <c r="F35" s="93"/>
      <c r="G35" s="93"/>
      <c r="H35" s="93"/>
      <c r="I35" s="93"/>
      <c r="J35" s="93"/>
      <c r="K35" s="290"/>
      <c r="L35" s="291"/>
    </row>
    <row r="36" spans="2:12" ht="48" customHeight="1">
      <c r="B36" s="336"/>
      <c r="C36" s="28" t="s">
        <v>146</v>
      </c>
      <c r="D36" s="105">
        <f>IFERROR(D35*VLOOKUP(D31,'DATOS INICIALES'!$A$12:$B$41,2,0),"0")</f>
        <v>1040450283.1799999</v>
      </c>
      <c r="E36" s="105">
        <f>IFERROR(E35*VLOOKUP(E31,'DATOS INICIALES'!$A$12:$B$41,2,0),"0")</f>
        <v>72698940000</v>
      </c>
      <c r="F36" s="105" t="str">
        <f>IFERROR(F35*VLOOKUP(F31,'DATOS INICIALES'!$A$12:$B$41,2,0),"0")</f>
        <v>0</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0.33</v>
      </c>
      <c r="E37" s="94">
        <v>1</v>
      </c>
      <c r="F37" s="94"/>
      <c r="G37" s="94"/>
      <c r="H37" s="94"/>
      <c r="I37" s="94"/>
      <c r="J37" s="94"/>
      <c r="K37" s="288"/>
      <c r="L37" s="289"/>
    </row>
    <row r="38" spans="2:12" ht="48.75" customHeight="1">
      <c r="B38" s="336"/>
      <c r="C38" s="28" t="s">
        <v>148</v>
      </c>
      <c r="D38" s="105">
        <f t="shared" ref="D38:J38" si="3">IF(D24="","0",D37*D36)</f>
        <v>343348593.44940001</v>
      </c>
      <c r="E38" s="105">
        <f t="shared" si="3"/>
        <v>72698940000</v>
      </c>
      <c r="F38" s="105" t="str">
        <f t="shared" si="3"/>
        <v>0</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439.4907</v>
      </c>
      <c r="E39" s="106">
        <f t="shared" si="4"/>
        <v>72698.94</v>
      </c>
      <c r="F39" s="106">
        <f t="shared" si="4"/>
        <v>0</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c r="G46" s="90"/>
      <c r="H46" s="90"/>
      <c r="I46" s="90"/>
      <c r="J46" s="90"/>
      <c r="K46" s="288"/>
      <c r="L46" s="289"/>
    </row>
    <row r="47" spans="2:12" ht="24.75" customHeight="1">
      <c r="B47" s="327" t="s">
        <v>158</v>
      </c>
      <c r="C47" s="31">
        <f>+'DATOS INICIALES'!D21</f>
        <v>70101700</v>
      </c>
      <c r="D47" s="96" t="s">
        <v>27</v>
      </c>
      <c r="E47" s="96" t="s">
        <v>27</v>
      </c>
      <c r="F47" s="96"/>
      <c r="G47" s="96"/>
      <c r="H47" s="96"/>
      <c r="I47" s="96"/>
      <c r="J47" s="97"/>
      <c r="K47" s="288"/>
      <c r="L47" s="289"/>
    </row>
    <row r="48" spans="2:12" ht="24.75" customHeight="1">
      <c r="B48" s="328"/>
      <c r="C48" s="31">
        <f>+'DATOS INICIALES'!D22</f>
        <v>80101600</v>
      </c>
      <c r="D48" s="96" t="s">
        <v>27</v>
      </c>
      <c r="E48" s="96" t="s">
        <v>27</v>
      </c>
      <c r="F48" s="96"/>
      <c r="G48" s="96"/>
      <c r="H48" s="96"/>
      <c r="I48" s="96"/>
      <c r="J48" s="97"/>
      <c r="K48" s="288"/>
      <c r="L48" s="289"/>
    </row>
    <row r="49" spans="2:12" ht="24.75" customHeight="1">
      <c r="B49" s="328"/>
      <c r="C49" s="31">
        <f>+'DATOS INICIALES'!D23</f>
        <v>80101500</v>
      </c>
      <c r="D49" s="96" t="s">
        <v>27</v>
      </c>
      <c r="E49" s="96" t="s">
        <v>27</v>
      </c>
      <c r="F49" s="96"/>
      <c r="G49" s="96"/>
      <c r="H49" s="96"/>
      <c r="I49" s="96"/>
      <c r="J49" s="97"/>
      <c r="K49" s="288"/>
      <c r="L49" s="289"/>
    </row>
    <row r="50" spans="2:12" ht="24.75" customHeight="1">
      <c r="B50" s="328"/>
      <c r="C50" s="31">
        <f>+'DATOS INICIALES'!D24</f>
        <v>86101700</v>
      </c>
      <c r="D50" s="96" t="s">
        <v>27</v>
      </c>
      <c r="E50" s="96" t="s">
        <v>29</v>
      </c>
      <c r="F50" s="96"/>
      <c r="G50" s="96"/>
      <c r="H50" s="96"/>
      <c r="I50" s="96"/>
      <c r="J50" s="97"/>
      <c r="K50" s="288"/>
      <c r="L50" s="289"/>
    </row>
    <row r="51" spans="2:12" ht="24.75" customHeight="1">
      <c r="B51" s="328"/>
      <c r="C51" s="31">
        <f>+'DATOS INICIALES'!D25</f>
        <v>80161500</v>
      </c>
      <c r="D51" s="96" t="s">
        <v>29</v>
      </c>
      <c r="E51" s="96" t="s">
        <v>27</v>
      </c>
      <c r="F51" s="96"/>
      <c r="G51" s="96"/>
      <c r="H51" s="96"/>
      <c r="I51" s="96"/>
      <c r="J51" s="97"/>
      <c r="K51" s="288"/>
      <c r="L51" s="289"/>
    </row>
    <row r="52" spans="2:12" ht="24.75" customHeight="1">
      <c r="B52" s="328"/>
      <c r="C52" s="31">
        <f>+'DATOS INICIALES'!D26</f>
        <v>93141500</v>
      </c>
      <c r="D52" s="96"/>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N/A</v>
      </c>
      <c r="G54" s="18" t="str">
        <f t="shared" si="9"/>
        <v>N/A</v>
      </c>
      <c r="H54" s="18" t="str">
        <f t="shared" si="9"/>
        <v>N/A</v>
      </c>
      <c r="I54" s="18" t="str">
        <f t="shared" si="9"/>
        <v>N/A</v>
      </c>
      <c r="J54" s="18" t="str">
        <f t="shared" si="9"/>
        <v>N/A</v>
      </c>
      <c r="K54" s="288"/>
      <c r="L54" s="289"/>
    </row>
    <row r="55" spans="2:12" ht="296.25" customHeight="1">
      <c r="B55" s="330" t="s">
        <v>160</v>
      </c>
      <c r="C55" s="331"/>
      <c r="D55" s="90" t="s">
        <v>31</v>
      </c>
      <c r="E55" s="90" t="s">
        <v>31</v>
      </c>
      <c r="F55" s="90"/>
      <c r="G55" s="90"/>
      <c r="H55" s="90"/>
      <c r="I55" s="90"/>
      <c r="J55" s="90"/>
      <c r="K55" s="295"/>
      <c r="L55" s="296"/>
    </row>
    <row r="56" spans="2:12" ht="353.25" hidden="1" customHeight="1">
      <c r="B56" s="330" t="s">
        <v>161</v>
      </c>
      <c r="C56" s="331"/>
      <c r="D56" s="90" t="s">
        <v>31</v>
      </c>
      <c r="E56" s="90" t="s">
        <v>31</v>
      </c>
      <c r="F56" s="90"/>
      <c r="G56" s="90"/>
      <c r="H56" s="90"/>
      <c r="I56" s="90"/>
      <c r="J56" s="90"/>
      <c r="K56" s="295"/>
      <c r="L56" s="296"/>
    </row>
    <row r="57" spans="2:12" ht="99" customHeight="1">
      <c r="B57" s="324" t="s">
        <v>162</v>
      </c>
      <c r="C57" s="325"/>
      <c r="D57" s="90" t="s">
        <v>31</v>
      </c>
      <c r="E57" s="90" t="s">
        <v>31</v>
      </c>
      <c r="F57" s="90"/>
      <c r="G57" s="90"/>
      <c r="H57" s="90"/>
      <c r="I57" s="90"/>
      <c r="J57" s="90"/>
      <c r="K57" s="288"/>
      <c r="L57" s="289"/>
    </row>
    <row r="58" spans="2:12" ht="105.75" customHeight="1">
      <c r="B58" s="324" t="s">
        <v>163</v>
      </c>
      <c r="C58" s="325"/>
      <c r="D58" s="90" t="s">
        <v>31</v>
      </c>
      <c r="E58" s="90" t="s">
        <v>31</v>
      </c>
      <c r="F58" s="90"/>
      <c r="G58" s="90"/>
      <c r="H58" s="90"/>
      <c r="I58" s="90"/>
      <c r="J58" s="90"/>
      <c r="K58" s="288"/>
      <c r="L58" s="289"/>
    </row>
    <row r="59" spans="2:12" ht="291.75" customHeight="1">
      <c r="B59" s="324" t="s">
        <v>164</v>
      </c>
      <c r="C59" s="325"/>
      <c r="D59" s="90" t="s">
        <v>30</v>
      </c>
      <c r="E59" s="90" t="s">
        <v>30</v>
      </c>
      <c r="F59" s="90"/>
      <c r="G59" s="90"/>
      <c r="H59" s="90"/>
      <c r="I59" s="90"/>
      <c r="J59" s="90"/>
      <c r="K59" s="288"/>
      <c r="L59" s="289"/>
    </row>
    <row r="60" spans="2:12" ht="336" customHeight="1">
      <c r="B60" s="229" t="s">
        <v>165</v>
      </c>
      <c r="C60" s="229"/>
      <c r="D60" s="90" t="s">
        <v>31</v>
      </c>
      <c r="E60" s="90" t="s">
        <v>31</v>
      </c>
      <c r="F60" s="90"/>
      <c r="G60" s="90"/>
      <c r="H60" s="90"/>
      <c r="I60" s="90"/>
      <c r="J60" s="90"/>
      <c r="K60" s="290"/>
      <c r="L60" s="291"/>
    </row>
    <row r="61" spans="2:12" ht="129.75" customHeight="1">
      <c r="B61" s="338" t="s">
        <v>166</v>
      </c>
      <c r="C61" s="339"/>
      <c r="D61" s="90" t="s">
        <v>30</v>
      </c>
      <c r="E61" s="90" t="s">
        <v>30</v>
      </c>
      <c r="F61" s="90"/>
      <c r="G61" s="90"/>
      <c r="H61" s="90"/>
      <c r="I61" s="90"/>
      <c r="J61" s="90"/>
      <c r="K61" s="288"/>
      <c r="L61" s="289"/>
    </row>
    <row r="62" spans="2:12" ht="408.75" customHeight="1">
      <c r="B62" s="326" t="s">
        <v>167</v>
      </c>
      <c r="C62" s="326"/>
      <c r="D62" s="90" t="s">
        <v>30</v>
      </c>
      <c r="E62" s="90" t="s">
        <v>30</v>
      </c>
      <c r="F62" s="90"/>
      <c r="G62" s="90"/>
      <c r="H62" s="90"/>
      <c r="I62" s="90"/>
      <c r="J62" s="90"/>
      <c r="K62" s="288"/>
      <c r="L62" s="289"/>
    </row>
    <row r="63" spans="2:12" ht="234.75" customHeight="1">
      <c r="B63" s="229" t="s">
        <v>168</v>
      </c>
      <c r="C63" s="229"/>
      <c r="D63" s="90" t="s">
        <v>31</v>
      </c>
      <c r="E63" s="90" t="s">
        <v>31</v>
      </c>
      <c r="F63" s="90"/>
      <c r="G63" s="90"/>
      <c r="H63" s="90"/>
      <c r="I63" s="90"/>
      <c r="J63" s="90"/>
      <c r="K63" s="288"/>
      <c r="L63" s="289"/>
    </row>
    <row r="64" spans="2:12" ht="70.5" customHeight="1">
      <c r="B64" s="332" t="s">
        <v>169</v>
      </c>
      <c r="C64" s="332"/>
      <c r="D64" s="18" t="str">
        <f>IF(D24="","N/A",IF(AND(D46="CUMPLE",D54="CUMPLE",D55="CUMPLE",D56="CUMPLE",D57="CUMPLE",D58="CUMPLE",OR(D59="CUMPLE",D59="N/A"),D60="CUMPLE",OR(D61="CUMPLE",D61="N/A"),D63="CUMPLE",OR(D62="CUMPLE",D62="N/A")),"CUMPLE","NO CUMPLE"))</f>
        <v>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N/A</v>
      </c>
      <c r="G64" s="18" t="str">
        <f t="shared" si="10"/>
        <v>N/A</v>
      </c>
      <c r="H64" s="18" t="str">
        <f t="shared" si="10"/>
        <v>N/A</v>
      </c>
      <c r="I64" s="18" t="str">
        <f t="shared" si="10"/>
        <v>N/A</v>
      </c>
      <c r="J64" s="18" t="str">
        <f t="shared" si="10"/>
        <v>N/A</v>
      </c>
      <c r="K64" s="166"/>
      <c r="L64" s="167"/>
    </row>
    <row r="65" spans="2:12" ht="81.75" customHeight="1">
      <c r="B65" s="229" t="s">
        <v>170</v>
      </c>
      <c r="C65" s="229"/>
      <c r="D65" s="90"/>
      <c r="E65" s="90" t="s">
        <v>31</v>
      </c>
      <c r="F65" s="90"/>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98" priority="13">
      <formula>LEN(TRIM(D25))=0</formula>
    </cfRule>
    <cfRule type="notContainsErrors" dxfId="97" priority="14">
      <formula>NOT(ISERROR(D25))</formula>
    </cfRule>
  </conditionalFormatting>
  <conditionalFormatting sqref="D34:J34 D24:K24 D37:J37 D40:J40 D43:J43 D46:J53 D55:J63 K64:L64 D65:K65">
    <cfRule type="containsBlanks" dxfId="96" priority="15">
      <formula>LEN(TRIM(D24))=0</formula>
    </cfRule>
  </conditionalFormatting>
  <conditionalFormatting sqref="D46:J53">
    <cfRule type="cellIs" dxfId="95" priority="11" operator="equal">
      <formula>"NO CUMPLE"</formula>
    </cfRule>
    <cfRule type="cellIs" dxfId="94" priority="12" operator="equal">
      <formula>"CUMPLE"</formula>
    </cfRule>
  </conditionalFormatting>
  <conditionalFormatting sqref="D54:J54">
    <cfRule type="cellIs" dxfId="93" priority="27" operator="equal">
      <formula>"""CUMPLE"""</formula>
    </cfRule>
    <cfRule type="cellIs" dxfId="92" priority="26" operator="equal">
      <formula>"NO CUMPLE"</formula>
    </cfRule>
    <cfRule type="cellIs" dxfId="91" priority="25" operator="equal">
      <formula>"CUMPLE"</formula>
    </cfRule>
    <cfRule type="cellIs" dxfId="90" priority="21" operator="equal">
      <formula>"N/A"</formula>
    </cfRule>
  </conditionalFormatting>
  <conditionalFormatting sqref="D55:J63">
    <cfRule type="cellIs" dxfId="89" priority="3" operator="equal">
      <formula>"NO CUMPLE"</formula>
    </cfRule>
    <cfRule type="cellIs" dxfId="88" priority="4" operator="equal">
      <formula>"CUMPLE"</formula>
    </cfRule>
  </conditionalFormatting>
  <conditionalFormatting sqref="D64:J64">
    <cfRule type="cellIs" dxfId="87" priority="19" operator="equal">
      <formula>"NO CUMPLE"</formula>
    </cfRule>
    <cfRule type="cellIs" dxfId="86" priority="20" operator="equal">
      <formula>"""CUMPLE"""</formula>
    </cfRule>
    <cfRule type="cellIs" dxfId="85" priority="17" operator="equal">
      <formula>"N/A"</formula>
    </cfRule>
    <cfRule type="cellIs" dxfId="84" priority="18" operator="equal">
      <formula>"CUMPLE"</formula>
    </cfRule>
  </conditionalFormatting>
  <conditionalFormatting sqref="D65:J65">
    <cfRule type="cellIs" dxfId="83" priority="9" operator="equal">
      <formula>"NO CUMPLE"</formula>
    </cfRule>
    <cfRule type="cellIs" dxfId="82" priority="10" operator="equal">
      <formula>"CUMPLE"</formula>
    </cfRule>
  </conditionalFormatting>
  <conditionalFormatting sqref="D24:K24 D34:J34 D37:J37 D40:J40 D43:J43 D46:J53 D55:J63 K64:L64 D65:K65">
    <cfRule type="notContainsErrors" dxfId="81" priority="16">
      <formula>NOT(ISERROR(D24))</formula>
    </cfRule>
  </conditionalFormatting>
  <conditionalFormatting sqref="F20:H20">
    <cfRule type="cellIs" dxfId="80" priority="31" operator="equal">
      <formula>"CUMPLE"</formula>
    </cfRule>
    <cfRule type="cellIs" dxfId="79" priority="32" operator="equal">
      <formula>"NO CUMPLE"</formula>
    </cfRule>
    <cfRule type="cellIs" dxfId="78" priority="33" operator="equal">
      <formula>"""CUMPLE"""</formula>
    </cfRule>
  </conditionalFormatting>
  <conditionalFormatting sqref="I11">
    <cfRule type="containsText" dxfId="77" priority="37" operator="containsText" text="NO CUMPLE">
      <formula>NOT(ISERROR(SEARCH("NO CUMPLE",I11)))</formula>
    </cfRule>
    <cfRule type="containsText" dxfId="76" priority="34" operator="containsText" text="INHABILITADO">
      <formula>NOT(ISERROR(SEARCH("INHABILITADO",I11)))</formula>
    </cfRule>
    <cfRule type="containsText" dxfId="75" priority="35" operator="containsText" text="HABILITADO">
      <formula>NOT(ISERROR(SEARCH("HABILITADO",I11)))</formula>
    </cfRule>
    <cfRule type="containsText" dxfId="74" priority="36" operator="containsText" text="HABILITADO">
      <formula>NOT(ISERROR(SEARCH("HABILITADO",I11)))</formula>
    </cfRule>
  </conditionalFormatting>
  <conditionalFormatting sqref="J20">
    <cfRule type="cellIs" dxfId="73" priority="8" operator="equal">
      <formula>"SI"</formula>
    </cfRule>
    <cfRule type="cellIs" dxfId="72" priority="7" operator="equal">
      <formula>"NO"</formula>
    </cfRule>
  </conditionalFormatting>
  <conditionalFormatting sqref="K19">
    <cfRule type="cellIs" dxfId="71" priority="22" operator="equal">
      <formula>"CUMPLE"</formula>
    </cfRule>
    <cfRule type="cellIs" dxfId="70" priority="23" operator="equal">
      <formula>"NO CUMPLE"</formula>
    </cfRule>
    <cfRule type="cellIs" dxfId="69" priority="24" operator="equal">
      <formula>"""CUMPLE"""</formula>
    </cfRule>
  </conditionalFormatting>
  <conditionalFormatting sqref="K25:K63">
    <cfRule type="notContainsErrors" dxfId="68" priority="2">
      <formula>NOT(ISERROR(K25))</formula>
    </cfRule>
    <cfRule type="containsBlanks" dxfId="67" priority="1">
      <formula>LEN(TRIM(K25))=0</formula>
    </cfRule>
  </conditionalFormatting>
  <conditionalFormatting sqref="L15">
    <cfRule type="cellIs" dxfId="66" priority="28" operator="equal">
      <formula>"CUMPLE"</formula>
    </cfRule>
    <cfRule type="cellIs" dxfId="65" priority="29" operator="equal">
      <formula>"NO CUMPLE"</formula>
    </cfRule>
    <cfRule type="cellIs" dxfId="64" priority="30" operator="equal">
      <formula>"""CUMPLE"""</formula>
    </cfRule>
  </conditionalFormatting>
  <conditionalFormatting sqref="L20">
    <cfRule type="cellIs" dxfId="63" priority="5" operator="equal">
      <formula>"NO"</formula>
    </cfRule>
    <cfRule type="cellIs" dxfId="62" priority="6" operator="equal">
      <formula>"SI"</formula>
    </cfRule>
  </conditionalFormatting>
  <dataValidations count="3">
    <dataValidation type="list" allowBlank="1" showInputMessage="1" showErrorMessage="1" sqref="D65:I65" xr:uid="{00000000-0002-0000-1E00-000000000000}">
      <formula1>"CUMPLE,NO CUMPLE"</formula1>
    </dataValidation>
    <dataValidation type="list" allowBlank="1" showInputMessage="1" showErrorMessage="1" sqref="D24:J26" xr:uid="{00000000-0002-0000-1E00-000001000000}">
      <formula1>$C$15:$C$19</formula1>
    </dataValidation>
    <dataValidation type="list" allowBlank="1" showInputMessage="1" showErrorMessage="1" sqref="L57:L64" xr:uid="{00000000-0002-0000-1E00-000002000000}">
      <formula1>"0,1,2,3,4,5,6"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E00-000003000000}">
          <x14:formula1>
            <xm:f>'DATOS INICIALES'!$A$13:$A$41</xm:f>
          </x14:formula1>
          <xm:sqref>D31:I31</xm:sqref>
        </x14:dataValidation>
        <x14:dataValidation type="list" allowBlank="1" showInputMessage="1" showErrorMessage="1" xr:uid="{00000000-0002-0000-1E00-000004000000}">
          <x14:formula1>
            <xm:f>'DATOS INICIALES'!$D$21:$D$25</xm:f>
          </x14:formula1>
          <xm:sqref>M47:M54</xm:sqref>
        </x14:dataValidation>
        <x14:dataValidation type="list" allowBlank="1" showInputMessage="1" showErrorMessage="1" xr:uid="{00000000-0002-0000-1E00-000005000000}">
          <x14:formula1>
            <xm:f>'DATOS INICIALES'!$A$53:$A$58</xm:f>
          </x14:formula1>
          <xm:sqref>D23:I23</xm:sqref>
        </x14:dataValidation>
        <x14:dataValidation type="list" allowBlank="1" showInputMessage="1" showErrorMessage="1" xr:uid="{00000000-0002-0000-1E00-000006000000}">
          <x14:formula1>
            <xm:f>'DATOS INICIALES'!$A$49:$A$51</xm:f>
          </x14:formula1>
          <xm:sqref>D55:I57 D58:J63 J55:J56 D46:J46</xm:sqref>
        </x14:dataValidation>
        <x14:dataValidation type="list" allowBlank="1" showInputMessage="1" showErrorMessage="1" xr:uid="{00000000-0002-0000-1E00-000007000000}">
          <x14:formula1>
            <xm:f>'DATOS INICIALES'!$C$44:$C$45</xm:f>
          </x14:formula1>
          <xm:sqref>D47:I53 J47:J52</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65"/>
  <sheetViews>
    <sheetView view="pageBreakPreview" zoomScale="55" zoomScaleNormal="55" zoomScaleSheetLayoutView="55" workbookViewId="0">
      <pane ySplit="11" topLeftCell="A28" activePane="bottomLeft" state="frozenSplit"/>
      <selection activeCell="K27" sqref="K27:L27"/>
      <selection pane="bottomLeft" activeCell="K27" sqref="K27:L27"/>
    </sheetView>
  </sheetViews>
  <sheetFormatPr baseColWidth="10" defaultColWidth="11.42578125" defaultRowHeight="1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2:12" ht="15.75" thickBot="1"/>
    <row r="2" spans="2:12" ht="18.75">
      <c r="B2" s="311" t="s">
        <v>0</v>
      </c>
      <c r="C2" s="312"/>
      <c r="D2" s="312"/>
      <c r="E2" s="312"/>
      <c r="F2" s="312"/>
      <c r="G2" s="312"/>
      <c r="H2" s="312"/>
      <c r="I2" s="312"/>
      <c r="J2" s="312"/>
      <c r="K2" s="312"/>
      <c r="L2" s="313"/>
    </row>
    <row r="3" spans="2:12" ht="4.5" customHeight="1">
      <c r="B3" s="314"/>
      <c r="C3" s="315"/>
      <c r="D3" s="315"/>
      <c r="E3" s="315"/>
      <c r="F3" s="315"/>
      <c r="G3" s="315"/>
      <c r="H3" s="315"/>
      <c r="I3" s="315"/>
      <c r="J3" s="315"/>
      <c r="K3" s="315"/>
      <c r="L3" s="316"/>
    </row>
    <row r="4" spans="2:12" ht="18.75">
      <c r="B4" s="317" t="str">
        <f>'DATOS INICIALES'!G4</f>
        <v>FDLK-LP-007-2024</v>
      </c>
      <c r="C4" s="318"/>
      <c r="D4" s="318"/>
      <c r="E4" s="318"/>
      <c r="F4" s="318"/>
      <c r="G4" s="318"/>
      <c r="H4" s="318"/>
      <c r="I4" s="318"/>
      <c r="J4" s="318"/>
      <c r="K4" s="318"/>
      <c r="L4" s="319"/>
    </row>
    <row r="5" spans="2:12" ht="3.75" customHeight="1">
      <c r="B5" s="314"/>
      <c r="C5" s="315"/>
      <c r="D5" s="315"/>
      <c r="E5" s="315"/>
      <c r="F5" s="315"/>
      <c r="G5" s="315"/>
      <c r="H5" s="315"/>
      <c r="I5" s="315"/>
      <c r="J5" s="315"/>
      <c r="K5" s="315"/>
      <c r="L5" s="316"/>
    </row>
    <row r="6" spans="2:12">
      <c r="B6" s="13" t="s">
        <v>67</v>
      </c>
      <c r="C6" s="74" t="s">
        <v>68</v>
      </c>
      <c r="D6" s="73" t="s">
        <v>69</v>
      </c>
      <c r="E6" s="89">
        <v>45175</v>
      </c>
      <c r="F6" s="68"/>
      <c r="G6" s="73" t="s">
        <v>93</v>
      </c>
      <c r="H6" s="99">
        <v>45169</v>
      </c>
      <c r="I6" s="44"/>
      <c r="J6" s="44"/>
      <c r="K6" s="44"/>
      <c r="L6" s="45"/>
    </row>
    <row r="7" spans="2:12">
      <c r="B7" s="320" t="s">
        <v>70</v>
      </c>
      <c r="C7" s="321"/>
      <c r="D7" s="321"/>
      <c r="E7" s="321"/>
      <c r="F7" s="321"/>
      <c r="G7" s="321"/>
      <c r="H7" s="321"/>
      <c r="I7" s="321"/>
      <c r="J7" s="322" t="s">
        <v>94</v>
      </c>
      <c r="K7" s="321"/>
      <c r="L7" s="323"/>
    </row>
    <row r="8" spans="2:12" ht="36.75" customHeight="1">
      <c r="B8" s="2" t="s">
        <v>71</v>
      </c>
      <c r="C8" s="30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305"/>
      <c r="E8" s="305"/>
      <c r="F8" s="305"/>
      <c r="G8" s="305"/>
      <c r="H8" s="305"/>
      <c r="I8" s="305"/>
      <c r="J8" s="170" t="s">
        <v>95</v>
      </c>
      <c r="K8" s="171">
        <v>0.75</v>
      </c>
      <c r="L8" s="172">
        <f>K8*$C$10</f>
        <v>2461.684554310345</v>
      </c>
    </row>
    <row r="9" spans="2:12" ht="28.5" customHeight="1">
      <c r="B9" s="2" t="s">
        <v>72</v>
      </c>
      <c r="C9" s="306">
        <f>+'DATOS INICIALES'!C5</f>
        <v>3807405444</v>
      </c>
      <c r="D9" s="307"/>
      <c r="E9" s="307"/>
      <c r="F9" s="307"/>
      <c r="G9" s="307"/>
      <c r="H9" s="307"/>
      <c r="I9" s="307"/>
      <c r="J9" s="170" t="s">
        <v>96</v>
      </c>
      <c r="K9" s="171">
        <v>1.2</v>
      </c>
      <c r="L9" s="172">
        <f t="shared" ref="L9:L10" si="0">K9*$C$10</f>
        <v>3938.6952868965518</v>
      </c>
    </row>
    <row r="10" spans="2:12" ht="25.5" customHeight="1">
      <c r="B10" s="2" t="s">
        <v>74</v>
      </c>
      <c r="C10" s="308">
        <f>C9/'DATOS INICIALES'!B42</f>
        <v>3282.2460724137932</v>
      </c>
      <c r="D10" s="309"/>
      <c r="E10" s="309"/>
      <c r="F10" s="309"/>
      <c r="G10" s="309"/>
      <c r="H10" s="309"/>
      <c r="I10" s="309"/>
      <c r="J10" s="170" t="s">
        <v>97</v>
      </c>
      <c r="K10" s="171">
        <v>1.5</v>
      </c>
      <c r="L10" s="172">
        <f t="shared" si="0"/>
        <v>4923.36910862069</v>
      </c>
    </row>
    <row r="11" spans="2:12" ht="59.25" customHeight="1">
      <c r="B11" s="2" t="s">
        <v>76</v>
      </c>
      <c r="C11" s="310">
        <f>+PROPONENTES!B37</f>
        <v>0</v>
      </c>
      <c r="D11" s="310"/>
      <c r="E11" s="310"/>
      <c r="F11" s="310"/>
      <c r="G11" s="310"/>
      <c r="H11" s="146" t="s">
        <v>98</v>
      </c>
      <c r="I11" s="303" t="e">
        <f>IF(AND(F20="CUMPLE",G20="CUMPLE",H20="CUMPLE",L15="CUMPLE",K19="CUMPLE"),"CUMPLE","NO CUMPLE")</f>
        <v>#N/A</v>
      </c>
      <c r="J11" s="303"/>
      <c r="K11" s="303"/>
      <c r="L11" s="303"/>
    </row>
    <row r="12" spans="2:12" ht="9.75" customHeight="1">
      <c r="B12" s="297"/>
      <c r="C12" s="298"/>
      <c r="D12" s="298"/>
      <c r="E12" s="298"/>
      <c r="F12" s="298"/>
      <c r="G12" s="298"/>
      <c r="H12" s="298"/>
      <c r="I12" s="298"/>
      <c r="J12" s="298"/>
      <c r="K12" s="298"/>
      <c r="L12" s="299"/>
    </row>
    <row r="13" spans="2:12" s="141" customFormat="1" ht="24" customHeight="1">
      <c r="B13" s="300" t="s">
        <v>99</v>
      </c>
      <c r="C13" s="301"/>
      <c r="D13" s="301"/>
      <c r="E13" s="301"/>
      <c r="F13" s="301"/>
      <c r="G13" s="301"/>
      <c r="H13" s="301"/>
      <c r="I13" s="301"/>
      <c r="J13" s="301"/>
      <c r="K13" s="301"/>
      <c r="L13" s="302"/>
    </row>
    <row r="14" spans="2:12" ht="69" customHeight="1">
      <c r="B14" s="347" t="s">
        <v>100</v>
      </c>
      <c r="C14" s="75" t="s">
        <v>77</v>
      </c>
      <c r="D14" s="75" t="s">
        <v>101</v>
      </c>
      <c r="E14" s="38" t="s">
        <v>102</v>
      </c>
      <c r="F14" s="38" t="s">
        <v>103</v>
      </c>
      <c r="G14" s="38" t="s">
        <v>104</v>
      </c>
      <c r="H14" s="38" t="s">
        <v>105</v>
      </c>
      <c r="I14" s="38" t="s">
        <v>106</v>
      </c>
      <c r="J14" s="38" t="s">
        <v>107</v>
      </c>
      <c r="K14" s="38" t="s">
        <v>108</v>
      </c>
      <c r="L14" s="75" t="s">
        <v>90</v>
      </c>
    </row>
    <row r="15" spans="2:12" ht="33.75" customHeight="1">
      <c r="B15" s="347"/>
      <c r="C15" s="100" t="e">
        <f>IF(VLOOKUP(C11,PROPONENTES!B10:N39,2,FALSE)=0,"",VLOOKUP(C11,PROPONENTES!B10:N39,2,FALSE))</f>
        <v>#N/A</v>
      </c>
      <c r="D15" s="101" t="e">
        <f>IF(VLOOKUP(C11,PROPONENTES!B10:N39,3,FALSE)=0,"",VLOOKUP(C11,PROPONENTES!B10:N39,3,FALSE))</f>
        <v>#N/A</v>
      </c>
      <c r="E15" s="102" t="e">
        <f>IF(C15="","",IF($D$64="CUMPLE",IF(C15=$D$24,$D$39)+IF(C15=$D$25,$D$42)+IF(C15=$D$26,$D$45))+IF($E$64="CUMPLE",IF(C15=$E$24,$E$39)+IF(C15=$E$25,$E$42)+IF(C15=$E$26,$E$45))+IF($F$64="CUMPLE",IF(C15=$F$24,$F$39)+IF(C15=$F$25,$F$42)+IF(C15=$F$26,$F$45))+IF($G$64="CUMPLE",IF(C15=$G$24,$G$39)+IF(C15=$G$25,$G$42)+IF(C15=$G$26,$G$45))+IF($H$64="CUMPLE",IF(C15=$H$24,$H$39)+IF(C15=$H$25,$H$42)+IF(C15=$H$26,$H$45))+IF($I$64="CUMPLE",IF(C15=$I$24,$I$39)+IF(C15=$I$25,$I$42)+IF(C15=$I$26,$I$45))+IF($J$64="CUMPLE",IF(C15=$J$24,$J$39)+IF(C15=$J$25,$J$42)+IF(C15=$J$26,$J$45)))</f>
        <v>#N/A</v>
      </c>
      <c r="F15" s="103" t="e">
        <f t="shared" ref="F15:F18" si="1">IF(C15="","",IF(E15&gt;=$J$15*0.5,"SI","NO"))</f>
        <v>#N/A</v>
      </c>
      <c r="G15" s="104" t="e">
        <f t="shared" ref="G15:G17" si="2">IF(C15="","",IF(E15&gt;=$J$15*0.05,"SI",IF(E15=0,"NO APORTA EXPERIENCIA",)))</f>
        <v>#N/A</v>
      </c>
      <c r="H15" s="103" t="e">
        <f>IF(C15="","",IF(AND(G15="NO APORTA EXPERIENCIA",D15&lt;=10%),"SI",IF(G15="SI","NO APLICA","NO - PORCENTAJE MAYOR AL 10%")))</f>
        <v>#N/A</v>
      </c>
      <c r="I15" s="292">
        <f>COUNTIF(D64:I64,"CUMPLE")</f>
        <v>2</v>
      </c>
      <c r="J15" s="293">
        <f>IF(AND(I15&gt;=1,I15&lt;=2),L8,IF(AND(I15&gt;=3,I15&lt;=4),L9,IF(AND(I15&gt;=5,I15&lt;=7),L10)))</f>
        <v>2461.684554310345</v>
      </c>
      <c r="K15" s="293" t="e">
        <f>+E20</f>
        <v>#N/A</v>
      </c>
      <c r="L15" s="294" t="e">
        <f>IF(K15&gt;=J15,"CUMPLE","NO CUMPLE")</f>
        <v>#N/A</v>
      </c>
    </row>
    <row r="16" spans="2:12" ht="33.75" customHeight="1">
      <c r="B16" s="347"/>
      <c r="C16" s="100" t="e">
        <f>IF(VLOOKUP(C11,PROPONENTES!B10:N39,4,FALSE)=0,"",VLOOKUP(C11,PROPONENTES!B10:N39,4,FALSE))</f>
        <v>#N/A</v>
      </c>
      <c r="D16" s="101" t="e">
        <f>IF(VLOOKUP(C11,PROPONENTES!B10:N39,5,FALSE)=0,"",VLOOKUP(C11,PROPONENTES!B10:N39,5,FALSE))</f>
        <v>#N/A</v>
      </c>
      <c r="E16" s="102" t="e">
        <f>IF(C16="","",IF($D$64="CUMPLE",IF(C16=$D$24,$D$39)+IF(C16=$D$25,$D$42)+IF(C16=$D$26,$D$45))+IF($E$64="CUMPLE",IF(C16=$E$24,$E$39)+IF(C16=$E$25,$E$42)+IF(C16=$E$26,$E$45))+IF($F$64="CUMPLE",IF(C16=$F$24,$F$39)+IF(C16=$F$25,$F$42)+IF(C16=$F$26,$F$45))+IF($G$64="CUMPLE",IF(C16=$G$24,$G$39)+IF(C16=$G$25,$G$42)+IF(C16=$G$26,$G$45))+IF($H$64="CUMPLE",IF(C16=$H$24,$H$39)+IF(C16=$H$25,$H$42)+IF(C16=$H$26,$H$45))+IF($I$64="CUMPLE",IF(C16=$I$24,$I$39)+IF(C16=$I$25,$I$42)+IF(C16=$I$26,$I$45))+IF($J$64="CUMPLE",IF(C16=$J$24,$J$39)+IF(C16=$J$25,$J$42)+IF(C16=$J$26,$J$45)))</f>
        <v>#N/A</v>
      </c>
      <c r="F16" s="103" t="e">
        <f t="shared" si="1"/>
        <v>#N/A</v>
      </c>
      <c r="G16" s="104" t="e">
        <f t="shared" si="2"/>
        <v>#N/A</v>
      </c>
      <c r="H16" s="104" t="e">
        <f>IF(C16="","",IF(AND(G16="NO APORTA EXPERIENCIA",D16&lt;=10%),"SI",IF(G16="SI","NO APLICA","NO - PORCENTAJE MAYOR AL 10%")))</f>
        <v>#N/A</v>
      </c>
      <c r="I16" s="292"/>
      <c r="J16" s="293"/>
      <c r="K16" s="293"/>
      <c r="L16" s="294"/>
    </row>
    <row r="17" spans="2:14" ht="33.75" customHeight="1">
      <c r="B17" s="347"/>
      <c r="C17" s="100" t="e">
        <f>IF(VLOOKUP(C11,PROPONENTES!B10:N39,6,FALSE)=0,"",VLOOKUP(C11,PROPONENTES!B10:N39,6,FALSE))</f>
        <v>#N/A</v>
      </c>
      <c r="D17" s="101" t="e">
        <f>IF(VLOOKUP(C11,PROPONENTES!B10:N39,7,FALSE)=0,"",VLOOKUP(C11,PROPONENTES!B10:N39,7,FALSE))</f>
        <v>#N/A</v>
      </c>
      <c r="E17" s="102" t="e">
        <f>IF(C17="","",IF($D$64="CUMPLE",IF(C17=$D$24,$D$39)+IF(C17=$D$25,$D$42)+IF(C17=$D$26,$D$45))+IF($E$64="CUMPLE",IF(C17=$E$24,$E$39)+IF(C17=$E$25,$E$42)+IF(C17=$E$26,$E$45))+IF($F$64="CUMPLE",IF(C17=$F$24,$F$39)+IF(C17=$F$25,$F$42)+IF(C17=$F$26,$F$45))+IF($G$64="CUMPLE",IF(C17=$G$24,$G$39)+IF(C17=$G$25,$G$42)+IF(C17=$G$26,$G$45))+IF($H$64="CUMPLE",IF(C17=$H$24,$H$39)+IF(C17=$H$25,$H$42)+IF(C17=$H$26,$H$45))+IF($I$64="CUMPLE",IF(C17=$I$24,$I$39)+IF(C17=$I$25,$I$42)+IF(C17=$I$26,$I$45))+IF($J$64="CUMPLE",IF(C17=$J$24,$J$39)+IF(C17=$J$25,$J$42)+IF(C17=$J$26,$J$45)))</f>
        <v>#N/A</v>
      </c>
      <c r="F17" s="103" t="e">
        <f t="shared" si="1"/>
        <v>#N/A</v>
      </c>
      <c r="G17" s="104" t="e">
        <f t="shared" si="2"/>
        <v>#N/A</v>
      </c>
      <c r="H17" s="103" t="e">
        <f>IF(C17="","",IF(AND(G17="NO APORTA EXPERIENCIA",D17&lt;=10%),"SI",IF(G17="SI","NO APLICA","NO - PORCENTAJE MAYOR AL 10%")))</f>
        <v>#N/A</v>
      </c>
      <c r="I17" s="292"/>
      <c r="J17" s="293"/>
      <c r="K17" s="293"/>
      <c r="L17" s="294"/>
    </row>
    <row r="18" spans="2:14" ht="50.25" customHeight="1">
      <c r="B18" s="347"/>
      <c r="C18" s="100" t="e">
        <f>IF(VLOOKUP(C11,PROPONENTES!B10:N39,8,FALSE)=0,"",VLOOKUP(C11,PROPONENTES!B10:N39,8,FALSE))</f>
        <v>#N/A</v>
      </c>
      <c r="D18" s="101" t="e">
        <f>IF(VLOOKUP(C11,PROPONENTES!B10:N39,9,FALSE)=0,"",VLOOKUP(C11,PROPONENTES!B10:N39,9,FALSE))</f>
        <v>#N/A</v>
      </c>
      <c r="E18" s="102" t="e">
        <f>IF(C18="","",IF($D$64="CUMPLE",IF(C18=$D$24,$D$39)+IF(C18=$D$25,$D$42)+IF(C18=$D$26,$D$45))+IF($E$64="CUMPLE",IF(C18=$E$24,$E$39)+IF(C18=$E$25,$E$42)+IF(C18=$E$26,$E$45))+IF($F$64="CUMPLE",IF(C18=$F$24,$F$39)+IF(C18=$F$25,$F$42)+IF(C18=$F$26,$F$45))+IF($G$64="CUMPLE",IF(C18=$G$24,$G$39)+IF(C18=$G$25,$G$42)+IF(C18=$G$26,$G$45))+IF($H$64="CUMPLE",IF(C18=$H$24,$H$39)+IF(C18=$H$25,$H$42)+IF(C18=$H$26,$H$45))+IF($I$64="CUMPLE",IF(C18=$I$24,$I$39)+IF(C18=$I$25,$I$42)+IF(C18=$I$26,$I$45))+IF($J$64="CUMPLE",IF(C18=$J$24,$J$39)+IF(C18=$J$25,$J$42)+IF(C18=$J$26,$J$45)))</f>
        <v>#N/A</v>
      </c>
      <c r="F18" s="103" t="e">
        <f t="shared" si="1"/>
        <v>#N/A</v>
      </c>
      <c r="G18" s="104" t="e">
        <f>IF(C18="","",IF(E18&gt;=$J$15*0.05,"SI",IF(E18=0,"NO APORTA EXPERIENCIA",)))</f>
        <v>#N/A</v>
      </c>
      <c r="H18" s="103" t="e">
        <f>IF(C18="","",IF(AND(G18="NO APORTA EXPERIENCIA",D18&lt;=10%),"SI",IF(G18="SI","NO APLICA","NO - PORCENTAJE MAYOR AL 10%")))</f>
        <v>#N/A</v>
      </c>
      <c r="I18" s="38" t="s">
        <v>109</v>
      </c>
      <c r="J18" s="38" t="s">
        <v>110</v>
      </c>
      <c r="K18" s="225" t="s">
        <v>90</v>
      </c>
      <c r="L18" s="225"/>
    </row>
    <row r="19" spans="2:14" ht="33.75" customHeight="1">
      <c r="B19" s="347"/>
      <c r="C19" s="100" t="e">
        <f>IF(VLOOKUP(C11,PROPONENTES!B10:N39,10,FALSE)=0,"",VLOOKUP(C11,PROPONENTES!B10:N39,10,FALSE))</f>
        <v>#N/A</v>
      </c>
      <c r="D19" s="101" t="e">
        <f>IF(VLOOKUP(C11,PROPONENTES!B10:N39,11,FALSE)=0,"",VLOOKUP(C11,PROPONENTES!B10:N39,11,FALSE))</f>
        <v>#N/A</v>
      </c>
      <c r="E19" s="102" t="e">
        <f>IF(C19="","",IF($D$64="CUMPLE",IF(C19=$D$24,$D$39)+IF(C19=$D$25,$D$42)+IF(C19=$D$26,$D$45))+IF($E$64="CUMPLE",IF(C19=$E$24,$E$39)+IF(C19=$E$25,$E$42)+IF(C19=$E$26,$E$45))+IF($F$64="CUMPLE",IF(C19=$F$24,$F$39)+IF(C19=$F$25,$F$42)+IF(C19=$F$26,$F$45))+IF($G$64="CUMPLE",IF(C19=$G$24,$G$39)+IF(C19=$G$25,$G$42)+IF(C19=$G$26,$G$45))+IF($H$64="CUMPLE",IF(C19=$H$24,$H$39)+IF(C19=$H$25,$H$42)+IF(C19=$H$26,$H$45))+IF($I$64="CUMPLE",IF(C19=$I$24,$I$39)+IF(C19=$I$25,$I$42)+IF(C19=$I$26,$I$45))+IF($J$64="CUMPLE",IF(C19=$J$24,$J$39)+IF(C19=$J$25,$J$42)+IF(C19=$J$26,$J$45)))</f>
        <v>#N/A</v>
      </c>
      <c r="F19" s="103" t="e">
        <f>IF(C19="","",IF(E19&gt;=$J$15*0.5,"SI","NO"))</f>
        <v>#N/A</v>
      </c>
      <c r="G19" s="104" t="e">
        <f>IF(C19="","",IF(E19&gt;=$J$15*0.05,"SI",IF(E19=0,"NO APORTA EXPERIENCIA",)))</f>
        <v>#N/A</v>
      </c>
      <c r="H19" s="103" t="e">
        <f>IF(C19="","",IF(AND(G19="NO APORTA EXPERIENCIA",D19&lt;=10%),"SI",IF(G19="SI","NO APLICA","NO - PORCENTAJE MAYOR AL 10%")))</f>
        <v>#N/A</v>
      </c>
      <c r="I19" s="173">
        <f>SUMIF(D65:J65,"CUMPLE",D39:J39)+SUMIF(D65:J65,"CUMPLE",D42:J42)+SUMIF(D65:J65,"CUMPLE",D45:J45)</f>
        <v>5233.0360000000001</v>
      </c>
      <c r="J19" s="168">
        <f>70%*C10</f>
        <v>2297.572250689655</v>
      </c>
      <c r="K19" s="294" t="str">
        <f>IF(I19&gt;=J19,"CUMPLE","NO CUMPLE")</f>
        <v>CUMPLE</v>
      </c>
      <c r="L19" s="294"/>
    </row>
    <row r="20" spans="2:14" ht="84.75" customHeight="1">
      <c r="B20" s="33" t="s">
        <v>111</v>
      </c>
      <c r="C20" s="27" t="e">
        <f>+VLOOKUP(C11,PROPONENTES!B10:N39,12,FALSE)</f>
        <v>#N/A</v>
      </c>
      <c r="D20" s="101" t="e">
        <f>+VLOOKUP(C11,PROPONENTES!B10:N39,13,FALSE)</f>
        <v>#N/A</v>
      </c>
      <c r="E20" s="39" t="e">
        <f>SUM(E15:E19)</f>
        <v>#N/A</v>
      </c>
      <c r="F20" s="18" t="e">
        <f>IF(F15="SI","CUMPLE",IF(F16="SI","CUMPLE",IF(F17="SI","CUMPLE",IF(F18="SI","CUMPLE",IF(F19="SI","CUMPLE","NO CUMPLE")))))</f>
        <v>#N/A</v>
      </c>
      <c r="G20" s="18" t="e">
        <f>+IF(COUNTIF(E15:E19,0)&gt;1,"NO CUMPLE, HAY MAS DE UN (1) INTEGRANTE QUE NO APORTA EXPERIENCIA",IF(AND(OR(G15="NO APORTA EXPERIENCIA",G15="SI",G15=""),OR(G16="NO APORTA EXPERIENCIA",G16="SI",G16=""),OR(G17="NO APORTA EXPERIENCIA",G17="SI",G17=""),OR(G18="NO APORTA EXPERIENCIA",G18="SI",G18=""),OR(G19="NO APORTA EXPERIENCIA",G19="SI",G19="")),"CUMPLE","NO CUMPLE"))</f>
        <v>#N/A</v>
      </c>
      <c r="H20" s="18" t="e">
        <f>IF(COUNTIF(E15:E19,0)&gt;1,"NO CUMPLE, HAY MAS DE UN (1) INTEGRANTE QUE NO APORTA EXPERIENCIA",IF(AND(OR(H15="NO APLICA",H15="SI",H15=""),OR(H16="NO APLICA",H16="SI",H16=""),OR(H17="NO APLICA",H17="SI",H17=""),OR(H18="NO APLICA",H18="SI",H18=""),OR(H19="NO APLICA",H19="SI",H19="")),"CUMPLE","NO CUMPLE"))</f>
        <v>#N/A</v>
      </c>
      <c r="I20" s="38" t="s">
        <v>112</v>
      </c>
      <c r="J20" s="143" t="e">
        <f>IF(VLOOKUP(C11,PUNTAJE!B15:AF154,27,FALSE)=0.25,"SI","NO")</f>
        <v>#N/A</v>
      </c>
      <c r="K20" s="38" t="s">
        <v>113</v>
      </c>
      <c r="L20" s="143" t="e">
        <f>IF(VLOOKUP(C11,PUNTAJE!B15:AF154,31,FALSE)=0.25,"SI","NO")</f>
        <v>#N/A</v>
      </c>
      <c r="N20" s="38"/>
    </row>
    <row r="21" spans="2:14" ht="10.5" customHeight="1" thickBot="1">
      <c r="B21" s="340"/>
      <c r="C21" s="341"/>
      <c r="D21" s="341"/>
      <c r="E21" s="341"/>
      <c r="F21" s="341"/>
      <c r="G21" s="341"/>
      <c r="H21" s="341"/>
      <c r="I21" s="341"/>
      <c r="J21" s="341"/>
      <c r="K21" s="341"/>
      <c r="L21" s="342"/>
    </row>
    <row r="22" spans="2:14" ht="54" customHeight="1" thickBot="1">
      <c r="B22" s="343" t="str">
        <f>CONCATENATE("ACREDITACION EXPERIENCIA ",'DATOS INICIALES'!G4)</f>
        <v>ACREDITACION EXPERIENCIA FDLK-LP-007-2024</v>
      </c>
      <c r="C22" s="344"/>
      <c r="D22" s="344"/>
      <c r="E22" s="344"/>
      <c r="F22" s="344"/>
      <c r="G22" s="344"/>
      <c r="H22" s="344"/>
      <c r="I22" s="344"/>
      <c r="J22" s="345"/>
      <c r="K22" s="345"/>
      <c r="L22" s="346"/>
    </row>
    <row r="23" spans="2:14" ht="40.5" customHeight="1">
      <c r="B23" s="34" t="s">
        <v>114</v>
      </c>
      <c r="C23" s="28" t="s">
        <v>115</v>
      </c>
      <c r="D23" s="29" t="s">
        <v>35</v>
      </c>
      <c r="E23" s="29" t="s">
        <v>36</v>
      </c>
      <c r="F23" s="29" t="s">
        <v>37</v>
      </c>
      <c r="G23" s="29" t="s">
        <v>38</v>
      </c>
      <c r="H23" s="29" t="s">
        <v>39</v>
      </c>
      <c r="I23" s="29" t="s">
        <v>40</v>
      </c>
      <c r="J23" s="29" t="s">
        <v>116</v>
      </c>
      <c r="K23" s="348" t="s">
        <v>117</v>
      </c>
      <c r="L23" s="349"/>
    </row>
    <row r="24" spans="2:14" ht="39.75" customHeight="1">
      <c r="B24" s="333" t="s">
        <v>118</v>
      </c>
      <c r="C24" s="334"/>
      <c r="D24" s="90" t="s">
        <v>490</v>
      </c>
      <c r="E24" s="90" t="s">
        <v>491</v>
      </c>
      <c r="F24" s="90" t="s">
        <v>492</v>
      </c>
      <c r="G24" s="90"/>
      <c r="H24" s="90"/>
      <c r="I24" s="90"/>
      <c r="J24" s="90"/>
      <c r="K24" s="288"/>
      <c r="L24" s="289"/>
    </row>
    <row r="25" spans="2:14" ht="39.75" customHeight="1">
      <c r="B25" s="333" t="s">
        <v>119</v>
      </c>
      <c r="C25" s="334"/>
      <c r="D25" s="90"/>
      <c r="E25" s="90"/>
      <c r="F25" s="90"/>
      <c r="G25" s="90"/>
      <c r="H25" s="90"/>
      <c r="I25" s="90"/>
      <c r="J25" s="90"/>
      <c r="K25" s="288"/>
      <c r="L25" s="289"/>
    </row>
    <row r="26" spans="2:14" ht="39.75" customHeight="1">
      <c r="B26" s="333" t="s">
        <v>120</v>
      </c>
      <c r="C26" s="334"/>
      <c r="D26" s="90"/>
      <c r="E26" s="90"/>
      <c r="F26" s="90"/>
      <c r="G26" s="90"/>
      <c r="H26" s="90"/>
      <c r="I26" s="90"/>
      <c r="J26" s="90"/>
      <c r="K26" s="288"/>
      <c r="L26" s="289"/>
    </row>
    <row r="27" spans="2:14" ht="45.75" customHeight="1">
      <c r="B27" s="335" t="s">
        <v>121</v>
      </c>
      <c r="C27" s="28" t="s">
        <v>122</v>
      </c>
      <c r="D27" s="91" t="s">
        <v>493</v>
      </c>
      <c r="E27" s="91" t="s">
        <v>494</v>
      </c>
      <c r="F27" s="91" t="s">
        <v>495</v>
      </c>
      <c r="G27" s="91"/>
      <c r="H27" s="91"/>
      <c r="I27" s="91"/>
      <c r="J27" s="91"/>
      <c r="K27" s="288"/>
      <c r="L27" s="289"/>
    </row>
    <row r="28" spans="2:14" ht="156.75" customHeight="1">
      <c r="B28" s="336"/>
      <c r="C28" s="28" t="s">
        <v>127</v>
      </c>
      <c r="D28" s="91" t="s">
        <v>496</v>
      </c>
      <c r="E28" s="91" t="s">
        <v>497</v>
      </c>
      <c r="F28" s="91" t="s">
        <v>498</v>
      </c>
      <c r="G28" s="91"/>
      <c r="H28" s="91"/>
      <c r="I28" s="91"/>
      <c r="J28" s="91"/>
      <c r="K28" s="288"/>
      <c r="L28" s="289"/>
    </row>
    <row r="29" spans="2:14" ht="52.5" customHeight="1">
      <c r="B29" s="336"/>
      <c r="C29" s="28" t="s">
        <v>132</v>
      </c>
      <c r="D29" s="95">
        <v>41465</v>
      </c>
      <c r="E29" s="95">
        <v>43900</v>
      </c>
      <c r="F29" s="95">
        <v>43521</v>
      </c>
      <c r="G29" s="95"/>
      <c r="H29" s="95"/>
      <c r="I29" s="95"/>
      <c r="J29" s="95"/>
      <c r="K29" s="288"/>
      <c r="L29" s="289"/>
    </row>
    <row r="30" spans="2:14" ht="54.75" customHeight="1">
      <c r="B30" s="336"/>
      <c r="C30" s="28" t="s">
        <v>133</v>
      </c>
      <c r="D30" s="95">
        <v>41836</v>
      </c>
      <c r="E30" s="95">
        <v>44365</v>
      </c>
      <c r="F30" s="95">
        <v>44453</v>
      </c>
      <c r="G30" s="95"/>
      <c r="H30" s="95"/>
      <c r="I30" s="95"/>
      <c r="J30" s="95"/>
      <c r="K30" s="288"/>
      <c r="L30" s="289"/>
    </row>
    <row r="31" spans="2:14" ht="41.25" customHeight="1">
      <c r="B31" s="336"/>
      <c r="C31" s="28" t="s">
        <v>134</v>
      </c>
      <c r="D31" s="92">
        <v>2014</v>
      </c>
      <c r="E31" s="92">
        <v>2021</v>
      </c>
      <c r="F31" s="92">
        <v>2021</v>
      </c>
      <c r="G31" s="92"/>
      <c r="H31" s="92"/>
      <c r="I31" s="92"/>
      <c r="J31" s="92"/>
      <c r="K31" s="288"/>
      <c r="L31" s="289"/>
    </row>
    <row r="32" spans="2:14" ht="63" customHeight="1">
      <c r="B32" s="336"/>
      <c r="C32" s="28" t="s">
        <v>135</v>
      </c>
      <c r="D32" s="91" t="s">
        <v>499</v>
      </c>
      <c r="E32" s="91" t="s">
        <v>500</v>
      </c>
      <c r="F32" s="91" t="s">
        <v>501</v>
      </c>
      <c r="G32" s="91"/>
      <c r="H32" s="91"/>
      <c r="I32" s="91"/>
      <c r="J32" s="91"/>
      <c r="K32" s="288"/>
      <c r="L32" s="289"/>
    </row>
    <row r="33" spans="2:12" ht="56.25" customHeight="1">
      <c r="B33" s="336"/>
      <c r="C33" s="28" t="s">
        <v>140</v>
      </c>
      <c r="D33" s="91" t="s">
        <v>502</v>
      </c>
      <c r="E33" s="91" t="s">
        <v>503</v>
      </c>
      <c r="F33" s="91" t="s">
        <v>504</v>
      </c>
      <c r="G33" s="91"/>
      <c r="H33" s="91"/>
      <c r="I33" s="91"/>
      <c r="J33" s="91"/>
      <c r="K33" s="288"/>
      <c r="L33" s="289"/>
    </row>
    <row r="34" spans="2:12" ht="27.75" customHeight="1">
      <c r="B34" s="336"/>
      <c r="C34" s="30" t="s">
        <v>144</v>
      </c>
      <c r="D34" s="96">
        <v>57</v>
      </c>
      <c r="E34" s="96">
        <v>147</v>
      </c>
      <c r="F34" s="96">
        <v>34</v>
      </c>
      <c r="G34" s="97"/>
      <c r="H34" s="97"/>
      <c r="I34" s="97"/>
      <c r="J34" s="97"/>
      <c r="K34" s="288"/>
      <c r="L34" s="289"/>
    </row>
    <row r="35" spans="2:12" ht="102.75" customHeight="1">
      <c r="B35" s="336"/>
      <c r="C35" s="28" t="s">
        <v>145</v>
      </c>
      <c r="D35" s="93">
        <v>12088.93</v>
      </c>
      <c r="E35" s="93">
        <v>1814.8</v>
      </c>
      <c r="F35" s="93">
        <v>13082.59</v>
      </c>
      <c r="G35" s="93"/>
      <c r="H35" s="93"/>
      <c r="I35" s="93"/>
      <c r="J35" s="93"/>
      <c r="K35" s="290"/>
      <c r="L35" s="291"/>
    </row>
    <row r="36" spans="2:12" ht="48" customHeight="1">
      <c r="B36" s="336"/>
      <c r="C36" s="28" t="s">
        <v>146</v>
      </c>
      <c r="D36" s="105">
        <f>IFERROR(D35*VLOOKUP(D31,'DATOS INICIALES'!$A$12:$B$41,2,0),"0")</f>
        <v>7446780880</v>
      </c>
      <c r="E36" s="105">
        <f>IFERROR(E35*VLOOKUP(E31,'DATOS INICIALES'!$A$12:$B$41,2,0),"0")</f>
        <v>1648792984.8</v>
      </c>
      <c r="F36" s="105">
        <f>IFERROR(F35*VLOOKUP(F31,'DATOS INICIALES'!$A$12:$B$41,2,0),"0")</f>
        <v>11885873162.34</v>
      </c>
      <c r="G36" s="105" t="str">
        <f>IFERROR(G35*VLOOKUP(G31,'DATOS INICIALES'!$A$12:$B$41,2,0),"0")</f>
        <v>0</v>
      </c>
      <c r="H36" s="105" t="str">
        <f>IFERROR(H35*VLOOKUP(H31,'DATOS INICIALES'!$A$12:$B$41,2,0),"0")</f>
        <v>0</v>
      </c>
      <c r="I36" s="105" t="str">
        <f>IFERROR(I35*VLOOKUP(I31,'DATOS INICIALES'!$A$12:$B$41,2,0),"0")</f>
        <v>0</v>
      </c>
      <c r="J36" s="105" t="str">
        <f>IFERROR(J35*VLOOKUP(J31,'DATOS INICIALES'!$A$12:$B$41,2,0),"0")</f>
        <v>0</v>
      </c>
      <c r="K36" s="288"/>
      <c r="L36" s="289"/>
    </row>
    <row r="37" spans="2:12" ht="33.75" customHeight="1">
      <c r="B37" s="336"/>
      <c r="C37" s="28" t="s">
        <v>147</v>
      </c>
      <c r="D37" s="94">
        <v>0.8</v>
      </c>
      <c r="E37" s="94">
        <v>0.7</v>
      </c>
      <c r="F37" s="94">
        <v>0.4</v>
      </c>
      <c r="G37" s="94"/>
      <c r="H37" s="94"/>
      <c r="I37" s="94"/>
      <c r="J37" s="94"/>
      <c r="K37" s="288"/>
      <c r="L37" s="289"/>
    </row>
    <row r="38" spans="2:12" ht="48.75" customHeight="1">
      <c r="B38" s="336"/>
      <c r="C38" s="28" t="s">
        <v>148</v>
      </c>
      <c r="D38" s="105">
        <f t="shared" ref="D38:J38" si="3">IF(D24="","0",D37*D36)</f>
        <v>5957424704</v>
      </c>
      <c r="E38" s="105">
        <f t="shared" si="3"/>
        <v>1154155089.3599999</v>
      </c>
      <c r="F38" s="105">
        <f t="shared" si="3"/>
        <v>4754349264.9359999</v>
      </c>
      <c r="G38" s="105" t="str">
        <f t="shared" si="3"/>
        <v>0</v>
      </c>
      <c r="H38" s="105" t="str">
        <f t="shared" si="3"/>
        <v>0</v>
      </c>
      <c r="I38" s="105" t="str">
        <f t="shared" si="3"/>
        <v>0</v>
      </c>
      <c r="J38" s="105" t="str">
        <f t="shared" si="3"/>
        <v>0</v>
      </c>
      <c r="K38" s="288"/>
      <c r="L38" s="289"/>
    </row>
    <row r="39" spans="2:12" ht="65.25" customHeight="1">
      <c r="B39" s="336"/>
      <c r="C39" s="28" t="s">
        <v>149</v>
      </c>
      <c r="D39" s="106">
        <f t="shared" ref="D39:J39" si="4">IFERROR(D35*D37,"0")</f>
        <v>9671.1440000000002</v>
      </c>
      <c r="E39" s="106">
        <f t="shared" si="4"/>
        <v>1270.3599999999999</v>
      </c>
      <c r="F39" s="106">
        <f t="shared" si="4"/>
        <v>5233.0360000000001</v>
      </c>
      <c r="G39" s="106">
        <f t="shared" si="4"/>
        <v>0</v>
      </c>
      <c r="H39" s="106">
        <f t="shared" si="4"/>
        <v>0</v>
      </c>
      <c r="I39" s="106">
        <f t="shared" si="4"/>
        <v>0</v>
      </c>
      <c r="J39" s="106">
        <f t="shared" si="4"/>
        <v>0</v>
      </c>
      <c r="K39" s="288"/>
      <c r="L39" s="289"/>
    </row>
    <row r="40" spans="2:12" ht="65.25" customHeight="1">
      <c r="B40" s="336"/>
      <c r="C40" s="28" t="s">
        <v>150</v>
      </c>
      <c r="D40" s="94"/>
      <c r="E40" s="94"/>
      <c r="F40" s="94"/>
      <c r="G40" s="94"/>
      <c r="H40" s="94"/>
      <c r="I40" s="94"/>
      <c r="J40" s="94"/>
      <c r="K40" s="288"/>
      <c r="L40" s="289"/>
    </row>
    <row r="41" spans="2:12" ht="65.25" customHeight="1">
      <c r="B41" s="336"/>
      <c r="C41" s="28" t="s">
        <v>151</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88"/>
      <c r="L41" s="289"/>
    </row>
    <row r="42" spans="2:12" ht="65.25" customHeight="1">
      <c r="B42" s="336"/>
      <c r="C42" s="28" t="s">
        <v>152</v>
      </c>
      <c r="D42" s="106">
        <f>IF(D25="",0,D35*D40)</f>
        <v>0</v>
      </c>
      <c r="E42" s="106">
        <f t="shared" ref="E42:J42" si="6">IF(E25="",0,E35*E40)</f>
        <v>0</v>
      </c>
      <c r="F42" s="106">
        <f t="shared" si="6"/>
        <v>0</v>
      </c>
      <c r="G42" s="106">
        <f t="shared" si="6"/>
        <v>0</v>
      </c>
      <c r="H42" s="106">
        <f t="shared" si="6"/>
        <v>0</v>
      </c>
      <c r="I42" s="106">
        <f t="shared" si="6"/>
        <v>0</v>
      </c>
      <c r="J42" s="106">
        <f t="shared" si="6"/>
        <v>0</v>
      </c>
      <c r="K42" s="288"/>
      <c r="L42" s="289"/>
    </row>
    <row r="43" spans="2:12" ht="65.25" customHeight="1">
      <c r="B43" s="336"/>
      <c r="C43" s="28" t="s">
        <v>153</v>
      </c>
      <c r="D43" s="94"/>
      <c r="E43" s="94"/>
      <c r="F43" s="94"/>
      <c r="G43" s="94"/>
      <c r="H43" s="94"/>
      <c r="I43" s="94"/>
      <c r="J43" s="94"/>
      <c r="K43" s="288"/>
      <c r="L43" s="289"/>
    </row>
    <row r="44" spans="2:12" ht="65.25" customHeight="1">
      <c r="B44" s="336"/>
      <c r="C44" s="28" t="s">
        <v>154</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88"/>
      <c r="L44" s="289"/>
    </row>
    <row r="45" spans="2:12" ht="65.25" customHeight="1">
      <c r="B45" s="337"/>
      <c r="C45" s="28" t="s">
        <v>155</v>
      </c>
      <c r="D45" s="106">
        <f>IF(D26="",0,D35*D43)</f>
        <v>0</v>
      </c>
      <c r="E45" s="106">
        <f t="shared" ref="E45:J45" si="8">IF(E26="",0,E35*E43)</f>
        <v>0</v>
      </c>
      <c r="F45" s="106">
        <f t="shared" si="8"/>
        <v>0</v>
      </c>
      <c r="G45" s="106">
        <f t="shared" si="8"/>
        <v>0</v>
      </c>
      <c r="H45" s="106">
        <f t="shared" si="8"/>
        <v>0</v>
      </c>
      <c r="I45" s="106">
        <f t="shared" si="8"/>
        <v>0</v>
      </c>
      <c r="J45" s="106">
        <f t="shared" si="8"/>
        <v>0</v>
      </c>
      <c r="K45" s="288"/>
      <c r="L45" s="289"/>
    </row>
    <row r="46" spans="2:12" ht="39.75" customHeight="1">
      <c r="B46" s="142" t="s">
        <v>156</v>
      </c>
      <c r="C46" s="32" t="s">
        <v>157</v>
      </c>
      <c r="D46" s="90" t="s">
        <v>31</v>
      </c>
      <c r="E46" s="90" t="s">
        <v>31</v>
      </c>
      <c r="F46" s="90" t="s">
        <v>31</v>
      </c>
      <c r="G46" s="90"/>
      <c r="H46" s="90"/>
      <c r="I46" s="90"/>
      <c r="J46" s="90"/>
      <c r="K46" s="288"/>
      <c r="L46" s="289"/>
    </row>
    <row r="47" spans="2:12" ht="24.75" customHeight="1">
      <c r="B47" s="327" t="s">
        <v>158</v>
      </c>
      <c r="C47" s="31">
        <f>+'DATOS INICIALES'!D21</f>
        <v>70101700</v>
      </c>
      <c r="D47" s="96" t="s">
        <v>27</v>
      </c>
      <c r="E47" s="96" t="s">
        <v>27</v>
      </c>
      <c r="F47" s="96" t="s">
        <v>29</v>
      </c>
      <c r="G47" s="96"/>
      <c r="H47" s="96"/>
      <c r="I47" s="96"/>
      <c r="J47" s="97"/>
      <c r="K47" s="288"/>
      <c r="L47" s="289"/>
    </row>
    <row r="48" spans="2:12" ht="24.75" customHeight="1">
      <c r="B48" s="328"/>
      <c r="C48" s="31">
        <f>+'DATOS INICIALES'!D22</f>
        <v>80101600</v>
      </c>
      <c r="D48" s="96" t="s">
        <v>27</v>
      </c>
      <c r="E48" s="96" t="s">
        <v>27</v>
      </c>
      <c r="F48" s="96" t="s">
        <v>27</v>
      </c>
      <c r="G48" s="96"/>
      <c r="H48" s="96"/>
      <c r="I48" s="96"/>
      <c r="J48" s="97"/>
      <c r="K48" s="288"/>
      <c r="L48" s="289"/>
    </row>
    <row r="49" spans="2:12" ht="24.75" customHeight="1">
      <c r="B49" s="328"/>
      <c r="C49" s="31">
        <f>+'DATOS INICIALES'!D23</f>
        <v>80101500</v>
      </c>
      <c r="D49" s="96" t="s">
        <v>27</v>
      </c>
      <c r="E49" s="96" t="s">
        <v>27</v>
      </c>
      <c r="F49" s="96" t="s">
        <v>27</v>
      </c>
      <c r="G49" s="96"/>
      <c r="H49" s="96"/>
      <c r="I49" s="96"/>
      <c r="J49" s="97"/>
      <c r="K49" s="288"/>
      <c r="L49" s="289"/>
    </row>
    <row r="50" spans="2:12" ht="24.75" customHeight="1">
      <c r="B50" s="328"/>
      <c r="C50" s="31">
        <f>+'DATOS INICIALES'!D24</f>
        <v>86101700</v>
      </c>
      <c r="D50" s="96" t="s">
        <v>27</v>
      </c>
      <c r="E50" s="96" t="s">
        <v>27</v>
      </c>
      <c r="F50" s="96" t="s">
        <v>27</v>
      </c>
      <c r="G50" s="96"/>
      <c r="H50" s="96"/>
      <c r="I50" s="96"/>
      <c r="J50" s="97"/>
      <c r="K50" s="288"/>
      <c r="L50" s="289"/>
    </row>
    <row r="51" spans="2:12" ht="24.75" customHeight="1">
      <c r="B51" s="328"/>
      <c r="C51" s="31">
        <f>+'DATOS INICIALES'!D25</f>
        <v>80161500</v>
      </c>
      <c r="D51" s="96" t="s">
        <v>27</v>
      </c>
      <c r="E51" s="96" t="s">
        <v>29</v>
      </c>
      <c r="F51" s="96" t="s">
        <v>27</v>
      </c>
      <c r="G51" s="96"/>
      <c r="H51" s="96"/>
      <c r="I51" s="96"/>
      <c r="J51" s="97"/>
      <c r="K51" s="288"/>
      <c r="L51" s="289"/>
    </row>
    <row r="52" spans="2:12" ht="24.75" customHeight="1">
      <c r="B52" s="328"/>
      <c r="C52" s="31">
        <f>+'DATOS INICIALES'!D26</f>
        <v>93141500</v>
      </c>
      <c r="D52" s="96" t="s">
        <v>27</v>
      </c>
      <c r="E52" s="96"/>
      <c r="F52" s="96"/>
      <c r="G52" s="96"/>
      <c r="H52" s="96"/>
      <c r="I52" s="96"/>
      <c r="J52" s="97"/>
      <c r="K52" s="288"/>
      <c r="L52" s="289"/>
    </row>
    <row r="53" spans="2:12" ht="24.75" customHeight="1">
      <c r="B53" s="328"/>
      <c r="C53" s="31"/>
      <c r="D53" s="96"/>
      <c r="E53" s="96"/>
      <c r="F53" s="96"/>
      <c r="G53" s="96"/>
      <c r="H53" s="96"/>
      <c r="I53" s="96"/>
      <c r="J53" s="96"/>
      <c r="K53" s="288"/>
      <c r="L53" s="289"/>
    </row>
    <row r="54" spans="2:12" ht="60.75" customHeight="1">
      <c r="B54" s="329"/>
      <c r="C54" s="18" t="s">
        <v>159</v>
      </c>
      <c r="D54" s="18" t="str">
        <f t="shared" ref="D54:J54" si="9">IF(D24="","N/A",IF(D47="SI","CUMPLE",IF(D48="SI","CUMPLE",IF(D49="SI","CUMPLE",IF(D50="SI","CUMPLE",IF(D51="SI","CUMPLE",IF(D52="SI","CUMPLE",IF(D53="SI","CUMPLE","NO CUMPLE"))))))))</f>
        <v>CUMPLE</v>
      </c>
      <c r="E54" s="18" t="str">
        <f t="shared" si="9"/>
        <v>CUMPLE</v>
      </c>
      <c r="F54" s="18" t="str">
        <f t="shared" si="9"/>
        <v>CUMPLE</v>
      </c>
      <c r="G54" s="18" t="str">
        <f t="shared" si="9"/>
        <v>N/A</v>
      </c>
      <c r="H54" s="18" t="str">
        <f t="shared" si="9"/>
        <v>N/A</v>
      </c>
      <c r="I54" s="18" t="str">
        <f t="shared" si="9"/>
        <v>N/A</v>
      </c>
      <c r="J54" s="18" t="str">
        <f t="shared" si="9"/>
        <v>N/A</v>
      </c>
      <c r="K54" s="288"/>
      <c r="L54" s="289"/>
    </row>
    <row r="55" spans="2:12" ht="296.25" customHeight="1">
      <c r="B55" s="330" t="s">
        <v>160</v>
      </c>
      <c r="C55" s="331"/>
      <c r="D55" s="90" t="s">
        <v>33</v>
      </c>
      <c r="E55" s="90" t="s">
        <v>31</v>
      </c>
      <c r="F55" s="90" t="s">
        <v>31</v>
      </c>
      <c r="G55" s="90"/>
      <c r="H55" s="90"/>
      <c r="I55" s="90"/>
      <c r="J55" s="90"/>
      <c r="K55" s="295" t="s">
        <v>505</v>
      </c>
      <c r="L55" s="296"/>
    </row>
    <row r="56" spans="2:12" ht="353.25" hidden="1" customHeight="1">
      <c r="B56" s="330" t="s">
        <v>161</v>
      </c>
      <c r="C56" s="331"/>
      <c r="D56" s="90" t="s">
        <v>31</v>
      </c>
      <c r="E56" s="90" t="s">
        <v>31</v>
      </c>
      <c r="F56" s="90" t="s">
        <v>31</v>
      </c>
      <c r="G56" s="90"/>
      <c r="H56" s="90"/>
      <c r="I56" s="90"/>
      <c r="J56" s="90"/>
      <c r="K56" s="295"/>
      <c r="L56" s="296"/>
    </row>
    <row r="57" spans="2:12" ht="99" customHeight="1">
      <c r="B57" s="324" t="s">
        <v>162</v>
      </c>
      <c r="C57" s="325"/>
      <c r="D57" s="90" t="s">
        <v>31</v>
      </c>
      <c r="E57" s="90" t="s">
        <v>31</v>
      </c>
      <c r="F57" s="90" t="s">
        <v>31</v>
      </c>
      <c r="G57" s="90"/>
      <c r="H57" s="90"/>
      <c r="I57" s="90"/>
      <c r="J57" s="90"/>
      <c r="K57" s="288"/>
      <c r="L57" s="289"/>
    </row>
    <row r="58" spans="2:12" ht="105.75" customHeight="1">
      <c r="B58" s="324" t="s">
        <v>163</v>
      </c>
      <c r="C58" s="325"/>
      <c r="D58" s="90" t="s">
        <v>31</v>
      </c>
      <c r="E58" s="90" t="s">
        <v>31</v>
      </c>
      <c r="F58" s="90" t="s">
        <v>31</v>
      </c>
      <c r="G58" s="90"/>
      <c r="H58" s="90"/>
      <c r="I58" s="90"/>
      <c r="J58" s="90"/>
      <c r="K58" s="288"/>
      <c r="L58" s="289"/>
    </row>
    <row r="59" spans="2:12" ht="291.75" customHeight="1">
      <c r="B59" s="324" t="s">
        <v>164</v>
      </c>
      <c r="C59" s="325"/>
      <c r="D59" s="90" t="s">
        <v>30</v>
      </c>
      <c r="E59" s="90" t="s">
        <v>30</v>
      </c>
      <c r="F59" s="90" t="s">
        <v>30</v>
      </c>
      <c r="G59" s="90"/>
      <c r="H59" s="90"/>
      <c r="I59" s="90"/>
      <c r="J59" s="90"/>
      <c r="K59" s="288"/>
      <c r="L59" s="289"/>
    </row>
    <row r="60" spans="2:12" ht="336" customHeight="1">
      <c r="B60" s="229" t="s">
        <v>165</v>
      </c>
      <c r="C60" s="229"/>
      <c r="D60" s="90" t="s">
        <v>31</v>
      </c>
      <c r="E60" s="90" t="s">
        <v>31</v>
      </c>
      <c r="F60" s="90" t="s">
        <v>31</v>
      </c>
      <c r="G60" s="90"/>
      <c r="H60" s="90"/>
      <c r="I60" s="90"/>
      <c r="J60" s="90"/>
      <c r="K60" s="290"/>
      <c r="L60" s="291"/>
    </row>
    <row r="61" spans="2:12" ht="129.75" customHeight="1">
      <c r="B61" s="338" t="s">
        <v>166</v>
      </c>
      <c r="C61" s="339"/>
      <c r="D61" s="90" t="s">
        <v>30</v>
      </c>
      <c r="E61" s="90" t="s">
        <v>30</v>
      </c>
      <c r="F61" s="90" t="s">
        <v>30</v>
      </c>
      <c r="G61" s="90"/>
      <c r="H61" s="90"/>
      <c r="I61" s="90"/>
      <c r="J61" s="90"/>
      <c r="K61" s="288"/>
      <c r="L61" s="289"/>
    </row>
    <row r="62" spans="2:12" ht="408.75" customHeight="1">
      <c r="B62" s="326" t="s">
        <v>167</v>
      </c>
      <c r="C62" s="326"/>
      <c r="D62" s="90" t="s">
        <v>30</v>
      </c>
      <c r="E62" s="90" t="s">
        <v>30</v>
      </c>
      <c r="F62" s="90" t="s">
        <v>30</v>
      </c>
      <c r="G62" s="90"/>
      <c r="H62" s="90"/>
      <c r="I62" s="90"/>
      <c r="J62" s="90"/>
      <c r="K62" s="288"/>
      <c r="L62" s="289"/>
    </row>
    <row r="63" spans="2:12" ht="234.75" customHeight="1">
      <c r="B63" s="229" t="s">
        <v>168</v>
      </c>
      <c r="C63" s="229"/>
      <c r="D63" s="90" t="s">
        <v>33</v>
      </c>
      <c r="E63" s="90" t="s">
        <v>31</v>
      </c>
      <c r="F63" s="90" t="s">
        <v>31</v>
      </c>
      <c r="G63" s="90"/>
      <c r="H63" s="90"/>
      <c r="I63" s="90"/>
      <c r="J63" s="90"/>
      <c r="K63" s="295" t="s">
        <v>505</v>
      </c>
      <c r="L63" s="296"/>
    </row>
    <row r="64" spans="2:12" ht="70.5" customHeight="1">
      <c r="B64" s="332" t="s">
        <v>169</v>
      </c>
      <c r="C64" s="332"/>
      <c r="D64" s="18" t="str">
        <f>IF(D24="","N/A",IF(AND(D46="CUMPLE",D54="CUMPLE",D55="CUMPLE",D56="CUMPLE",D57="CUMPLE",D58="CUMPLE",OR(D59="CUMPLE",D59="N/A"),D60="CUMPLE",OR(D61="CUMPLE",D61="N/A"),D63="CUMPLE",OR(D62="CUMPLE",D62="N/A")),"CUMPLE","NO CUMPLE"))</f>
        <v>NO CUMPLE</v>
      </c>
      <c r="E64" s="18" t="str">
        <f>IF(E24="","N/A",IF(AND(E46="CUMPLE",E54="CUMPLE",E55="CUMPLE",E56="CUMPLE",E57="CUMPLE",E58="CUMPLE",OR(E59="CUMPLE",E59="N/A"),E60="CUMPLE",OR(E61="CUMPLE",E61="N/A"),E63="CUMPLE",OR(E62="CUMPLE",E62="N/A")),"CUMPLE","NO CUMPLE"))</f>
        <v>CUMPLE</v>
      </c>
      <c r="F64" s="18" t="str">
        <f t="shared" ref="F64:J64" si="10">IF(F24="","N/A",IF(AND(F46="CUMPLE",F54="CUMPLE",F55="CUMPLE",F56="CUMPLE",F57="CUMPLE",F58="CUMPLE",OR(F59="CUMPLE",F59="N/A"),F60="CUMPLE",OR(F61="CUMPLE",F61="N/A"),F63="CUMPLE",OR(F62="CUMPLE",F62="N/A")),"CUMPLE","NO CUMPLE"))</f>
        <v>CUMPLE</v>
      </c>
      <c r="G64" s="18" t="str">
        <f t="shared" si="10"/>
        <v>N/A</v>
      </c>
      <c r="H64" s="18" t="str">
        <f t="shared" si="10"/>
        <v>N/A</v>
      </c>
      <c r="I64" s="18" t="str">
        <f t="shared" si="10"/>
        <v>N/A</v>
      </c>
      <c r="J64" s="18" t="str">
        <f t="shared" si="10"/>
        <v>N/A</v>
      </c>
      <c r="K64" s="166"/>
      <c r="L64" s="167"/>
    </row>
    <row r="65" spans="2:12" ht="81.75" customHeight="1">
      <c r="B65" s="229" t="s">
        <v>170</v>
      </c>
      <c r="C65" s="229"/>
      <c r="D65" s="90"/>
      <c r="E65" s="90"/>
      <c r="F65" s="90" t="s">
        <v>31</v>
      </c>
      <c r="G65" s="90"/>
      <c r="H65" s="90"/>
      <c r="I65" s="90"/>
      <c r="J65" s="90"/>
      <c r="K65" s="288"/>
      <c r="L65" s="289"/>
    </row>
  </sheetData>
  <sheetProtection formatCells="0" formatColumns="0" formatRows="0"/>
  <mergeCells count="80">
    <mergeCell ref="B64:C64"/>
    <mergeCell ref="B65:C65"/>
    <mergeCell ref="K65:L65"/>
    <mergeCell ref="B61:C61"/>
    <mergeCell ref="K61:L61"/>
    <mergeCell ref="B62:C62"/>
    <mergeCell ref="K62:L62"/>
    <mergeCell ref="B63:C63"/>
    <mergeCell ref="K63:L63"/>
    <mergeCell ref="B58:C58"/>
    <mergeCell ref="K58:L58"/>
    <mergeCell ref="B59:C59"/>
    <mergeCell ref="K59:L59"/>
    <mergeCell ref="B60:C60"/>
    <mergeCell ref="K60:L60"/>
    <mergeCell ref="B55:C55"/>
    <mergeCell ref="K55:L55"/>
    <mergeCell ref="B56:C56"/>
    <mergeCell ref="K56:L56"/>
    <mergeCell ref="B57:C57"/>
    <mergeCell ref="K57:L57"/>
    <mergeCell ref="K44:L44"/>
    <mergeCell ref="K46:L46"/>
    <mergeCell ref="B47:B54"/>
    <mergeCell ref="K47:L47"/>
    <mergeCell ref="K48:L48"/>
    <mergeCell ref="K49:L49"/>
    <mergeCell ref="K50:L50"/>
    <mergeCell ref="K51:L51"/>
    <mergeCell ref="K52:L52"/>
    <mergeCell ref="K53:L53"/>
    <mergeCell ref="K54:L54"/>
    <mergeCell ref="K39:L39"/>
    <mergeCell ref="K40:L40"/>
    <mergeCell ref="K41:L41"/>
    <mergeCell ref="K42:L42"/>
    <mergeCell ref="K43:L43"/>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K38:L38"/>
    <mergeCell ref="B25:C25"/>
    <mergeCell ref="K25:L25"/>
    <mergeCell ref="B13:L13"/>
    <mergeCell ref="B14:B19"/>
    <mergeCell ref="I15:I17"/>
    <mergeCell ref="J15:J17"/>
    <mergeCell ref="K15:K17"/>
    <mergeCell ref="L15:L17"/>
    <mergeCell ref="K18:L18"/>
    <mergeCell ref="K19:L19"/>
    <mergeCell ref="B21:L21"/>
    <mergeCell ref="B22:L22"/>
    <mergeCell ref="K23:L23"/>
    <mergeCell ref="B24:C24"/>
    <mergeCell ref="K24:L24"/>
    <mergeCell ref="B12:L12"/>
    <mergeCell ref="B2:L2"/>
    <mergeCell ref="B3:L3"/>
    <mergeCell ref="B4:L4"/>
    <mergeCell ref="B5:L5"/>
    <mergeCell ref="B7:I7"/>
    <mergeCell ref="J7:L7"/>
    <mergeCell ref="C8:I8"/>
    <mergeCell ref="C9:I9"/>
    <mergeCell ref="C10:I10"/>
    <mergeCell ref="C11:G11"/>
    <mergeCell ref="I11:L11"/>
  </mergeCells>
  <conditionalFormatting sqref="D24:D35">
    <cfRule type="notContainsErrors" dxfId="61" priority="24">
      <formula>NOT(ISERROR(D24))</formula>
    </cfRule>
    <cfRule type="containsBlanks" dxfId="60" priority="23">
      <formula>LEN(TRIM(D24))=0</formula>
    </cfRule>
  </conditionalFormatting>
  <conditionalFormatting sqref="D34 D37:J37 D40:J40 D43:J43 D55:J63 K64:L64 D65:K65">
    <cfRule type="containsBlanks" dxfId="59" priority="25">
      <formula>LEN(TRIM(D34))=0</formula>
    </cfRule>
    <cfRule type="notContainsErrors" dxfId="58" priority="26">
      <formula>NOT(ISERROR(D34))</formula>
    </cfRule>
  </conditionalFormatting>
  <conditionalFormatting sqref="D46:J53">
    <cfRule type="notContainsErrors" dxfId="57" priority="6">
      <formula>NOT(ISERROR(D46))</formula>
    </cfRule>
    <cfRule type="cellIs" dxfId="56" priority="3" operator="equal">
      <formula>"NO CUMPLE"</formula>
    </cfRule>
    <cfRule type="cellIs" dxfId="55" priority="4" operator="equal">
      <formula>"CUMPLE"</formula>
    </cfRule>
    <cfRule type="containsBlanks" dxfId="54" priority="5">
      <formula>LEN(TRIM(D46))=0</formula>
    </cfRule>
  </conditionalFormatting>
  <conditionalFormatting sqref="D54:J54">
    <cfRule type="cellIs" dxfId="53" priority="31" operator="equal">
      <formula>"N/A"</formula>
    </cfRule>
    <cfRule type="cellIs" dxfId="52" priority="37" operator="equal">
      <formula>"""CUMPLE"""</formula>
    </cfRule>
    <cfRule type="cellIs" dxfId="51" priority="36" operator="equal">
      <formula>"NO CUMPLE"</formula>
    </cfRule>
    <cfRule type="cellIs" dxfId="50" priority="35" operator="equal">
      <formula>"CUMPLE"</formula>
    </cfRule>
  </conditionalFormatting>
  <conditionalFormatting sqref="D55:J63">
    <cfRule type="cellIs" dxfId="49" priority="14" operator="equal">
      <formula>"CUMPLE"</formula>
    </cfRule>
    <cfRule type="cellIs" dxfId="48" priority="13" operator="equal">
      <formula>"NO CUMPLE"</formula>
    </cfRule>
  </conditionalFormatting>
  <conditionalFormatting sqref="D64:J64">
    <cfRule type="cellIs" dxfId="47" priority="27" operator="equal">
      <formula>"N/A"</formula>
    </cfRule>
    <cfRule type="cellIs" dxfId="46" priority="28" operator="equal">
      <formula>"CUMPLE"</formula>
    </cfRule>
    <cfRule type="cellIs" dxfId="45" priority="29" operator="equal">
      <formula>"NO CUMPLE"</formula>
    </cfRule>
    <cfRule type="cellIs" dxfId="44" priority="30" operator="equal">
      <formula>"""CUMPLE"""</formula>
    </cfRule>
  </conditionalFormatting>
  <conditionalFormatting sqref="D65:J65">
    <cfRule type="cellIs" dxfId="43" priority="19" operator="equal">
      <formula>"NO CUMPLE"</formula>
    </cfRule>
    <cfRule type="cellIs" dxfId="42" priority="20" operator="equal">
      <formula>"CUMPLE"</formula>
    </cfRule>
  </conditionalFormatting>
  <conditionalFormatting sqref="E25:J35">
    <cfRule type="containsBlanks" dxfId="41" priority="7">
      <formula>LEN(TRIM(E25))=0</formula>
    </cfRule>
    <cfRule type="notContainsErrors" dxfId="40" priority="8">
      <formula>NOT(ISERROR(E25))</formula>
    </cfRule>
  </conditionalFormatting>
  <conditionalFormatting sqref="E34:J34 E24:K24">
    <cfRule type="containsBlanks" dxfId="39" priority="9">
      <formula>LEN(TRIM(E24))=0</formula>
    </cfRule>
  </conditionalFormatting>
  <conditionalFormatting sqref="E24:K24 E34:J34">
    <cfRule type="notContainsErrors" dxfId="38" priority="10">
      <formula>NOT(ISERROR(E24))</formula>
    </cfRule>
  </conditionalFormatting>
  <conditionalFormatting sqref="F20:H20">
    <cfRule type="cellIs" dxfId="37" priority="41" operator="equal">
      <formula>"CUMPLE"</formula>
    </cfRule>
    <cfRule type="cellIs" dxfId="36" priority="42" operator="equal">
      <formula>"NO CUMPLE"</formula>
    </cfRule>
    <cfRule type="cellIs" dxfId="35" priority="43" operator="equal">
      <formula>"""CUMPLE"""</formula>
    </cfRule>
  </conditionalFormatting>
  <conditionalFormatting sqref="I11">
    <cfRule type="containsText" dxfId="34" priority="44" operator="containsText" text="INHABILITADO">
      <formula>NOT(ISERROR(SEARCH("INHABILITADO",I11)))</formula>
    </cfRule>
    <cfRule type="containsText" dxfId="33" priority="45" operator="containsText" text="HABILITADO">
      <formula>NOT(ISERROR(SEARCH("HABILITADO",I11)))</formula>
    </cfRule>
    <cfRule type="containsText" dxfId="32" priority="46" operator="containsText" text="HABILITADO">
      <formula>NOT(ISERROR(SEARCH("HABILITADO",I11)))</formula>
    </cfRule>
    <cfRule type="containsText" dxfId="31" priority="47" operator="containsText" text="NO CUMPLE">
      <formula>NOT(ISERROR(SEARCH("NO CUMPLE",I11)))</formula>
    </cfRule>
  </conditionalFormatting>
  <conditionalFormatting sqref="J20">
    <cfRule type="cellIs" dxfId="30" priority="18" operator="equal">
      <formula>"SI"</formula>
    </cfRule>
    <cfRule type="cellIs" dxfId="29" priority="17" operator="equal">
      <formula>"NO"</formula>
    </cfRule>
  </conditionalFormatting>
  <conditionalFormatting sqref="K19">
    <cfRule type="cellIs" dxfId="28" priority="32" operator="equal">
      <formula>"CUMPLE"</formula>
    </cfRule>
    <cfRule type="cellIs" dxfId="27" priority="33" operator="equal">
      <formula>"NO CUMPLE"</formula>
    </cfRule>
    <cfRule type="cellIs" dxfId="26" priority="34" operator="equal">
      <formula>"""CUMPLE"""</formula>
    </cfRule>
  </conditionalFormatting>
  <conditionalFormatting sqref="K25:K63">
    <cfRule type="notContainsErrors" dxfId="25" priority="2">
      <formula>NOT(ISERROR(K25))</formula>
    </cfRule>
    <cfRule type="containsBlanks" dxfId="24" priority="1">
      <formula>LEN(TRIM(K25))=0</formula>
    </cfRule>
  </conditionalFormatting>
  <conditionalFormatting sqref="L15">
    <cfRule type="cellIs" dxfId="23" priority="38" operator="equal">
      <formula>"CUMPLE"</formula>
    </cfRule>
    <cfRule type="cellIs" dxfId="22" priority="39" operator="equal">
      <formula>"NO CUMPLE"</formula>
    </cfRule>
    <cfRule type="cellIs" dxfId="21" priority="40" operator="equal">
      <formula>"""CUMPLE"""</formula>
    </cfRule>
  </conditionalFormatting>
  <conditionalFormatting sqref="L20">
    <cfRule type="cellIs" dxfId="20" priority="15" operator="equal">
      <formula>"NO"</formula>
    </cfRule>
    <cfRule type="cellIs" dxfId="19" priority="16" operator="equal">
      <formula>"SI"</formula>
    </cfRule>
  </conditionalFormatting>
  <dataValidations count="3">
    <dataValidation type="list" allowBlank="1" showInputMessage="1" showErrorMessage="1" sqref="L57:L62 L64" xr:uid="{00000000-0002-0000-1F00-000000000000}">
      <formula1>"0,1,2,3,4,5,6"</formula1>
    </dataValidation>
    <dataValidation type="list" allowBlank="1" showInputMessage="1" showErrorMessage="1" sqref="D24:J26" xr:uid="{00000000-0002-0000-1F00-000001000000}">
      <formula1>$C$15:$C$19</formula1>
    </dataValidation>
    <dataValidation type="list" allowBlank="1" showInputMessage="1" showErrorMessage="1" sqref="D65:I65" xr:uid="{00000000-0002-0000-1F00-000002000000}">
      <formula1>"CUMPLE,NO CUMPLE"</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58"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F00-000003000000}">
          <x14:formula1>
            <xm:f>'DATOS INICIALES'!$C$44:$C$45</xm:f>
          </x14:formula1>
          <xm:sqref>D47:I53 J47:J52</xm:sqref>
        </x14:dataValidation>
        <x14:dataValidation type="list" allowBlank="1" showInputMessage="1" showErrorMessage="1" xr:uid="{00000000-0002-0000-1F00-000004000000}">
          <x14:formula1>
            <xm:f>'DATOS INICIALES'!$A$49:$A$51</xm:f>
          </x14:formula1>
          <xm:sqref>D55:I57 D58:J63 J55:J56 D46:J46</xm:sqref>
        </x14:dataValidation>
        <x14:dataValidation type="list" allowBlank="1" showInputMessage="1" showErrorMessage="1" xr:uid="{00000000-0002-0000-1F00-000005000000}">
          <x14:formula1>
            <xm:f>'DATOS INICIALES'!$A$53:$A$58</xm:f>
          </x14:formula1>
          <xm:sqref>D23:I23</xm:sqref>
        </x14:dataValidation>
        <x14:dataValidation type="list" allowBlank="1" showInputMessage="1" showErrorMessage="1" xr:uid="{00000000-0002-0000-1F00-000006000000}">
          <x14:formula1>
            <xm:f>'DATOS INICIALES'!$D$21:$D$25</xm:f>
          </x14:formula1>
          <xm:sqref>M47:M54</xm:sqref>
        </x14:dataValidation>
        <x14:dataValidation type="list" allowBlank="1" showInputMessage="1" showErrorMessage="1" xr:uid="{00000000-0002-0000-1F00-000007000000}">
          <x14:formula1>
            <xm:f>'DATOS INICIALES'!$A$13:$A$41</xm:f>
          </x14:formula1>
          <xm:sqref>D31:I31</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I54"/>
  <sheetViews>
    <sheetView view="pageBreakPreview" zoomScale="85" zoomScaleNormal="80" zoomScaleSheetLayoutView="85" workbookViewId="0">
      <pane ySplit="9" topLeftCell="A11" activePane="bottomLeft" state="frozenSplit"/>
      <selection pane="bottomLeft" activeCell="A16" sqref="A16:XFD38"/>
    </sheetView>
  </sheetViews>
  <sheetFormatPr baseColWidth="10" defaultColWidth="11.42578125" defaultRowHeight="15"/>
  <cols>
    <col min="1" max="1" width="6.28515625" style="14" customWidth="1"/>
    <col min="2" max="2" width="46.7109375" customWidth="1"/>
    <col min="3" max="3" width="20.140625" style="15" customWidth="1"/>
    <col min="4" max="4" width="18.5703125" hidden="1" customWidth="1"/>
    <col min="5" max="5" width="21.5703125" customWidth="1"/>
    <col min="6" max="6" width="22.5703125" customWidth="1"/>
    <col min="7" max="7" width="21.5703125" customWidth="1"/>
    <col min="8" max="8" width="22" customWidth="1"/>
    <col min="9" max="9" width="28.140625" customWidth="1"/>
    <col min="11" max="11" width="11.42578125" customWidth="1"/>
  </cols>
  <sheetData>
    <row r="1" spans="1:9">
      <c r="A1" s="379"/>
      <c r="B1" s="379"/>
      <c r="C1" s="379"/>
      <c r="D1" s="379"/>
      <c r="E1" s="379"/>
      <c r="F1" s="379"/>
      <c r="G1" s="379"/>
      <c r="H1" s="379"/>
      <c r="I1" s="379"/>
    </row>
    <row r="2" spans="1:9" ht="24.75" customHeight="1">
      <c r="A2" s="378" t="s">
        <v>0</v>
      </c>
      <c r="B2" s="378"/>
      <c r="C2" s="378"/>
      <c r="D2" s="378"/>
      <c r="E2" s="378"/>
      <c r="F2" s="378"/>
      <c r="G2" s="378"/>
      <c r="H2" s="378"/>
      <c r="I2" s="378"/>
    </row>
    <row r="3" spans="1:9" ht="8.4499999999999993" customHeight="1">
      <c r="A3" s="379"/>
      <c r="B3" s="379"/>
      <c r="C3" s="379"/>
      <c r="D3" s="379"/>
      <c r="E3" s="379"/>
      <c r="F3" s="379"/>
      <c r="G3" s="379"/>
      <c r="H3" s="379"/>
      <c r="I3" s="379"/>
    </row>
    <row r="4" spans="1:9" ht="73.5" customHeight="1">
      <c r="A4" s="379"/>
      <c r="B4" s="380"/>
      <c r="C4" s="225" t="s">
        <v>506</v>
      </c>
      <c r="D4" s="225"/>
      <c r="E4" s="381"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F4" s="381"/>
      <c r="G4" s="381"/>
      <c r="H4" s="381"/>
      <c r="I4" s="381"/>
    </row>
    <row r="5" spans="1:9" ht="55.5" customHeight="1">
      <c r="A5" s="379"/>
      <c r="B5" s="380"/>
      <c r="C5" s="225" t="s">
        <v>507</v>
      </c>
      <c r="D5" s="225"/>
      <c r="E5" s="383" t="str">
        <f>'DATOS INICIALES'!G4</f>
        <v>FDLK-LP-007-2024</v>
      </c>
      <c r="F5" s="384"/>
      <c r="G5" s="384"/>
      <c r="H5" s="385"/>
      <c r="I5" s="19">
        <f>'DATOS INICIALES'!C5</f>
        <v>3807405444</v>
      </c>
    </row>
    <row r="6" spans="1:9" ht="7.5" customHeight="1">
      <c r="B6" s="382"/>
      <c r="C6" s="382"/>
      <c r="D6" s="382"/>
      <c r="E6" s="382"/>
      <c r="F6" s="382"/>
      <c r="G6" s="382"/>
      <c r="H6" s="382"/>
      <c r="I6" s="382"/>
    </row>
    <row r="7" spans="1:9" ht="21.75" customHeight="1">
      <c r="A7" s="378" t="str">
        <f>CONCATENATE("RESUMEN DE EVALUACIÓN REQUISITOS HABILITANTES - ",'DATOS INICIALES'!G4)</f>
        <v>RESUMEN DE EVALUACIÓN REQUISITOS HABILITANTES - FDLK-LP-007-2024</v>
      </c>
      <c r="B7" s="378"/>
      <c r="C7" s="378"/>
      <c r="D7" s="378"/>
      <c r="E7" s="378"/>
      <c r="F7" s="378"/>
      <c r="G7" s="378"/>
      <c r="H7" s="378"/>
      <c r="I7" s="378"/>
    </row>
    <row r="8" spans="1:9" ht="8.25" customHeight="1"/>
    <row r="9" spans="1:9" s="3" customFormat="1" ht="30">
      <c r="A9" s="38" t="s">
        <v>43</v>
      </c>
      <c r="B9" s="38" t="s">
        <v>44</v>
      </c>
      <c r="C9" s="38" t="s">
        <v>508</v>
      </c>
      <c r="D9" s="38" t="s">
        <v>46</v>
      </c>
      <c r="E9" s="38" t="s">
        <v>509</v>
      </c>
      <c r="F9" s="38" t="s">
        <v>510</v>
      </c>
      <c r="G9" s="38" t="s">
        <v>511</v>
      </c>
      <c r="H9" s="38" t="s">
        <v>512</v>
      </c>
      <c r="I9" s="38" t="s">
        <v>513</v>
      </c>
    </row>
    <row r="10" spans="1:9" ht="6.75" customHeight="1"/>
    <row r="11" spans="1:9" ht="23.25" customHeight="1">
      <c r="A11" s="37">
        <v>1</v>
      </c>
      <c r="B11" s="17" t="str">
        <f>+PROPONENTES!B10</f>
        <v xml:space="preserve"> BOOST BUSINESS CONSULTING S.A.S.</v>
      </c>
      <c r="C11" s="37">
        <f>+PROPONENTES!M10</f>
        <v>1</v>
      </c>
      <c r="D11" s="150">
        <f>+PROPONENTES!N10</f>
        <v>1</v>
      </c>
      <c r="E11" s="18" t="s">
        <v>31</v>
      </c>
      <c r="F11" s="18" t="str">
        <f>+'1'!$I$11</f>
        <v>CUMPLE</v>
      </c>
      <c r="G11" s="18" t="s">
        <v>31</v>
      </c>
      <c r="H11" s="18" t="s">
        <v>31</v>
      </c>
      <c r="I11" s="70" t="str">
        <f>IF(AND(E11="",F11="",G11="",H11=""),"",IF(AND(E11="CUMPLE",F11="CUMPLE",G11="CUMPLE",H11="CUMPLE"),"HABILITADO","INHABILITADO"))</f>
        <v>HABILITADO</v>
      </c>
    </row>
    <row r="12" spans="1:9" ht="23.25" customHeight="1">
      <c r="A12" s="37">
        <v>2</v>
      </c>
      <c r="B12" s="17" t="str">
        <f>+PROPONENTES!B11</f>
        <v xml:space="preserve"> CONSORCIO KENNEDY AMBIENTAL 2024</v>
      </c>
      <c r="C12" s="37">
        <f>+PROPONENTES!M11</f>
        <v>2</v>
      </c>
      <c r="D12" s="150">
        <f>+PROPONENTES!N11</f>
        <v>1</v>
      </c>
      <c r="E12" s="18" t="s">
        <v>31</v>
      </c>
      <c r="F12" s="18" t="str">
        <f>+'2'!$I$11</f>
        <v>CUMPLE</v>
      </c>
      <c r="G12" s="18" t="s">
        <v>31</v>
      </c>
      <c r="H12" s="18" t="s">
        <v>31</v>
      </c>
      <c r="I12" s="70" t="str">
        <f t="shared" ref="I12:I38" si="0">IF(AND(E12="",F12="",G12="",H12=""),"",IF(AND(E12="CUMPLE",F12="CUMPLE",G12="CUMPLE",H12="CUMPLE"),"HABILITADO","INHABILITADO"))</f>
        <v>HABILITADO</v>
      </c>
    </row>
    <row r="13" spans="1:9" ht="23.25" customHeight="1">
      <c r="A13" s="37">
        <v>3</v>
      </c>
      <c r="B13" s="17" t="str">
        <f>+PROPONENTES!B12</f>
        <v xml:space="preserve"> UNIÓN TEMPORAL SUEÑOS WM</v>
      </c>
      <c r="C13" s="37">
        <f>+PROPONENTES!M12</f>
        <v>2</v>
      </c>
      <c r="D13" s="150">
        <f>+PROPONENTES!N12</f>
        <v>1</v>
      </c>
      <c r="E13" s="18" t="s">
        <v>31</v>
      </c>
      <c r="F13" s="18" t="str">
        <f>+'3'!$I$11</f>
        <v>NO CUMPLE</v>
      </c>
      <c r="G13" s="18" t="s">
        <v>31</v>
      </c>
      <c r="H13" s="18" t="s">
        <v>31</v>
      </c>
      <c r="I13" s="70" t="str">
        <f t="shared" si="0"/>
        <v>INHABILITADO</v>
      </c>
    </row>
    <row r="14" spans="1:9" ht="23.25" customHeight="1">
      <c r="A14" s="37">
        <v>4</v>
      </c>
      <c r="B14" s="17" t="str">
        <f>+PROPONENTES!B13</f>
        <v xml:space="preserve"> UNION TEMPORAL PROMOVER Y EMPRENDER EUFESS 2024</v>
      </c>
      <c r="C14" s="37">
        <f>+PROPONENTES!M13</f>
        <v>2</v>
      </c>
      <c r="D14" s="150">
        <f>+PROPONENTES!N13</f>
        <v>1</v>
      </c>
      <c r="E14" s="18" t="s">
        <v>31</v>
      </c>
      <c r="F14" s="18" t="str">
        <f>+'4'!$I$11</f>
        <v>NO CUMPLE</v>
      </c>
      <c r="G14" s="18" t="s">
        <v>31</v>
      </c>
      <c r="H14" s="18" t="s">
        <v>31</v>
      </c>
      <c r="I14" s="70" t="str">
        <f t="shared" si="0"/>
        <v>INHABILITADO</v>
      </c>
    </row>
    <row r="15" spans="1:9" ht="23.25" customHeight="1">
      <c r="A15" s="37">
        <v>5</v>
      </c>
      <c r="B15" s="17" t="str">
        <f>+PROPONENTES!B14</f>
        <v xml:space="preserve"> UNION TEMPORAL PRACTICAS</v>
      </c>
      <c r="C15" s="37">
        <f>+PROPONENTES!M14</f>
        <v>2</v>
      </c>
      <c r="D15" s="150">
        <f>+PROPONENTES!N14</f>
        <v>1</v>
      </c>
      <c r="E15" s="18" t="s">
        <v>31</v>
      </c>
      <c r="F15" s="18" t="str">
        <f>+'5'!$I$11</f>
        <v>NO CUMPLE</v>
      </c>
      <c r="G15" s="18" t="s">
        <v>31</v>
      </c>
      <c r="H15" s="18" t="s">
        <v>31</v>
      </c>
      <c r="I15" s="70" t="str">
        <f t="shared" si="0"/>
        <v>INHABILITADO</v>
      </c>
    </row>
    <row r="16" spans="1:9" ht="23.25" hidden="1" customHeight="1">
      <c r="A16" s="37">
        <v>6</v>
      </c>
      <c r="B16" s="17">
        <f>+PROPONENTES!B15</f>
        <v>0</v>
      </c>
      <c r="C16" s="37">
        <f>+PROPONENTES!M15</f>
        <v>0</v>
      </c>
      <c r="D16" s="150">
        <f>+PROPONENTES!N15</f>
        <v>0</v>
      </c>
      <c r="E16" s="18" t="s">
        <v>31</v>
      </c>
      <c r="F16" s="18" t="e">
        <f>+'6'!$I$11</f>
        <v>#N/A</v>
      </c>
      <c r="G16" s="18" t="s">
        <v>31</v>
      </c>
      <c r="H16" s="18" t="s">
        <v>31</v>
      </c>
      <c r="I16" s="70" t="e">
        <f t="shared" si="0"/>
        <v>#N/A</v>
      </c>
    </row>
    <row r="17" spans="1:9" ht="23.25" hidden="1" customHeight="1">
      <c r="A17" s="37">
        <v>7</v>
      </c>
      <c r="B17" s="17">
        <f>+PROPONENTES!B16</f>
        <v>0</v>
      </c>
      <c r="C17" s="37">
        <f>+PROPONENTES!M16</f>
        <v>0</v>
      </c>
      <c r="D17" s="150">
        <f>+PROPONENTES!N16</f>
        <v>0</v>
      </c>
      <c r="E17" s="18" t="s">
        <v>31</v>
      </c>
      <c r="F17" s="18" t="e">
        <f>+'7'!$I$11</f>
        <v>#N/A</v>
      </c>
      <c r="G17" s="18" t="s">
        <v>31</v>
      </c>
      <c r="H17" s="18" t="s">
        <v>31</v>
      </c>
      <c r="I17" s="70" t="e">
        <f t="shared" si="0"/>
        <v>#N/A</v>
      </c>
    </row>
    <row r="18" spans="1:9" ht="23.25" hidden="1" customHeight="1">
      <c r="A18" s="37">
        <v>8</v>
      </c>
      <c r="B18" s="17">
        <f>+PROPONENTES!B17</f>
        <v>0</v>
      </c>
      <c r="C18" s="37">
        <f>+PROPONENTES!M17</f>
        <v>0</v>
      </c>
      <c r="D18" s="150">
        <f>+PROPONENTES!N17</f>
        <v>0</v>
      </c>
      <c r="E18" s="18" t="s">
        <v>31</v>
      </c>
      <c r="F18" s="18" t="e">
        <f>+'8'!$I$11</f>
        <v>#N/A</v>
      </c>
      <c r="G18" s="18" t="s">
        <v>31</v>
      </c>
      <c r="H18" s="18" t="s">
        <v>31</v>
      </c>
      <c r="I18" s="70" t="e">
        <f t="shared" si="0"/>
        <v>#N/A</v>
      </c>
    </row>
    <row r="19" spans="1:9" ht="23.25" hidden="1" customHeight="1">
      <c r="A19" s="37">
        <v>9</v>
      </c>
      <c r="B19" s="17">
        <f>+PROPONENTES!B18</f>
        <v>0</v>
      </c>
      <c r="C19" s="37">
        <f>+PROPONENTES!M18</f>
        <v>0</v>
      </c>
      <c r="D19" s="150">
        <f>+PROPONENTES!N18</f>
        <v>0</v>
      </c>
      <c r="E19" s="18" t="s">
        <v>31</v>
      </c>
      <c r="F19" s="18" t="e">
        <f>+'9'!$I$11</f>
        <v>#N/A</v>
      </c>
      <c r="G19" s="18" t="s">
        <v>31</v>
      </c>
      <c r="H19" s="18" t="s">
        <v>31</v>
      </c>
      <c r="I19" s="70" t="e">
        <f t="shared" si="0"/>
        <v>#N/A</v>
      </c>
    </row>
    <row r="20" spans="1:9" ht="23.25" hidden="1" customHeight="1">
      <c r="A20" s="37">
        <v>10</v>
      </c>
      <c r="B20" s="17">
        <f>+PROPONENTES!B19</f>
        <v>0</v>
      </c>
      <c r="C20" s="37">
        <f>+PROPONENTES!M19</f>
        <v>0</v>
      </c>
      <c r="D20" s="150">
        <f>+PROPONENTES!N19</f>
        <v>0</v>
      </c>
      <c r="E20" s="18" t="s">
        <v>31</v>
      </c>
      <c r="F20" s="18" t="e">
        <f>+'10'!$I$11</f>
        <v>#N/A</v>
      </c>
      <c r="G20" s="18" t="s">
        <v>31</v>
      </c>
      <c r="H20" s="18" t="s">
        <v>31</v>
      </c>
      <c r="I20" s="70" t="e">
        <f t="shared" si="0"/>
        <v>#N/A</v>
      </c>
    </row>
    <row r="21" spans="1:9" ht="23.25" hidden="1" customHeight="1">
      <c r="A21" s="37">
        <v>11</v>
      </c>
      <c r="B21" s="17">
        <f>+PROPONENTES!B20</f>
        <v>0</v>
      </c>
      <c r="C21" s="37">
        <f>+PROPONENTES!M20</f>
        <v>0</v>
      </c>
      <c r="D21" s="150">
        <f>+PROPONENTES!N20</f>
        <v>0</v>
      </c>
      <c r="E21" s="18" t="s">
        <v>31</v>
      </c>
      <c r="F21" s="18" t="e">
        <f>+'11'!$I$11</f>
        <v>#N/A</v>
      </c>
      <c r="G21" s="18" t="s">
        <v>31</v>
      </c>
      <c r="H21" s="18" t="s">
        <v>31</v>
      </c>
      <c r="I21" s="70" t="e">
        <f t="shared" si="0"/>
        <v>#N/A</v>
      </c>
    </row>
    <row r="22" spans="1:9" ht="23.25" hidden="1" customHeight="1">
      <c r="A22" s="37">
        <v>12</v>
      </c>
      <c r="B22" s="17">
        <f>+PROPONENTES!B21</f>
        <v>0</v>
      </c>
      <c r="C22" s="37">
        <f>+PROPONENTES!M21</f>
        <v>0</v>
      </c>
      <c r="D22" s="150">
        <f>+PROPONENTES!N21</f>
        <v>0</v>
      </c>
      <c r="E22" s="18" t="s">
        <v>31</v>
      </c>
      <c r="F22" s="18" t="e">
        <f>+'12'!$I$11</f>
        <v>#N/A</v>
      </c>
      <c r="G22" s="18" t="s">
        <v>31</v>
      </c>
      <c r="H22" s="18" t="s">
        <v>31</v>
      </c>
      <c r="I22" s="70" t="e">
        <f t="shared" si="0"/>
        <v>#N/A</v>
      </c>
    </row>
    <row r="23" spans="1:9" ht="23.25" hidden="1" customHeight="1">
      <c r="A23" s="37">
        <v>13</v>
      </c>
      <c r="B23" s="17">
        <f>+PROPONENTES!B22</f>
        <v>0</v>
      </c>
      <c r="C23" s="37">
        <f>+PROPONENTES!M22</f>
        <v>0</v>
      </c>
      <c r="D23" s="150">
        <f>+PROPONENTES!N22</f>
        <v>0</v>
      </c>
      <c r="E23" s="18" t="s">
        <v>31</v>
      </c>
      <c r="F23" s="18" t="e">
        <f>+'13'!$I$11</f>
        <v>#N/A</v>
      </c>
      <c r="G23" s="18" t="s">
        <v>31</v>
      </c>
      <c r="H23" s="18" t="s">
        <v>31</v>
      </c>
      <c r="I23" s="70" t="e">
        <f t="shared" si="0"/>
        <v>#N/A</v>
      </c>
    </row>
    <row r="24" spans="1:9" ht="23.25" hidden="1" customHeight="1">
      <c r="A24" s="37">
        <v>14</v>
      </c>
      <c r="B24" s="17">
        <f>+PROPONENTES!B23</f>
        <v>0</v>
      </c>
      <c r="C24" s="37">
        <f>+PROPONENTES!M23</f>
        <v>0</v>
      </c>
      <c r="D24" s="150">
        <f>+PROPONENTES!N23</f>
        <v>0</v>
      </c>
      <c r="E24" s="18" t="s">
        <v>31</v>
      </c>
      <c r="F24" s="18" t="e">
        <f>+'14'!$I$11</f>
        <v>#N/A</v>
      </c>
      <c r="G24" s="18" t="s">
        <v>31</v>
      </c>
      <c r="H24" s="18" t="s">
        <v>31</v>
      </c>
      <c r="I24" s="70" t="e">
        <f t="shared" si="0"/>
        <v>#N/A</v>
      </c>
    </row>
    <row r="25" spans="1:9" ht="23.25" hidden="1" customHeight="1">
      <c r="A25" s="37">
        <v>15</v>
      </c>
      <c r="B25" s="17">
        <f>+PROPONENTES!B24</f>
        <v>0</v>
      </c>
      <c r="C25" s="37">
        <f>+PROPONENTES!M24</f>
        <v>0</v>
      </c>
      <c r="D25" s="150">
        <f>+PROPONENTES!N24</f>
        <v>0</v>
      </c>
      <c r="E25" s="18" t="s">
        <v>31</v>
      </c>
      <c r="F25" s="18" t="e">
        <f>+'15'!$I$11</f>
        <v>#N/A</v>
      </c>
      <c r="G25" s="18" t="s">
        <v>31</v>
      </c>
      <c r="H25" s="18" t="s">
        <v>31</v>
      </c>
      <c r="I25" s="70" t="e">
        <f t="shared" si="0"/>
        <v>#N/A</v>
      </c>
    </row>
    <row r="26" spans="1:9" ht="23.25" hidden="1" customHeight="1">
      <c r="A26" s="37">
        <v>16</v>
      </c>
      <c r="B26" s="17">
        <f>+PROPONENTES!B25</f>
        <v>0</v>
      </c>
      <c r="C26" s="37">
        <f>+PROPONENTES!M25</f>
        <v>0</v>
      </c>
      <c r="D26" s="150">
        <f>+PROPONENTES!N25</f>
        <v>0</v>
      </c>
      <c r="E26" s="18" t="s">
        <v>31</v>
      </c>
      <c r="F26" s="18" t="e">
        <f>+'16'!$I$11</f>
        <v>#N/A</v>
      </c>
      <c r="G26" s="18" t="s">
        <v>31</v>
      </c>
      <c r="H26" s="18" t="s">
        <v>31</v>
      </c>
      <c r="I26" s="70" t="e">
        <f t="shared" si="0"/>
        <v>#N/A</v>
      </c>
    </row>
    <row r="27" spans="1:9" ht="23.25" hidden="1" customHeight="1">
      <c r="A27" s="37">
        <v>17</v>
      </c>
      <c r="B27" s="17">
        <f>+PROPONENTES!B26</f>
        <v>0</v>
      </c>
      <c r="C27" s="37">
        <f>+PROPONENTES!M26</f>
        <v>0</v>
      </c>
      <c r="D27" s="150">
        <f>+PROPONENTES!N26</f>
        <v>0</v>
      </c>
      <c r="E27" s="18" t="s">
        <v>31</v>
      </c>
      <c r="F27" s="18" t="e">
        <f>+'17'!$I$11</f>
        <v>#N/A</v>
      </c>
      <c r="G27" s="18" t="s">
        <v>31</v>
      </c>
      <c r="H27" s="18" t="s">
        <v>31</v>
      </c>
      <c r="I27" s="70" t="e">
        <f t="shared" si="0"/>
        <v>#N/A</v>
      </c>
    </row>
    <row r="28" spans="1:9" ht="23.25" hidden="1" customHeight="1">
      <c r="A28" s="37">
        <v>18</v>
      </c>
      <c r="B28" s="17">
        <f>+PROPONENTES!B27</f>
        <v>0</v>
      </c>
      <c r="C28" s="37">
        <f>+PROPONENTES!M27</f>
        <v>0</v>
      </c>
      <c r="D28" s="150">
        <f>+PROPONENTES!N27</f>
        <v>0</v>
      </c>
      <c r="E28" s="18" t="s">
        <v>31</v>
      </c>
      <c r="F28" s="18" t="e">
        <f>+'18'!$I$11</f>
        <v>#N/A</v>
      </c>
      <c r="G28" s="18" t="s">
        <v>31</v>
      </c>
      <c r="H28" s="18" t="s">
        <v>31</v>
      </c>
      <c r="I28" s="70" t="e">
        <f t="shared" si="0"/>
        <v>#N/A</v>
      </c>
    </row>
    <row r="29" spans="1:9" ht="23.25" hidden="1" customHeight="1">
      <c r="A29" s="37">
        <v>19</v>
      </c>
      <c r="B29" s="17">
        <f>+PROPONENTES!B28</f>
        <v>0</v>
      </c>
      <c r="C29" s="37">
        <f>+PROPONENTES!M28</f>
        <v>0</v>
      </c>
      <c r="D29" s="150">
        <f>+PROPONENTES!N28</f>
        <v>0</v>
      </c>
      <c r="E29" s="18" t="s">
        <v>31</v>
      </c>
      <c r="F29" s="18" t="e">
        <f>+'19'!$I$11</f>
        <v>#N/A</v>
      </c>
      <c r="G29" s="18" t="s">
        <v>31</v>
      </c>
      <c r="H29" s="18" t="s">
        <v>31</v>
      </c>
      <c r="I29" s="70" t="e">
        <f t="shared" si="0"/>
        <v>#N/A</v>
      </c>
    </row>
    <row r="30" spans="1:9" ht="23.25" hidden="1" customHeight="1">
      <c r="A30" s="37">
        <v>20</v>
      </c>
      <c r="B30" s="17">
        <f>+PROPONENTES!B29</f>
        <v>0</v>
      </c>
      <c r="C30" s="37">
        <f>+PROPONENTES!M29</f>
        <v>0</v>
      </c>
      <c r="D30" s="150">
        <f>+PROPONENTES!N29</f>
        <v>0</v>
      </c>
      <c r="E30" s="18" t="s">
        <v>31</v>
      </c>
      <c r="F30" s="18" t="e">
        <f>+'20'!$I$11</f>
        <v>#N/A</v>
      </c>
      <c r="G30" s="18" t="s">
        <v>31</v>
      </c>
      <c r="H30" s="18" t="s">
        <v>31</v>
      </c>
      <c r="I30" s="70" t="e">
        <f t="shared" si="0"/>
        <v>#N/A</v>
      </c>
    </row>
    <row r="31" spans="1:9" ht="23.25" hidden="1" customHeight="1">
      <c r="A31" s="37">
        <v>21</v>
      </c>
      <c r="B31" s="17">
        <f>+PROPONENTES!B30</f>
        <v>0</v>
      </c>
      <c r="C31" s="37">
        <f>+PROPONENTES!M30</f>
        <v>0</v>
      </c>
      <c r="D31" s="150">
        <f>+PROPONENTES!N30</f>
        <v>0</v>
      </c>
      <c r="E31" s="18" t="s">
        <v>31</v>
      </c>
      <c r="F31" s="18" t="e">
        <f>+'21'!$I$11</f>
        <v>#N/A</v>
      </c>
      <c r="G31" s="18" t="s">
        <v>31</v>
      </c>
      <c r="H31" s="18" t="s">
        <v>31</v>
      </c>
      <c r="I31" s="70" t="e">
        <f t="shared" si="0"/>
        <v>#N/A</v>
      </c>
    </row>
    <row r="32" spans="1:9" ht="23.25" hidden="1" customHeight="1">
      <c r="A32" s="37">
        <v>22</v>
      </c>
      <c r="B32" s="17">
        <f>+PROPONENTES!B31</f>
        <v>0</v>
      </c>
      <c r="C32" s="37">
        <f>+PROPONENTES!M31</f>
        <v>0</v>
      </c>
      <c r="D32" s="150">
        <f>+PROPONENTES!N31</f>
        <v>0</v>
      </c>
      <c r="E32" s="18" t="s">
        <v>31</v>
      </c>
      <c r="F32" s="18" t="e">
        <f>+'22'!$I$11</f>
        <v>#N/A</v>
      </c>
      <c r="G32" s="18" t="s">
        <v>33</v>
      </c>
      <c r="H32" s="18" t="s">
        <v>31</v>
      </c>
      <c r="I32" s="70" t="e">
        <f t="shared" si="0"/>
        <v>#N/A</v>
      </c>
    </row>
    <row r="33" spans="1:9" ht="23.25" hidden="1" customHeight="1">
      <c r="A33" s="37">
        <v>23</v>
      </c>
      <c r="B33" s="17">
        <f>+PROPONENTES!B32</f>
        <v>0</v>
      </c>
      <c r="C33" s="37">
        <f>+PROPONENTES!M32</f>
        <v>0</v>
      </c>
      <c r="D33" s="150">
        <f>+PROPONENTES!N32</f>
        <v>0</v>
      </c>
      <c r="E33" s="18" t="s">
        <v>31</v>
      </c>
      <c r="F33" s="18" t="e">
        <f>+'23'!$I$11</f>
        <v>#N/A</v>
      </c>
      <c r="G33" s="18" t="s">
        <v>31</v>
      </c>
      <c r="H33" s="18" t="s">
        <v>31</v>
      </c>
      <c r="I33" s="70" t="e">
        <f t="shared" si="0"/>
        <v>#N/A</v>
      </c>
    </row>
    <row r="34" spans="1:9" ht="23.25" hidden="1" customHeight="1">
      <c r="A34" s="37">
        <v>24</v>
      </c>
      <c r="B34" s="17">
        <f>+PROPONENTES!B33</f>
        <v>0</v>
      </c>
      <c r="C34" s="37">
        <f>+PROPONENTES!M33</f>
        <v>0</v>
      </c>
      <c r="D34" s="150">
        <f>+PROPONENTES!N33</f>
        <v>0</v>
      </c>
      <c r="E34" s="18" t="s">
        <v>31</v>
      </c>
      <c r="F34" s="18" t="e">
        <f>+'24'!$I$11</f>
        <v>#N/A</v>
      </c>
      <c r="G34" s="18" t="s">
        <v>31</v>
      </c>
      <c r="H34" s="18" t="s">
        <v>31</v>
      </c>
      <c r="I34" s="70" t="e">
        <f t="shared" si="0"/>
        <v>#N/A</v>
      </c>
    </row>
    <row r="35" spans="1:9" ht="23.25" hidden="1" customHeight="1">
      <c r="A35" s="37">
        <v>25</v>
      </c>
      <c r="B35" s="17">
        <f>+PROPONENTES!B34</f>
        <v>0</v>
      </c>
      <c r="C35" s="37">
        <f>+PROPONENTES!M34</f>
        <v>0</v>
      </c>
      <c r="D35" s="150">
        <f>+PROPONENTES!N34</f>
        <v>0</v>
      </c>
      <c r="E35" s="18" t="s">
        <v>31</v>
      </c>
      <c r="F35" s="18" t="e">
        <f>+'25'!$I$11</f>
        <v>#N/A</v>
      </c>
      <c r="G35" s="18" t="s">
        <v>31</v>
      </c>
      <c r="H35" s="18" t="s">
        <v>31</v>
      </c>
      <c r="I35" s="70" t="e">
        <f t="shared" si="0"/>
        <v>#N/A</v>
      </c>
    </row>
    <row r="36" spans="1:9" ht="23.25" hidden="1" customHeight="1">
      <c r="A36" s="37">
        <v>26</v>
      </c>
      <c r="B36" s="17">
        <f>+PROPONENTES!B35</f>
        <v>0</v>
      </c>
      <c r="C36" s="37">
        <f>+PROPONENTES!M35</f>
        <v>0</v>
      </c>
      <c r="D36" s="150">
        <f>+PROPONENTES!N35</f>
        <v>0</v>
      </c>
      <c r="E36" s="18" t="s">
        <v>31</v>
      </c>
      <c r="F36" s="18" t="e">
        <f>+'26'!$I$11</f>
        <v>#N/A</v>
      </c>
      <c r="G36" s="18" t="s">
        <v>31</v>
      </c>
      <c r="H36" s="18" t="s">
        <v>31</v>
      </c>
      <c r="I36" s="70" t="e">
        <f t="shared" si="0"/>
        <v>#N/A</v>
      </c>
    </row>
    <row r="37" spans="1:9" ht="23.25" hidden="1" customHeight="1">
      <c r="A37" s="37">
        <v>27</v>
      </c>
      <c r="B37" s="17">
        <f>+PROPONENTES!B36</f>
        <v>0</v>
      </c>
      <c r="C37" s="37">
        <f>+PROPONENTES!M36</f>
        <v>0</v>
      </c>
      <c r="D37" s="150">
        <f>+PROPONENTES!N36</f>
        <v>0</v>
      </c>
      <c r="E37" s="18" t="s">
        <v>31</v>
      </c>
      <c r="F37" s="18" t="e">
        <f>+'27'!$I$11</f>
        <v>#N/A</v>
      </c>
      <c r="G37" s="18" t="s">
        <v>31</v>
      </c>
      <c r="H37" s="18" t="s">
        <v>31</v>
      </c>
      <c r="I37" s="70" t="e">
        <f t="shared" si="0"/>
        <v>#N/A</v>
      </c>
    </row>
    <row r="38" spans="1:9" ht="23.25" hidden="1" customHeight="1">
      <c r="A38" s="37">
        <v>28</v>
      </c>
      <c r="B38" s="17">
        <f>+PROPONENTES!B37</f>
        <v>0</v>
      </c>
      <c r="C38" s="37">
        <f>+PROPONENTES!M37</f>
        <v>0</v>
      </c>
      <c r="D38" s="150">
        <f>+PROPONENTES!N37</f>
        <v>0.1</v>
      </c>
      <c r="E38" s="18" t="s">
        <v>33</v>
      </c>
      <c r="F38" s="18" t="e">
        <f>+'28'!$I$11</f>
        <v>#N/A</v>
      </c>
      <c r="G38" s="18" t="s">
        <v>33</v>
      </c>
      <c r="H38" s="18" t="s">
        <v>31</v>
      </c>
      <c r="I38" s="70" t="e">
        <f t="shared" si="0"/>
        <v>#N/A</v>
      </c>
    </row>
    <row r="39" spans="1:9" ht="23.25" customHeight="1">
      <c r="B39" s="15"/>
      <c r="D39" s="22"/>
      <c r="E39" s="16"/>
      <c r="F39" s="16"/>
      <c r="G39" s="16"/>
      <c r="H39" s="16"/>
      <c r="I39" s="23"/>
    </row>
    <row r="40" spans="1:9" ht="6.75" customHeight="1"/>
    <row r="41" spans="1:9" ht="54.75" customHeight="1">
      <c r="B41" s="264" t="s">
        <v>514</v>
      </c>
      <c r="C41" s="386"/>
      <c r="D41" s="386"/>
      <c r="E41" s="88"/>
    </row>
    <row r="42" spans="1:9" ht="54.75" customHeight="1">
      <c r="B42" s="264"/>
      <c r="C42" s="386"/>
      <c r="D42" s="386"/>
      <c r="E42" s="88"/>
    </row>
    <row r="43" spans="1:9" ht="54.75" customHeight="1">
      <c r="B43" s="264"/>
      <c r="C43" s="386"/>
      <c r="D43" s="386"/>
      <c r="E43" s="88"/>
    </row>
    <row r="44" spans="1:9" ht="54.75" customHeight="1">
      <c r="B44" s="264"/>
      <c r="C44" s="386"/>
      <c r="D44" s="386"/>
      <c r="E44" s="88"/>
    </row>
    <row r="45" spans="1:9" ht="54.75" customHeight="1">
      <c r="B45" s="264"/>
      <c r="C45" s="386"/>
      <c r="D45" s="386"/>
      <c r="E45" s="88"/>
    </row>
    <row r="46" spans="1:9" ht="54.75" customHeight="1">
      <c r="B46" s="264"/>
      <c r="C46" s="386"/>
      <c r="D46" s="386"/>
      <c r="E46" s="88"/>
    </row>
    <row r="47" spans="1:9" ht="54.75" customHeight="1">
      <c r="B47" s="264"/>
      <c r="C47" s="386"/>
      <c r="D47" s="386"/>
      <c r="E47" s="88"/>
    </row>
    <row r="48" spans="1:9" ht="54.75" customHeight="1">
      <c r="B48" s="264"/>
      <c r="C48" s="386"/>
      <c r="D48" s="386"/>
      <c r="E48" s="88"/>
    </row>
    <row r="49" spans="2:5" ht="54.75" customHeight="1">
      <c r="B49" s="264"/>
      <c r="C49" s="386"/>
      <c r="D49" s="386"/>
      <c r="E49" s="88"/>
    </row>
    <row r="50" spans="2:5" ht="54.75" customHeight="1">
      <c r="B50" s="264"/>
      <c r="C50" s="264"/>
      <c r="D50" s="264"/>
      <c r="E50" s="88"/>
    </row>
    <row r="51" spans="2:5" ht="54.75" customHeight="1">
      <c r="B51" s="264"/>
      <c r="C51" s="264"/>
      <c r="D51" s="264"/>
      <c r="E51" s="88"/>
    </row>
    <row r="52" spans="2:5" ht="54.75" customHeight="1">
      <c r="B52" s="264"/>
      <c r="C52" s="264"/>
      <c r="D52" s="264"/>
      <c r="E52" s="88"/>
    </row>
    <row r="53" spans="2:5" ht="54.75" customHeight="1">
      <c r="B53" s="264"/>
      <c r="C53" s="386"/>
      <c r="D53" s="386"/>
      <c r="E53" s="88"/>
    </row>
    <row r="54" spans="2:5" ht="54.75" customHeight="1">
      <c r="B54" s="264"/>
    </row>
  </sheetData>
  <mergeCells count="24">
    <mergeCell ref="C41:D41"/>
    <mergeCell ref="C42:D42"/>
    <mergeCell ref="C43:D43"/>
    <mergeCell ref="C44:D44"/>
    <mergeCell ref="B41:B54"/>
    <mergeCell ref="C45:D45"/>
    <mergeCell ref="C46:D46"/>
    <mergeCell ref="C47:D47"/>
    <mergeCell ref="C48:D48"/>
    <mergeCell ref="C49:D49"/>
    <mergeCell ref="C50:D50"/>
    <mergeCell ref="C51:D51"/>
    <mergeCell ref="C52:D52"/>
    <mergeCell ref="C53:D53"/>
    <mergeCell ref="A2:I2"/>
    <mergeCell ref="A4:B5"/>
    <mergeCell ref="A3:I3"/>
    <mergeCell ref="A1:I1"/>
    <mergeCell ref="A7:I7"/>
    <mergeCell ref="C5:D5"/>
    <mergeCell ref="C4:D4"/>
    <mergeCell ref="E4:I4"/>
    <mergeCell ref="B6:I6"/>
    <mergeCell ref="E5:H5"/>
  </mergeCells>
  <phoneticPr fontId="16" type="noConversion"/>
  <conditionalFormatting sqref="E11:H38">
    <cfRule type="cellIs" dxfId="18" priority="1" operator="equal">
      <formula>"CUMPLE"</formula>
    </cfRule>
    <cfRule type="cellIs" dxfId="17" priority="2" operator="equal">
      <formula>"NO CUMPLE"</formula>
    </cfRule>
    <cfRule type="cellIs" dxfId="16" priority="3" operator="equal">
      <formula>"""CUMPLE"""</formula>
    </cfRule>
  </conditionalFormatting>
  <conditionalFormatting sqref="E39:H39">
    <cfRule type="containsText" dxfId="15" priority="197" operator="containsText" text="NO CUMPLE">
      <formula>NOT(ISERROR(SEARCH("NO CUMPLE",E39)))</formula>
    </cfRule>
    <cfRule type="containsText" dxfId="14" priority="198" operator="containsText" text="CUMPLE">
      <formula>NOT(ISERROR(SEARCH("CUMPLE",E39)))</formula>
    </cfRule>
  </conditionalFormatting>
  <conditionalFormatting sqref="I11:I39">
    <cfRule type="containsText" dxfId="13" priority="187" operator="containsText" text="INHABILITADO">
      <formula>NOT(ISERROR(SEARCH("INHABILITADO",I11)))</formula>
    </cfRule>
    <cfRule type="containsText" dxfId="12" priority="188" operator="containsText" text="HABILITADO">
      <formula>NOT(ISERROR(SEARCH("HABILITADO",I11)))</formula>
    </cfRule>
  </conditionalFormatting>
  <pageMargins left="0.7" right="0.7" top="0.75" bottom="0.75" header="0.3" footer="0.3"/>
  <pageSetup scale="55" orientation="landscape" r:id="rId1"/>
  <rowBreaks count="1" manualBreakCount="1">
    <brk id="38" max="8"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2000-000000000000}">
          <x14:formula1>
            <xm:f>'DATOS INICIALES'!$A$49:$A$50</xm:f>
          </x14:formula1>
          <xm:sqref>E11:E38 G11:H38</xm:sqref>
        </x14:dataValidation>
        <x14:dataValidation type="list" allowBlank="1" showInputMessage="1" showErrorMessage="1" xr:uid="{00000000-0002-0000-2000-000001000000}">
          <x14:formula1>
            <xm:f>'DATOS INICIALES'!$A$44:$A$45</xm:f>
          </x14:formula1>
          <xm:sqref>I11:I38</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G154"/>
  <sheetViews>
    <sheetView view="pageBreakPreview" zoomScale="60" zoomScaleNormal="70" workbookViewId="0">
      <pane xSplit="4" ySplit="14" topLeftCell="X84" activePane="bottomRight" state="frozen"/>
      <selection pane="topRight" activeCell="E1" sqref="E1"/>
      <selection pane="bottomLeft" activeCell="A15" sqref="A15"/>
      <selection pane="bottomRight" activeCell="AB20" sqref="AB20:AB24"/>
    </sheetView>
  </sheetViews>
  <sheetFormatPr baseColWidth="10" defaultColWidth="11.42578125" defaultRowHeight="15"/>
  <cols>
    <col min="1" max="1" width="4.140625" style="16" customWidth="1"/>
    <col min="2" max="2" width="22.42578125" style="16" customWidth="1"/>
    <col min="3" max="3" width="28" style="16" customWidth="1"/>
    <col min="4" max="4" width="7.85546875" style="41" customWidth="1"/>
    <col min="5" max="5" width="22.28515625" style="69" customWidth="1"/>
    <col min="6" max="6" width="23.140625" style="69" customWidth="1"/>
    <col min="7" max="7" width="21.28515625" style="16" customWidth="1"/>
    <col min="8" max="8" width="25.7109375" style="16" customWidth="1"/>
    <col min="9" max="9" width="21.85546875" style="16" customWidth="1"/>
    <col min="10" max="10" width="20.5703125" style="16" customWidth="1"/>
    <col min="11" max="11" width="18" style="16" customWidth="1"/>
    <col min="12" max="12" width="17.7109375" style="16" customWidth="1"/>
    <col min="13" max="14" width="16.42578125" style="16" customWidth="1"/>
    <col min="15" max="15" width="22.140625" style="16" customWidth="1"/>
    <col min="16" max="16" width="15.42578125" style="16" customWidth="1"/>
    <col min="17" max="17" width="14.42578125" style="16" customWidth="1"/>
    <col min="18" max="18" width="36.42578125" style="16" customWidth="1"/>
    <col min="19" max="19" width="37.7109375" style="16" customWidth="1"/>
    <col min="20" max="20" width="22.140625" style="16" customWidth="1"/>
    <col min="21" max="21" width="26" style="16" customWidth="1"/>
    <col min="22" max="22" width="17" style="16" customWidth="1"/>
    <col min="23" max="25" width="23.28515625" style="16" customWidth="1"/>
    <col min="26" max="32" width="37" style="16" customWidth="1"/>
    <col min="33" max="33" width="65.140625" style="16" customWidth="1"/>
    <col min="34" max="16384" width="11.42578125" style="16"/>
  </cols>
  <sheetData>
    <row r="1" spans="1:33">
      <c r="B1"/>
      <c r="C1"/>
      <c r="D1"/>
      <c r="E1"/>
      <c r="F1"/>
      <c r="G1"/>
      <c r="H1"/>
      <c r="I1"/>
      <c r="J1"/>
      <c r="K1"/>
      <c r="L1"/>
      <c r="M1"/>
      <c r="N1"/>
      <c r="O1"/>
      <c r="P1"/>
      <c r="Q1"/>
      <c r="R1"/>
      <c r="S1"/>
      <c r="T1"/>
    </row>
    <row r="2" spans="1:33" ht="18.75">
      <c r="A2" s="255" t="s">
        <v>0</v>
      </c>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5"/>
    </row>
    <row r="3" spans="1:33">
      <c r="A3" s="264"/>
      <c r="B3" s="264"/>
      <c r="C3" s="264"/>
      <c r="D3" s="264"/>
      <c r="E3" s="264"/>
      <c r="F3" s="264"/>
      <c r="G3" s="264"/>
      <c r="H3" s="264"/>
      <c r="I3" s="264"/>
      <c r="J3" s="264"/>
      <c r="K3" s="264"/>
      <c r="L3" s="264"/>
      <c r="M3" s="264"/>
      <c r="N3" s="264"/>
      <c r="O3" s="264"/>
      <c r="P3" s="264"/>
      <c r="Q3" s="264"/>
      <c r="R3" s="264"/>
      <c r="S3" s="264"/>
      <c r="T3" s="264"/>
      <c r="U3" s="264"/>
      <c r="V3" s="264"/>
      <c r="W3" s="264"/>
      <c r="X3" s="264"/>
      <c r="Y3" s="264"/>
      <c r="Z3" s="264"/>
      <c r="AA3" s="264"/>
      <c r="AB3" s="264"/>
      <c r="AC3" s="264"/>
      <c r="AD3" s="264"/>
      <c r="AE3" s="264"/>
      <c r="AF3" s="264"/>
      <c r="AG3" s="264"/>
    </row>
    <row r="4" spans="1:33" ht="18.75">
      <c r="A4" s="255" t="str">
        <f>'DATOS INICIALES'!G4</f>
        <v>FDLK-LP-007-2024</v>
      </c>
      <c r="B4" s="255"/>
      <c r="C4" s="255"/>
      <c r="D4" s="255"/>
      <c r="E4" s="255"/>
      <c r="F4" s="255"/>
      <c r="G4" s="255"/>
      <c r="H4" s="255"/>
      <c r="I4" s="255"/>
      <c r="J4" s="255"/>
      <c r="K4" s="255"/>
      <c r="L4" s="255"/>
      <c r="M4" s="255"/>
      <c r="N4" s="255"/>
      <c r="O4" s="255"/>
      <c r="P4" s="255"/>
      <c r="Q4" s="255"/>
      <c r="R4" s="255"/>
      <c r="S4" s="255"/>
      <c r="T4" s="255"/>
      <c r="U4" s="255"/>
      <c r="V4" s="255"/>
      <c r="W4" s="255"/>
      <c r="X4" s="255"/>
      <c r="Y4" s="255"/>
      <c r="Z4" s="255"/>
      <c r="AA4" s="255"/>
      <c r="AB4" s="255"/>
      <c r="AC4" s="255"/>
      <c r="AD4" s="255"/>
      <c r="AE4" s="255"/>
      <c r="AF4" s="255"/>
      <c r="AG4" s="255"/>
    </row>
    <row r="5" spans="1:33">
      <c r="A5" s="264"/>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row>
    <row r="6" spans="1:33">
      <c r="A6" s="287" t="s">
        <v>67</v>
      </c>
      <c r="B6" s="287"/>
      <c r="C6" s="67" t="s">
        <v>68</v>
      </c>
      <c r="D6" s="286" t="s">
        <v>69</v>
      </c>
      <c r="E6" s="286"/>
      <c r="F6" s="286"/>
      <c r="G6" s="286"/>
      <c r="H6" s="89">
        <f>+'1'!E6</f>
        <v>45175</v>
      </c>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row>
    <row r="7" spans="1:33">
      <c r="A7" s="285" t="s">
        <v>70</v>
      </c>
      <c r="B7" s="285"/>
      <c r="C7" s="285"/>
      <c r="D7" s="285"/>
      <c r="E7" s="285"/>
      <c r="F7" s="285"/>
      <c r="G7" s="285"/>
      <c r="H7" s="285"/>
      <c r="I7" s="285"/>
      <c r="J7" s="285"/>
      <c r="K7" s="285"/>
      <c r="L7" s="285"/>
      <c r="M7" s="285"/>
      <c r="N7" s="285"/>
      <c r="O7" s="285"/>
      <c r="P7" s="285"/>
      <c r="Q7" s="285"/>
      <c r="R7" s="285"/>
      <c r="S7" s="285"/>
      <c r="T7" s="285"/>
      <c r="U7" s="285"/>
      <c r="V7" s="285"/>
      <c r="W7" s="285"/>
      <c r="X7" s="285"/>
      <c r="Y7" s="285"/>
      <c r="Z7" s="285"/>
      <c r="AA7" s="285"/>
      <c r="AB7" s="285"/>
      <c r="AC7" s="285"/>
      <c r="AD7" s="285"/>
      <c r="AE7" s="285"/>
      <c r="AF7" s="285"/>
      <c r="AG7" s="285"/>
    </row>
    <row r="8" spans="1:33" ht="36" customHeight="1">
      <c r="A8" s="278" t="s">
        <v>71</v>
      </c>
      <c r="B8" s="278"/>
      <c r="C8" s="28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D8" s="284"/>
      <c r="E8" s="284"/>
      <c r="F8" s="284"/>
      <c r="G8" s="284"/>
      <c r="H8" s="284"/>
      <c r="I8" s="284"/>
      <c r="J8" s="284"/>
      <c r="K8" s="284"/>
      <c r="L8" s="284"/>
      <c r="M8" s="284"/>
      <c r="N8" s="284"/>
      <c r="O8" s="284"/>
      <c r="P8" s="284"/>
      <c r="Q8" s="284"/>
      <c r="R8" s="284"/>
      <c r="S8" s="284"/>
      <c r="T8" s="284"/>
      <c r="U8" s="284"/>
      <c r="V8" s="284"/>
      <c r="W8" s="284"/>
      <c r="X8" s="284"/>
      <c r="Y8" s="284"/>
      <c r="Z8" s="284"/>
      <c r="AA8" s="284"/>
      <c r="AB8" s="284"/>
      <c r="AC8" s="284"/>
      <c r="AD8" s="284"/>
      <c r="AE8" s="284"/>
      <c r="AF8" s="284"/>
      <c r="AG8" s="284"/>
    </row>
    <row r="9" spans="1:33" ht="40.5" customHeight="1">
      <c r="A9" s="278" t="s">
        <v>72</v>
      </c>
      <c r="B9" s="278"/>
      <c r="C9" s="419">
        <f>+'DATOS INICIALES'!C5</f>
        <v>3807405444</v>
      </c>
      <c r="D9" s="419"/>
      <c r="E9" s="419"/>
      <c r="F9" s="407" t="s">
        <v>73</v>
      </c>
      <c r="G9" s="408"/>
      <c r="H9" s="120">
        <f>+'DATOS INICIALES'!G5</f>
        <v>10</v>
      </c>
      <c r="I9" s="413"/>
      <c r="J9" s="413"/>
      <c r="K9" s="413"/>
      <c r="L9" s="413"/>
      <c r="M9" s="413"/>
      <c r="N9" s="413"/>
      <c r="O9" s="413"/>
      <c r="P9" s="413"/>
      <c r="Q9" s="413"/>
      <c r="R9" s="413"/>
      <c r="S9" s="413"/>
      <c r="T9" s="413"/>
      <c r="U9" s="413"/>
      <c r="V9" s="413"/>
      <c r="W9" s="413"/>
      <c r="X9" s="413"/>
      <c r="Y9" s="413"/>
      <c r="Z9" s="413"/>
      <c r="AA9" s="413"/>
      <c r="AB9" s="413"/>
      <c r="AC9" s="413"/>
      <c r="AD9" s="413"/>
      <c r="AE9" s="413"/>
      <c r="AF9" s="413"/>
      <c r="AG9" s="413"/>
    </row>
    <row r="10" spans="1:33" ht="30" customHeight="1">
      <c r="A10" s="278" t="s">
        <v>74</v>
      </c>
      <c r="B10" s="278"/>
      <c r="C10" s="280">
        <f>C9/'DATOS INICIALES'!B41</f>
        <v>3807.405444</v>
      </c>
      <c r="D10" s="280"/>
      <c r="E10" s="280"/>
      <c r="F10" s="409" t="s">
        <v>75</v>
      </c>
      <c r="G10" s="410"/>
      <c r="H10" s="122">
        <v>0</v>
      </c>
      <c r="I10" s="414"/>
      <c r="J10" s="414"/>
      <c r="K10" s="414"/>
      <c r="L10" s="414"/>
      <c r="M10" s="414"/>
      <c r="N10" s="414"/>
      <c r="O10" s="414"/>
      <c r="P10" s="414"/>
      <c r="Q10" s="414"/>
      <c r="R10" s="414"/>
      <c r="S10" s="414"/>
      <c r="T10" s="414"/>
      <c r="U10" s="414"/>
      <c r="V10" s="414"/>
      <c r="W10" s="414"/>
      <c r="X10" s="414"/>
      <c r="Y10" s="414"/>
      <c r="Z10" s="414"/>
      <c r="AA10" s="414"/>
      <c r="AB10" s="414"/>
      <c r="AC10" s="414"/>
      <c r="AD10" s="414"/>
      <c r="AE10" s="414"/>
      <c r="AF10" s="414"/>
      <c r="AG10" s="414"/>
    </row>
    <row r="11" spans="1:33" ht="9" customHeight="1" thickBot="1">
      <c r="E11" s="41"/>
      <c r="F11" s="41"/>
    </row>
    <row r="12" spans="1:33" ht="45.75" customHeight="1" thickBot="1">
      <c r="A12" s="415" t="s">
        <v>515</v>
      </c>
      <c r="B12" s="416"/>
      <c r="C12" s="416"/>
      <c r="D12" s="416"/>
      <c r="E12" s="416"/>
      <c r="F12" s="416"/>
      <c r="G12" s="416"/>
      <c r="H12" s="416"/>
      <c r="I12" s="416"/>
      <c r="J12" s="416"/>
      <c r="K12" s="416"/>
      <c r="L12" s="416"/>
      <c r="M12" s="416"/>
      <c r="N12" s="416"/>
      <c r="O12" s="416"/>
      <c r="P12" s="416"/>
      <c r="Q12" s="416"/>
      <c r="R12" s="416"/>
      <c r="S12" s="416"/>
      <c r="T12" s="416"/>
      <c r="U12" s="416"/>
      <c r="V12" s="416"/>
      <c r="W12" s="417"/>
      <c r="X12" s="417"/>
      <c r="Y12" s="417"/>
      <c r="Z12" s="417"/>
      <c r="AA12" s="417"/>
      <c r="AB12" s="417"/>
      <c r="AC12" s="417"/>
      <c r="AD12" s="417"/>
      <c r="AE12" s="417"/>
      <c r="AF12" s="417"/>
      <c r="AG12" s="418"/>
    </row>
    <row r="13" spans="1:33" ht="18.75" customHeight="1">
      <c r="A13" s="423" t="s">
        <v>43</v>
      </c>
      <c r="B13" s="421" t="s">
        <v>76</v>
      </c>
      <c r="C13" s="421" t="s">
        <v>77</v>
      </c>
      <c r="D13" s="421" t="s">
        <v>78</v>
      </c>
      <c r="E13" s="425" t="s">
        <v>516</v>
      </c>
      <c r="F13" s="425"/>
      <c r="G13" s="425"/>
      <c r="H13" s="425"/>
      <c r="I13" s="425"/>
      <c r="J13" s="425"/>
      <c r="K13" s="420" t="s">
        <v>517</v>
      </c>
      <c r="L13" s="420"/>
      <c r="M13" s="420"/>
      <c r="N13" s="420"/>
      <c r="O13" s="420"/>
      <c r="P13" s="420"/>
      <c r="Q13" s="420"/>
      <c r="R13" s="403" t="s">
        <v>518</v>
      </c>
      <c r="S13" s="405"/>
      <c r="T13" s="420" t="s">
        <v>519</v>
      </c>
      <c r="U13" s="420"/>
      <c r="V13" s="420"/>
      <c r="W13" s="403" t="s">
        <v>520</v>
      </c>
      <c r="X13" s="404"/>
      <c r="Y13" s="404"/>
      <c r="Z13" s="404"/>
      <c r="AA13" s="404"/>
      <c r="AB13" s="405"/>
      <c r="AC13" s="403" t="s">
        <v>521</v>
      </c>
      <c r="AD13" s="404"/>
      <c r="AE13" s="404"/>
      <c r="AF13" s="405"/>
      <c r="AG13" s="411" t="s">
        <v>117</v>
      </c>
    </row>
    <row r="14" spans="1:33" ht="123" customHeight="1" thickBot="1">
      <c r="A14" s="424"/>
      <c r="B14" s="422"/>
      <c r="C14" s="422"/>
      <c r="D14" s="422"/>
      <c r="E14" s="147" t="s">
        <v>522</v>
      </c>
      <c r="F14" s="147" t="s">
        <v>523</v>
      </c>
      <c r="G14" s="147" t="s">
        <v>524</v>
      </c>
      <c r="H14" s="147" t="s">
        <v>525</v>
      </c>
      <c r="I14" s="147" t="s">
        <v>526</v>
      </c>
      <c r="J14" s="147" t="s">
        <v>527</v>
      </c>
      <c r="K14" s="147" t="s">
        <v>528</v>
      </c>
      <c r="L14" s="147" t="s">
        <v>529</v>
      </c>
      <c r="M14" s="147" t="s">
        <v>530</v>
      </c>
      <c r="N14" s="147" t="s">
        <v>531</v>
      </c>
      <c r="O14" s="147" t="s">
        <v>532</v>
      </c>
      <c r="P14" s="147" t="s">
        <v>533</v>
      </c>
      <c r="Q14" s="147" t="s">
        <v>534</v>
      </c>
      <c r="R14" s="147" t="s">
        <v>535</v>
      </c>
      <c r="S14" s="147" t="s">
        <v>536</v>
      </c>
      <c r="T14" s="147" t="s">
        <v>537</v>
      </c>
      <c r="U14" s="147" t="s">
        <v>538</v>
      </c>
      <c r="V14" s="147" t="s">
        <v>539</v>
      </c>
      <c r="W14" s="174" t="s">
        <v>540</v>
      </c>
      <c r="X14" s="174" t="s">
        <v>541</v>
      </c>
      <c r="Y14" s="174" t="s">
        <v>542</v>
      </c>
      <c r="Z14" s="174" t="s">
        <v>543</v>
      </c>
      <c r="AA14" s="174" t="s">
        <v>544</v>
      </c>
      <c r="AB14" s="174" t="s">
        <v>545</v>
      </c>
      <c r="AC14" s="174" t="s">
        <v>546</v>
      </c>
      <c r="AD14" s="174" t="s">
        <v>547</v>
      </c>
      <c r="AE14" s="174" t="s">
        <v>548</v>
      </c>
      <c r="AF14" s="174" t="s">
        <v>549</v>
      </c>
      <c r="AG14" s="412"/>
    </row>
    <row r="15" spans="1:33" ht="39" customHeight="1" thickBot="1">
      <c r="A15" s="266">
        <v>1</v>
      </c>
      <c r="B15" s="263" t="str">
        <f>+PROPONENTES!B10</f>
        <v xml:space="preserve"> BOOST BUSINESS CONSULTING S.A.S.</v>
      </c>
      <c r="C15" s="47" t="str">
        <f>IF(VLOOKUP(B15,PROPONENTES!$B$10:$N$39,2,FALSE)="","",VLOOKUP(B15,PROPONENTES!$B$10:$N$39,2,FALSE))</f>
        <v xml:space="preserve"> BOOST BUSINESS CONSULTING S.A.S.</v>
      </c>
      <c r="D15" s="48">
        <f>VLOOKUP(B15,PROPONENTES!$B$10:$N$39,3,FALSE)</f>
        <v>1</v>
      </c>
      <c r="E15" s="109" t="s">
        <v>27</v>
      </c>
      <c r="F15" s="109" t="s">
        <v>27</v>
      </c>
      <c r="G15" s="123">
        <f>+'1'!E15</f>
        <v>2785.83</v>
      </c>
      <c r="H15" s="124" t="str">
        <f>IF(C15="","",IF(G15&gt;='1'!$J$15*0.4,"SI","NO"))</f>
        <v>SI</v>
      </c>
      <c r="I15" s="47">
        <f>IF(C15="",0,IF(AND(E15="SI",H15="SI",F15="SI"),1,0))</f>
        <v>1</v>
      </c>
      <c r="J15" s="263">
        <f>IF((I15+I16+I17+I18+I19)&gt;=1,1,0)</f>
        <v>1</v>
      </c>
      <c r="K15" s="397" t="s">
        <v>31</v>
      </c>
      <c r="L15" s="387"/>
      <c r="M15" s="397" t="s">
        <v>31</v>
      </c>
      <c r="N15" s="400">
        <v>38.5</v>
      </c>
      <c r="O15" s="113" t="s">
        <v>34</v>
      </c>
      <c r="P15" s="47">
        <f t="shared" ref="P15:P46" si="0">IF(C15="","0",IF(O15="REPORTADO",1,0))</f>
        <v>0</v>
      </c>
      <c r="Q15" s="400">
        <f>+L15+N15+IF(SUM(P15:P19)&gt;=1,-1,0)</f>
        <v>38.5</v>
      </c>
      <c r="R15" s="397" t="s">
        <v>31</v>
      </c>
      <c r="S15" s="400"/>
      <c r="T15" s="390" t="s">
        <v>31</v>
      </c>
      <c r="U15" s="111" t="s">
        <v>31</v>
      </c>
      <c r="V15" s="393">
        <v>10</v>
      </c>
      <c r="W15" s="111" t="s">
        <v>31</v>
      </c>
      <c r="X15" s="111" t="s">
        <v>31</v>
      </c>
      <c r="Y15" s="111" t="s">
        <v>31</v>
      </c>
      <c r="Z15" s="111" t="s">
        <v>33</v>
      </c>
      <c r="AA15" s="175">
        <f>IF(C15="",0,IF(AND(OR(X15="CUMPLE",X15="N/A"),OR(Y15="CUMPLE",Y15="N/A"),OR(Z15="CUMPLE",Z15="N/A"),AND(W15="CUMPLE",D15&gt;=10%)),0.25,))</f>
        <v>0</v>
      </c>
      <c r="AB15" s="393">
        <v>0.25</v>
      </c>
      <c r="AC15" s="111" t="s">
        <v>31</v>
      </c>
      <c r="AD15" s="111" t="s">
        <v>31</v>
      </c>
      <c r="AE15" s="175">
        <f>IF(C15="",0,IF(AND(AC15="CUMPLE",AD15="CUMPLE",D15&gt;=10%),0.25,0))</f>
        <v>0.25</v>
      </c>
      <c r="AF15" s="387">
        <f>IF((AE15+AE16+AE17+AE18+AE19)&gt;=0.25,0.25,0)</f>
        <v>0.25</v>
      </c>
      <c r="AG15" s="406"/>
    </row>
    <row r="16" spans="1:33" ht="39" customHeight="1" thickBot="1">
      <c r="A16" s="267"/>
      <c r="B16" s="264"/>
      <c r="C16" s="27" t="str">
        <f>IF(VLOOKUP(B15,PROPONENTES!$B$10:$N$39,4,FALSE)="","",VLOOKUP(B15,PROPONENTES!$B$10:$N$39,4,FALSE))</f>
        <v/>
      </c>
      <c r="D16" s="40">
        <f>VLOOKUP(B15,PROPONENTES!$B$10:$N$39,5,FALSE)</f>
        <v>0</v>
      </c>
      <c r="E16" s="114"/>
      <c r="F16" s="114"/>
      <c r="G16" s="125" t="str">
        <f>+'1'!E16</f>
        <v/>
      </c>
      <c r="H16" s="126" t="str">
        <f>IF(C16="","",IF(G16&gt;='1'!$J$15*0.4,"SI","NO"))</f>
        <v/>
      </c>
      <c r="I16" s="27">
        <f t="shared" ref="I16:I20" si="1">IF(C16="",0,IF(AND(E16="SI",H16="SI",F16="SI"),1,0))</f>
        <v>0</v>
      </c>
      <c r="J16" s="264"/>
      <c r="K16" s="398"/>
      <c r="L16" s="388"/>
      <c r="M16" s="398"/>
      <c r="N16" s="401"/>
      <c r="O16" s="115"/>
      <c r="P16" s="27" t="str">
        <f t="shared" si="0"/>
        <v>0</v>
      </c>
      <c r="Q16" s="401"/>
      <c r="R16" s="398"/>
      <c r="S16" s="401"/>
      <c r="T16" s="391"/>
      <c r="U16" s="116"/>
      <c r="V16" s="270"/>
      <c r="W16" s="116"/>
      <c r="X16" s="116"/>
      <c r="Y16" s="116"/>
      <c r="Z16" s="116"/>
      <c r="AA16" s="175">
        <f t="shared" ref="AA16:AA79" si="2">IF(C16="",0,IF(AND(OR(X16="CUMPLE",X16="N/A"),OR(Y16="CUMPLE",Y16="N/A"),OR(Z16="CUMPLE",Z16="N/A"),AND(W16="CUMPLE",D16&gt;=10%)),0.25,))</f>
        <v>0</v>
      </c>
      <c r="AB16" s="270"/>
      <c r="AC16" s="116"/>
      <c r="AD16" s="111"/>
      <c r="AE16" s="176">
        <f t="shared" ref="AE16:AE79" si="3">IF(C16="",0,IF(AND(AC16="CUMPLE",AD16="CUMPLE",D16&gt;=10%),0.25,0))</f>
        <v>0</v>
      </c>
      <c r="AF16" s="388"/>
      <c r="AG16" s="395"/>
    </row>
    <row r="17" spans="1:33" ht="39" customHeight="1" thickBot="1">
      <c r="A17" s="267"/>
      <c r="B17" s="264"/>
      <c r="C17" s="27" t="str">
        <f>IF(VLOOKUP(B15,PROPONENTES!$B$10:$N$39,6,FALSE)="","",VLOOKUP(B15,PROPONENTES!$B$10:$N$39,6,FALSE))</f>
        <v/>
      </c>
      <c r="D17" s="40">
        <f>VLOOKUP(B15,PROPONENTES!$B$10:$N$39,7,FALSE)</f>
        <v>0</v>
      </c>
      <c r="E17" s="114"/>
      <c r="F17" s="114"/>
      <c r="G17" s="125" t="str">
        <f>+'1'!E17</f>
        <v/>
      </c>
      <c r="H17" s="126" t="str">
        <f>IF(C17="","",IF(G17&gt;='1'!$J$15*0.4,"SI","NO"))</f>
        <v/>
      </c>
      <c r="I17" s="27">
        <f t="shared" si="1"/>
        <v>0</v>
      </c>
      <c r="J17" s="264"/>
      <c r="K17" s="398"/>
      <c r="L17" s="388"/>
      <c r="M17" s="398"/>
      <c r="N17" s="401"/>
      <c r="O17" s="115"/>
      <c r="P17" s="27" t="str">
        <f t="shared" si="0"/>
        <v>0</v>
      </c>
      <c r="Q17" s="401"/>
      <c r="R17" s="398"/>
      <c r="S17" s="401"/>
      <c r="T17" s="391"/>
      <c r="U17" s="116"/>
      <c r="V17" s="270"/>
      <c r="W17" s="116"/>
      <c r="X17" s="116"/>
      <c r="Y17" s="116"/>
      <c r="Z17" s="116"/>
      <c r="AA17" s="175">
        <f t="shared" si="2"/>
        <v>0</v>
      </c>
      <c r="AB17" s="270"/>
      <c r="AC17" s="116"/>
      <c r="AD17" s="111"/>
      <c r="AE17" s="176">
        <f t="shared" si="3"/>
        <v>0</v>
      </c>
      <c r="AF17" s="388"/>
      <c r="AG17" s="395"/>
    </row>
    <row r="18" spans="1:33" ht="39" customHeight="1" thickBot="1">
      <c r="A18" s="267"/>
      <c r="B18" s="264"/>
      <c r="C18" s="27" t="str">
        <f>IF(VLOOKUP(B15,PROPONENTES!$B$10:$N$39,8,FALSE)="","",VLOOKUP(B15,PROPONENTES!$B$10:$N$39,8,FALSE))</f>
        <v/>
      </c>
      <c r="D18" s="40">
        <f>VLOOKUP(B15,PROPONENTES!$B$10:$N$39,9,FALSE)</f>
        <v>0</v>
      </c>
      <c r="E18" s="114"/>
      <c r="F18" s="114"/>
      <c r="G18" s="125" t="str">
        <f>+'1'!E18</f>
        <v/>
      </c>
      <c r="H18" s="126" t="str">
        <f>IF(C18="","",IF(G18&gt;='1'!$J$15*0.4,"SI","NO"))</f>
        <v/>
      </c>
      <c r="I18" s="126">
        <f t="shared" si="1"/>
        <v>0</v>
      </c>
      <c r="J18" s="264"/>
      <c r="K18" s="398"/>
      <c r="L18" s="388"/>
      <c r="M18" s="398"/>
      <c r="N18" s="401"/>
      <c r="O18" s="114"/>
      <c r="P18" s="27" t="str">
        <f t="shared" si="0"/>
        <v>0</v>
      </c>
      <c r="Q18" s="401"/>
      <c r="R18" s="398"/>
      <c r="S18" s="401"/>
      <c r="T18" s="391"/>
      <c r="U18" s="116"/>
      <c r="V18" s="270"/>
      <c r="W18" s="116"/>
      <c r="X18" s="116"/>
      <c r="Y18" s="116"/>
      <c r="Z18" s="116"/>
      <c r="AA18" s="175">
        <f t="shared" si="2"/>
        <v>0</v>
      </c>
      <c r="AB18" s="270"/>
      <c r="AC18" s="116"/>
      <c r="AD18" s="116"/>
      <c r="AE18" s="176">
        <f t="shared" si="3"/>
        <v>0</v>
      </c>
      <c r="AF18" s="388"/>
      <c r="AG18" s="395"/>
    </row>
    <row r="19" spans="1:33" ht="39" customHeight="1" thickBot="1">
      <c r="A19" s="268"/>
      <c r="B19" s="265"/>
      <c r="C19" s="52" t="str">
        <f>IF(VLOOKUP(B15,PROPONENTES!$B$10:$N$39,10,FALSE)="","",VLOOKUP(B15,PROPONENTES!$B$10:$N$39,10,FALSE))</f>
        <v/>
      </c>
      <c r="D19" s="53">
        <f>VLOOKUP(B15,PROPONENTES!$B$10:$N$39,11,FALSE)</f>
        <v>0</v>
      </c>
      <c r="E19" s="118"/>
      <c r="F19" s="118"/>
      <c r="G19" s="127" t="str">
        <f>+'1'!E19</f>
        <v/>
      </c>
      <c r="H19" s="128" t="str">
        <f>IF(C19="","",IF(G19&gt;='1'!$J$15*0.4,"SI","NO"))</f>
        <v/>
      </c>
      <c r="I19" s="128">
        <f t="shared" si="1"/>
        <v>0</v>
      </c>
      <c r="J19" s="265"/>
      <c r="K19" s="399"/>
      <c r="L19" s="389"/>
      <c r="M19" s="399"/>
      <c r="N19" s="402"/>
      <c r="O19" s="118"/>
      <c r="P19" s="52" t="str">
        <f t="shared" si="0"/>
        <v>0</v>
      </c>
      <c r="Q19" s="402"/>
      <c r="R19" s="399"/>
      <c r="S19" s="402"/>
      <c r="T19" s="392"/>
      <c r="U19" s="149"/>
      <c r="V19" s="271"/>
      <c r="W19" s="149"/>
      <c r="X19" s="149"/>
      <c r="Y19" s="149"/>
      <c r="Z19" s="149"/>
      <c r="AA19" s="175">
        <f t="shared" si="2"/>
        <v>0</v>
      </c>
      <c r="AB19" s="271"/>
      <c r="AC19" s="149"/>
      <c r="AD19" s="149"/>
      <c r="AE19" s="177">
        <f t="shared" si="3"/>
        <v>0</v>
      </c>
      <c r="AF19" s="389"/>
      <c r="AG19" s="396"/>
    </row>
    <row r="20" spans="1:33" ht="73.5" customHeight="1" thickBot="1">
      <c r="A20" s="266">
        <v>2</v>
      </c>
      <c r="B20" s="263" t="str">
        <f>+PROPONENTES!B11</f>
        <v xml:space="preserve"> CONSORCIO KENNEDY AMBIENTAL 2024</v>
      </c>
      <c r="C20" s="47" t="str">
        <f>IF(VLOOKUP(B20,PROPONENTES!$B$10:$N$39,2,FALSE)="","",VLOOKUP(B20,PROPONENTES!$B$10:$N$39,2,FALSE))</f>
        <v xml:space="preserve"> Cepagro sas</v>
      </c>
      <c r="D20" s="48">
        <f>VLOOKUP(B20,PROPONENTES!$B$10:$N$39,3,FALSE)</f>
        <v>0.86</v>
      </c>
      <c r="E20" s="109" t="s">
        <v>27</v>
      </c>
      <c r="F20" s="109" t="s">
        <v>27</v>
      </c>
      <c r="G20" s="123">
        <f>+'2'!E15</f>
        <v>13756.5</v>
      </c>
      <c r="H20" s="124" t="str">
        <f>IF(C20="","",IF(G20&gt;='2'!$J$15*0.4,"SI","NO"))</f>
        <v>SI</v>
      </c>
      <c r="I20" s="47">
        <f t="shared" si="1"/>
        <v>1</v>
      </c>
      <c r="J20" s="263">
        <v>1</v>
      </c>
      <c r="K20" s="397" t="s">
        <v>31</v>
      </c>
      <c r="L20" s="400"/>
      <c r="M20" s="397" t="s">
        <v>31</v>
      </c>
      <c r="N20" s="400">
        <v>38.5</v>
      </c>
      <c r="O20" s="113" t="s">
        <v>34</v>
      </c>
      <c r="P20" s="47">
        <f t="shared" si="0"/>
        <v>0</v>
      </c>
      <c r="Q20" s="400">
        <f t="shared" ref="Q20" si="4">+L20+N20+IF(SUM(P20:P24)&gt;=1,-1,0)</f>
        <v>38.5</v>
      </c>
      <c r="R20" s="397" t="s">
        <v>31</v>
      </c>
      <c r="S20" s="400"/>
      <c r="T20" s="390" t="s">
        <v>31</v>
      </c>
      <c r="U20" s="111" t="s">
        <v>31</v>
      </c>
      <c r="V20" s="393">
        <v>10</v>
      </c>
      <c r="W20" s="111" t="s">
        <v>33</v>
      </c>
      <c r="X20" s="111" t="s">
        <v>33</v>
      </c>
      <c r="Y20" s="111" t="s">
        <v>33</v>
      </c>
      <c r="Z20" s="111" t="s">
        <v>33</v>
      </c>
      <c r="AA20" s="175">
        <f t="shared" si="2"/>
        <v>0</v>
      </c>
      <c r="AB20" s="393">
        <f>IF((AA20+AA21+AA22+AA23+AA24)&gt;=0.25,0.25,0)</f>
        <v>0</v>
      </c>
      <c r="AC20" s="111" t="s">
        <v>33</v>
      </c>
      <c r="AD20" s="111" t="s">
        <v>31</v>
      </c>
      <c r="AE20" s="175">
        <f t="shared" si="3"/>
        <v>0</v>
      </c>
      <c r="AF20" s="387">
        <f t="shared" ref="AF20" si="5">IF((AE20+AE21+AE22+AE23+AE24)&gt;=0.25,0.25,0)</f>
        <v>0.25</v>
      </c>
      <c r="AG20" s="426"/>
    </row>
    <row r="21" spans="1:33" ht="38.25" customHeight="1" thickBot="1">
      <c r="A21" s="267"/>
      <c r="B21" s="264"/>
      <c r="C21" s="27" t="str">
        <f>IF(VLOOKUP(B20,PROPONENTES!$B$10:$N$39,4,FALSE)="","",VLOOKUP(B20,PROPONENTES!$B$10:$N$39,4,FALSE))</f>
        <v xml:space="preserve"> Fundaset</v>
      </c>
      <c r="D21" s="40">
        <f>VLOOKUP(B20,PROPONENTES!$B$10:$N$39,5,FALSE)</f>
        <v>0.14000000000000001</v>
      </c>
      <c r="E21" s="114" t="s">
        <v>29</v>
      </c>
      <c r="F21" s="114" t="s">
        <v>29</v>
      </c>
      <c r="G21" s="123">
        <f>+'2'!E16</f>
        <v>0</v>
      </c>
      <c r="H21" s="124" t="str">
        <f>IF(C21="","",IF(G21&gt;='2'!$J$15*0.4,"SI","NO"))</f>
        <v>NO</v>
      </c>
      <c r="I21" s="27">
        <f t="shared" ref="I21:I49" si="6">IF(C21="",0,IF(AND(E21="SI",H21="SI",F21="SI"),1,0))</f>
        <v>0</v>
      </c>
      <c r="J21" s="264"/>
      <c r="K21" s="398"/>
      <c r="L21" s="401"/>
      <c r="M21" s="398"/>
      <c r="N21" s="401"/>
      <c r="O21" s="115" t="s">
        <v>34</v>
      </c>
      <c r="P21" s="27">
        <f t="shared" si="0"/>
        <v>0</v>
      </c>
      <c r="Q21" s="401"/>
      <c r="R21" s="398"/>
      <c r="S21" s="401"/>
      <c r="T21" s="391"/>
      <c r="U21" s="116" t="s">
        <v>31</v>
      </c>
      <c r="V21" s="270"/>
      <c r="W21" s="116" t="s">
        <v>31</v>
      </c>
      <c r="X21" s="116" t="s">
        <v>31</v>
      </c>
      <c r="Y21" s="116" t="s">
        <v>30</v>
      </c>
      <c r="Z21" s="116" t="s">
        <v>30</v>
      </c>
      <c r="AA21" s="175"/>
      <c r="AB21" s="270"/>
      <c r="AC21" s="116" t="s">
        <v>31</v>
      </c>
      <c r="AD21" s="116" t="s">
        <v>31</v>
      </c>
      <c r="AE21" s="176">
        <f t="shared" si="3"/>
        <v>0.25</v>
      </c>
      <c r="AF21" s="388"/>
      <c r="AG21" s="427"/>
    </row>
    <row r="22" spans="1:33" ht="15.75" thickBot="1">
      <c r="A22" s="267"/>
      <c r="B22" s="264"/>
      <c r="C22" s="27" t="str">
        <f>IF(VLOOKUP(B20,PROPONENTES!$B$10:$N$39,6,FALSE)="","",VLOOKUP(B20,PROPONENTES!$B$10:$N$39,6,FALSE))</f>
        <v/>
      </c>
      <c r="D22" s="40">
        <f>VLOOKUP(B20,PROPONENTES!$B$10:$N$39,7,FALSE)</f>
        <v>0</v>
      </c>
      <c r="E22" s="114"/>
      <c r="F22" s="114"/>
      <c r="G22" s="123" t="str">
        <f>+'2'!E17</f>
        <v/>
      </c>
      <c r="H22" s="124" t="str">
        <f>IF(C22="","",IF(G22&gt;='2'!$J$15*0.4,"SI","NO"))</f>
        <v/>
      </c>
      <c r="I22" s="27">
        <f t="shared" si="6"/>
        <v>0</v>
      </c>
      <c r="J22" s="264"/>
      <c r="K22" s="398"/>
      <c r="L22" s="401"/>
      <c r="M22" s="398"/>
      <c r="N22" s="401"/>
      <c r="O22" s="115"/>
      <c r="P22" s="27" t="str">
        <f t="shared" si="0"/>
        <v>0</v>
      </c>
      <c r="Q22" s="401"/>
      <c r="R22" s="398"/>
      <c r="S22" s="401"/>
      <c r="T22" s="391"/>
      <c r="U22" s="116"/>
      <c r="V22" s="270"/>
      <c r="W22" s="116"/>
      <c r="X22" s="116"/>
      <c r="Y22" s="116"/>
      <c r="Z22" s="116"/>
      <c r="AA22" s="175">
        <f t="shared" si="2"/>
        <v>0</v>
      </c>
      <c r="AB22" s="270"/>
      <c r="AC22" s="116"/>
      <c r="AD22" s="116"/>
      <c r="AE22" s="176">
        <f t="shared" si="3"/>
        <v>0</v>
      </c>
      <c r="AF22" s="388"/>
      <c r="AG22" s="427"/>
    </row>
    <row r="23" spans="1:33" ht="15.75" thickBot="1">
      <c r="A23" s="267"/>
      <c r="B23" s="264"/>
      <c r="C23" s="27" t="str">
        <f>IF(VLOOKUP(B20,PROPONENTES!$B$10:$N$39,8,FALSE)="","",VLOOKUP(B20,PROPONENTES!$B$10:$N$39,8,FALSE))</f>
        <v/>
      </c>
      <c r="D23" s="40">
        <f>VLOOKUP(B20,PROPONENTES!$B$10:$N$39,9,FALSE)</f>
        <v>0</v>
      </c>
      <c r="E23" s="114"/>
      <c r="F23" s="114"/>
      <c r="G23" s="123" t="str">
        <f>+'2'!E18</f>
        <v/>
      </c>
      <c r="H23" s="124" t="str">
        <f>IF(C23="","",IF(G23&gt;='2'!$J$15*0.4,"SI","NO"))</f>
        <v/>
      </c>
      <c r="I23" s="126">
        <f t="shared" si="6"/>
        <v>0</v>
      </c>
      <c r="J23" s="264"/>
      <c r="K23" s="398"/>
      <c r="L23" s="401"/>
      <c r="M23" s="398"/>
      <c r="N23" s="401"/>
      <c r="O23" s="114"/>
      <c r="P23" s="27" t="str">
        <f t="shared" si="0"/>
        <v>0</v>
      </c>
      <c r="Q23" s="401"/>
      <c r="R23" s="398"/>
      <c r="S23" s="401"/>
      <c r="T23" s="391"/>
      <c r="U23" s="116"/>
      <c r="V23" s="270"/>
      <c r="W23" s="116"/>
      <c r="X23" s="116"/>
      <c r="Y23" s="116"/>
      <c r="Z23" s="116"/>
      <c r="AA23" s="175">
        <f t="shared" si="2"/>
        <v>0</v>
      </c>
      <c r="AB23" s="270"/>
      <c r="AC23" s="116"/>
      <c r="AD23" s="116"/>
      <c r="AE23" s="176">
        <f t="shared" si="3"/>
        <v>0</v>
      </c>
      <c r="AF23" s="388"/>
      <c r="AG23" s="427"/>
    </row>
    <row r="24" spans="1:33" ht="15.75" thickBot="1">
      <c r="A24" s="268"/>
      <c r="B24" s="265"/>
      <c r="C24" s="52" t="str">
        <f>IF(VLOOKUP(B20,PROPONENTES!$B$10:$N$39,10,FALSE)="","",VLOOKUP(B20,PROPONENTES!$B$10:$N$39,10,FALSE))</f>
        <v/>
      </c>
      <c r="D24" s="53">
        <f>VLOOKUP(B20,PROPONENTES!$B$10:$N$39,11,FALSE)</f>
        <v>0</v>
      </c>
      <c r="E24" s="118"/>
      <c r="F24" s="118"/>
      <c r="G24" s="123" t="str">
        <f>+'2'!E19</f>
        <v/>
      </c>
      <c r="H24" s="124" t="str">
        <f>IF(C24="","",IF(G24&gt;='2'!$J$15*0.4,"SI","NO"))</f>
        <v/>
      </c>
      <c r="I24" s="128">
        <f t="shared" si="6"/>
        <v>0</v>
      </c>
      <c r="J24" s="265"/>
      <c r="K24" s="399"/>
      <c r="L24" s="402"/>
      <c r="M24" s="399"/>
      <c r="N24" s="402"/>
      <c r="O24" s="118"/>
      <c r="P24" s="52" t="str">
        <f t="shared" si="0"/>
        <v>0</v>
      </c>
      <c r="Q24" s="402"/>
      <c r="R24" s="399"/>
      <c r="S24" s="402"/>
      <c r="T24" s="392"/>
      <c r="U24" s="149"/>
      <c r="V24" s="271"/>
      <c r="W24" s="149"/>
      <c r="X24" s="149"/>
      <c r="Y24" s="149"/>
      <c r="Z24" s="149"/>
      <c r="AA24" s="175">
        <f t="shared" si="2"/>
        <v>0</v>
      </c>
      <c r="AB24" s="271"/>
      <c r="AC24" s="149"/>
      <c r="AD24" s="149"/>
      <c r="AE24" s="177">
        <f t="shared" si="3"/>
        <v>0</v>
      </c>
      <c r="AF24" s="389"/>
      <c r="AG24" s="428"/>
    </row>
    <row r="25" spans="1:33" ht="26.25" customHeight="1" thickBot="1">
      <c r="A25" s="266">
        <v>3</v>
      </c>
      <c r="B25" s="263" t="str">
        <f>+PROPONENTES!B12</f>
        <v xml:space="preserve"> UNIÓN TEMPORAL SUEÑOS WM</v>
      </c>
      <c r="C25" s="47" t="str">
        <f>IF(VLOOKUP(B25,PROPONENTES!$B$10:$N$39,2,FALSE)="","",VLOOKUP(B25,PROPONENTES!$B$10:$N$39,2,FALSE))</f>
        <v xml:space="preserve"> Inversiones Para Desarrollo Empresarial S.A.S</v>
      </c>
      <c r="D25" s="48">
        <f>VLOOKUP(B25,PROPONENTES!$B$10:$N$39,3,FALSE)</f>
        <v>0.5</v>
      </c>
      <c r="E25" s="109" t="s">
        <v>29</v>
      </c>
      <c r="F25" s="109" t="s">
        <v>29</v>
      </c>
      <c r="G25" s="123">
        <f>+'3'!E15</f>
        <v>0</v>
      </c>
      <c r="H25" s="124" t="str">
        <f>IF(C25="","",IF(G25&gt;='3'!$J$15*0.4,"SI","NO"))</f>
        <v>NO</v>
      </c>
      <c r="I25" s="47">
        <f t="shared" si="6"/>
        <v>0</v>
      </c>
      <c r="J25" s="263">
        <f t="shared" ref="J25" si="7">IF((I25+I26+I27+I28+I29)&gt;=1,1,0)</f>
        <v>0</v>
      </c>
      <c r="K25" s="397" t="s">
        <v>31</v>
      </c>
      <c r="L25" s="400">
        <f t="shared" ref="L25" si="8">IF(K25="CUMPLE",5,0)</f>
        <v>5</v>
      </c>
      <c r="M25" s="397" t="s">
        <v>31</v>
      </c>
      <c r="N25" s="400">
        <f t="shared" ref="N25" si="9">IF(M25="CUMPLE",5,0)</f>
        <v>5</v>
      </c>
      <c r="O25" s="113" t="s">
        <v>34</v>
      </c>
      <c r="P25" s="47">
        <f t="shared" si="0"/>
        <v>0</v>
      </c>
      <c r="Q25" s="400">
        <f t="shared" ref="Q25" si="10">+L25+N25+IF(SUM(P25:P29)&gt;=1,-1,0)</f>
        <v>10</v>
      </c>
      <c r="R25" s="397" t="s">
        <v>31</v>
      </c>
      <c r="S25" s="400">
        <f t="shared" ref="S25" si="11">IF(R25="CUMPLE",9,0)</f>
        <v>9</v>
      </c>
      <c r="T25" s="390" t="s">
        <v>31</v>
      </c>
      <c r="U25" s="111" t="s">
        <v>31</v>
      </c>
      <c r="V25" s="393">
        <f t="shared" ref="V25" si="12">IF(AND(T25="",U25="",U26="",U27="",U28="",U29=""),"",IF(AND(T25="CUMPLE",U25="",U26="",U27="",U28="",U29=""),"",IF(AND(T25="CUMPLE",OR(U25="CUMPLE",U25=""),OR(U26="CUMPLE",U26=""),OR(U27="CUMPLE",U27=""),OR(U28="CUMPLE",U28=""),OR(U29="CUMPLE",U29="")),20,0)))</f>
        <v>20</v>
      </c>
      <c r="W25" s="111" t="s">
        <v>31</v>
      </c>
      <c r="X25" s="111" t="s">
        <v>31</v>
      </c>
      <c r="Y25" s="111" t="s">
        <v>31</v>
      </c>
      <c r="Z25" s="111" t="s">
        <v>31</v>
      </c>
      <c r="AA25" s="175">
        <f t="shared" si="2"/>
        <v>0.25</v>
      </c>
      <c r="AB25" s="393">
        <f t="shared" ref="AB25" si="13">IF((AA25+AA26+AA27+AA28+AA29)&gt;=0.25,0.25,0)</f>
        <v>0.25</v>
      </c>
      <c r="AC25" s="111" t="s">
        <v>31</v>
      </c>
      <c r="AD25" s="111" t="s">
        <v>31</v>
      </c>
      <c r="AE25" s="175">
        <f t="shared" si="3"/>
        <v>0.25</v>
      </c>
      <c r="AF25" s="387">
        <f t="shared" ref="AF25" si="14">IF((AE25+AE26+AE27+AE28+AE29)&gt;=0.25,0.25,0)</f>
        <v>0.25</v>
      </c>
      <c r="AG25" s="406"/>
    </row>
    <row r="26" spans="1:33" ht="15" customHeight="1" thickBot="1">
      <c r="A26" s="267"/>
      <c r="B26" s="264"/>
      <c r="C26" s="27" t="str">
        <f>IF(VLOOKUP(B25,PROPONENTES!$B$10:$N$39,4,FALSE)="","",VLOOKUP(B25,PROPONENTES!$B$10:$N$39,4,FALSE))</f>
        <v xml:space="preserve"> Fundación WR Tejido Social</v>
      </c>
      <c r="D26" s="40">
        <f>VLOOKUP(B25,PROPONENTES!$B$10:$N$39,5,FALSE)</f>
        <v>0.5</v>
      </c>
      <c r="E26" s="114" t="s">
        <v>27</v>
      </c>
      <c r="F26" s="114" t="s">
        <v>27</v>
      </c>
      <c r="G26" s="123">
        <f>+'3'!E16</f>
        <v>0</v>
      </c>
      <c r="H26" s="124" t="str">
        <f>IF(C26="","",IF(G26&gt;='3'!$J$15*0.4,"SI","NO"))</f>
        <v>NO</v>
      </c>
      <c r="I26" s="27">
        <f t="shared" si="6"/>
        <v>0</v>
      </c>
      <c r="J26" s="264"/>
      <c r="K26" s="398"/>
      <c r="L26" s="401"/>
      <c r="M26" s="398"/>
      <c r="N26" s="401"/>
      <c r="O26" s="115" t="s">
        <v>34</v>
      </c>
      <c r="P26" s="27">
        <f t="shared" si="0"/>
        <v>0</v>
      </c>
      <c r="Q26" s="401"/>
      <c r="R26" s="398"/>
      <c r="S26" s="401"/>
      <c r="T26" s="391"/>
      <c r="U26" s="116" t="s">
        <v>31</v>
      </c>
      <c r="V26" s="270"/>
      <c r="W26" s="116" t="s">
        <v>31</v>
      </c>
      <c r="X26" s="116" t="s">
        <v>31</v>
      </c>
      <c r="Y26" s="116" t="s">
        <v>31</v>
      </c>
      <c r="Z26" s="116" t="s">
        <v>31</v>
      </c>
      <c r="AA26" s="175">
        <f t="shared" si="2"/>
        <v>0.25</v>
      </c>
      <c r="AB26" s="270"/>
      <c r="AC26" s="116" t="s">
        <v>31</v>
      </c>
      <c r="AD26" s="116" t="s">
        <v>31</v>
      </c>
      <c r="AE26" s="176">
        <f t="shared" si="3"/>
        <v>0.25</v>
      </c>
      <c r="AF26" s="388"/>
      <c r="AG26" s="395"/>
    </row>
    <row r="27" spans="1:33" ht="15.75" thickBot="1">
      <c r="A27" s="267"/>
      <c r="B27" s="264"/>
      <c r="C27" s="27" t="str">
        <f>IF(VLOOKUP(B25,PROPONENTES!$B$10:$N$39,6,FALSE)="","",VLOOKUP(B25,PROPONENTES!$B$10:$N$39,6,FALSE))</f>
        <v/>
      </c>
      <c r="D27" s="40">
        <f>VLOOKUP(B25,PROPONENTES!$B$10:$N$39,7,FALSE)</f>
        <v>0</v>
      </c>
      <c r="E27" s="114"/>
      <c r="F27" s="114"/>
      <c r="G27" s="123" t="str">
        <f>+'3'!E17</f>
        <v/>
      </c>
      <c r="H27" s="124" t="str">
        <f>IF(C27="","",IF(G27&gt;='3'!$J$15*0.4,"SI","NO"))</f>
        <v/>
      </c>
      <c r="I27" s="27">
        <f t="shared" si="6"/>
        <v>0</v>
      </c>
      <c r="J27" s="264"/>
      <c r="K27" s="398"/>
      <c r="L27" s="401"/>
      <c r="M27" s="398"/>
      <c r="N27" s="401"/>
      <c r="O27" s="115"/>
      <c r="P27" s="27" t="str">
        <f t="shared" si="0"/>
        <v>0</v>
      </c>
      <c r="Q27" s="401"/>
      <c r="R27" s="398"/>
      <c r="S27" s="401"/>
      <c r="T27" s="391"/>
      <c r="U27" s="116"/>
      <c r="V27" s="270"/>
      <c r="W27" s="116"/>
      <c r="X27" s="116"/>
      <c r="Y27" s="116"/>
      <c r="Z27" s="116"/>
      <c r="AA27" s="175">
        <f t="shared" si="2"/>
        <v>0</v>
      </c>
      <c r="AB27" s="270"/>
      <c r="AC27" s="116"/>
      <c r="AD27" s="116"/>
      <c r="AE27" s="176">
        <f t="shared" si="3"/>
        <v>0</v>
      </c>
      <c r="AF27" s="388"/>
      <c r="AG27" s="395"/>
    </row>
    <row r="28" spans="1:33" ht="15.75" thickBot="1">
      <c r="A28" s="267"/>
      <c r="B28" s="264"/>
      <c r="C28" s="27" t="str">
        <f>IF(VLOOKUP(B25,PROPONENTES!$B$10:$N$39,8,FALSE)="","",VLOOKUP(B25,PROPONENTES!$B$10:$N$39,8,FALSE))</f>
        <v/>
      </c>
      <c r="D28" s="40">
        <f>VLOOKUP(B25,PROPONENTES!$B$10:$N$39,9,FALSE)</f>
        <v>0</v>
      </c>
      <c r="E28" s="114"/>
      <c r="F28" s="114"/>
      <c r="G28" s="123" t="str">
        <f>+'3'!E18</f>
        <v/>
      </c>
      <c r="H28" s="124" t="str">
        <f>IF(C28="","",IF(G28&gt;='3'!$J$15*0.4,"SI","NO"))</f>
        <v/>
      </c>
      <c r="I28" s="126">
        <f t="shared" si="6"/>
        <v>0</v>
      </c>
      <c r="J28" s="264"/>
      <c r="K28" s="398"/>
      <c r="L28" s="401"/>
      <c r="M28" s="398"/>
      <c r="N28" s="401"/>
      <c r="O28" s="114"/>
      <c r="P28" s="27" t="str">
        <f t="shared" si="0"/>
        <v>0</v>
      </c>
      <c r="Q28" s="401"/>
      <c r="R28" s="398"/>
      <c r="S28" s="401"/>
      <c r="T28" s="391"/>
      <c r="U28" s="116"/>
      <c r="V28" s="270"/>
      <c r="W28" s="116"/>
      <c r="X28" s="116"/>
      <c r="Y28" s="116"/>
      <c r="Z28" s="116"/>
      <c r="AA28" s="175">
        <f t="shared" si="2"/>
        <v>0</v>
      </c>
      <c r="AB28" s="270"/>
      <c r="AC28" s="116"/>
      <c r="AD28" s="116"/>
      <c r="AE28" s="176">
        <f t="shared" si="3"/>
        <v>0</v>
      </c>
      <c r="AF28" s="388"/>
      <c r="AG28" s="395"/>
    </row>
    <row r="29" spans="1:33" ht="15.75" thickBot="1">
      <c r="A29" s="268"/>
      <c r="B29" s="265"/>
      <c r="C29" s="52" t="str">
        <f>IF(VLOOKUP(B25,PROPONENTES!$B$10:$N$39,10,FALSE)="","",VLOOKUP(B25,PROPONENTES!$B$10:$N$39,10,FALSE))</f>
        <v/>
      </c>
      <c r="D29" s="53">
        <f>VLOOKUP(B25,PROPONENTES!$B$10:$N$39,11,FALSE)</f>
        <v>0</v>
      </c>
      <c r="E29" s="118"/>
      <c r="F29" s="118"/>
      <c r="G29" s="123" t="str">
        <f>+'3'!E19</f>
        <v/>
      </c>
      <c r="H29" s="124" t="str">
        <f>IF(C29="","",IF(G29&gt;='3'!$J$15*0.4,"SI","NO"))</f>
        <v/>
      </c>
      <c r="I29" s="128">
        <f t="shared" si="6"/>
        <v>0</v>
      </c>
      <c r="J29" s="265"/>
      <c r="K29" s="399"/>
      <c r="L29" s="402"/>
      <c r="M29" s="399"/>
      <c r="N29" s="402"/>
      <c r="O29" s="118"/>
      <c r="P29" s="52" t="str">
        <f t="shared" si="0"/>
        <v>0</v>
      </c>
      <c r="Q29" s="402"/>
      <c r="R29" s="399"/>
      <c r="S29" s="402"/>
      <c r="T29" s="392"/>
      <c r="U29" s="149"/>
      <c r="V29" s="271"/>
      <c r="W29" s="149"/>
      <c r="X29" s="149"/>
      <c r="Y29" s="149"/>
      <c r="Z29" s="149"/>
      <c r="AA29" s="175">
        <f t="shared" si="2"/>
        <v>0</v>
      </c>
      <c r="AB29" s="271"/>
      <c r="AC29" s="149"/>
      <c r="AD29" s="149"/>
      <c r="AE29" s="177">
        <f t="shared" si="3"/>
        <v>0</v>
      </c>
      <c r="AF29" s="389"/>
      <c r="AG29" s="396"/>
    </row>
    <row r="30" spans="1:33" ht="15" customHeight="1" thickBot="1">
      <c r="A30" s="266">
        <v>4</v>
      </c>
      <c r="B30" s="263" t="str">
        <f>+PROPONENTES!B13</f>
        <v xml:space="preserve"> UNION TEMPORAL PROMOVER Y EMPRENDER EUFESS 2024</v>
      </c>
      <c r="C30" s="47" t="str">
        <f>IF(VLOOKUP(B30,PROPONENTES!$B$10:$N$39,2,FALSE)="","",VLOOKUP(B30,PROPONENTES!$B$10:$N$39,2,FALSE))</f>
        <v xml:space="preserve"> FUNDACIÓN DE EDUCACIÓN SUPERIOR SAN JOSÉ – FESSANJOSÉ</v>
      </c>
      <c r="D30" s="48">
        <f>VLOOKUP(B30,PROPONENTES!$B$10:$N$39,3,FALSE)</f>
        <v>0.5</v>
      </c>
      <c r="E30" s="109" t="s">
        <v>27</v>
      </c>
      <c r="F30" s="109" t="s">
        <v>27</v>
      </c>
      <c r="G30" s="123">
        <f>+'4'!E15</f>
        <v>0</v>
      </c>
      <c r="H30" s="124" t="str">
        <f>IF(C30="","",IF(G30&gt;='14'!$J$15*0.4,"SI","NO"))</f>
        <v>NO</v>
      </c>
      <c r="I30" s="47">
        <f t="shared" si="6"/>
        <v>0</v>
      </c>
      <c r="J30" s="263">
        <f t="shared" ref="J30" si="15">IF((I30+I31+I32+I33+I34)&gt;=1,1,0)</f>
        <v>0</v>
      </c>
      <c r="K30" s="397" t="s">
        <v>31</v>
      </c>
      <c r="L30" s="400">
        <f t="shared" ref="L30" si="16">IF(K30="CUMPLE",5,0)</f>
        <v>5</v>
      </c>
      <c r="M30" s="397" t="s">
        <v>31</v>
      </c>
      <c r="N30" s="400">
        <f t="shared" ref="N30:N90" si="17">IF(M30="CUMPLE",5,0)</f>
        <v>5</v>
      </c>
      <c r="O30" s="113" t="s">
        <v>34</v>
      </c>
      <c r="P30" s="47">
        <f t="shared" si="0"/>
        <v>0</v>
      </c>
      <c r="Q30" s="400">
        <f t="shared" ref="Q30" si="18">+L30+N30+IF(SUM(P30:P34)&gt;=1,-1,0)</f>
        <v>10</v>
      </c>
      <c r="R30" s="397" t="s">
        <v>31</v>
      </c>
      <c r="S30" s="400">
        <f t="shared" ref="S30" si="19">IF(R30="CUMPLE",9,0)</f>
        <v>9</v>
      </c>
      <c r="T30" s="390" t="s">
        <v>31</v>
      </c>
      <c r="U30" s="111" t="s">
        <v>31</v>
      </c>
      <c r="V30" s="393">
        <f t="shared" ref="V30" si="20">IF(AND(T30="",U30="",U31="",U32="",U33="",U34=""),"",IF(AND(T30="CUMPLE",U30="",U31="",U32="",U33="",U34=""),"",IF(AND(T30="CUMPLE",OR(U30="CUMPLE",U30=""),OR(U31="CUMPLE",U31=""),OR(U32="CUMPLE",U32=""),OR(U33="CUMPLE",U33=""),OR(U34="CUMPLE",U34="")),20,0)))</f>
        <v>20</v>
      </c>
      <c r="W30" s="111" t="s">
        <v>31</v>
      </c>
      <c r="X30" s="111" t="s">
        <v>31</v>
      </c>
      <c r="Y30" s="111" t="s">
        <v>31</v>
      </c>
      <c r="Z30" s="111" t="s">
        <v>31</v>
      </c>
      <c r="AA30" s="175">
        <f t="shared" si="2"/>
        <v>0.25</v>
      </c>
      <c r="AB30" s="393">
        <f t="shared" ref="AB30" si="21">IF((AA30+AA31+AA32+AA33+AA34)&gt;=0.25,0.25,0)</f>
        <v>0.25</v>
      </c>
      <c r="AC30" s="111" t="s">
        <v>31</v>
      </c>
      <c r="AD30" s="111" t="s">
        <v>31</v>
      </c>
      <c r="AE30" s="175">
        <f t="shared" si="3"/>
        <v>0.25</v>
      </c>
      <c r="AF30" s="387">
        <f t="shared" ref="AF30" si="22">IF((AE30+AE31+AE32+AE33+AE34)&gt;=0.25,0.25,0)</f>
        <v>0.25</v>
      </c>
      <c r="AG30" s="406"/>
    </row>
    <row r="31" spans="1:33" ht="15.75" thickBot="1">
      <c r="A31" s="267"/>
      <c r="B31" s="264"/>
      <c r="C31" s="27" t="str">
        <f>IF(VLOOKUP(B30,PROPONENTES!$B$10:$N$39,4,FALSE)="","",VLOOKUP(B30,PROPONENTES!$B$10:$N$39,4,FALSE))</f>
        <v xml:space="preserve"> EUONIA SAS</v>
      </c>
      <c r="D31" s="40">
        <f>VLOOKUP(B30,PROPONENTES!$B$10:$N$39,5,FALSE)</f>
        <v>0.5</v>
      </c>
      <c r="E31" s="114"/>
      <c r="F31" s="114"/>
      <c r="G31" s="123">
        <f>+'4'!E16</f>
        <v>0</v>
      </c>
      <c r="H31" s="124" t="str">
        <f>IF(C31="","",IF(G31&gt;='14'!$J$15*0.4,"SI","NO"))</f>
        <v>NO</v>
      </c>
      <c r="I31" s="27">
        <f t="shared" si="6"/>
        <v>0</v>
      </c>
      <c r="J31" s="264"/>
      <c r="K31" s="398"/>
      <c r="L31" s="401"/>
      <c r="M31" s="398"/>
      <c r="N31" s="401"/>
      <c r="O31" s="115" t="s">
        <v>34</v>
      </c>
      <c r="P31" s="27">
        <f t="shared" si="0"/>
        <v>0</v>
      </c>
      <c r="Q31" s="401"/>
      <c r="R31" s="398"/>
      <c r="S31" s="401"/>
      <c r="T31" s="391"/>
      <c r="U31" s="116"/>
      <c r="V31" s="270"/>
      <c r="W31" s="116"/>
      <c r="X31" s="116"/>
      <c r="Y31" s="116"/>
      <c r="Z31" s="116"/>
      <c r="AA31" s="175">
        <f t="shared" si="2"/>
        <v>0</v>
      </c>
      <c r="AB31" s="270"/>
      <c r="AC31" s="116"/>
      <c r="AD31" s="116"/>
      <c r="AE31" s="176">
        <f t="shared" si="3"/>
        <v>0</v>
      </c>
      <c r="AF31" s="388"/>
      <c r="AG31" s="395"/>
    </row>
    <row r="32" spans="1:33" ht="15.75" thickBot="1">
      <c r="A32" s="267"/>
      <c r="B32" s="264"/>
      <c r="C32" s="27" t="str">
        <f>IF(VLOOKUP(B30,PROPONENTES!$B$10:$N$39,6,FALSE)="","",VLOOKUP(B30,PROPONENTES!$B$10:$N$39,6,FALSE))</f>
        <v/>
      </c>
      <c r="D32" s="40">
        <f>VLOOKUP(B30,PROPONENTES!$B$10:$N$39,7,FALSE)</f>
        <v>0</v>
      </c>
      <c r="E32" s="114"/>
      <c r="F32" s="114"/>
      <c r="G32" s="123" t="str">
        <f>+'4'!E17</f>
        <v/>
      </c>
      <c r="H32" s="124" t="str">
        <f>IF(C32="","",IF(G32&gt;='14'!$J$15*0.4,"SI","NO"))</f>
        <v/>
      </c>
      <c r="I32" s="27">
        <f t="shared" si="6"/>
        <v>0</v>
      </c>
      <c r="J32" s="264"/>
      <c r="K32" s="398"/>
      <c r="L32" s="401"/>
      <c r="M32" s="398"/>
      <c r="N32" s="401"/>
      <c r="O32" s="115"/>
      <c r="P32" s="27" t="str">
        <f t="shared" si="0"/>
        <v>0</v>
      </c>
      <c r="Q32" s="401"/>
      <c r="R32" s="398"/>
      <c r="S32" s="401"/>
      <c r="T32" s="391"/>
      <c r="U32" s="116"/>
      <c r="V32" s="270"/>
      <c r="W32" s="116"/>
      <c r="X32" s="116"/>
      <c r="Y32" s="116"/>
      <c r="Z32" s="116"/>
      <c r="AA32" s="175">
        <f t="shared" si="2"/>
        <v>0</v>
      </c>
      <c r="AB32" s="270"/>
      <c r="AC32" s="116"/>
      <c r="AD32" s="116"/>
      <c r="AE32" s="176">
        <f t="shared" si="3"/>
        <v>0</v>
      </c>
      <c r="AF32" s="388"/>
      <c r="AG32" s="395"/>
    </row>
    <row r="33" spans="1:33" ht="15.75" thickBot="1">
      <c r="A33" s="267"/>
      <c r="B33" s="264"/>
      <c r="C33" s="27" t="str">
        <f>IF(VLOOKUP(B30,PROPONENTES!$B$10:$N$39,8,FALSE)="","",VLOOKUP(B30,PROPONENTES!$B$10:$N$39,8,FALSE))</f>
        <v/>
      </c>
      <c r="D33" s="40">
        <f>VLOOKUP(B30,PROPONENTES!$B$10:$N$39,9,FALSE)</f>
        <v>0</v>
      </c>
      <c r="E33" s="114"/>
      <c r="F33" s="114"/>
      <c r="G33" s="123" t="str">
        <f>+'4'!E18</f>
        <v/>
      </c>
      <c r="H33" s="124" t="str">
        <f>IF(C33="","",IF(G33&gt;='14'!$J$15*0.4,"SI","NO"))</f>
        <v/>
      </c>
      <c r="I33" s="126">
        <f t="shared" si="6"/>
        <v>0</v>
      </c>
      <c r="J33" s="264"/>
      <c r="K33" s="398"/>
      <c r="L33" s="401"/>
      <c r="M33" s="398"/>
      <c r="N33" s="401"/>
      <c r="O33" s="114"/>
      <c r="P33" s="27" t="str">
        <f t="shared" si="0"/>
        <v>0</v>
      </c>
      <c r="Q33" s="401"/>
      <c r="R33" s="398"/>
      <c r="S33" s="401"/>
      <c r="T33" s="391"/>
      <c r="U33" s="116"/>
      <c r="V33" s="270"/>
      <c r="W33" s="116"/>
      <c r="X33" s="116"/>
      <c r="Y33" s="116"/>
      <c r="Z33" s="116"/>
      <c r="AA33" s="175">
        <f t="shared" si="2"/>
        <v>0</v>
      </c>
      <c r="AB33" s="270"/>
      <c r="AC33" s="116"/>
      <c r="AD33" s="116"/>
      <c r="AE33" s="176">
        <f t="shared" si="3"/>
        <v>0</v>
      </c>
      <c r="AF33" s="388"/>
      <c r="AG33" s="395"/>
    </row>
    <row r="34" spans="1:33" ht="15.75" thickBot="1">
      <c r="A34" s="268"/>
      <c r="B34" s="265"/>
      <c r="C34" s="52" t="str">
        <f>IF(VLOOKUP(B30,PROPONENTES!$B$10:$N$39,10,FALSE)="","",VLOOKUP(B30,PROPONENTES!$B$10:$N$39,10,FALSE))</f>
        <v/>
      </c>
      <c r="D34" s="53">
        <f>VLOOKUP(B30,PROPONENTES!$B$10:$N$39,11,FALSE)</f>
        <v>0</v>
      </c>
      <c r="E34" s="118"/>
      <c r="F34" s="118"/>
      <c r="G34" s="123" t="str">
        <f>+'4'!E19</f>
        <v/>
      </c>
      <c r="H34" s="124" t="str">
        <f>IF(C34="","",IF(G34&gt;='14'!$J$15*0.4,"SI","NO"))</f>
        <v/>
      </c>
      <c r="I34" s="128">
        <f t="shared" si="6"/>
        <v>0</v>
      </c>
      <c r="J34" s="265"/>
      <c r="K34" s="399"/>
      <c r="L34" s="402"/>
      <c r="M34" s="399"/>
      <c r="N34" s="402"/>
      <c r="O34" s="118"/>
      <c r="P34" s="52" t="str">
        <f t="shared" si="0"/>
        <v>0</v>
      </c>
      <c r="Q34" s="402"/>
      <c r="R34" s="399"/>
      <c r="S34" s="402"/>
      <c r="T34" s="392"/>
      <c r="U34" s="149"/>
      <c r="V34" s="271"/>
      <c r="W34" s="149"/>
      <c r="X34" s="149"/>
      <c r="Y34" s="149"/>
      <c r="Z34" s="149"/>
      <c r="AA34" s="175">
        <f t="shared" si="2"/>
        <v>0</v>
      </c>
      <c r="AB34" s="271"/>
      <c r="AC34" s="149"/>
      <c r="AD34" s="149"/>
      <c r="AE34" s="177">
        <f t="shared" si="3"/>
        <v>0</v>
      </c>
      <c r="AF34" s="389"/>
      <c r="AG34" s="396"/>
    </row>
    <row r="35" spans="1:33" ht="60.75" thickBot="1">
      <c r="A35" s="266">
        <v>5</v>
      </c>
      <c r="B35" s="263" t="str">
        <f>+PROPONENTES!B14</f>
        <v xml:space="preserve"> UNION TEMPORAL PRACTICAS</v>
      </c>
      <c r="C35" s="47" t="str">
        <f>IF(VLOOKUP(B35,PROPONENTES!$B$10:$N$39,2,FALSE)="","",VLOOKUP(B35,PROPONENTES!$B$10:$N$39,2,FALSE))</f>
        <v xml:space="preserve">  ASOCIACION COLOMBIANA DE LAS MICRO PEQUEÑAS Y MEDIANAS INDUSTRIAS ACOPI - CALDAS</v>
      </c>
      <c r="D35" s="48">
        <f>VLOOKUP(B35,PROPONENTES!$B$10:$N$39,3,FALSE)</f>
        <v>0.09</v>
      </c>
      <c r="E35" s="109" t="s">
        <v>27</v>
      </c>
      <c r="F35" s="109" t="s">
        <v>27</v>
      </c>
      <c r="G35" s="123">
        <f>+'5'!E15</f>
        <v>0</v>
      </c>
      <c r="H35" s="124" t="str">
        <f>IF(C35="","",IF(G35&gt;='5'!$J$15*0.4,"SI","NO"))</f>
        <v>NO</v>
      </c>
      <c r="I35" s="47">
        <f t="shared" si="6"/>
        <v>0</v>
      </c>
      <c r="J35" s="263">
        <f t="shared" ref="J35" si="23">IF((I35+I36+I37+I38+I39)&gt;=1,1,0)</f>
        <v>0</v>
      </c>
      <c r="K35" s="397" t="s">
        <v>31</v>
      </c>
      <c r="L35" s="400">
        <f t="shared" ref="L35" si="24">IF(K35="CUMPLE",5,0)</f>
        <v>5</v>
      </c>
      <c r="M35" s="397" t="s">
        <v>31</v>
      </c>
      <c r="N35" s="400">
        <f t="shared" si="17"/>
        <v>5</v>
      </c>
      <c r="O35" s="113" t="s">
        <v>34</v>
      </c>
      <c r="P35" s="47">
        <f t="shared" si="0"/>
        <v>0</v>
      </c>
      <c r="Q35" s="400">
        <f t="shared" ref="Q35" si="25">+L35+N35+IF(SUM(P35:P39)&gt;=1,-1,0)</f>
        <v>10</v>
      </c>
      <c r="R35" s="397" t="s">
        <v>31</v>
      </c>
      <c r="S35" s="400">
        <f t="shared" ref="S35" si="26">IF(R35="CUMPLE",9,0)</f>
        <v>9</v>
      </c>
      <c r="T35" s="390" t="s">
        <v>31</v>
      </c>
      <c r="U35" s="111" t="s">
        <v>31</v>
      </c>
      <c r="V35" s="393">
        <f t="shared" ref="V35" si="27">IF(AND(T35="",U35="",U36="",U37="",U38="",U39=""),"",IF(AND(T35="CUMPLE",U35="",U36="",U37="",U38="",U39=""),"",IF(AND(T35="CUMPLE",OR(U35="CUMPLE",U35=""),OR(U36="CUMPLE",U36=""),OR(U37="CUMPLE",U37=""),OR(U38="CUMPLE",U38=""),OR(U39="CUMPLE",U39="")),20,0)))</f>
        <v>20</v>
      </c>
      <c r="W35" s="111"/>
      <c r="X35" s="111"/>
      <c r="Y35" s="111"/>
      <c r="Z35" s="111"/>
      <c r="AA35" s="175">
        <f t="shared" si="2"/>
        <v>0</v>
      </c>
      <c r="AB35" s="393">
        <f t="shared" ref="AB35" si="28">IF((AA35+AA36+AA37+AA38+AA39)&gt;=0.25,0.25,0)</f>
        <v>0</v>
      </c>
      <c r="AC35" s="111" t="s">
        <v>31</v>
      </c>
      <c r="AD35" s="111" t="s">
        <v>31</v>
      </c>
      <c r="AE35" s="175">
        <f t="shared" si="3"/>
        <v>0</v>
      </c>
      <c r="AF35" s="387">
        <f t="shared" ref="AF35" si="29">IF((AE35+AE36+AE37+AE38+AE39)&gt;=0.25,0.25,0)</f>
        <v>0.25</v>
      </c>
      <c r="AG35" s="394"/>
    </row>
    <row r="36" spans="1:33" ht="30.75" customHeight="1" thickBot="1">
      <c r="A36" s="267"/>
      <c r="B36" s="264"/>
      <c r="C36" s="27" t="str">
        <f>IF(VLOOKUP(B35,PROPONENTES!$B$10:$N$39,4,FALSE)="","",VLOOKUP(B35,PROPONENTES!$B$10:$N$39,4,FALSE))</f>
        <v xml:space="preserve">  ASOCIACIÓN COLOMBIANA DE LAS MICRO, PEQUEÑAS Y MEDIANAS EMPRESAS DE ANTIOQUIA</v>
      </c>
      <c r="D36" s="40">
        <f>VLOOKUP(B35,PROPONENTES!$B$10:$N$39,5,FALSE)</f>
        <v>0.91</v>
      </c>
      <c r="E36" s="114"/>
      <c r="F36" s="114"/>
      <c r="G36" s="123">
        <f>+'5'!E16</f>
        <v>0</v>
      </c>
      <c r="H36" s="124" t="str">
        <f>IF(C36="","",IF(G36&gt;='5'!$J$15*0.4,"SI","NO"))</f>
        <v>NO</v>
      </c>
      <c r="I36" s="27">
        <f t="shared" si="6"/>
        <v>0</v>
      </c>
      <c r="J36" s="264"/>
      <c r="K36" s="398"/>
      <c r="L36" s="401"/>
      <c r="M36" s="398"/>
      <c r="N36" s="401"/>
      <c r="O36" s="115" t="s">
        <v>34</v>
      </c>
      <c r="P36" s="27">
        <f t="shared" si="0"/>
        <v>0</v>
      </c>
      <c r="Q36" s="401"/>
      <c r="R36" s="398"/>
      <c r="S36" s="401"/>
      <c r="T36" s="391"/>
      <c r="U36" s="116" t="s">
        <v>31</v>
      </c>
      <c r="V36" s="270"/>
      <c r="W36" s="116"/>
      <c r="X36" s="116"/>
      <c r="Y36" s="116"/>
      <c r="Z36" s="116"/>
      <c r="AA36" s="175">
        <f t="shared" si="2"/>
        <v>0</v>
      </c>
      <c r="AB36" s="270"/>
      <c r="AC36" s="116" t="s">
        <v>31</v>
      </c>
      <c r="AD36" s="116" t="s">
        <v>31</v>
      </c>
      <c r="AE36" s="176">
        <f t="shared" si="3"/>
        <v>0.25</v>
      </c>
      <c r="AF36" s="388"/>
      <c r="AG36" s="395"/>
    </row>
    <row r="37" spans="1:33" ht="15.75" thickBot="1">
      <c r="A37" s="267"/>
      <c r="B37" s="264"/>
      <c r="C37" s="27" t="str">
        <f>IF(VLOOKUP(B35,PROPONENTES!$B$10:$N$39,6,FALSE)="","",VLOOKUP(B35,PROPONENTES!$B$10:$N$39,6,FALSE))</f>
        <v/>
      </c>
      <c r="D37" s="40">
        <f>VLOOKUP(B35,PROPONENTES!$B$10:$N$39,7,FALSE)</f>
        <v>0</v>
      </c>
      <c r="E37" s="114"/>
      <c r="F37" s="114"/>
      <c r="G37" s="123" t="str">
        <f>+'5'!E17</f>
        <v/>
      </c>
      <c r="H37" s="124" t="str">
        <f>IF(C37="","",IF(G37&gt;='5'!$J$15*0.4,"SI","NO"))</f>
        <v/>
      </c>
      <c r="I37" s="27">
        <f t="shared" si="6"/>
        <v>0</v>
      </c>
      <c r="J37" s="264"/>
      <c r="K37" s="398"/>
      <c r="L37" s="401"/>
      <c r="M37" s="398"/>
      <c r="N37" s="401"/>
      <c r="O37" s="115" t="s">
        <v>34</v>
      </c>
      <c r="P37" s="27" t="str">
        <f t="shared" si="0"/>
        <v>0</v>
      </c>
      <c r="Q37" s="401"/>
      <c r="R37" s="398"/>
      <c r="S37" s="401"/>
      <c r="T37" s="391"/>
      <c r="U37" s="116" t="s">
        <v>31</v>
      </c>
      <c r="V37" s="270"/>
      <c r="W37" s="116" t="s">
        <v>31</v>
      </c>
      <c r="X37" s="116" t="s">
        <v>30</v>
      </c>
      <c r="Y37" s="116" t="s">
        <v>31</v>
      </c>
      <c r="Z37" s="116" t="s">
        <v>30</v>
      </c>
      <c r="AA37" s="175">
        <f t="shared" si="2"/>
        <v>0</v>
      </c>
      <c r="AB37" s="270"/>
      <c r="AC37" s="116" t="s">
        <v>31</v>
      </c>
      <c r="AD37" s="116" t="s">
        <v>31</v>
      </c>
      <c r="AE37" s="176">
        <f t="shared" si="3"/>
        <v>0</v>
      </c>
      <c r="AF37" s="388"/>
      <c r="AG37" s="395"/>
    </row>
    <row r="38" spans="1:33" ht="15.75" thickBot="1">
      <c r="A38" s="267"/>
      <c r="B38" s="264"/>
      <c r="C38" s="27" t="str">
        <f>IF(VLOOKUP(B35,PROPONENTES!$B$10:$N$39,8,FALSE)="","",VLOOKUP(B35,PROPONENTES!$B$10:$N$39,8,FALSE))</f>
        <v/>
      </c>
      <c r="D38" s="40">
        <f>VLOOKUP(B35,PROPONENTES!$B$10:$N$39,9,FALSE)</f>
        <v>0</v>
      </c>
      <c r="E38" s="114"/>
      <c r="F38" s="114"/>
      <c r="G38" s="123" t="str">
        <f>+'5'!E18</f>
        <v/>
      </c>
      <c r="H38" s="124" t="str">
        <f>IF(C38="","",IF(G38&gt;='5'!$J$15*0.4,"SI","NO"))</f>
        <v/>
      </c>
      <c r="I38" s="126">
        <f t="shared" si="6"/>
        <v>0</v>
      </c>
      <c r="J38" s="264"/>
      <c r="K38" s="398"/>
      <c r="L38" s="401"/>
      <c r="M38" s="398"/>
      <c r="N38" s="401"/>
      <c r="O38" s="114"/>
      <c r="P38" s="27" t="str">
        <f t="shared" si="0"/>
        <v>0</v>
      </c>
      <c r="Q38" s="401"/>
      <c r="R38" s="398"/>
      <c r="S38" s="401"/>
      <c r="T38" s="391"/>
      <c r="U38" s="116"/>
      <c r="V38" s="270"/>
      <c r="W38" s="116"/>
      <c r="X38" s="116"/>
      <c r="Y38" s="116"/>
      <c r="Z38" s="116"/>
      <c r="AA38" s="175">
        <f t="shared" si="2"/>
        <v>0</v>
      </c>
      <c r="AB38" s="270"/>
      <c r="AC38" s="116"/>
      <c r="AD38" s="116"/>
      <c r="AE38" s="176">
        <f t="shared" si="3"/>
        <v>0</v>
      </c>
      <c r="AF38" s="388"/>
      <c r="AG38" s="395"/>
    </row>
    <row r="39" spans="1:33" ht="15.75" thickBot="1">
      <c r="A39" s="268"/>
      <c r="B39" s="265"/>
      <c r="C39" s="52" t="str">
        <f>IF(VLOOKUP(B35,PROPONENTES!$B$10:$N$39,10,FALSE)="","",VLOOKUP(B35,PROPONENTES!$B$10:$N$39,10,FALSE))</f>
        <v/>
      </c>
      <c r="D39" s="53">
        <f>VLOOKUP(B35,PROPONENTES!$B$10:$N$39,11,FALSE)</f>
        <v>0</v>
      </c>
      <c r="E39" s="118"/>
      <c r="F39" s="118"/>
      <c r="G39" s="123" t="str">
        <f>+'5'!E19</f>
        <v/>
      </c>
      <c r="H39" s="124" t="str">
        <f>IF(C39="","",IF(G39&gt;='5'!$J$15*0.4,"SI","NO"))</f>
        <v/>
      </c>
      <c r="I39" s="128">
        <f t="shared" si="6"/>
        <v>0</v>
      </c>
      <c r="J39" s="265"/>
      <c r="K39" s="399"/>
      <c r="L39" s="402"/>
      <c r="M39" s="399"/>
      <c r="N39" s="402"/>
      <c r="O39" s="118"/>
      <c r="P39" s="52" t="str">
        <f t="shared" si="0"/>
        <v>0</v>
      </c>
      <c r="Q39" s="402"/>
      <c r="R39" s="399"/>
      <c r="S39" s="402"/>
      <c r="T39" s="392"/>
      <c r="U39" s="149"/>
      <c r="V39" s="271"/>
      <c r="W39" s="149"/>
      <c r="X39" s="149"/>
      <c r="Y39" s="149"/>
      <c r="Z39" s="149"/>
      <c r="AA39" s="175">
        <f t="shared" si="2"/>
        <v>0</v>
      </c>
      <c r="AB39" s="271"/>
      <c r="AC39" s="149"/>
      <c r="AD39" s="149"/>
      <c r="AE39" s="177">
        <f t="shared" si="3"/>
        <v>0</v>
      </c>
      <c r="AF39" s="389"/>
      <c r="AG39" s="396"/>
    </row>
    <row r="40" spans="1:33" ht="21.75" customHeight="1" thickBot="1">
      <c r="A40" s="266">
        <v>6</v>
      </c>
      <c r="B40" s="263">
        <f>+PROPONENTES!B15</f>
        <v>0</v>
      </c>
      <c r="C40" s="47" t="e">
        <f>IF(VLOOKUP(B40,PROPONENTES!$B$10:$N$39,2,FALSE)="","",VLOOKUP(B40,PROPONENTES!$B$10:$N$39,2,FALSE))</f>
        <v>#N/A</v>
      </c>
      <c r="D40" s="48" t="e">
        <f>VLOOKUP(B40,PROPONENTES!$B$10:$N$39,3,FALSE)</f>
        <v>#N/A</v>
      </c>
      <c r="E40" s="109" t="s">
        <v>27</v>
      </c>
      <c r="F40" s="109" t="s">
        <v>27</v>
      </c>
      <c r="G40" s="123" t="e">
        <f>+'6'!E15</f>
        <v>#N/A</v>
      </c>
      <c r="H40" s="124" t="e">
        <f>IF(C40="","",IF(G40&gt;='6'!$J$15*0.4,"SI","NO"))</f>
        <v>#N/A</v>
      </c>
      <c r="I40" s="47" t="e">
        <f t="shared" si="6"/>
        <v>#N/A</v>
      </c>
      <c r="J40" s="263" t="e">
        <f t="shared" ref="J40" si="30">IF((I40+I41+I42+I43+I44)&gt;=1,1,0)</f>
        <v>#N/A</v>
      </c>
      <c r="K40" s="397" t="s">
        <v>31</v>
      </c>
      <c r="L40" s="400">
        <f t="shared" ref="L40" si="31">IF(K40="CUMPLE",5,0)</f>
        <v>5</v>
      </c>
      <c r="M40" s="397" t="s">
        <v>31</v>
      </c>
      <c r="N40" s="400">
        <f t="shared" si="17"/>
        <v>5</v>
      </c>
      <c r="O40" s="113" t="s">
        <v>34</v>
      </c>
      <c r="P40" s="47" t="e">
        <f t="shared" si="0"/>
        <v>#N/A</v>
      </c>
      <c r="Q40" s="400" t="e">
        <f t="shared" ref="Q40" si="32">+L40+N40+IF(SUM(P40:P44)&gt;=1,-1,0)</f>
        <v>#N/A</v>
      </c>
      <c r="R40" s="397" t="s">
        <v>31</v>
      </c>
      <c r="S40" s="400">
        <f t="shared" ref="S40" si="33">IF(R40="CUMPLE",9,0)</f>
        <v>9</v>
      </c>
      <c r="T40" s="390" t="s">
        <v>31</v>
      </c>
      <c r="U40" s="111" t="s">
        <v>31</v>
      </c>
      <c r="V40" s="393">
        <f t="shared" ref="V40" si="34">IF(AND(T40="",U40="",U41="",U42="",U43="",U44=""),"",IF(AND(T40="CUMPLE",U40="",U41="",U42="",U43="",U44=""),"",IF(AND(T40="CUMPLE",OR(U40="CUMPLE",U40=""),OR(U41="CUMPLE",U41=""),OR(U42="CUMPLE",U42=""),OR(U43="CUMPLE",U43=""),OR(U44="CUMPLE",U44="")),20,0)))</f>
        <v>20</v>
      </c>
      <c r="W40" s="111" t="s">
        <v>31</v>
      </c>
      <c r="X40" s="111" t="s">
        <v>30</v>
      </c>
      <c r="Y40" s="111" t="s">
        <v>31</v>
      </c>
      <c r="Z40" s="111" t="s">
        <v>30</v>
      </c>
      <c r="AA40" s="175" t="e">
        <f t="shared" si="2"/>
        <v>#N/A</v>
      </c>
      <c r="AB40" s="393" t="e">
        <f t="shared" ref="AB40" si="35">IF((AA40+AA41+AA42+AA43+AA44)&gt;=0.25,0.25,0)</f>
        <v>#N/A</v>
      </c>
      <c r="AC40" s="111" t="s">
        <v>31</v>
      </c>
      <c r="AD40" s="111" t="s">
        <v>31</v>
      </c>
      <c r="AE40" s="175" t="e">
        <f t="shared" si="3"/>
        <v>#N/A</v>
      </c>
      <c r="AF40" s="387" t="e">
        <f t="shared" ref="AF40" si="36">IF((AE40+AE41+AE42+AE43+AE44)&gt;=0.25,0.25,0)</f>
        <v>#N/A</v>
      </c>
      <c r="AG40" s="394"/>
    </row>
    <row r="41" spans="1:33" ht="15.75" thickBot="1">
      <c r="A41" s="267"/>
      <c r="B41" s="264"/>
      <c r="C41" s="27" t="e">
        <f>IF(VLOOKUP(B40,PROPONENTES!$B$10:$N$39,4,FALSE)="","",VLOOKUP(B40,PROPONENTES!$B$10:$N$39,4,FALSE))</f>
        <v>#N/A</v>
      </c>
      <c r="D41" s="40" t="e">
        <f>VLOOKUP(B40,PROPONENTES!$B$10:$N$39,5,FALSE)</f>
        <v>#N/A</v>
      </c>
      <c r="E41" s="114"/>
      <c r="F41" s="114"/>
      <c r="G41" s="123" t="e">
        <f>+'6'!E16</f>
        <v>#N/A</v>
      </c>
      <c r="H41" s="124" t="e">
        <f>IF(C41="","",IF(G41&gt;='6'!$J$15*0.4,"SI","NO"))</f>
        <v>#N/A</v>
      </c>
      <c r="I41" s="27" t="e">
        <f t="shared" si="6"/>
        <v>#N/A</v>
      </c>
      <c r="J41" s="264"/>
      <c r="K41" s="398"/>
      <c r="L41" s="401"/>
      <c r="M41" s="398"/>
      <c r="N41" s="401"/>
      <c r="O41" s="115"/>
      <c r="P41" s="27" t="e">
        <f t="shared" si="0"/>
        <v>#N/A</v>
      </c>
      <c r="Q41" s="401"/>
      <c r="R41" s="398"/>
      <c r="S41" s="401"/>
      <c r="T41" s="391"/>
      <c r="U41" s="116"/>
      <c r="V41" s="270"/>
      <c r="W41" s="116"/>
      <c r="X41" s="116"/>
      <c r="Y41" s="116"/>
      <c r="Z41" s="116"/>
      <c r="AA41" s="175" t="e">
        <f t="shared" si="2"/>
        <v>#N/A</v>
      </c>
      <c r="AB41" s="270"/>
      <c r="AC41" s="116"/>
      <c r="AD41" s="116"/>
      <c r="AE41" s="176" t="e">
        <f t="shared" si="3"/>
        <v>#N/A</v>
      </c>
      <c r="AF41" s="388"/>
      <c r="AG41" s="395"/>
    </row>
    <row r="42" spans="1:33" ht="15.75" thickBot="1">
      <c r="A42" s="267"/>
      <c r="B42" s="264"/>
      <c r="C42" s="27" t="e">
        <f>IF(VLOOKUP(B40,PROPONENTES!$B$10:$N$39,6,FALSE)="","",VLOOKUP(B40,PROPONENTES!$B$10:$N$39,6,FALSE))</f>
        <v>#N/A</v>
      </c>
      <c r="D42" s="40" t="e">
        <f>VLOOKUP(B40,PROPONENTES!$B$10:$N$39,7,FALSE)</f>
        <v>#N/A</v>
      </c>
      <c r="E42" s="114"/>
      <c r="F42" s="114"/>
      <c r="G42" s="123" t="e">
        <f>+'6'!E17</f>
        <v>#N/A</v>
      </c>
      <c r="H42" s="124" t="e">
        <f>IF(C42="","",IF(G42&gt;='6'!$J$15*0.4,"SI","NO"))</f>
        <v>#N/A</v>
      </c>
      <c r="I42" s="27" t="e">
        <f t="shared" si="6"/>
        <v>#N/A</v>
      </c>
      <c r="J42" s="264"/>
      <c r="K42" s="398"/>
      <c r="L42" s="401"/>
      <c r="M42" s="398"/>
      <c r="N42" s="401"/>
      <c r="O42" s="115"/>
      <c r="P42" s="27" t="e">
        <f t="shared" si="0"/>
        <v>#N/A</v>
      </c>
      <c r="Q42" s="401"/>
      <c r="R42" s="398"/>
      <c r="S42" s="401"/>
      <c r="T42" s="391"/>
      <c r="U42" s="116"/>
      <c r="V42" s="270"/>
      <c r="W42" s="116"/>
      <c r="X42" s="116"/>
      <c r="Y42" s="116"/>
      <c r="Z42" s="116"/>
      <c r="AA42" s="175" t="e">
        <f t="shared" si="2"/>
        <v>#N/A</v>
      </c>
      <c r="AB42" s="270"/>
      <c r="AC42" s="116"/>
      <c r="AD42" s="116"/>
      <c r="AE42" s="176" t="e">
        <f t="shared" si="3"/>
        <v>#N/A</v>
      </c>
      <c r="AF42" s="388"/>
      <c r="AG42" s="395"/>
    </row>
    <row r="43" spans="1:33" ht="15.75" thickBot="1">
      <c r="A43" s="267"/>
      <c r="B43" s="264"/>
      <c r="C43" s="27" t="e">
        <f>IF(VLOOKUP(B40,PROPONENTES!$B$10:$N$39,8,FALSE)="","",VLOOKUP(B40,PROPONENTES!$B$10:$N$39,8,FALSE))</f>
        <v>#N/A</v>
      </c>
      <c r="D43" s="40" t="e">
        <f>VLOOKUP(B40,PROPONENTES!$B$10:$N$39,9,FALSE)</f>
        <v>#N/A</v>
      </c>
      <c r="E43" s="114"/>
      <c r="F43" s="114"/>
      <c r="G43" s="123" t="e">
        <f>+'6'!E18</f>
        <v>#N/A</v>
      </c>
      <c r="H43" s="124" t="e">
        <f>IF(C43="","",IF(G43&gt;='6'!$J$15*0.4,"SI","NO"))</f>
        <v>#N/A</v>
      </c>
      <c r="I43" s="126" t="e">
        <f t="shared" si="6"/>
        <v>#N/A</v>
      </c>
      <c r="J43" s="264"/>
      <c r="K43" s="398"/>
      <c r="L43" s="401"/>
      <c r="M43" s="398"/>
      <c r="N43" s="401"/>
      <c r="O43" s="114"/>
      <c r="P43" s="27" t="e">
        <f t="shared" si="0"/>
        <v>#N/A</v>
      </c>
      <c r="Q43" s="401"/>
      <c r="R43" s="398"/>
      <c r="S43" s="401"/>
      <c r="T43" s="391"/>
      <c r="U43" s="116"/>
      <c r="V43" s="270"/>
      <c r="W43" s="116"/>
      <c r="X43" s="116"/>
      <c r="Y43" s="116"/>
      <c r="Z43" s="116"/>
      <c r="AA43" s="175" t="e">
        <f t="shared" si="2"/>
        <v>#N/A</v>
      </c>
      <c r="AB43" s="270"/>
      <c r="AC43" s="116"/>
      <c r="AD43" s="116"/>
      <c r="AE43" s="176" t="e">
        <f t="shared" si="3"/>
        <v>#N/A</v>
      </c>
      <c r="AF43" s="388"/>
      <c r="AG43" s="395"/>
    </row>
    <row r="44" spans="1:33" ht="15.75" thickBot="1">
      <c r="A44" s="268"/>
      <c r="B44" s="265"/>
      <c r="C44" s="52" t="e">
        <f>IF(VLOOKUP(B40,PROPONENTES!$B$10:$N$39,10,FALSE)="","",VLOOKUP(B40,PROPONENTES!$B$10:$N$39,10,FALSE))</f>
        <v>#N/A</v>
      </c>
      <c r="D44" s="53" t="e">
        <f>VLOOKUP(B40,PROPONENTES!$B$10:$N$39,11,FALSE)</f>
        <v>#N/A</v>
      </c>
      <c r="E44" s="118"/>
      <c r="F44" s="118"/>
      <c r="G44" s="123" t="e">
        <f>+'6'!E19</f>
        <v>#N/A</v>
      </c>
      <c r="H44" s="124" t="e">
        <f>IF(C44="","",IF(G44&gt;='6'!$J$15*0.4,"SI","NO"))</f>
        <v>#N/A</v>
      </c>
      <c r="I44" s="128" t="e">
        <f t="shared" si="6"/>
        <v>#N/A</v>
      </c>
      <c r="J44" s="265"/>
      <c r="K44" s="399"/>
      <c r="L44" s="402"/>
      <c r="M44" s="399"/>
      <c r="N44" s="402"/>
      <c r="O44" s="118"/>
      <c r="P44" s="52" t="e">
        <f t="shared" si="0"/>
        <v>#N/A</v>
      </c>
      <c r="Q44" s="402"/>
      <c r="R44" s="399"/>
      <c r="S44" s="402"/>
      <c r="T44" s="392"/>
      <c r="U44" s="149"/>
      <c r="V44" s="271"/>
      <c r="W44" s="149"/>
      <c r="X44" s="149"/>
      <c r="Y44" s="149"/>
      <c r="Z44" s="149"/>
      <c r="AA44" s="175" t="e">
        <f t="shared" si="2"/>
        <v>#N/A</v>
      </c>
      <c r="AB44" s="271"/>
      <c r="AC44" s="149"/>
      <c r="AD44" s="149"/>
      <c r="AE44" s="177" t="e">
        <f t="shared" si="3"/>
        <v>#N/A</v>
      </c>
      <c r="AF44" s="389"/>
      <c r="AG44" s="396"/>
    </row>
    <row r="45" spans="1:33" ht="33" customHeight="1" thickBot="1">
      <c r="A45" s="266">
        <v>7</v>
      </c>
      <c r="B45" s="263">
        <f>+PROPONENTES!B16</f>
        <v>0</v>
      </c>
      <c r="C45" s="47" t="e">
        <f>IF(VLOOKUP(B45,PROPONENTES!$B$10:$N$39,2,FALSE)="","",VLOOKUP(B45,PROPONENTES!$B$10:$N$39,2,FALSE))</f>
        <v>#N/A</v>
      </c>
      <c r="D45" s="48" t="e">
        <f>VLOOKUP(B45,PROPONENTES!$B$10:$N$39,3,FALSE)</f>
        <v>#N/A</v>
      </c>
      <c r="E45" s="109"/>
      <c r="F45" s="109"/>
      <c r="G45" s="123" t="e">
        <f>+'7'!E15</f>
        <v>#N/A</v>
      </c>
      <c r="H45" s="124" t="e">
        <f>IF(C45="","",IF(G45&gt;='7'!$J$15*0.4,"SI","NO"))</f>
        <v>#N/A</v>
      </c>
      <c r="I45" s="47" t="e">
        <f t="shared" si="6"/>
        <v>#N/A</v>
      </c>
      <c r="J45" s="263" t="e">
        <f t="shared" ref="J45" si="37">IF((I45+I46+I47+I48+I49)&gt;=1,1,0)</f>
        <v>#N/A</v>
      </c>
      <c r="K45" s="397" t="s">
        <v>31</v>
      </c>
      <c r="L45" s="400">
        <f t="shared" ref="L45" si="38">IF(K45="CUMPLE",5,0)</f>
        <v>5</v>
      </c>
      <c r="M45" s="397" t="s">
        <v>31</v>
      </c>
      <c r="N45" s="400">
        <f t="shared" si="17"/>
        <v>5</v>
      </c>
      <c r="O45" s="113" t="s">
        <v>34</v>
      </c>
      <c r="P45" s="47" t="e">
        <f t="shared" si="0"/>
        <v>#N/A</v>
      </c>
      <c r="Q45" s="400" t="e">
        <f t="shared" ref="Q45" si="39">+L45+N45+IF(SUM(P45:P49)&gt;=1,-1,0)</f>
        <v>#N/A</v>
      </c>
      <c r="R45" s="397" t="s">
        <v>31</v>
      </c>
      <c r="S45" s="400">
        <f t="shared" ref="S45" si="40">IF(R45="CUMPLE",9,0)</f>
        <v>9</v>
      </c>
      <c r="T45" s="390" t="s">
        <v>31</v>
      </c>
      <c r="U45" s="111" t="s">
        <v>31</v>
      </c>
      <c r="V45" s="393">
        <f t="shared" ref="V45" si="41">IF(AND(T45="",U45="",U46="",U47="",U48="",U49=""),"",IF(AND(T45="CUMPLE",U45="",U46="",U47="",U48="",U49=""),"",IF(AND(T45="CUMPLE",OR(U45="CUMPLE",U45=""),OR(U46="CUMPLE",U46=""),OR(U47="CUMPLE",U47=""),OR(U48="CUMPLE",U48=""),OR(U49="CUMPLE",U49="")),20,0)))</f>
        <v>20</v>
      </c>
      <c r="W45" s="111"/>
      <c r="X45" s="111"/>
      <c r="Y45" s="111"/>
      <c r="Z45" s="111"/>
      <c r="AA45" s="175" t="e">
        <f t="shared" si="2"/>
        <v>#N/A</v>
      </c>
      <c r="AB45" s="393" t="e">
        <f t="shared" ref="AB45" si="42">IF((AA45+AA46+AA47+AA48+AA49)&gt;=0.25,0.25,0)</f>
        <v>#N/A</v>
      </c>
      <c r="AC45" s="111" t="s">
        <v>31</v>
      </c>
      <c r="AD45" s="111" t="s">
        <v>31</v>
      </c>
      <c r="AE45" s="175" t="e">
        <f t="shared" si="3"/>
        <v>#N/A</v>
      </c>
      <c r="AF45" s="387" t="e">
        <f t="shared" ref="AF45" si="43">IF((AE45+AE46+AE47+AE48+AE49)&gt;=0.25,0.25,0)</f>
        <v>#N/A</v>
      </c>
      <c r="AG45" s="406"/>
    </row>
    <row r="46" spans="1:33" ht="24" customHeight="1" thickBot="1">
      <c r="A46" s="267"/>
      <c r="B46" s="264"/>
      <c r="C46" s="27" t="e">
        <f>IF(VLOOKUP(B45,PROPONENTES!$B$10:$N$39,4,FALSE)="","",VLOOKUP(B45,PROPONENTES!$B$10:$N$39,4,FALSE))</f>
        <v>#N/A</v>
      </c>
      <c r="D46" s="40" t="e">
        <f>VLOOKUP(B45,PROPONENTES!$B$10:$N$39,5,FALSE)</f>
        <v>#N/A</v>
      </c>
      <c r="E46" s="114" t="s">
        <v>27</v>
      </c>
      <c r="F46" s="114" t="s">
        <v>27</v>
      </c>
      <c r="G46" s="123" t="e">
        <f>+'7'!E16</f>
        <v>#N/A</v>
      </c>
      <c r="H46" s="124" t="e">
        <f>IF(C46="","",IF(G46&gt;='7'!$J$15*0.4,"SI","NO"))</f>
        <v>#N/A</v>
      </c>
      <c r="I46" s="27" t="e">
        <f t="shared" si="6"/>
        <v>#N/A</v>
      </c>
      <c r="J46" s="264"/>
      <c r="K46" s="398"/>
      <c r="L46" s="401"/>
      <c r="M46" s="398"/>
      <c r="N46" s="401"/>
      <c r="O46" s="115"/>
      <c r="P46" s="27" t="e">
        <f t="shared" si="0"/>
        <v>#N/A</v>
      </c>
      <c r="Q46" s="401"/>
      <c r="R46" s="398"/>
      <c r="S46" s="401"/>
      <c r="T46" s="391"/>
      <c r="U46" s="116" t="s">
        <v>31</v>
      </c>
      <c r="V46" s="270"/>
      <c r="W46" s="116" t="s">
        <v>31</v>
      </c>
      <c r="X46" s="116" t="s">
        <v>30</v>
      </c>
      <c r="Y46" s="116" t="s">
        <v>31</v>
      </c>
      <c r="Z46" s="116" t="s">
        <v>30</v>
      </c>
      <c r="AA46" s="175" t="e">
        <f t="shared" si="2"/>
        <v>#N/A</v>
      </c>
      <c r="AB46" s="270"/>
      <c r="AC46" s="116"/>
      <c r="AD46" s="116"/>
      <c r="AE46" s="176" t="e">
        <f t="shared" si="3"/>
        <v>#N/A</v>
      </c>
      <c r="AF46" s="388"/>
      <c r="AG46" s="395"/>
    </row>
    <row r="47" spans="1:33" ht="15.75" thickBot="1">
      <c r="A47" s="267"/>
      <c r="B47" s="264"/>
      <c r="C47" s="27" t="e">
        <f>IF(VLOOKUP(B45,PROPONENTES!$B$10:$N$39,6,FALSE)="","",VLOOKUP(B45,PROPONENTES!$B$10:$N$39,6,FALSE))</f>
        <v>#N/A</v>
      </c>
      <c r="D47" s="40" t="e">
        <f>VLOOKUP(B45,PROPONENTES!$B$10:$N$39,7,FALSE)</f>
        <v>#N/A</v>
      </c>
      <c r="E47" s="114"/>
      <c r="F47" s="114"/>
      <c r="G47" s="123" t="e">
        <f>+'7'!E17</f>
        <v>#N/A</v>
      </c>
      <c r="H47" s="124" t="e">
        <f>IF(C47="","",IF(G47&gt;='7'!$J$15*0.4,"SI","NO"))</f>
        <v>#N/A</v>
      </c>
      <c r="I47" s="27" t="e">
        <f t="shared" si="6"/>
        <v>#N/A</v>
      </c>
      <c r="J47" s="264"/>
      <c r="K47" s="398"/>
      <c r="L47" s="401"/>
      <c r="M47" s="398"/>
      <c r="N47" s="401"/>
      <c r="O47" s="115"/>
      <c r="P47" s="27" t="e">
        <f t="shared" ref="P47:P78" si="44">IF(C47="","0",IF(O47="REPORTADO",1,0))</f>
        <v>#N/A</v>
      </c>
      <c r="Q47" s="401"/>
      <c r="R47" s="398"/>
      <c r="S47" s="401"/>
      <c r="T47" s="391"/>
      <c r="U47" s="116"/>
      <c r="V47" s="270"/>
      <c r="W47" s="116"/>
      <c r="X47" s="116"/>
      <c r="Y47" s="116"/>
      <c r="Z47" s="116"/>
      <c r="AA47" s="175" t="e">
        <f t="shared" si="2"/>
        <v>#N/A</v>
      </c>
      <c r="AB47" s="270"/>
      <c r="AC47" s="116"/>
      <c r="AD47" s="116"/>
      <c r="AE47" s="176" t="e">
        <f t="shared" si="3"/>
        <v>#N/A</v>
      </c>
      <c r="AF47" s="388"/>
      <c r="AG47" s="395"/>
    </row>
    <row r="48" spans="1:33" ht="15.75" thickBot="1">
      <c r="A48" s="267"/>
      <c r="B48" s="264"/>
      <c r="C48" s="27" t="e">
        <f>IF(VLOOKUP(B45,PROPONENTES!$B$10:$N$39,8,FALSE)="","",VLOOKUP(B45,PROPONENTES!$B$10:$N$39,8,FALSE))</f>
        <v>#N/A</v>
      </c>
      <c r="D48" s="40" t="e">
        <f>VLOOKUP(B45,PROPONENTES!$B$10:$N$39,9,FALSE)</f>
        <v>#N/A</v>
      </c>
      <c r="E48" s="114"/>
      <c r="F48" s="114"/>
      <c r="G48" s="123" t="e">
        <f>+'7'!E18</f>
        <v>#N/A</v>
      </c>
      <c r="H48" s="124" t="e">
        <f>IF(C48="","",IF(G48&gt;='7'!$J$15*0.4,"SI","NO"))</f>
        <v>#N/A</v>
      </c>
      <c r="I48" s="126" t="e">
        <f t="shared" si="6"/>
        <v>#N/A</v>
      </c>
      <c r="J48" s="264"/>
      <c r="K48" s="398"/>
      <c r="L48" s="401"/>
      <c r="M48" s="398"/>
      <c r="N48" s="401"/>
      <c r="O48" s="114"/>
      <c r="P48" s="27" t="e">
        <f t="shared" si="44"/>
        <v>#N/A</v>
      </c>
      <c r="Q48" s="401"/>
      <c r="R48" s="398"/>
      <c r="S48" s="401"/>
      <c r="T48" s="391"/>
      <c r="U48" s="116"/>
      <c r="V48" s="270"/>
      <c r="W48" s="116"/>
      <c r="X48" s="116"/>
      <c r="Y48" s="116"/>
      <c r="Z48" s="116"/>
      <c r="AA48" s="175" t="e">
        <f t="shared" si="2"/>
        <v>#N/A</v>
      </c>
      <c r="AB48" s="270"/>
      <c r="AC48" s="116"/>
      <c r="AD48" s="116"/>
      <c r="AE48" s="176" t="e">
        <f t="shared" si="3"/>
        <v>#N/A</v>
      </c>
      <c r="AF48" s="388"/>
      <c r="AG48" s="395"/>
    </row>
    <row r="49" spans="1:33" ht="15.75" thickBot="1">
      <c r="A49" s="268"/>
      <c r="B49" s="265"/>
      <c r="C49" s="52" t="e">
        <f>IF(VLOOKUP(B45,PROPONENTES!$B$10:$N$39,10,FALSE)="","",VLOOKUP(B45,PROPONENTES!$B$10:$N$39,10,FALSE))</f>
        <v>#N/A</v>
      </c>
      <c r="D49" s="53" t="e">
        <f>VLOOKUP(B45,PROPONENTES!$B$10:$N$39,11,FALSE)</f>
        <v>#N/A</v>
      </c>
      <c r="E49" s="118"/>
      <c r="F49" s="118"/>
      <c r="G49" s="123" t="e">
        <f>+'7'!E19</f>
        <v>#N/A</v>
      </c>
      <c r="H49" s="124" t="e">
        <f>IF(C49="","",IF(G49&gt;='7'!$J$15*0.4,"SI","NO"))</f>
        <v>#N/A</v>
      </c>
      <c r="I49" s="128" t="e">
        <f t="shared" si="6"/>
        <v>#N/A</v>
      </c>
      <c r="J49" s="265"/>
      <c r="K49" s="399"/>
      <c r="L49" s="402"/>
      <c r="M49" s="399"/>
      <c r="N49" s="402"/>
      <c r="O49" s="118"/>
      <c r="P49" s="52" t="e">
        <f t="shared" si="44"/>
        <v>#N/A</v>
      </c>
      <c r="Q49" s="402"/>
      <c r="R49" s="399"/>
      <c r="S49" s="402"/>
      <c r="T49" s="392"/>
      <c r="U49" s="149"/>
      <c r="V49" s="271"/>
      <c r="W49" s="149"/>
      <c r="X49" s="149"/>
      <c r="Y49" s="149"/>
      <c r="Z49" s="149"/>
      <c r="AA49" s="175" t="e">
        <f t="shared" si="2"/>
        <v>#N/A</v>
      </c>
      <c r="AB49" s="271"/>
      <c r="AC49" s="149"/>
      <c r="AD49" s="149"/>
      <c r="AE49" s="177" t="e">
        <f t="shared" si="3"/>
        <v>#N/A</v>
      </c>
      <c r="AF49" s="389"/>
      <c r="AG49" s="396"/>
    </row>
    <row r="50" spans="1:33" ht="15.75" thickBot="1">
      <c r="A50" s="266">
        <v>8</v>
      </c>
      <c r="B50" s="263">
        <f>+PROPONENTES!B17</f>
        <v>0</v>
      </c>
      <c r="C50" s="47" t="e">
        <f>IF(VLOOKUP(B50,PROPONENTES!$B$10:$N$39,2,FALSE)="","",VLOOKUP(B50,PROPONENTES!$B$10:$N$39,2,FALSE))</f>
        <v>#N/A</v>
      </c>
      <c r="D50" s="48" t="e">
        <f>VLOOKUP(B50,PROPONENTES!$B$10:$N$39,3,FALSE)</f>
        <v>#N/A</v>
      </c>
      <c r="E50" s="109" t="s">
        <v>27</v>
      </c>
      <c r="F50" s="109" t="s">
        <v>27</v>
      </c>
      <c r="G50" s="123" t="e">
        <f>+'8'!E15</f>
        <v>#N/A</v>
      </c>
      <c r="H50" s="124" t="e">
        <f>IF(C50="","",IF(G50&gt;='8'!$J$15*0.4,"SI","NO"))</f>
        <v>#N/A</v>
      </c>
      <c r="I50" s="47" t="e">
        <f>IF(C50="",0,IF(AND(E50="SI",H50="SI",F50="SI"),1,0))</f>
        <v>#N/A</v>
      </c>
      <c r="J50" s="263" t="e">
        <f>IF((I50+I51+I52+I53+I54)&gt;=1,1,0)</f>
        <v>#N/A</v>
      </c>
      <c r="K50" s="397" t="s">
        <v>31</v>
      </c>
      <c r="L50" s="400">
        <f t="shared" ref="L50" si="45">IF(K50="CUMPLE",5,0)</f>
        <v>5</v>
      </c>
      <c r="M50" s="397" t="s">
        <v>31</v>
      </c>
      <c r="N50" s="400">
        <f t="shared" si="17"/>
        <v>5</v>
      </c>
      <c r="O50" s="113" t="s">
        <v>34</v>
      </c>
      <c r="P50" s="47" t="e">
        <f t="shared" si="44"/>
        <v>#N/A</v>
      </c>
      <c r="Q50" s="400" t="e">
        <f t="shared" ref="Q50" si="46">+L50+N50+IF(SUM(P50:P54)&gt;=1,-1,0)</f>
        <v>#N/A</v>
      </c>
      <c r="R50" s="397" t="s">
        <v>31</v>
      </c>
      <c r="S50" s="400">
        <f t="shared" ref="S50" si="47">IF(R50="CUMPLE",9,0)</f>
        <v>9</v>
      </c>
      <c r="T50" s="390" t="s">
        <v>31</v>
      </c>
      <c r="U50" s="148" t="s">
        <v>31</v>
      </c>
      <c r="V50" s="393">
        <f t="shared" ref="V50" si="48">IF(AND(T50="",U50="",U51="",U52="",U53="",U54=""),"",IF(AND(T50="CUMPLE",U50="",U51="",U52="",U53="",U54=""),"",IF(AND(T50="CUMPLE",OR(U50="CUMPLE",U50=""),OR(U51="CUMPLE",U51=""),OR(U52="CUMPLE",U52=""),OR(U53="CUMPLE",U53=""),OR(U54="CUMPLE",U54="")),20,0)))</f>
        <v>20</v>
      </c>
      <c r="W50" s="111"/>
      <c r="X50" s="111"/>
      <c r="Y50" s="111"/>
      <c r="Z50" s="111"/>
      <c r="AA50" s="175" t="e">
        <f t="shared" si="2"/>
        <v>#N/A</v>
      </c>
      <c r="AB50" s="393" t="e">
        <f t="shared" ref="AB50" si="49">IF((AA50+AA51+AA52+AA53+AA54)&gt;=0.25,0.25,0)</f>
        <v>#N/A</v>
      </c>
      <c r="AC50" s="111" t="s">
        <v>31</v>
      </c>
      <c r="AD50" s="111" t="s">
        <v>31</v>
      </c>
      <c r="AE50" s="175" t="e">
        <f t="shared" si="3"/>
        <v>#N/A</v>
      </c>
      <c r="AF50" s="387" t="e">
        <f t="shared" ref="AF50" si="50">IF((AE50+AE51+AE52+AE53+AE54)&gt;=0.25,0.25,0)</f>
        <v>#N/A</v>
      </c>
      <c r="AG50" s="406"/>
    </row>
    <row r="51" spans="1:33" ht="15.75" thickBot="1">
      <c r="A51" s="267"/>
      <c r="B51" s="264"/>
      <c r="C51" s="27" t="e">
        <f>IF(VLOOKUP(B50,PROPONENTES!$B$10:$N$39,4,FALSE)="","",VLOOKUP(B50,PROPONENTES!$B$10:$N$39,4,FALSE))</f>
        <v>#N/A</v>
      </c>
      <c r="D51" s="40" t="e">
        <f>VLOOKUP(B50,PROPONENTES!$B$10:$N$39,5,FALSE)</f>
        <v>#N/A</v>
      </c>
      <c r="E51" s="114"/>
      <c r="F51" s="114"/>
      <c r="G51" s="123" t="e">
        <f>+'8'!E16</f>
        <v>#N/A</v>
      </c>
      <c r="H51" s="124" t="e">
        <f>IF(C51="","",IF(G51&gt;='8'!$J$15*0.4,"SI","NO"))</f>
        <v>#N/A</v>
      </c>
      <c r="I51" s="27" t="e">
        <f t="shared" ref="I51:I54" si="51">IF(C51="",0,IF(AND(E51="SI",H51="SI",F51="SI"),1,0))</f>
        <v>#N/A</v>
      </c>
      <c r="J51" s="264"/>
      <c r="K51" s="398"/>
      <c r="L51" s="401"/>
      <c r="M51" s="398"/>
      <c r="N51" s="401"/>
      <c r="O51" s="115" t="s">
        <v>34</v>
      </c>
      <c r="P51" s="27" t="e">
        <f t="shared" si="44"/>
        <v>#N/A</v>
      </c>
      <c r="Q51" s="401"/>
      <c r="R51" s="398"/>
      <c r="S51" s="401"/>
      <c r="T51" s="391"/>
      <c r="U51" s="116" t="s">
        <v>31</v>
      </c>
      <c r="V51" s="270"/>
      <c r="W51" s="116" t="s">
        <v>31</v>
      </c>
      <c r="X51" s="116" t="s">
        <v>31</v>
      </c>
      <c r="Y51" s="116" t="s">
        <v>31</v>
      </c>
      <c r="Z51" s="116" t="s">
        <v>31</v>
      </c>
      <c r="AA51" s="175" t="e">
        <f t="shared" si="2"/>
        <v>#N/A</v>
      </c>
      <c r="AB51" s="270"/>
      <c r="AC51" s="116" t="s">
        <v>31</v>
      </c>
      <c r="AD51" s="116" t="s">
        <v>31</v>
      </c>
      <c r="AE51" s="176" t="e">
        <f t="shared" si="3"/>
        <v>#N/A</v>
      </c>
      <c r="AF51" s="388"/>
      <c r="AG51" s="395"/>
    </row>
    <row r="52" spans="1:33" ht="35.25" customHeight="1" thickBot="1">
      <c r="A52" s="267"/>
      <c r="B52" s="264"/>
      <c r="C52" s="27" t="e">
        <f>IF(VLOOKUP(B50,PROPONENTES!$B$10:$N$39,6,FALSE)="","",VLOOKUP(B50,PROPONENTES!$B$10:$N$39,6,FALSE))</f>
        <v>#N/A</v>
      </c>
      <c r="D52" s="40" t="e">
        <f>VLOOKUP(B50,PROPONENTES!$B$10:$N$39,7,FALSE)</f>
        <v>#N/A</v>
      </c>
      <c r="E52" s="114"/>
      <c r="F52" s="114"/>
      <c r="G52" s="123" t="e">
        <f>+'8'!E17</f>
        <v>#N/A</v>
      </c>
      <c r="H52" s="124" t="e">
        <f>IF(C52="","",IF(G52&gt;='8'!$J$15*0.4,"SI","NO"))</f>
        <v>#N/A</v>
      </c>
      <c r="I52" s="27" t="e">
        <f t="shared" si="51"/>
        <v>#N/A</v>
      </c>
      <c r="J52" s="264"/>
      <c r="K52" s="398"/>
      <c r="L52" s="401"/>
      <c r="M52" s="398"/>
      <c r="N52" s="401"/>
      <c r="O52" s="115" t="s">
        <v>34</v>
      </c>
      <c r="P52" s="27" t="e">
        <f t="shared" si="44"/>
        <v>#N/A</v>
      </c>
      <c r="Q52" s="401"/>
      <c r="R52" s="398"/>
      <c r="S52" s="401"/>
      <c r="T52" s="391"/>
      <c r="U52" s="116" t="s">
        <v>31</v>
      </c>
      <c r="V52" s="270"/>
      <c r="W52" s="116"/>
      <c r="X52" s="116"/>
      <c r="Y52" s="116"/>
      <c r="Z52" s="116"/>
      <c r="AA52" s="175" t="e">
        <f t="shared" si="2"/>
        <v>#N/A</v>
      </c>
      <c r="AB52" s="270"/>
      <c r="AC52" s="116" t="s">
        <v>31</v>
      </c>
      <c r="AD52" s="116" t="s">
        <v>31</v>
      </c>
      <c r="AE52" s="176" t="e">
        <f t="shared" si="3"/>
        <v>#N/A</v>
      </c>
      <c r="AF52" s="388"/>
      <c r="AG52" s="395"/>
    </row>
    <row r="53" spans="1:33" ht="15.75" thickBot="1">
      <c r="A53" s="267"/>
      <c r="B53" s="264"/>
      <c r="C53" s="27" t="e">
        <f>IF(VLOOKUP(B50,PROPONENTES!$B$10:$N$39,8,FALSE)="","",VLOOKUP(B50,PROPONENTES!$B$10:$N$39,8,FALSE))</f>
        <v>#N/A</v>
      </c>
      <c r="D53" s="40" t="e">
        <f>VLOOKUP(B50,PROPONENTES!$B$10:$N$39,9,FALSE)</f>
        <v>#N/A</v>
      </c>
      <c r="E53" s="114"/>
      <c r="F53" s="114"/>
      <c r="G53" s="123" t="e">
        <f>+'8'!E18</f>
        <v>#N/A</v>
      </c>
      <c r="H53" s="124" t="e">
        <f>IF(C53="","",IF(G53&gt;='8'!$J$15*0.4,"SI","NO"))</f>
        <v>#N/A</v>
      </c>
      <c r="I53" s="126" t="e">
        <f t="shared" si="51"/>
        <v>#N/A</v>
      </c>
      <c r="J53" s="264"/>
      <c r="K53" s="398"/>
      <c r="L53" s="401"/>
      <c r="M53" s="398"/>
      <c r="N53" s="401"/>
      <c r="O53" s="114"/>
      <c r="P53" s="27" t="e">
        <f t="shared" si="44"/>
        <v>#N/A</v>
      </c>
      <c r="Q53" s="401"/>
      <c r="R53" s="398"/>
      <c r="S53" s="401"/>
      <c r="T53" s="391"/>
      <c r="U53" s="116"/>
      <c r="V53" s="270"/>
      <c r="W53" s="116"/>
      <c r="X53" s="116"/>
      <c r="Y53" s="116"/>
      <c r="Z53" s="116"/>
      <c r="AA53" s="175" t="e">
        <f t="shared" si="2"/>
        <v>#N/A</v>
      </c>
      <c r="AB53" s="270"/>
      <c r="AC53" s="116"/>
      <c r="AD53" s="116"/>
      <c r="AE53" s="176" t="e">
        <f t="shared" si="3"/>
        <v>#N/A</v>
      </c>
      <c r="AF53" s="388"/>
      <c r="AG53" s="395"/>
    </row>
    <row r="54" spans="1:33" ht="15.75" thickBot="1">
      <c r="A54" s="268"/>
      <c r="B54" s="265"/>
      <c r="C54" s="52" t="e">
        <f>IF(VLOOKUP(B50,PROPONENTES!$B$10:$N$39,10,FALSE)="","",VLOOKUP(B50,PROPONENTES!$B$10:$N$39,10,FALSE))</f>
        <v>#N/A</v>
      </c>
      <c r="D54" s="53" t="e">
        <f>VLOOKUP(B50,PROPONENTES!$B$10:$N$39,11,FALSE)</f>
        <v>#N/A</v>
      </c>
      <c r="E54" s="118"/>
      <c r="F54" s="118"/>
      <c r="G54" s="123" t="e">
        <f>+'8'!E19</f>
        <v>#N/A</v>
      </c>
      <c r="H54" s="124" t="e">
        <f>IF(C54="","",IF(G54&gt;='8'!$J$15*0.4,"SI","NO"))</f>
        <v>#N/A</v>
      </c>
      <c r="I54" s="128" t="e">
        <f t="shared" si="51"/>
        <v>#N/A</v>
      </c>
      <c r="J54" s="265"/>
      <c r="K54" s="399"/>
      <c r="L54" s="402"/>
      <c r="M54" s="399"/>
      <c r="N54" s="402"/>
      <c r="O54" s="118"/>
      <c r="P54" s="52" t="e">
        <f t="shared" si="44"/>
        <v>#N/A</v>
      </c>
      <c r="Q54" s="402"/>
      <c r="R54" s="399"/>
      <c r="S54" s="402"/>
      <c r="T54" s="392"/>
      <c r="U54" s="149"/>
      <c r="V54" s="271"/>
      <c r="W54" s="149"/>
      <c r="X54" s="149"/>
      <c r="Y54" s="149"/>
      <c r="Z54" s="149"/>
      <c r="AA54" s="175" t="e">
        <f t="shared" si="2"/>
        <v>#N/A</v>
      </c>
      <c r="AB54" s="271"/>
      <c r="AC54" s="149"/>
      <c r="AD54" s="149"/>
      <c r="AE54" s="177" t="e">
        <f t="shared" si="3"/>
        <v>#N/A</v>
      </c>
      <c r="AF54" s="389"/>
      <c r="AG54" s="396"/>
    </row>
    <row r="55" spans="1:33" ht="117.75" customHeight="1" thickBot="1">
      <c r="A55" s="266">
        <v>9</v>
      </c>
      <c r="B55" s="263">
        <f>+PROPONENTES!B18</f>
        <v>0</v>
      </c>
      <c r="C55" s="47" t="e">
        <f>IF(VLOOKUP(B55,PROPONENTES!$B$10:$N$39,2,FALSE)="","",VLOOKUP(B55,PROPONENTES!$B$10:$N$39,2,FALSE))</f>
        <v>#N/A</v>
      </c>
      <c r="D55" s="48" t="e">
        <f>VLOOKUP(B55,PROPONENTES!$B$10:$N$39,3,FALSE)</f>
        <v>#N/A</v>
      </c>
      <c r="E55" s="109" t="s">
        <v>27</v>
      </c>
      <c r="F55" s="109" t="s">
        <v>27</v>
      </c>
      <c r="G55" s="123" t="e">
        <f>+'9'!E15</f>
        <v>#N/A</v>
      </c>
      <c r="H55" s="124" t="e">
        <f>IF(C55="","",IF(G55&gt;='9'!$J$15*0.4,"SI","NO"))</f>
        <v>#N/A</v>
      </c>
      <c r="I55" s="47" t="e">
        <f>IF(C55="",0,IF(AND(E55="SI",H55="SI",F55="SI"),1,0))</f>
        <v>#N/A</v>
      </c>
      <c r="J55" s="263" t="e">
        <f>IF((I55+I56+I57+I58+I59)&gt;=1,1,0)</f>
        <v>#N/A</v>
      </c>
      <c r="K55" s="397" t="s">
        <v>31</v>
      </c>
      <c r="L55" s="400">
        <f t="shared" ref="L55" si="52">IF(K55="CUMPLE",5,0)</f>
        <v>5</v>
      </c>
      <c r="M55" s="397" t="s">
        <v>31</v>
      </c>
      <c r="N55" s="400">
        <f t="shared" si="17"/>
        <v>5</v>
      </c>
      <c r="O55" s="113" t="s">
        <v>34</v>
      </c>
      <c r="P55" s="47" t="e">
        <f t="shared" si="44"/>
        <v>#N/A</v>
      </c>
      <c r="Q55" s="400" t="e">
        <f t="shared" ref="Q55" si="53">+L55+N55+IF(SUM(P55:P59)&gt;=1,-1,0)</f>
        <v>#N/A</v>
      </c>
      <c r="R55" s="397" t="s">
        <v>31</v>
      </c>
      <c r="S55" s="400">
        <f t="shared" ref="S55" si="54">IF(R55="CUMPLE",9,0)</f>
        <v>9</v>
      </c>
      <c r="T55" s="390" t="s">
        <v>31</v>
      </c>
      <c r="U55" s="111" t="s">
        <v>31</v>
      </c>
      <c r="V55" s="393">
        <f t="shared" ref="V55" si="55">IF(AND(T55="",U55="",U56="",U57="",U58="",U59=""),"",IF(AND(T55="CUMPLE",U55="",U56="",U57="",U58="",U59=""),"",IF(AND(T55="CUMPLE",OR(U55="CUMPLE",U55=""),OR(U56="CUMPLE",U56=""),OR(U57="CUMPLE",U57=""),OR(U58="CUMPLE",U58=""),OR(U59="CUMPLE",U59="")),20,0)))</f>
        <v>20</v>
      </c>
      <c r="W55" s="111" t="s">
        <v>31</v>
      </c>
      <c r="X55" s="111" t="s">
        <v>31</v>
      </c>
      <c r="Y55" s="111" t="s">
        <v>31</v>
      </c>
      <c r="Z55" s="111" t="s">
        <v>31</v>
      </c>
      <c r="AA55" s="175" t="e">
        <f t="shared" si="2"/>
        <v>#N/A</v>
      </c>
      <c r="AB55" s="393" t="e">
        <f t="shared" ref="AB55" si="56">IF((AA55+AA56+AA57+AA58+AA59)&gt;=0.25,0.25,0)</f>
        <v>#N/A</v>
      </c>
      <c r="AC55" s="111" t="s">
        <v>31</v>
      </c>
      <c r="AD55" s="111" t="s">
        <v>31</v>
      </c>
      <c r="AE55" s="175" t="e">
        <f t="shared" si="3"/>
        <v>#N/A</v>
      </c>
      <c r="AF55" s="387" t="e">
        <f t="shared" ref="AF55" si="57">IF((AE55+AE56+AE57+AE58+AE59)&gt;=0.25,0.25,0)</f>
        <v>#N/A</v>
      </c>
      <c r="AG55" s="406"/>
    </row>
    <row r="56" spans="1:33" ht="66" customHeight="1" thickBot="1">
      <c r="A56" s="267"/>
      <c r="B56" s="264"/>
      <c r="C56" s="27" t="e">
        <f>IF(VLOOKUP(B55,PROPONENTES!$B$10:$N$39,4,FALSE)="","",VLOOKUP(B55,PROPONENTES!$B$10:$N$39,4,FALSE))</f>
        <v>#N/A</v>
      </c>
      <c r="D56" s="40" t="e">
        <f>VLOOKUP(B55,PROPONENTES!$B$10:$N$39,5,FALSE)</f>
        <v>#N/A</v>
      </c>
      <c r="E56" s="114" t="s">
        <v>29</v>
      </c>
      <c r="F56" s="114" t="s">
        <v>29</v>
      </c>
      <c r="G56" s="123" t="e">
        <f>+'9'!E16</f>
        <v>#N/A</v>
      </c>
      <c r="H56" s="124" t="e">
        <f>IF(C56="","",IF(G56&gt;='9'!$J$15*0.4,"SI","NO"))</f>
        <v>#N/A</v>
      </c>
      <c r="I56" s="27" t="e">
        <f t="shared" ref="I56:I59" si="58">IF(C56="",0,IF(AND(E56="SI",H56="SI",F56="SI"),1,0))</f>
        <v>#N/A</v>
      </c>
      <c r="J56" s="264"/>
      <c r="K56" s="398"/>
      <c r="L56" s="401"/>
      <c r="M56" s="398"/>
      <c r="N56" s="401"/>
      <c r="O56" s="115" t="s">
        <v>34</v>
      </c>
      <c r="P56" s="27" t="e">
        <f t="shared" si="44"/>
        <v>#N/A</v>
      </c>
      <c r="Q56" s="401"/>
      <c r="R56" s="398"/>
      <c r="S56" s="401"/>
      <c r="T56" s="391"/>
      <c r="U56" s="116" t="s">
        <v>31</v>
      </c>
      <c r="V56" s="270"/>
      <c r="W56" s="116" t="s">
        <v>30</v>
      </c>
      <c r="X56" s="116" t="s">
        <v>30</v>
      </c>
      <c r="Y56" s="116" t="s">
        <v>30</v>
      </c>
      <c r="Z56" s="116" t="s">
        <v>30</v>
      </c>
      <c r="AA56" s="175" t="e">
        <f t="shared" si="2"/>
        <v>#N/A</v>
      </c>
      <c r="AB56" s="270"/>
      <c r="AC56" s="116" t="s">
        <v>31</v>
      </c>
      <c r="AD56" s="116" t="s">
        <v>31</v>
      </c>
      <c r="AE56" s="176" t="e">
        <f t="shared" si="3"/>
        <v>#N/A</v>
      </c>
      <c r="AF56" s="388"/>
      <c r="AG56" s="395"/>
    </row>
    <row r="57" spans="1:33" ht="15.75" thickBot="1">
      <c r="A57" s="267"/>
      <c r="B57" s="264"/>
      <c r="C57" s="27" t="e">
        <f>IF(VLOOKUP(B55,PROPONENTES!$B$10:$N$39,6,FALSE)="","",VLOOKUP(B55,PROPONENTES!$B$10:$N$39,6,FALSE))</f>
        <v>#N/A</v>
      </c>
      <c r="D57" s="40" t="e">
        <f>VLOOKUP(B55,PROPONENTES!$B$10:$N$39,7,FALSE)</f>
        <v>#N/A</v>
      </c>
      <c r="E57" s="114" t="s">
        <v>29</v>
      </c>
      <c r="F57" s="114" t="s">
        <v>29</v>
      </c>
      <c r="G57" s="123" t="e">
        <f>+'9'!E17</f>
        <v>#N/A</v>
      </c>
      <c r="H57" s="124" t="e">
        <f>IF(C57="","",IF(G57&gt;='9'!$J$15*0.4,"SI","NO"))</f>
        <v>#N/A</v>
      </c>
      <c r="I57" s="27" t="e">
        <f t="shared" si="58"/>
        <v>#N/A</v>
      </c>
      <c r="J57" s="264"/>
      <c r="K57" s="398"/>
      <c r="L57" s="401"/>
      <c r="M57" s="398"/>
      <c r="N57" s="401"/>
      <c r="O57" s="115" t="s">
        <v>34</v>
      </c>
      <c r="P57" s="27" t="e">
        <f t="shared" si="44"/>
        <v>#N/A</v>
      </c>
      <c r="Q57" s="401"/>
      <c r="R57" s="398"/>
      <c r="S57" s="401"/>
      <c r="T57" s="391"/>
      <c r="U57" s="116" t="s">
        <v>31</v>
      </c>
      <c r="V57" s="270"/>
      <c r="W57" s="116" t="s">
        <v>30</v>
      </c>
      <c r="X57" s="116" t="s">
        <v>30</v>
      </c>
      <c r="Y57" s="116" t="s">
        <v>30</v>
      </c>
      <c r="Z57" s="116" t="s">
        <v>30</v>
      </c>
      <c r="AA57" s="175" t="e">
        <f t="shared" si="2"/>
        <v>#N/A</v>
      </c>
      <c r="AB57" s="270"/>
      <c r="AC57" s="116" t="s">
        <v>31</v>
      </c>
      <c r="AD57" s="116" t="s">
        <v>31</v>
      </c>
      <c r="AE57" s="176" t="e">
        <f t="shared" si="3"/>
        <v>#N/A</v>
      </c>
      <c r="AF57" s="388"/>
      <c r="AG57" s="395"/>
    </row>
    <row r="58" spans="1:33" ht="15.75" thickBot="1">
      <c r="A58" s="267"/>
      <c r="B58" s="264"/>
      <c r="C58" s="27" t="e">
        <f>IF(VLOOKUP(B55,PROPONENTES!$B$10:$N$39,8,FALSE)="","",VLOOKUP(B55,PROPONENTES!$B$10:$N$39,8,FALSE))</f>
        <v>#N/A</v>
      </c>
      <c r="D58" s="40" t="e">
        <f>VLOOKUP(B55,PROPONENTES!$B$10:$N$39,9,FALSE)</f>
        <v>#N/A</v>
      </c>
      <c r="E58" s="114"/>
      <c r="F58" s="114"/>
      <c r="G58" s="123" t="e">
        <f>+'9'!E18</f>
        <v>#N/A</v>
      </c>
      <c r="H58" s="124" t="e">
        <f>IF(C58="","",IF(G58&gt;='9'!$J$15*0.4,"SI","NO"))</f>
        <v>#N/A</v>
      </c>
      <c r="I58" s="126" t="e">
        <f t="shared" si="58"/>
        <v>#N/A</v>
      </c>
      <c r="J58" s="264"/>
      <c r="K58" s="398"/>
      <c r="L58" s="401"/>
      <c r="M58" s="398"/>
      <c r="N58" s="401"/>
      <c r="O58" s="114"/>
      <c r="P58" s="27" t="e">
        <f t="shared" si="44"/>
        <v>#N/A</v>
      </c>
      <c r="Q58" s="401"/>
      <c r="R58" s="398"/>
      <c r="S58" s="401"/>
      <c r="T58" s="391"/>
      <c r="U58" s="116"/>
      <c r="V58" s="270"/>
      <c r="W58" s="116"/>
      <c r="X58" s="116"/>
      <c r="Y58" s="116"/>
      <c r="Z58" s="116"/>
      <c r="AA58" s="175" t="e">
        <f t="shared" si="2"/>
        <v>#N/A</v>
      </c>
      <c r="AB58" s="270"/>
      <c r="AC58" s="116"/>
      <c r="AD58" s="116"/>
      <c r="AE58" s="176" t="e">
        <f t="shared" si="3"/>
        <v>#N/A</v>
      </c>
      <c r="AF58" s="388"/>
      <c r="AG58" s="395"/>
    </row>
    <row r="59" spans="1:33" ht="15.75" thickBot="1">
      <c r="A59" s="268"/>
      <c r="B59" s="265"/>
      <c r="C59" s="52" t="e">
        <f>IF(VLOOKUP(B55,PROPONENTES!$B$10:$N$39,10,FALSE)="","",VLOOKUP(B55,PROPONENTES!$B$10:$N$39,10,FALSE))</f>
        <v>#N/A</v>
      </c>
      <c r="D59" s="53" t="e">
        <f>VLOOKUP(B55,PROPONENTES!$B$10:$N$39,11,FALSE)</f>
        <v>#N/A</v>
      </c>
      <c r="E59" s="118"/>
      <c r="F59" s="118"/>
      <c r="G59" s="123" t="e">
        <f>+'9'!E19</f>
        <v>#N/A</v>
      </c>
      <c r="H59" s="124" t="e">
        <f>IF(C59="","",IF(G59&gt;='9'!$J$15*0.4,"SI","NO"))</f>
        <v>#N/A</v>
      </c>
      <c r="I59" s="128" t="e">
        <f t="shared" si="58"/>
        <v>#N/A</v>
      </c>
      <c r="J59" s="265"/>
      <c r="K59" s="399"/>
      <c r="L59" s="402"/>
      <c r="M59" s="399"/>
      <c r="N59" s="402"/>
      <c r="O59" s="118"/>
      <c r="P59" s="52" t="e">
        <f t="shared" si="44"/>
        <v>#N/A</v>
      </c>
      <c r="Q59" s="402"/>
      <c r="R59" s="399"/>
      <c r="S59" s="402"/>
      <c r="T59" s="392"/>
      <c r="U59" s="149"/>
      <c r="V59" s="271"/>
      <c r="W59" s="149"/>
      <c r="X59" s="149"/>
      <c r="Y59" s="149"/>
      <c r="Z59" s="149"/>
      <c r="AA59" s="175" t="e">
        <f t="shared" si="2"/>
        <v>#N/A</v>
      </c>
      <c r="AB59" s="271"/>
      <c r="AC59" s="149"/>
      <c r="AD59" s="149"/>
      <c r="AE59" s="177" t="e">
        <f t="shared" si="3"/>
        <v>#N/A</v>
      </c>
      <c r="AF59" s="389"/>
      <c r="AG59" s="396"/>
    </row>
    <row r="60" spans="1:33" ht="15.75" thickBot="1">
      <c r="A60" s="266">
        <v>10</v>
      </c>
      <c r="B60" s="263">
        <f>+PROPONENTES!B19</f>
        <v>0</v>
      </c>
      <c r="C60" s="47" t="e">
        <f>IF(VLOOKUP(B60,PROPONENTES!$B$10:$N$39,2,FALSE)="","",VLOOKUP(B60,PROPONENTES!$B$10:$N$39,2,FALSE))</f>
        <v>#N/A</v>
      </c>
      <c r="D60" s="48" t="e">
        <f>VLOOKUP(B60,PROPONENTES!$B$10:$N$39,3,FALSE)</f>
        <v>#N/A</v>
      </c>
      <c r="E60" s="109" t="s">
        <v>27</v>
      </c>
      <c r="F60" s="109" t="s">
        <v>27</v>
      </c>
      <c r="G60" s="123" t="e">
        <f>+'10'!E15</f>
        <v>#N/A</v>
      </c>
      <c r="H60" s="124" t="e">
        <f>IF(C60="","",IF(G60&gt;='10'!$J$15*0.4,"SI","NO"))</f>
        <v>#N/A</v>
      </c>
      <c r="I60" s="47" t="e">
        <f>IF(C60="",0,IF(AND(E60="SI",H60="SI",F60="SI"),1,0))</f>
        <v>#N/A</v>
      </c>
      <c r="J60" s="263" t="e">
        <f>IF((I60+I61+I62+I63+I64)&gt;=1,1,0)</f>
        <v>#N/A</v>
      </c>
      <c r="K60" s="397" t="s">
        <v>31</v>
      </c>
      <c r="L60" s="400">
        <f t="shared" ref="L60" si="59">IF(K60="CUMPLE",5,0)</f>
        <v>5</v>
      </c>
      <c r="M60" s="397" t="s">
        <v>31</v>
      </c>
      <c r="N60" s="400">
        <f t="shared" si="17"/>
        <v>5</v>
      </c>
      <c r="O60" s="113" t="s">
        <v>34</v>
      </c>
      <c r="P60" s="47" t="e">
        <f t="shared" si="44"/>
        <v>#N/A</v>
      </c>
      <c r="Q60" s="400" t="e">
        <f t="shared" ref="Q60" si="60">+L60+N60+IF(SUM(P60:P64)&gt;=1,-1,0)</f>
        <v>#N/A</v>
      </c>
      <c r="R60" s="397" t="s">
        <v>31</v>
      </c>
      <c r="S60" s="400">
        <f t="shared" ref="S60" si="61">IF(R60="CUMPLE",9,0)</f>
        <v>9</v>
      </c>
      <c r="T60" s="390" t="s">
        <v>31</v>
      </c>
      <c r="U60" s="111" t="s">
        <v>31</v>
      </c>
      <c r="V60" s="393">
        <f t="shared" ref="V60" si="62">IF(AND(T60="",U60="",U61="",U62="",U63="",U64=""),"",IF(AND(T60="CUMPLE",U60="",U61="",U62="",U63="",U64=""),"",IF(AND(T60="CUMPLE",OR(U60="CUMPLE",U60=""),OR(U61="CUMPLE",U61=""),OR(U62="CUMPLE",U62=""),OR(U63="CUMPLE",U63=""),OR(U64="CUMPLE",U64="")),20,0)))</f>
        <v>20</v>
      </c>
      <c r="W60" s="111" t="s">
        <v>31</v>
      </c>
      <c r="X60" s="111" t="s">
        <v>31</v>
      </c>
      <c r="Y60" s="111" t="s">
        <v>31</v>
      </c>
      <c r="Z60" s="111" t="s">
        <v>31</v>
      </c>
      <c r="AA60" s="175" t="e">
        <f t="shared" si="2"/>
        <v>#N/A</v>
      </c>
      <c r="AB60" s="393" t="e">
        <f t="shared" ref="AB60" si="63">IF((AA60+AA61+AA62+AA63+AA64)&gt;=0.25,0.25,0)</f>
        <v>#N/A</v>
      </c>
      <c r="AC60" s="111" t="s">
        <v>31</v>
      </c>
      <c r="AD60" s="111" t="s">
        <v>31</v>
      </c>
      <c r="AE60" s="175" t="e">
        <f t="shared" si="3"/>
        <v>#N/A</v>
      </c>
      <c r="AF60" s="387" t="e">
        <f t="shared" ref="AF60" si="64">IF((AE60+AE61+AE62+AE63+AE64)&gt;=0.25,0.25,0)</f>
        <v>#N/A</v>
      </c>
      <c r="AG60" s="406"/>
    </row>
    <row r="61" spans="1:33" ht="15.75" thickBot="1">
      <c r="A61" s="267"/>
      <c r="B61" s="264"/>
      <c r="C61" s="27" t="e">
        <f>IF(VLOOKUP(B60,PROPONENTES!$B$10:$N$39,4,FALSE)="","",VLOOKUP(B60,PROPONENTES!$B$10:$N$39,4,FALSE))</f>
        <v>#N/A</v>
      </c>
      <c r="D61" s="40" t="e">
        <f>VLOOKUP(B60,PROPONENTES!$B$10:$N$39,5,FALSE)</f>
        <v>#N/A</v>
      </c>
      <c r="E61" s="114"/>
      <c r="F61" s="114"/>
      <c r="G61" s="123" t="e">
        <f>+'10'!E16</f>
        <v>#N/A</v>
      </c>
      <c r="H61" s="124" t="e">
        <f>IF(C61="","",IF(G61&gt;='10'!$J$15*0.4,"SI","NO"))</f>
        <v>#N/A</v>
      </c>
      <c r="I61" s="27" t="e">
        <f t="shared" ref="I61:I64" si="65">IF(C61="",0,IF(AND(E61="SI",H61="SI",F61="SI"),1,0))</f>
        <v>#N/A</v>
      </c>
      <c r="J61" s="264"/>
      <c r="K61" s="398"/>
      <c r="L61" s="401"/>
      <c r="M61" s="398"/>
      <c r="N61" s="401"/>
      <c r="O61" s="115"/>
      <c r="P61" s="27" t="e">
        <f t="shared" si="44"/>
        <v>#N/A</v>
      </c>
      <c r="Q61" s="401"/>
      <c r="R61" s="398"/>
      <c r="S61" s="401"/>
      <c r="T61" s="391"/>
      <c r="U61" s="116"/>
      <c r="V61" s="270"/>
      <c r="W61" s="116"/>
      <c r="X61" s="116"/>
      <c r="Y61" s="116"/>
      <c r="Z61" s="116"/>
      <c r="AA61" s="175" t="e">
        <f t="shared" si="2"/>
        <v>#N/A</v>
      </c>
      <c r="AB61" s="270"/>
      <c r="AC61" s="116"/>
      <c r="AD61" s="116"/>
      <c r="AE61" s="176" t="e">
        <f t="shared" si="3"/>
        <v>#N/A</v>
      </c>
      <c r="AF61" s="388"/>
      <c r="AG61" s="395"/>
    </row>
    <row r="62" spans="1:33" ht="15.75" thickBot="1">
      <c r="A62" s="267"/>
      <c r="B62" s="264"/>
      <c r="C62" s="27" t="e">
        <f>IF(VLOOKUP(B60,PROPONENTES!$B$10:$N$39,6,FALSE)="","",VLOOKUP(B60,PROPONENTES!$B$10:$N$39,6,FALSE))</f>
        <v>#N/A</v>
      </c>
      <c r="D62" s="40" t="e">
        <f>VLOOKUP(B60,PROPONENTES!$B$10:$N$39,7,FALSE)</f>
        <v>#N/A</v>
      </c>
      <c r="E62" s="114"/>
      <c r="F62" s="114"/>
      <c r="G62" s="123" t="e">
        <f>+'10'!E17</f>
        <v>#N/A</v>
      </c>
      <c r="H62" s="124" t="e">
        <f>IF(C62="","",IF(G62&gt;='10'!$J$15*0.4,"SI","NO"))</f>
        <v>#N/A</v>
      </c>
      <c r="I62" s="27" t="e">
        <f t="shared" si="65"/>
        <v>#N/A</v>
      </c>
      <c r="J62" s="264"/>
      <c r="K62" s="398"/>
      <c r="L62" s="401"/>
      <c r="M62" s="398"/>
      <c r="N62" s="401"/>
      <c r="O62" s="115"/>
      <c r="P62" s="27" t="e">
        <f t="shared" si="44"/>
        <v>#N/A</v>
      </c>
      <c r="Q62" s="401"/>
      <c r="R62" s="398"/>
      <c r="S62" s="401"/>
      <c r="T62" s="391"/>
      <c r="U62" s="116"/>
      <c r="V62" s="270"/>
      <c r="W62" s="116"/>
      <c r="X62" s="116"/>
      <c r="Y62" s="116"/>
      <c r="Z62" s="116"/>
      <c r="AA62" s="175" t="e">
        <f t="shared" si="2"/>
        <v>#N/A</v>
      </c>
      <c r="AB62" s="270"/>
      <c r="AC62" s="116"/>
      <c r="AD62" s="116"/>
      <c r="AE62" s="176" t="e">
        <f t="shared" si="3"/>
        <v>#N/A</v>
      </c>
      <c r="AF62" s="388"/>
      <c r="AG62" s="395"/>
    </row>
    <row r="63" spans="1:33" ht="15.75" thickBot="1">
      <c r="A63" s="267"/>
      <c r="B63" s="264"/>
      <c r="C63" s="27" t="e">
        <f>IF(VLOOKUP(B60,PROPONENTES!$B$10:$N$39,8,FALSE)="","",VLOOKUP(B60,PROPONENTES!$B$10:$N$39,8,FALSE))</f>
        <v>#N/A</v>
      </c>
      <c r="D63" s="40" t="e">
        <f>VLOOKUP(B60,PROPONENTES!$B$10:$N$39,9,FALSE)</f>
        <v>#N/A</v>
      </c>
      <c r="E63" s="114"/>
      <c r="F63" s="114"/>
      <c r="G63" s="123" t="e">
        <f>+'10'!E18</f>
        <v>#N/A</v>
      </c>
      <c r="H63" s="124" t="e">
        <f>IF(C63="","",IF(G63&gt;='10'!$J$15*0.4,"SI","NO"))</f>
        <v>#N/A</v>
      </c>
      <c r="I63" s="126" t="e">
        <f t="shared" si="65"/>
        <v>#N/A</v>
      </c>
      <c r="J63" s="264"/>
      <c r="K63" s="398"/>
      <c r="L63" s="401"/>
      <c r="M63" s="398"/>
      <c r="N63" s="401"/>
      <c r="O63" s="114"/>
      <c r="P63" s="27" t="e">
        <f t="shared" si="44"/>
        <v>#N/A</v>
      </c>
      <c r="Q63" s="401"/>
      <c r="R63" s="398"/>
      <c r="S63" s="401"/>
      <c r="T63" s="391"/>
      <c r="U63" s="116"/>
      <c r="V63" s="270"/>
      <c r="W63" s="116"/>
      <c r="X63" s="116"/>
      <c r="Y63" s="116"/>
      <c r="Z63" s="116"/>
      <c r="AA63" s="175" t="e">
        <f t="shared" si="2"/>
        <v>#N/A</v>
      </c>
      <c r="AB63" s="270"/>
      <c r="AC63" s="116"/>
      <c r="AD63" s="116"/>
      <c r="AE63" s="176" t="e">
        <f t="shared" si="3"/>
        <v>#N/A</v>
      </c>
      <c r="AF63" s="388"/>
      <c r="AG63" s="395"/>
    </row>
    <row r="64" spans="1:33" ht="15.75" thickBot="1">
      <c r="A64" s="268"/>
      <c r="B64" s="265"/>
      <c r="C64" s="52" t="e">
        <f>IF(VLOOKUP(B60,PROPONENTES!$B$10:$N$39,10,FALSE)="","",VLOOKUP(B60,PROPONENTES!$B$10:$N$39,10,FALSE))</f>
        <v>#N/A</v>
      </c>
      <c r="D64" s="53" t="e">
        <f>VLOOKUP(B60,PROPONENTES!$B$10:$N$39,11,FALSE)</f>
        <v>#N/A</v>
      </c>
      <c r="E64" s="118"/>
      <c r="F64" s="118"/>
      <c r="G64" s="123" t="e">
        <f>+'10'!E19</f>
        <v>#N/A</v>
      </c>
      <c r="H64" s="124" t="e">
        <f>IF(C64="","",IF(G64&gt;='10'!$J$15*0.4,"SI","NO"))</f>
        <v>#N/A</v>
      </c>
      <c r="I64" s="128" t="e">
        <f t="shared" si="65"/>
        <v>#N/A</v>
      </c>
      <c r="J64" s="265"/>
      <c r="K64" s="399"/>
      <c r="L64" s="402"/>
      <c r="M64" s="399"/>
      <c r="N64" s="402"/>
      <c r="O64" s="118"/>
      <c r="P64" s="52" t="e">
        <f t="shared" si="44"/>
        <v>#N/A</v>
      </c>
      <c r="Q64" s="402"/>
      <c r="R64" s="399"/>
      <c r="S64" s="402"/>
      <c r="T64" s="392"/>
      <c r="U64" s="149"/>
      <c r="V64" s="271"/>
      <c r="W64" s="149"/>
      <c r="X64" s="149"/>
      <c r="Y64" s="149"/>
      <c r="Z64" s="149"/>
      <c r="AA64" s="175" t="e">
        <f t="shared" si="2"/>
        <v>#N/A</v>
      </c>
      <c r="AB64" s="271"/>
      <c r="AC64" s="149"/>
      <c r="AD64" s="149"/>
      <c r="AE64" s="177" t="e">
        <f t="shared" si="3"/>
        <v>#N/A</v>
      </c>
      <c r="AF64" s="389"/>
      <c r="AG64" s="396"/>
    </row>
    <row r="65" spans="1:33" ht="15.75" thickBot="1">
      <c r="A65" s="266">
        <v>11</v>
      </c>
      <c r="B65" s="263">
        <f>+PROPONENTES!B20</f>
        <v>0</v>
      </c>
      <c r="C65" s="47" t="e">
        <f>IF(VLOOKUP(B65,PROPONENTES!$B$10:$N$39,2,FALSE)="","",VLOOKUP(B65,PROPONENTES!$B$10:$N$39,2,FALSE))</f>
        <v>#N/A</v>
      </c>
      <c r="D65" s="48" t="e">
        <f>VLOOKUP(B65,PROPONENTES!$B$10:$N$39,3,FALSE)</f>
        <v>#N/A</v>
      </c>
      <c r="E65" s="109" t="s">
        <v>27</v>
      </c>
      <c r="F65" s="109" t="s">
        <v>27</v>
      </c>
      <c r="G65" s="123" t="e">
        <f>+'11'!E15</f>
        <v>#N/A</v>
      </c>
      <c r="H65" s="124" t="e">
        <f>IF(C65="","",IF(G65&gt;='11'!$J$15*0.4,"SI","NO"))</f>
        <v>#N/A</v>
      </c>
      <c r="I65" s="47" t="e">
        <f>IF(C65="",0,IF(AND(E65="SI",H65="SI",F65="SI"),1,0))</f>
        <v>#N/A</v>
      </c>
      <c r="J65" s="263" t="e">
        <f>IF((I65+I66+I67+I68+I69)&gt;=1,1,0)</f>
        <v>#N/A</v>
      </c>
      <c r="K65" s="397" t="s">
        <v>31</v>
      </c>
      <c r="L65" s="400">
        <f t="shared" ref="L65" si="66">IF(K65="CUMPLE",5,0)</f>
        <v>5</v>
      </c>
      <c r="M65" s="397" t="s">
        <v>31</v>
      </c>
      <c r="N65" s="400">
        <f t="shared" si="17"/>
        <v>5</v>
      </c>
      <c r="O65" s="113" t="s">
        <v>34</v>
      </c>
      <c r="P65" s="47" t="e">
        <f t="shared" si="44"/>
        <v>#N/A</v>
      </c>
      <c r="Q65" s="400" t="e">
        <f t="shared" ref="Q65" si="67">+L65+N65+IF(SUM(P65:P69)&gt;=1,-1,0)</f>
        <v>#N/A</v>
      </c>
      <c r="R65" s="397" t="s">
        <v>31</v>
      </c>
      <c r="S65" s="400">
        <f t="shared" ref="S65" si="68">IF(R65="CUMPLE",9,0)</f>
        <v>9</v>
      </c>
      <c r="T65" s="390" t="s">
        <v>31</v>
      </c>
      <c r="U65" s="111" t="s">
        <v>31</v>
      </c>
      <c r="V65" s="393">
        <f t="shared" ref="V65" si="69">IF(AND(T65="",U65="",U66="",U67="",U68="",U69=""),"",IF(AND(T65="CUMPLE",U65="",U66="",U67="",U68="",U69=""),"",IF(AND(T65="CUMPLE",OR(U65="CUMPLE",U65=""),OR(U66="CUMPLE",U66=""),OR(U67="CUMPLE",U67=""),OR(U68="CUMPLE",U68=""),OR(U69="CUMPLE",U69="")),20,0)))</f>
        <v>20</v>
      </c>
      <c r="W65" s="111" t="s">
        <v>31</v>
      </c>
      <c r="X65" s="111" t="s">
        <v>31</v>
      </c>
      <c r="Y65" s="111" t="s">
        <v>31</v>
      </c>
      <c r="Z65" s="111" t="s">
        <v>31</v>
      </c>
      <c r="AA65" s="175" t="e">
        <f t="shared" si="2"/>
        <v>#N/A</v>
      </c>
      <c r="AB65" s="393" t="e">
        <f t="shared" ref="AB65" si="70">IF((AA65+AA66+AA67+AA68+AA69)&gt;=0.25,0.25,0)</f>
        <v>#N/A</v>
      </c>
      <c r="AC65" s="111" t="s">
        <v>31</v>
      </c>
      <c r="AD65" s="111" t="s">
        <v>31</v>
      </c>
      <c r="AE65" s="175" t="e">
        <f t="shared" si="3"/>
        <v>#N/A</v>
      </c>
      <c r="AF65" s="387" t="e">
        <f t="shared" ref="AF65" si="71">IF((AE65+AE66+AE67+AE68+AE69)&gt;=0.25,0.25,0)</f>
        <v>#N/A</v>
      </c>
      <c r="AG65" s="406"/>
    </row>
    <row r="66" spans="1:33" ht="15.75" thickBot="1">
      <c r="A66" s="267"/>
      <c r="B66" s="264"/>
      <c r="C66" s="27" t="e">
        <f>IF(VLOOKUP(B65,PROPONENTES!$B$10:$N$39,4,FALSE)="","",VLOOKUP(B65,PROPONENTES!$B$10:$N$39,4,FALSE))</f>
        <v>#N/A</v>
      </c>
      <c r="D66" s="40" t="e">
        <f>VLOOKUP(B65,PROPONENTES!$B$10:$N$39,5,FALSE)</f>
        <v>#N/A</v>
      </c>
      <c r="E66" s="114"/>
      <c r="F66" s="114"/>
      <c r="G66" s="123" t="e">
        <f>+'11'!E16</f>
        <v>#N/A</v>
      </c>
      <c r="H66" s="124" t="e">
        <f>IF(C66="","",IF(G66&gt;='11'!$J$15*0.4,"SI","NO"))</f>
        <v>#N/A</v>
      </c>
      <c r="I66" s="27" t="e">
        <f t="shared" ref="I66:I69" si="72">IF(C66="",0,IF(AND(E66="SI",H66="SI",F66="SI"),1,0))</f>
        <v>#N/A</v>
      </c>
      <c r="J66" s="264"/>
      <c r="K66" s="398"/>
      <c r="L66" s="401"/>
      <c r="M66" s="398"/>
      <c r="N66" s="401"/>
      <c r="O66" s="115"/>
      <c r="P66" s="27" t="e">
        <f t="shared" si="44"/>
        <v>#N/A</v>
      </c>
      <c r="Q66" s="401"/>
      <c r="R66" s="398"/>
      <c r="S66" s="401"/>
      <c r="T66" s="391"/>
      <c r="U66" s="116"/>
      <c r="V66" s="270"/>
      <c r="W66" s="116"/>
      <c r="X66" s="116"/>
      <c r="Y66" s="116"/>
      <c r="Z66" s="116"/>
      <c r="AA66" s="175" t="e">
        <f t="shared" si="2"/>
        <v>#N/A</v>
      </c>
      <c r="AB66" s="270"/>
      <c r="AC66" s="116"/>
      <c r="AD66" s="116"/>
      <c r="AE66" s="176" t="e">
        <f t="shared" si="3"/>
        <v>#N/A</v>
      </c>
      <c r="AF66" s="388"/>
      <c r="AG66" s="395"/>
    </row>
    <row r="67" spans="1:33" ht="15.75" thickBot="1">
      <c r="A67" s="267"/>
      <c r="B67" s="264"/>
      <c r="C67" s="27" t="e">
        <f>IF(VLOOKUP(B65,PROPONENTES!$B$10:$N$39,6,FALSE)="","",VLOOKUP(B65,PROPONENTES!$B$10:$N$39,6,FALSE))</f>
        <v>#N/A</v>
      </c>
      <c r="D67" s="40" t="e">
        <f>VLOOKUP(B65,PROPONENTES!$B$10:$N$39,7,FALSE)</f>
        <v>#N/A</v>
      </c>
      <c r="E67" s="114"/>
      <c r="F67" s="114"/>
      <c r="G67" s="123" t="e">
        <f>+'11'!E17</f>
        <v>#N/A</v>
      </c>
      <c r="H67" s="124" t="e">
        <f>IF(C67="","",IF(G67&gt;='11'!$J$15*0.4,"SI","NO"))</f>
        <v>#N/A</v>
      </c>
      <c r="I67" s="27" t="e">
        <f t="shared" si="72"/>
        <v>#N/A</v>
      </c>
      <c r="J67" s="264"/>
      <c r="K67" s="398"/>
      <c r="L67" s="401"/>
      <c r="M67" s="398"/>
      <c r="N67" s="401"/>
      <c r="O67" s="115"/>
      <c r="P67" s="27" t="e">
        <f t="shared" si="44"/>
        <v>#N/A</v>
      </c>
      <c r="Q67" s="401"/>
      <c r="R67" s="398"/>
      <c r="S67" s="401"/>
      <c r="T67" s="391"/>
      <c r="U67" s="116"/>
      <c r="V67" s="270"/>
      <c r="W67" s="116"/>
      <c r="X67" s="116"/>
      <c r="Y67" s="116"/>
      <c r="Z67" s="116"/>
      <c r="AA67" s="175" t="e">
        <f t="shared" si="2"/>
        <v>#N/A</v>
      </c>
      <c r="AB67" s="270"/>
      <c r="AC67" s="116"/>
      <c r="AD67" s="116"/>
      <c r="AE67" s="176" t="e">
        <f t="shared" si="3"/>
        <v>#N/A</v>
      </c>
      <c r="AF67" s="388"/>
      <c r="AG67" s="395"/>
    </row>
    <row r="68" spans="1:33" ht="15.75" thickBot="1">
      <c r="A68" s="267"/>
      <c r="B68" s="264"/>
      <c r="C68" s="27" t="e">
        <f>IF(VLOOKUP(B65,PROPONENTES!$B$10:$N$39,8,FALSE)="","",VLOOKUP(B65,PROPONENTES!$B$10:$N$39,8,FALSE))</f>
        <v>#N/A</v>
      </c>
      <c r="D68" s="40" t="e">
        <f>VLOOKUP(B65,PROPONENTES!$B$10:$N$39,9,FALSE)</f>
        <v>#N/A</v>
      </c>
      <c r="E68" s="114"/>
      <c r="F68" s="114"/>
      <c r="G68" s="123" t="e">
        <f>+'11'!E18</f>
        <v>#N/A</v>
      </c>
      <c r="H68" s="124" t="e">
        <f>IF(C68="","",IF(G68&gt;='11'!$J$15*0.4,"SI","NO"))</f>
        <v>#N/A</v>
      </c>
      <c r="I68" s="126" t="e">
        <f t="shared" si="72"/>
        <v>#N/A</v>
      </c>
      <c r="J68" s="264"/>
      <c r="K68" s="398"/>
      <c r="L68" s="401"/>
      <c r="M68" s="398"/>
      <c r="N68" s="401"/>
      <c r="O68" s="114"/>
      <c r="P68" s="27" t="e">
        <f t="shared" si="44"/>
        <v>#N/A</v>
      </c>
      <c r="Q68" s="401"/>
      <c r="R68" s="398"/>
      <c r="S68" s="401"/>
      <c r="T68" s="391"/>
      <c r="U68" s="116"/>
      <c r="V68" s="270"/>
      <c r="W68" s="116"/>
      <c r="X68" s="116"/>
      <c r="Y68" s="116"/>
      <c r="Z68" s="116"/>
      <c r="AA68" s="175" t="e">
        <f t="shared" si="2"/>
        <v>#N/A</v>
      </c>
      <c r="AB68" s="270"/>
      <c r="AC68" s="116"/>
      <c r="AD68" s="116"/>
      <c r="AE68" s="176" t="e">
        <f t="shared" si="3"/>
        <v>#N/A</v>
      </c>
      <c r="AF68" s="388"/>
      <c r="AG68" s="395"/>
    </row>
    <row r="69" spans="1:33" ht="15.75" thickBot="1">
      <c r="A69" s="268"/>
      <c r="B69" s="265"/>
      <c r="C69" s="52" t="e">
        <f>IF(VLOOKUP(B65,PROPONENTES!$B$10:$N$39,10,FALSE)="","",VLOOKUP(B65,PROPONENTES!$B$10:$N$39,10,FALSE))</f>
        <v>#N/A</v>
      </c>
      <c r="D69" s="53" t="e">
        <f>VLOOKUP(B65,PROPONENTES!$B$10:$N$39,11,FALSE)</f>
        <v>#N/A</v>
      </c>
      <c r="E69" s="118"/>
      <c r="F69" s="118"/>
      <c r="G69" s="123" t="e">
        <f>+'11'!E19</f>
        <v>#N/A</v>
      </c>
      <c r="H69" s="124" t="e">
        <f>IF(C69="","",IF(G69&gt;='11'!$J$15*0.4,"SI","NO"))</f>
        <v>#N/A</v>
      </c>
      <c r="I69" s="128" t="e">
        <f t="shared" si="72"/>
        <v>#N/A</v>
      </c>
      <c r="J69" s="265"/>
      <c r="K69" s="399"/>
      <c r="L69" s="402"/>
      <c r="M69" s="399"/>
      <c r="N69" s="402"/>
      <c r="O69" s="118"/>
      <c r="P69" s="52" t="e">
        <f t="shared" si="44"/>
        <v>#N/A</v>
      </c>
      <c r="Q69" s="402"/>
      <c r="R69" s="399"/>
      <c r="S69" s="402"/>
      <c r="T69" s="392"/>
      <c r="U69" s="149"/>
      <c r="V69" s="271"/>
      <c r="W69" s="149"/>
      <c r="X69" s="149"/>
      <c r="Y69" s="149"/>
      <c r="Z69" s="149"/>
      <c r="AA69" s="175" t="e">
        <f t="shared" si="2"/>
        <v>#N/A</v>
      </c>
      <c r="AB69" s="271"/>
      <c r="AC69" s="149"/>
      <c r="AD69" s="149"/>
      <c r="AE69" s="177" t="e">
        <f t="shared" si="3"/>
        <v>#N/A</v>
      </c>
      <c r="AF69" s="389"/>
      <c r="AG69" s="396"/>
    </row>
    <row r="70" spans="1:33" ht="15.75" thickBot="1">
      <c r="A70" s="266">
        <v>12</v>
      </c>
      <c r="B70" s="263">
        <f>+PROPONENTES!B21</f>
        <v>0</v>
      </c>
      <c r="C70" s="47" t="e">
        <f>IF(VLOOKUP(B70,PROPONENTES!$B$10:$N$39,2,FALSE)="","",VLOOKUP(B70,PROPONENTES!$B$10:$N$39,2,FALSE))</f>
        <v>#N/A</v>
      </c>
      <c r="D70" s="48" t="e">
        <f>VLOOKUP(B70,PROPONENTES!$B$10:$N$39,3,FALSE)</f>
        <v>#N/A</v>
      </c>
      <c r="E70" s="109" t="s">
        <v>27</v>
      </c>
      <c r="F70" s="109" t="s">
        <v>27</v>
      </c>
      <c r="G70" s="123" t="e">
        <f>+'12'!E15</f>
        <v>#N/A</v>
      </c>
      <c r="H70" s="124" t="e">
        <f>IF(C70="","",IF(G70&gt;='12'!$J$15*0.4,"SI","NO"))</f>
        <v>#N/A</v>
      </c>
      <c r="I70" s="47" t="e">
        <f>IF(C70="",0,IF(AND(E70="SI",H70="SI",F70="SI"),1,0))</f>
        <v>#N/A</v>
      </c>
      <c r="J70" s="263" t="e">
        <f>IF((I70+I71+I72+I73+I74)&gt;=1,1,0)</f>
        <v>#N/A</v>
      </c>
      <c r="K70" s="397" t="s">
        <v>31</v>
      </c>
      <c r="L70" s="400">
        <f t="shared" ref="L70" si="73">IF(K70="CUMPLE",5,0)</f>
        <v>5</v>
      </c>
      <c r="M70" s="397" t="s">
        <v>31</v>
      </c>
      <c r="N70" s="400">
        <f t="shared" si="17"/>
        <v>5</v>
      </c>
      <c r="O70" s="113" t="s">
        <v>34</v>
      </c>
      <c r="P70" s="47" t="e">
        <f t="shared" si="44"/>
        <v>#N/A</v>
      </c>
      <c r="Q70" s="400" t="e">
        <f t="shared" ref="Q70" si="74">+L70+N70+IF(SUM(P70:P74)&gt;=1,-1,0)</f>
        <v>#N/A</v>
      </c>
      <c r="R70" s="397" t="s">
        <v>31</v>
      </c>
      <c r="S70" s="400">
        <f t="shared" ref="S70" si="75">IF(R70="CUMPLE",9,0)</f>
        <v>9</v>
      </c>
      <c r="T70" s="390" t="s">
        <v>31</v>
      </c>
      <c r="U70" s="111" t="s">
        <v>31</v>
      </c>
      <c r="V70" s="393">
        <f t="shared" ref="V70" si="76">IF(AND(T70="",U70="",U71="",U72="",U73="",U74=""),"",IF(AND(T70="CUMPLE",U70="",U71="",U72="",U73="",U74=""),"",IF(AND(T70="CUMPLE",OR(U70="CUMPLE",U70=""),OR(U71="CUMPLE",U71=""),OR(U72="CUMPLE",U72=""),OR(U73="CUMPLE",U73=""),OR(U74="CUMPLE",U74="")),20,0)))</f>
        <v>20</v>
      </c>
      <c r="W70" s="111" t="s">
        <v>31</v>
      </c>
      <c r="X70" s="111" t="s">
        <v>31</v>
      </c>
      <c r="Y70" s="111" t="s">
        <v>31</v>
      </c>
      <c r="Z70" s="111" t="s">
        <v>31</v>
      </c>
      <c r="AA70" s="175" t="e">
        <f t="shared" si="2"/>
        <v>#N/A</v>
      </c>
      <c r="AB70" s="393" t="e">
        <f t="shared" ref="AB70" si="77">IF((AA70+AA71+AA72+AA73+AA74)&gt;=0.25,0.25,0)</f>
        <v>#N/A</v>
      </c>
      <c r="AC70" s="111" t="s">
        <v>33</v>
      </c>
      <c r="AD70" s="111" t="s">
        <v>31</v>
      </c>
      <c r="AE70" s="175" t="e">
        <f t="shared" si="3"/>
        <v>#N/A</v>
      </c>
      <c r="AF70" s="387" t="e">
        <f t="shared" ref="AF70" si="78">IF((AE70+AE71+AE72+AE73+AE74)&gt;=0.25,0.25,0)</f>
        <v>#N/A</v>
      </c>
      <c r="AG70" s="406"/>
    </row>
    <row r="71" spans="1:33" ht="31.5" customHeight="1" thickBot="1">
      <c r="A71" s="267"/>
      <c r="B71" s="264"/>
      <c r="C71" s="27" t="e">
        <f>IF(VLOOKUP(B70,PROPONENTES!$B$10:$N$39,4,FALSE)="","",VLOOKUP(B70,PROPONENTES!$B$10:$N$39,4,FALSE))</f>
        <v>#N/A</v>
      </c>
      <c r="D71" s="40" t="e">
        <f>VLOOKUP(B70,PROPONENTES!$B$10:$N$39,5,FALSE)</f>
        <v>#N/A</v>
      </c>
      <c r="E71" s="114" t="s">
        <v>29</v>
      </c>
      <c r="F71" s="114" t="s">
        <v>29</v>
      </c>
      <c r="G71" s="123" t="e">
        <f>+'12'!E16</f>
        <v>#N/A</v>
      </c>
      <c r="H71" s="124" t="e">
        <f>IF(C71="","",IF(G71&gt;='12'!$J$15*0.4,"SI","NO"))</f>
        <v>#N/A</v>
      </c>
      <c r="I71" s="27" t="e">
        <f t="shared" ref="I71:I74" si="79">IF(C71="",0,IF(AND(E71="SI",H71="SI",F71="SI"),1,0))</f>
        <v>#N/A</v>
      </c>
      <c r="J71" s="264"/>
      <c r="K71" s="398"/>
      <c r="L71" s="401"/>
      <c r="M71" s="398"/>
      <c r="N71" s="401"/>
      <c r="O71" s="115" t="s">
        <v>34</v>
      </c>
      <c r="P71" s="27" t="e">
        <f t="shared" si="44"/>
        <v>#N/A</v>
      </c>
      <c r="Q71" s="401"/>
      <c r="R71" s="398"/>
      <c r="S71" s="401"/>
      <c r="T71" s="391"/>
      <c r="U71" s="116"/>
      <c r="V71" s="270"/>
      <c r="W71" s="116"/>
      <c r="X71" s="116"/>
      <c r="Y71" s="116"/>
      <c r="Z71" s="116"/>
      <c r="AA71" s="175" t="e">
        <f t="shared" si="2"/>
        <v>#N/A</v>
      </c>
      <c r="AB71" s="270"/>
      <c r="AC71" s="116" t="s">
        <v>31</v>
      </c>
      <c r="AD71" s="116" t="s">
        <v>31</v>
      </c>
      <c r="AE71" s="176" t="e">
        <f t="shared" si="3"/>
        <v>#N/A</v>
      </c>
      <c r="AF71" s="388"/>
      <c r="AG71" s="395"/>
    </row>
    <row r="72" spans="1:33" ht="15.75" thickBot="1">
      <c r="A72" s="267"/>
      <c r="B72" s="264"/>
      <c r="C72" s="27" t="e">
        <f>IF(VLOOKUP(B70,PROPONENTES!$B$10:$N$39,6,FALSE)="","",VLOOKUP(B70,PROPONENTES!$B$10:$N$39,6,FALSE))</f>
        <v>#N/A</v>
      </c>
      <c r="D72" s="40" t="e">
        <f>VLOOKUP(B70,PROPONENTES!$B$10:$N$39,7,FALSE)</f>
        <v>#N/A</v>
      </c>
      <c r="E72" s="114"/>
      <c r="F72" s="114"/>
      <c r="G72" s="123" t="e">
        <f>+'12'!E17</f>
        <v>#N/A</v>
      </c>
      <c r="H72" s="124" t="e">
        <f>IF(C72="","",IF(G72&gt;='12'!$J$15*0.4,"SI","NO"))</f>
        <v>#N/A</v>
      </c>
      <c r="I72" s="27" t="e">
        <f t="shared" si="79"/>
        <v>#N/A</v>
      </c>
      <c r="J72" s="264"/>
      <c r="K72" s="398"/>
      <c r="L72" s="401"/>
      <c r="M72" s="398"/>
      <c r="N72" s="401"/>
      <c r="O72" s="115"/>
      <c r="P72" s="27" t="e">
        <f t="shared" si="44"/>
        <v>#N/A</v>
      </c>
      <c r="Q72" s="401"/>
      <c r="R72" s="398"/>
      <c r="S72" s="401"/>
      <c r="T72" s="391"/>
      <c r="U72" s="116"/>
      <c r="V72" s="270"/>
      <c r="W72" s="116"/>
      <c r="X72" s="116"/>
      <c r="Y72" s="116"/>
      <c r="Z72" s="116"/>
      <c r="AA72" s="175" t="e">
        <f t="shared" si="2"/>
        <v>#N/A</v>
      </c>
      <c r="AB72" s="270"/>
      <c r="AC72" s="116"/>
      <c r="AD72" s="116"/>
      <c r="AE72" s="176" t="e">
        <f t="shared" si="3"/>
        <v>#N/A</v>
      </c>
      <c r="AF72" s="388"/>
      <c r="AG72" s="395"/>
    </row>
    <row r="73" spans="1:33" ht="15.75" thickBot="1">
      <c r="A73" s="267"/>
      <c r="B73" s="264"/>
      <c r="C73" s="27" t="e">
        <f>IF(VLOOKUP(B70,PROPONENTES!$B$10:$N$39,8,FALSE)="","",VLOOKUP(B70,PROPONENTES!$B$10:$N$39,8,FALSE))</f>
        <v>#N/A</v>
      </c>
      <c r="D73" s="40" t="e">
        <f>VLOOKUP(B70,PROPONENTES!$B$10:$N$39,9,FALSE)</f>
        <v>#N/A</v>
      </c>
      <c r="E73" s="114"/>
      <c r="F73" s="114"/>
      <c r="G73" s="123" t="e">
        <f>+'12'!E18</f>
        <v>#N/A</v>
      </c>
      <c r="H73" s="124" t="e">
        <f>IF(C73="","",IF(G73&gt;='12'!$J$15*0.4,"SI","NO"))</f>
        <v>#N/A</v>
      </c>
      <c r="I73" s="126" t="e">
        <f t="shared" si="79"/>
        <v>#N/A</v>
      </c>
      <c r="J73" s="264"/>
      <c r="K73" s="398"/>
      <c r="L73" s="401"/>
      <c r="M73" s="398"/>
      <c r="N73" s="401"/>
      <c r="O73" s="114"/>
      <c r="P73" s="27" t="e">
        <f t="shared" si="44"/>
        <v>#N/A</v>
      </c>
      <c r="Q73" s="401"/>
      <c r="R73" s="398"/>
      <c r="S73" s="401"/>
      <c r="T73" s="391"/>
      <c r="U73" s="116"/>
      <c r="V73" s="270"/>
      <c r="W73" s="116"/>
      <c r="X73" s="116"/>
      <c r="Y73" s="116"/>
      <c r="Z73" s="116"/>
      <c r="AA73" s="175" t="e">
        <f t="shared" si="2"/>
        <v>#N/A</v>
      </c>
      <c r="AB73" s="270"/>
      <c r="AC73" s="116"/>
      <c r="AD73" s="116"/>
      <c r="AE73" s="176" t="e">
        <f t="shared" si="3"/>
        <v>#N/A</v>
      </c>
      <c r="AF73" s="388"/>
      <c r="AG73" s="395"/>
    </row>
    <row r="74" spans="1:33" ht="15.75" thickBot="1">
      <c r="A74" s="268"/>
      <c r="B74" s="265"/>
      <c r="C74" s="52" t="e">
        <f>IF(VLOOKUP(B70,PROPONENTES!$B$10:$N$39,10,FALSE)="","",VLOOKUP(B70,PROPONENTES!$B$10:$N$39,10,FALSE))</f>
        <v>#N/A</v>
      </c>
      <c r="D74" s="53" t="e">
        <f>VLOOKUP(B70,PROPONENTES!$B$10:$N$39,11,FALSE)</f>
        <v>#N/A</v>
      </c>
      <c r="E74" s="118"/>
      <c r="F74" s="118"/>
      <c r="G74" s="123" t="e">
        <f>+'12'!E19</f>
        <v>#N/A</v>
      </c>
      <c r="H74" s="124" t="e">
        <f>IF(C74="","",IF(G74&gt;='12'!$J$15*0.4,"SI","NO"))</f>
        <v>#N/A</v>
      </c>
      <c r="I74" s="128" t="e">
        <f t="shared" si="79"/>
        <v>#N/A</v>
      </c>
      <c r="J74" s="265"/>
      <c r="K74" s="399"/>
      <c r="L74" s="402"/>
      <c r="M74" s="399"/>
      <c r="N74" s="402"/>
      <c r="O74" s="118"/>
      <c r="P74" s="52" t="e">
        <f t="shared" si="44"/>
        <v>#N/A</v>
      </c>
      <c r="Q74" s="402"/>
      <c r="R74" s="399"/>
      <c r="S74" s="402"/>
      <c r="T74" s="392"/>
      <c r="U74" s="149"/>
      <c r="V74" s="271"/>
      <c r="W74" s="149"/>
      <c r="X74" s="149"/>
      <c r="Y74" s="149"/>
      <c r="Z74" s="149"/>
      <c r="AA74" s="175" t="e">
        <f t="shared" si="2"/>
        <v>#N/A</v>
      </c>
      <c r="AB74" s="271"/>
      <c r="AC74" s="149"/>
      <c r="AD74" s="149"/>
      <c r="AE74" s="177" t="e">
        <f t="shared" si="3"/>
        <v>#N/A</v>
      </c>
      <c r="AF74" s="389"/>
      <c r="AG74" s="396"/>
    </row>
    <row r="75" spans="1:33" ht="15.75" thickBot="1">
      <c r="A75" s="266">
        <v>13</v>
      </c>
      <c r="B75" s="263">
        <f>+PROPONENTES!B22</f>
        <v>0</v>
      </c>
      <c r="C75" s="47" t="e">
        <f>IF(VLOOKUP(B75,PROPONENTES!$B$10:$N$39,2,FALSE)="","",VLOOKUP(B75,PROPONENTES!$B$10:$N$39,2,FALSE))</f>
        <v>#N/A</v>
      </c>
      <c r="D75" s="48" t="e">
        <f>VLOOKUP(B75,PROPONENTES!$B$10:$N$39,3,FALSE)</f>
        <v>#N/A</v>
      </c>
      <c r="E75" s="109" t="s">
        <v>27</v>
      </c>
      <c r="F75" s="109" t="s">
        <v>27</v>
      </c>
      <c r="G75" s="123" t="e">
        <f>+'13'!E15</f>
        <v>#N/A</v>
      </c>
      <c r="H75" s="124" t="e">
        <f>IF(C75="","",IF(G75&gt;='13'!$J$15*0.4,"SI","NO"))</f>
        <v>#N/A</v>
      </c>
      <c r="I75" s="47" t="e">
        <f>IF(C75="",0,IF(AND(E75="SI",H75="SI",F75="SI"),1,0))</f>
        <v>#N/A</v>
      </c>
      <c r="J75" s="263" t="e">
        <f>IF((I75+I76+I77+I78+I79)&gt;=1,1,0)</f>
        <v>#N/A</v>
      </c>
      <c r="K75" s="397" t="s">
        <v>31</v>
      </c>
      <c r="L75" s="400">
        <f t="shared" ref="L75" si="80">IF(K75="CUMPLE",5,0)</f>
        <v>5</v>
      </c>
      <c r="M75" s="397" t="s">
        <v>31</v>
      </c>
      <c r="N75" s="400">
        <f t="shared" si="17"/>
        <v>5</v>
      </c>
      <c r="O75" s="113" t="s">
        <v>34</v>
      </c>
      <c r="P75" s="47" t="e">
        <f t="shared" si="44"/>
        <v>#N/A</v>
      </c>
      <c r="Q75" s="400" t="e">
        <f t="shared" ref="Q75" si="81">+L75+N75+IF(SUM(P75:P79)&gt;=1,-1,0)</f>
        <v>#N/A</v>
      </c>
      <c r="R75" s="397" t="s">
        <v>31</v>
      </c>
      <c r="S75" s="400">
        <f t="shared" ref="S75" si="82">IF(R75="CUMPLE",9,0)</f>
        <v>9</v>
      </c>
      <c r="T75" s="390" t="s">
        <v>31</v>
      </c>
      <c r="U75" s="111" t="s">
        <v>31</v>
      </c>
      <c r="V75" s="393">
        <f t="shared" ref="V75" si="83">IF(AND(T75="",U75="",U76="",U77="",U78="",U79=""),"",IF(AND(T75="CUMPLE",U75="",U76="",U77="",U78="",U79=""),"",IF(AND(T75="CUMPLE",OR(U75="CUMPLE",U75=""),OR(U76="CUMPLE",U76=""),OR(U77="CUMPLE",U77=""),OR(U78="CUMPLE",U78=""),OR(U79="CUMPLE",U79="")),20,0)))</f>
        <v>20</v>
      </c>
      <c r="W75" s="111"/>
      <c r="X75" s="111"/>
      <c r="Y75" s="111"/>
      <c r="Z75" s="111"/>
      <c r="AA75" s="175" t="e">
        <f t="shared" si="2"/>
        <v>#N/A</v>
      </c>
      <c r="AB75" s="393" t="e">
        <f t="shared" ref="AB75" si="84">IF((AA75+AA76+AA77+AA78+AA79)&gt;=0.25,0.25,0)</f>
        <v>#N/A</v>
      </c>
      <c r="AC75" s="111" t="s">
        <v>31</v>
      </c>
      <c r="AD75" s="111" t="s">
        <v>31</v>
      </c>
      <c r="AE75" s="175" t="e">
        <f t="shared" si="3"/>
        <v>#N/A</v>
      </c>
      <c r="AF75" s="387" t="e">
        <f t="shared" ref="AF75" si="85">IF((AE75+AE76+AE77+AE78+AE79)&gt;=0.25,0.25,0)</f>
        <v>#N/A</v>
      </c>
      <c r="AG75" s="406"/>
    </row>
    <row r="76" spans="1:33" ht="15.75" thickBot="1">
      <c r="A76" s="267"/>
      <c r="B76" s="264"/>
      <c r="C76" s="27" t="e">
        <f>IF(VLOOKUP(B75,PROPONENTES!$B$10:$N$39,4,FALSE)="","",VLOOKUP(B75,PROPONENTES!$B$10:$N$39,4,FALSE))</f>
        <v>#N/A</v>
      </c>
      <c r="D76" s="40" t="e">
        <f>VLOOKUP(B75,PROPONENTES!$B$10:$N$39,5,FALSE)</f>
        <v>#N/A</v>
      </c>
      <c r="E76" s="114" t="s">
        <v>27</v>
      </c>
      <c r="F76" s="114" t="s">
        <v>27</v>
      </c>
      <c r="G76" s="123" t="e">
        <f>+'13'!E16</f>
        <v>#N/A</v>
      </c>
      <c r="H76" s="124" t="e">
        <f>IF(C76="","",IF(G76&gt;='13'!$J$15*0.4,"SI","NO"))</f>
        <v>#N/A</v>
      </c>
      <c r="I76" s="27" t="e">
        <f t="shared" ref="I76:I79" si="86">IF(C76="",0,IF(AND(E76="SI",H76="SI",F76="SI"),1,0))</f>
        <v>#N/A</v>
      </c>
      <c r="J76" s="264"/>
      <c r="K76" s="398"/>
      <c r="L76" s="401"/>
      <c r="M76" s="398"/>
      <c r="N76" s="401"/>
      <c r="O76" s="115" t="s">
        <v>34</v>
      </c>
      <c r="P76" s="27" t="e">
        <f t="shared" si="44"/>
        <v>#N/A</v>
      </c>
      <c r="Q76" s="401"/>
      <c r="R76" s="398"/>
      <c r="S76" s="401"/>
      <c r="T76" s="391"/>
      <c r="U76" s="116"/>
      <c r="V76" s="270"/>
      <c r="W76" s="116" t="s">
        <v>31</v>
      </c>
      <c r="X76" s="116" t="s">
        <v>31</v>
      </c>
      <c r="Y76" s="116" t="s">
        <v>31</v>
      </c>
      <c r="Z76" s="116" t="s">
        <v>31</v>
      </c>
      <c r="AA76" s="175" t="e">
        <f t="shared" si="2"/>
        <v>#N/A</v>
      </c>
      <c r="AB76" s="270"/>
      <c r="AC76" s="116" t="s">
        <v>33</v>
      </c>
      <c r="AD76" s="116" t="s">
        <v>31</v>
      </c>
      <c r="AE76" s="176" t="e">
        <f t="shared" si="3"/>
        <v>#N/A</v>
      </c>
      <c r="AF76" s="388"/>
      <c r="AG76" s="395"/>
    </row>
    <row r="77" spans="1:33" ht="15.75" thickBot="1">
      <c r="A77" s="267"/>
      <c r="B77" s="264"/>
      <c r="C77" s="27" t="e">
        <f>IF(VLOOKUP(B75,PROPONENTES!$B$10:$N$39,6,FALSE)="","",VLOOKUP(B75,PROPONENTES!$B$10:$N$39,6,FALSE))</f>
        <v>#N/A</v>
      </c>
      <c r="D77" s="40" t="e">
        <f>VLOOKUP(B75,PROPONENTES!$B$10:$N$39,7,FALSE)</f>
        <v>#N/A</v>
      </c>
      <c r="E77" s="114"/>
      <c r="F77" s="114"/>
      <c r="G77" s="123" t="e">
        <f>+'13'!E17</f>
        <v>#N/A</v>
      </c>
      <c r="H77" s="124" t="e">
        <f>IF(C77="","",IF(G77&gt;='13'!$J$15*0.4,"SI","NO"))</f>
        <v>#N/A</v>
      </c>
      <c r="I77" s="27" t="e">
        <f t="shared" si="86"/>
        <v>#N/A</v>
      </c>
      <c r="J77" s="264"/>
      <c r="K77" s="398"/>
      <c r="L77" s="401"/>
      <c r="M77" s="398"/>
      <c r="N77" s="401"/>
      <c r="O77" s="115"/>
      <c r="P77" s="27" t="e">
        <f t="shared" si="44"/>
        <v>#N/A</v>
      </c>
      <c r="Q77" s="401"/>
      <c r="R77" s="398"/>
      <c r="S77" s="401"/>
      <c r="T77" s="391"/>
      <c r="U77" s="116"/>
      <c r="V77" s="270"/>
      <c r="W77" s="116"/>
      <c r="X77" s="116"/>
      <c r="Y77" s="116"/>
      <c r="Z77" s="116"/>
      <c r="AA77" s="175" t="e">
        <f t="shared" si="2"/>
        <v>#N/A</v>
      </c>
      <c r="AB77" s="270"/>
      <c r="AC77" s="116"/>
      <c r="AD77" s="116"/>
      <c r="AE77" s="176" t="e">
        <f t="shared" si="3"/>
        <v>#N/A</v>
      </c>
      <c r="AF77" s="388"/>
      <c r="AG77" s="395"/>
    </row>
    <row r="78" spans="1:33" ht="15.75" thickBot="1">
      <c r="A78" s="267"/>
      <c r="B78" s="264"/>
      <c r="C78" s="27" t="e">
        <f>IF(VLOOKUP(B75,PROPONENTES!$B$10:$N$39,8,FALSE)="","",VLOOKUP(B75,PROPONENTES!$B$10:$N$39,8,FALSE))</f>
        <v>#N/A</v>
      </c>
      <c r="D78" s="40" t="e">
        <f>VLOOKUP(B75,PROPONENTES!$B$10:$N$39,9,FALSE)</f>
        <v>#N/A</v>
      </c>
      <c r="E78" s="114"/>
      <c r="F78" s="114"/>
      <c r="G78" s="123" t="e">
        <f>+'13'!E18</f>
        <v>#N/A</v>
      </c>
      <c r="H78" s="124" t="e">
        <f>IF(C78="","",IF(G78&gt;='13'!$J$15*0.4,"SI","NO"))</f>
        <v>#N/A</v>
      </c>
      <c r="I78" s="126" t="e">
        <f t="shared" si="86"/>
        <v>#N/A</v>
      </c>
      <c r="J78" s="264"/>
      <c r="K78" s="398"/>
      <c r="L78" s="401"/>
      <c r="M78" s="398"/>
      <c r="N78" s="401"/>
      <c r="O78" s="114"/>
      <c r="P78" s="27" t="e">
        <f t="shared" si="44"/>
        <v>#N/A</v>
      </c>
      <c r="Q78" s="401"/>
      <c r="R78" s="398"/>
      <c r="S78" s="401"/>
      <c r="T78" s="391"/>
      <c r="U78" s="116"/>
      <c r="V78" s="270"/>
      <c r="W78" s="116"/>
      <c r="X78" s="116"/>
      <c r="Y78" s="116"/>
      <c r="Z78" s="116"/>
      <c r="AA78" s="175" t="e">
        <f t="shared" si="2"/>
        <v>#N/A</v>
      </c>
      <c r="AB78" s="270"/>
      <c r="AC78" s="116"/>
      <c r="AD78" s="116"/>
      <c r="AE78" s="176" t="e">
        <f t="shared" si="3"/>
        <v>#N/A</v>
      </c>
      <c r="AF78" s="388"/>
      <c r="AG78" s="395"/>
    </row>
    <row r="79" spans="1:33" ht="15.75" thickBot="1">
      <c r="A79" s="268"/>
      <c r="B79" s="265"/>
      <c r="C79" s="52" t="e">
        <f>IF(VLOOKUP(B75,PROPONENTES!$B$10:$N$39,10,FALSE)="","",VLOOKUP(B75,PROPONENTES!$B$10:$N$39,10,FALSE))</f>
        <v>#N/A</v>
      </c>
      <c r="D79" s="53" t="e">
        <f>VLOOKUP(B75,PROPONENTES!$B$10:$N$39,11,FALSE)</f>
        <v>#N/A</v>
      </c>
      <c r="E79" s="118"/>
      <c r="F79" s="118"/>
      <c r="G79" s="123" t="e">
        <f>+'13'!E19</f>
        <v>#N/A</v>
      </c>
      <c r="H79" s="124" t="e">
        <f>IF(C79="","",IF(G79&gt;='13'!$J$15*0.4,"SI","NO"))</f>
        <v>#N/A</v>
      </c>
      <c r="I79" s="128" t="e">
        <f t="shared" si="86"/>
        <v>#N/A</v>
      </c>
      <c r="J79" s="265"/>
      <c r="K79" s="399"/>
      <c r="L79" s="402"/>
      <c r="M79" s="399"/>
      <c r="N79" s="402"/>
      <c r="O79" s="118"/>
      <c r="P79" s="52" t="e">
        <f t="shared" ref="P79:P110" si="87">IF(C79="","0",IF(O79="REPORTADO",1,0))</f>
        <v>#N/A</v>
      </c>
      <c r="Q79" s="402"/>
      <c r="R79" s="399"/>
      <c r="S79" s="402"/>
      <c r="T79" s="392"/>
      <c r="U79" s="149"/>
      <c r="V79" s="271"/>
      <c r="W79" s="149"/>
      <c r="X79" s="149"/>
      <c r="Y79" s="149"/>
      <c r="Z79" s="149"/>
      <c r="AA79" s="175" t="e">
        <f t="shared" si="2"/>
        <v>#N/A</v>
      </c>
      <c r="AB79" s="271"/>
      <c r="AC79" s="149"/>
      <c r="AD79" s="149"/>
      <c r="AE79" s="177" t="e">
        <f t="shared" si="3"/>
        <v>#N/A</v>
      </c>
      <c r="AF79" s="389"/>
      <c r="AG79" s="396"/>
    </row>
    <row r="80" spans="1:33" ht="15.75" thickBot="1">
      <c r="A80" s="266">
        <v>14</v>
      </c>
      <c r="B80" s="263">
        <f>+PROPONENTES!B23</f>
        <v>0</v>
      </c>
      <c r="C80" s="47" t="e">
        <f>IF(VLOOKUP(B80,PROPONENTES!$B$10:$N$39,2,FALSE)="","",VLOOKUP(B80,PROPONENTES!$B$10:$N$39,2,FALSE))</f>
        <v>#N/A</v>
      </c>
      <c r="D80" s="48" t="e">
        <f>VLOOKUP(B80,PROPONENTES!$B$10:$N$39,3,FALSE)</f>
        <v>#N/A</v>
      </c>
      <c r="E80" s="109"/>
      <c r="F80" s="109"/>
      <c r="G80" s="123" t="e">
        <f>+'14'!E15</f>
        <v>#N/A</v>
      </c>
      <c r="H80" s="124" t="e">
        <f>IF(C80="","",IF(G80&gt;='14'!$J$15*0.4,"SI","NO"))</f>
        <v>#N/A</v>
      </c>
      <c r="I80" s="47" t="e">
        <f>IF(C80="",0,IF(AND(E80="SI",H80="SI",F80="SI"),1,0))</f>
        <v>#N/A</v>
      </c>
      <c r="J80" s="263" t="e">
        <f>IF((I80+I81+I82+I83+I84)&gt;=1,1,0)</f>
        <v>#N/A</v>
      </c>
      <c r="K80" s="397" t="s">
        <v>31</v>
      </c>
      <c r="L80" s="400">
        <f t="shared" ref="L80" si="88">IF(K80="CUMPLE",5,0)</f>
        <v>5</v>
      </c>
      <c r="M80" s="397" t="s">
        <v>31</v>
      </c>
      <c r="N80" s="400">
        <f t="shared" si="17"/>
        <v>5</v>
      </c>
      <c r="O80" s="113" t="s">
        <v>34</v>
      </c>
      <c r="P80" s="47" t="e">
        <f t="shared" si="87"/>
        <v>#N/A</v>
      </c>
      <c r="Q80" s="400" t="e">
        <f t="shared" ref="Q80" si="89">+L80+N80+IF(SUM(P80:P84)&gt;=1,-1,0)</f>
        <v>#N/A</v>
      </c>
      <c r="R80" s="397" t="s">
        <v>31</v>
      </c>
      <c r="S80" s="400">
        <f t="shared" ref="S80" si="90">IF(R80="CUMPLE",9,0)</f>
        <v>9</v>
      </c>
      <c r="T80" s="390" t="s">
        <v>31</v>
      </c>
      <c r="U80" s="111" t="s">
        <v>31</v>
      </c>
      <c r="V80" s="393">
        <f t="shared" ref="V80" si="91">IF(AND(T80="",U80="",U81="",U82="",U83="",U84=""),"",IF(AND(T80="CUMPLE",U80="",U81="",U82="",U83="",U84=""),"",IF(AND(T80="CUMPLE",OR(U80="CUMPLE",U80=""),OR(U81="CUMPLE",U81=""),OR(U82="CUMPLE",U82=""),OR(U83="CUMPLE",U83=""),OR(U84="CUMPLE",U84="")),20,0)))</f>
        <v>20</v>
      </c>
      <c r="W80" s="111"/>
      <c r="X80" s="111"/>
      <c r="Y80" s="111"/>
      <c r="Z80" s="111"/>
      <c r="AA80" s="175" t="e">
        <f t="shared" ref="AA80:AA143" si="92">IF(C80="",0,IF(AND(OR(X80="CUMPLE",X80="N/A"),OR(Y80="CUMPLE",Y80="N/A"),OR(Z80="CUMPLE",Z80="N/A"),AND(W80="CUMPLE",D80&gt;=10%)),0.25,))</f>
        <v>#N/A</v>
      </c>
      <c r="AB80" s="393" t="e">
        <f t="shared" ref="AB80" si="93">IF((AA80+AA81+AA82+AA83+AA84)&gt;=0.25,0.25,0)</f>
        <v>#N/A</v>
      </c>
      <c r="AC80" s="111" t="s">
        <v>31</v>
      </c>
      <c r="AD80" s="111" t="s">
        <v>31</v>
      </c>
      <c r="AE80" s="175" t="e">
        <f t="shared" ref="AE80:AE129" si="94">IF(C80="",0,IF(AND(AC80="CUMPLE",AD80="CUMPLE",D80&gt;=10%),0.25,0))</f>
        <v>#N/A</v>
      </c>
      <c r="AF80" s="387" t="e">
        <f t="shared" ref="AF80" si="95">IF((AE80+AE81+AE82+AE83+AE84)&gt;=0.25,0.25,0)</f>
        <v>#N/A</v>
      </c>
      <c r="AG80" s="406"/>
    </row>
    <row r="81" spans="1:33" ht="15.75" thickBot="1">
      <c r="A81" s="267"/>
      <c r="B81" s="264"/>
      <c r="C81" s="27" t="e">
        <f>IF(VLOOKUP(B80,PROPONENTES!$B$10:$N$39,4,FALSE)="","",VLOOKUP(B80,PROPONENTES!$B$10:$N$39,4,FALSE))</f>
        <v>#N/A</v>
      </c>
      <c r="D81" s="40" t="e">
        <f>VLOOKUP(B80,PROPONENTES!$B$10:$N$39,5,FALSE)</f>
        <v>#N/A</v>
      </c>
      <c r="E81" s="114" t="s">
        <v>27</v>
      </c>
      <c r="F81" s="114" t="s">
        <v>27</v>
      </c>
      <c r="G81" s="123" t="e">
        <f>+'14'!E16</f>
        <v>#N/A</v>
      </c>
      <c r="H81" s="124" t="e">
        <f>IF(C81="","",IF(G81&gt;='14'!$J$15*0.4,"SI","NO"))</f>
        <v>#N/A</v>
      </c>
      <c r="I81" s="27" t="e">
        <f t="shared" ref="I81:I84" si="96">IF(C81="",0,IF(AND(E81="SI",H81="SI",F81="SI"),1,0))</f>
        <v>#N/A</v>
      </c>
      <c r="J81" s="264"/>
      <c r="K81" s="398"/>
      <c r="L81" s="401"/>
      <c r="M81" s="398"/>
      <c r="N81" s="401"/>
      <c r="O81" s="115" t="s">
        <v>34</v>
      </c>
      <c r="P81" s="27" t="e">
        <f t="shared" si="87"/>
        <v>#N/A</v>
      </c>
      <c r="Q81" s="401"/>
      <c r="R81" s="398"/>
      <c r="S81" s="401"/>
      <c r="T81" s="391"/>
      <c r="U81" s="116" t="s">
        <v>31</v>
      </c>
      <c r="V81" s="270"/>
      <c r="W81" s="116"/>
      <c r="X81" s="116"/>
      <c r="Y81" s="116"/>
      <c r="Z81" s="116"/>
      <c r="AA81" s="175" t="e">
        <f t="shared" si="92"/>
        <v>#N/A</v>
      </c>
      <c r="AB81" s="270"/>
      <c r="AC81" s="116"/>
      <c r="AD81" s="116"/>
      <c r="AE81" s="176" t="e">
        <f t="shared" si="94"/>
        <v>#N/A</v>
      </c>
      <c r="AF81" s="388"/>
      <c r="AG81" s="395"/>
    </row>
    <row r="82" spans="1:33" ht="15.75" thickBot="1">
      <c r="A82" s="267"/>
      <c r="B82" s="264"/>
      <c r="C82" s="27" t="e">
        <f>IF(VLOOKUP(B80,PROPONENTES!$B$10:$N$39,6,FALSE)="","",VLOOKUP(B80,PROPONENTES!$B$10:$N$39,6,FALSE))</f>
        <v>#N/A</v>
      </c>
      <c r="D82" s="40" t="e">
        <f>VLOOKUP(B80,PROPONENTES!$B$10:$N$39,7,FALSE)</f>
        <v>#N/A</v>
      </c>
      <c r="E82" s="114"/>
      <c r="F82" s="114"/>
      <c r="G82" s="123" t="e">
        <f>+'14'!E17</f>
        <v>#N/A</v>
      </c>
      <c r="H82" s="124" t="e">
        <f>IF(C82="","",IF(G82&gt;='14'!$J$15*0.4,"SI","NO"))</f>
        <v>#N/A</v>
      </c>
      <c r="I82" s="27" t="e">
        <f t="shared" si="96"/>
        <v>#N/A</v>
      </c>
      <c r="J82" s="264"/>
      <c r="K82" s="398"/>
      <c r="L82" s="401"/>
      <c r="M82" s="398"/>
      <c r="N82" s="401"/>
      <c r="O82" s="115" t="s">
        <v>34</v>
      </c>
      <c r="P82" s="27" t="e">
        <f t="shared" si="87"/>
        <v>#N/A</v>
      </c>
      <c r="Q82" s="401"/>
      <c r="R82" s="398"/>
      <c r="S82" s="401"/>
      <c r="T82" s="391"/>
      <c r="U82" s="116" t="s">
        <v>31</v>
      </c>
      <c r="V82" s="270"/>
      <c r="W82" s="116" t="s">
        <v>31</v>
      </c>
      <c r="X82" s="116" t="s">
        <v>31</v>
      </c>
      <c r="Y82" s="116" t="s">
        <v>31</v>
      </c>
      <c r="Z82" s="116" t="s">
        <v>31</v>
      </c>
      <c r="AA82" s="175" t="e">
        <f t="shared" si="92"/>
        <v>#N/A</v>
      </c>
      <c r="AB82" s="270"/>
      <c r="AC82" s="116" t="s">
        <v>31</v>
      </c>
      <c r="AD82" s="116" t="s">
        <v>31</v>
      </c>
      <c r="AE82" s="176" t="e">
        <f t="shared" si="94"/>
        <v>#N/A</v>
      </c>
      <c r="AF82" s="388"/>
      <c r="AG82" s="395"/>
    </row>
    <row r="83" spans="1:33" ht="15.75" thickBot="1">
      <c r="A83" s="267"/>
      <c r="B83" s="264"/>
      <c r="C83" s="27" t="e">
        <f>IF(VLOOKUP(B80,PROPONENTES!$B$10:$N$39,8,FALSE)="","",VLOOKUP(B80,PROPONENTES!$B$10:$N$39,8,FALSE))</f>
        <v>#N/A</v>
      </c>
      <c r="D83" s="40" t="e">
        <f>VLOOKUP(B80,PROPONENTES!$B$10:$N$39,9,FALSE)</f>
        <v>#N/A</v>
      </c>
      <c r="E83" s="114"/>
      <c r="F83" s="114"/>
      <c r="G83" s="123" t="e">
        <f>+'14'!E18</f>
        <v>#N/A</v>
      </c>
      <c r="H83" s="124" t="e">
        <f>IF(C83="","",IF(G83&gt;='14'!$J$15*0.4,"SI","NO"))</f>
        <v>#N/A</v>
      </c>
      <c r="I83" s="126" t="e">
        <f t="shared" si="96"/>
        <v>#N/A</v>
      </c>
      <c r="J83" s="264"/>
      <c r="K83" s="398"/>
      <c r="L83" s="401"/>
      <c r="M83" s="398"/>
      <c r="N83" s="401"/>
      <c r="O83" s="114"/>
      <c r="P83" s="27" t="e">
        <f t="shared" si="87"/>
        <v>#N/A</v>
      </c>
      <c r="Q83" s="401"/>
      <c r="R83" s="398"/>
      <c r="S83" s="401"/>
      <c r="T83" s="391"/>
      <c r="U83" s="116"/>
      <c r="V83" s="270"/>
      <c r="W83" s="116"/>
      <c r="X83" s="116"/>
      <c r="Y83" s="116"/>
      <c r="Z83" s="116"/>
      <c r="AA83" s="175" t="e">
        <f t="shared" si="92"/>
        <v>#N/A</v>
      </c>
      <c r="AB83" s="270"/>
      <c r="AC83" s="116"/>
      <c r="AD83" s="116"/>
      <c r="AE83" s="176" t="e">
        <f t="shared" si="94"/>
        <v>#N/A</v>
      </c>
      <c r="AF83" s="388"/>
      <c r="AG83" s="395"/>
    </row>
    <row r="84" spans="1:33" ht="15.75" thickBot="1">
      <c r="A84" s="268"/>
      <c r="B84" s="265"/>
      <c r="C84" s="52" t="e">
        <f>IF(VLOOKUP(B80,PROPONENTES!$B$10:$N$39,10,FALSE)="","",VLOOKUP(B80,PROPONENTES!$B$10:$N$39,10,FALSE))</f>
        <v>#N/A</v>
      </c>
      <c r="D84" s="53" t="e">
        <f>VLOOKUP(B80,PROPONENTES!$B$10:$N$39,11,FALSE)</f>
        <v>#N/A</v>
      </c>
      <c r="E84" s="118"/>
      <c r="F84" s="118"/>
      <c r="G84" s="123" t="e">
        <f>+'14'!E19</f>
        <v>#N/A</v>
      </c>
      <c r="H84" s="124" t="e">
        <f>IF(C84="","",IF(G84&gt;='14'!$J$15*0.4,"SI","NO"))</f>
        <v>#N/A</v>
      </c>
      <c r="I84" s="128" t="e">
        <f t="shared" si="96"/>
        <v>#N/A</v>
      </c>
      <c r="J84" s="265"/>
      <c r="K84" s="399"/>
      <c r="L84" s="402"/>
      <c r="M84" s="399"/>
      <c r="N84" s="402"/>
      <c r="O84" s="118"/>
      <c r="P84" s="52" t="e">
        <f t="shared" si="87"/>
        <v>#N/A</v>
      </c>
      <c r="Q84" s="402"/>
      <c r="R84" s="399"/>
      <c r="S84" s="402"/>
      <c r="T84" s="392"/>
      <c r="U84" s="149"/>
      <c r="V84" s="271"/>
      <c r="W84" s="149"/>
      <c r="X84" s="149"/>
      <c r="Y84" s="149"/>
      <c r="Z84" s="149"/>
      <c r="AA84" s="175" t="e">
        <f t="shared" si="92"/>
        <v>#N/A</v>
      </c>
      <c r="AB84" s="271"/>
      <c r="AC84" s="149"/>
      <c r="AD84" s="149"/>
      <c r="AE84" s="177" t="e">
        <f t="shared" si="94"/>
        <v>#N/A</v>
      </c>
      <c r="AF84" s="389"/>
      <c r="AG84" s="396"/>
    </row>
    <row r="85" spans="1:33" ht="15.75" thickBot="1">
      <c r="A85" s="266">
        <v>15</v>
      </c>
      <c r="B85" s="263">
        <f>+PROPONENTES!B24</f>
        <v>0</v>
      </c>
      <c r="C85" s="47" t="e">
        <f>IF(VLOOKUP(B85,PROPONENTES!$B$10:$N$39,2,FALSE)="","",VLOOKUP(B85,PROPONENTES!$B$10:$N$39,2,FALSE))</f>
        <v>#N/A</v>
      </c>
      <c r="D85" s="48" t="e">
        <f>VLOOKUP(B85,PROPONENTES!$B$10:$N$39,3,FALSE)</f>
        <v>#N/A</v>
      </c>
      <c r="E85" s="109"/>
      <c r="F85" s="109"/>
      <c r="G85" s="123" t="e">
        <f>+'15'!E15</f>
        <v>#N/A</v>
      </c>
      <c r="H85" s="124" t="e">
        <f>IF(C85="","",IF(G85&gt;='15'!$J$15*0.4,"SI","NO"))</f>
        <v>#N/A</v>
      </c>
      <c r="I85" s="47" t="e">
        <f>IF(C85="",0,IF(AND(E85="SI",H85="SI",F85="SI"),1,0))</f>
        <v>#N/A</v>
      </c>
      <c r="J85" s="263" t="e">
        <f>IF((I85+I86+I87+I88+I89)&gt;=1,1,0)</f>
        <v>#N/A</v>
      </c>
      <c r="K85" s="397" t="s">
        <v>31</v>
      </c>
      <c r="L85" s="400">
        <f t="shared" ref="L85" si="97">IF(K85="CUMPLE",5,0)</f>
        <v>5</v>
      </c>
      <c r="M85" s="397" t="s">
        <v>31</v>
      </c>
      <c r="N85" s="400">
        <f t="shared" si="17"/>
        <v>5</v>
      </c>
      <c r="O85" s="113" t="s">
        <v>34</v>
      </c>
      <c r="P85" s="47" t="e">
        <f t="shared" si="87"/>
        <v>#N/A</v>
      </c>
      <c r="Q85" s="400" t="e">
        <f t="shared" ref="Q85" si="98">+L85+N85+IF(SUM(P85:P89)&gt;=1,-1,0)</f>
        <v>#N/A</v>
      </c>
      <c r="R85" s="397" t="s">
        <v>31</v>
      </c>
      <c r="S85" s="400">
        <f t="shared" ref="S85" si="99">IF(R85="CUMPLE",9,0)</f>
        <v>9</v>
      </c>
      <c r="T85" s="390" t="s">
        <v>31</v>
      </c>
      <c r="U85" s="111" t="s">
        <v>31</v>
      </c>
      <c r="V85" s="393">
        <f t="shared" ref="V85" si="100">IF(AND(T85="",U85="",U86="",U87="",U88="",U89=""),"",IF(AND(T85="CUMPLE",U85="",U86="",U87="",U88="",U89=""),"",IF(AND(T85="CUMPLE",OR(U85="CUMPLE",U85=""),OR(U86="CUMPLE",U86=""),OR(U87="CUMPLE",U87=""),OR(U88="CUMPLE",U88=""),OR(U89="CUMPLE",U89="")),20,0)))</f>
        <v>20</v>
      </c>
      <c r="W85" s="111" t="s">
        <v>31</v>
      </c>
      <c r="X85" s="111" t="s">
        <v>31</v>
      </c>
      <c r="Y85" s="111" t="s">
        <v>31</v>
      </c>
      <c r="Z85" s="111" t="s">
        <v>31</v>
      </c>
      <c r="AA85" s="175" t="e">
        <f t="shared" si="92"/>
        <v>#N/A</v>
      </c>
      <c r="AB85" s="393" t="e">
        <f t="shared" ref="AB85" si="101">IF((AA85+AA86+AA87+AA88+AA89)&gt;=0.25,0.25,0)</f>
        <v>#N/A</v>
      </c>
      <c r="AC85" s="111" t="s">
        <v>31</v>
      </c>
      <c r="AD85" s="111" t="s">
        <v>31</v>
      </c>
      <c r="AE85" s="175" t="e">
        <f t="shared" si="94"/>
        <v>#N/A</v>
      </c>
      <c r="AF85" s="387" t="e">
        <f t="shared" ref="AF85" si="102">IF((AE85+AE86+AE87+AE88+AE89)&gt;=0.25,0.25,0)</f>
        <v>#N/A</v>
      </c>
      <c r="AG85" s="406"/>
    </row>
    <row r="86" spans="1:33" ht="15.75" thickBot="1">
      <c r="A86" s="267"/>
      <c r="B86" s="264"/>
      <c r="C86" s="27" t="e">
        <f>IF(VLOOKUP(B85,PROPONENTES!$B$10:$N$39,4,FALSE)="","",VLOOKUP(B85,PROPONENTES!$B$10:$N$39,4,FALSE))</f>
        <v>#N/A</v>
      </c>
      <c r="D86" s="40" t="e">
        <f>VLOOKUP(B85,PROPONENTES!$B$10:$N$39,5,FALSE)</f>
        <v>#N/A</v>
      </c>
      <c r="E86" s="114" t="s">
        <v>27</v>
      </c>
      <c r="F86" s="114" t="s">
        <v>27</v>
      </c>
      <c r="G86" s="123" t="e">
        <f>+'15'!E16</f>
        <v>#N/A</v>
      </c>
      <c r="H86" s="124" t="e">
        <f>IF(C86="","",IF(G86&gt;='15'!$J$15*0.4,"SI","NO"))</f>
        <v>#N/A</v>
      </c>
      <c r="I86" s="27" t="e">
        <f t="shared" ref="I86:I89" si="103">IF(C86="",0,IF(AND(E86="SI",H86="SI",F86="SI"),1,0))</f>
        <v>#N/A</v>
      </c>
      <c r="J86" s="264"/>
      <c r="K86" s="398"/>
      <c r="L86" s="401"/>
      <c r="M86" s="398"/>
      <c r="N86" s="401"/>
      <c r="O86" s="115" t="s">
        <v>34</v>
      </c>
      <c r="P86" s="27" t="e">
        <f t="shared" si="87"/>
        <v>#N/A</v>
      </c>
      <c r="Q86" s="401"/>
      <c r="R86" s="398"/>
      <c r="S86" s="401"/>
      <c r="T86" s="391"/>
      <c r="U86" s="116" t="s">
        <v>31</v>
      </c>
      <c r="V86" s="270"/>
      <c r="W86" s="116"/>
      <c r="X86" s="116"/>
      <c r="Y86" s="116"/>
      <c r="Z86" s="116"/>
      <c r="AA86" s="175" t="e">
        <f t="shared" si="92"/>
        <v>#N/A</v>
      </c>
      <c r="AB86" s="270"/>
      <c r="AC86" s="116"/>
      <c r="AD86" s="116"/>
      <c r="AE86" s="176" t="e">
        <f t="shared" si="94"/>
        <v>#N/A</v>
      </c>
      <c r="AF86" s="388"/>
      <c r="AG86" s="395"/>
    </row>
    <row r="87" spans="1:33" ht="15.75" thickBot="1">
      <c r="A87" s="267"/>
      <c r="B87" s="264"/>
      <c r="C87" s="27" t="e">
        <f>IF(VLOOKUP(B85,PROPONENTES!$B$10:$N$39,6,FALSE)="","",VLOOKUP(B85,PROPONENTES!$B$10:$N$39,6,FALSE))</f>
        <v>#N/A</v>
      </c>
      <c r="D87" s="40" t="e">
        <f>VLOOKUP(B85,PROPONENTES!$B$10:$N$39,7,FALSE)</f>
        <v>#N/A</v>
      </c>
      <c r="E87" s="114"/>
      <c r="F87" s="114"/>
      <c r="G87" s="123" t="e">
        <f>+'15'!E17</f>
        <v>#N/A</v>
      </c>
      <c r="H87" s="124" t="e">
        <f>IF(C87="","",IF(G87&gt;='15'!$J$15*0.4,"SI","NO"))</f>
        <v>#N/A</v>
      </c>
      <c r="I87" s="27" t="e">
        <f t="shared" si="103"/>
        <v>#N/A</v>
      </c>
      <c r="J87" s="264"/>
      <c r="K87" s="398"/>
      <c r="L87" s="401"/>
      <c r="M87" s="398"/>
      <c r="N87" s="401"/>
      <c r="O87" s="115"/>
      <c r="P87" s="27" t="e">
        <f t="shared" si="87"/>
        <v>#N/A</v>
      </c>
      <c r="Q87" s="401"/>
      <c r="R87" s="398"/>
      <c r="S87" s="401"/>
      <c r="T87" s="391"/>
      <c r="U87" s="116"/>
      <c r="V87" s="270"/>
      <c r="W87" s="116"/>
      <c r="X87" s="116"/>
      <c r="Y87" s="116"/>
      <c r="Z87" s="116"/>
      <c r="AA87" s="175" t="e">
        <f t="shared" si="92"/>
        <v>#N/A</v>
      </c>
      <c r="AB87" s="270"/>
      <c r="AC87" s="116"/>
      <c r="AD87" s="116"/>
      <c r="AE87" s="176" t="e">
        <f t="shared" si="94"/>
        <v>#N/A</v>
      </c>
      <c r="AF87" s="388"/>
      <c r="AG87" s="395"/>
    </row>
    <row r="88" spans="1:33" ht="15.75" thickBot="1">
      <c r="A88" s="267"/>
      <c r="B88" s="264"/>
      <c r="C88" s="27" t="e">
        <f>IF(VLOOKUP(B85,PROPONENTES!$B$10:$N$39,8,FALSE)="","",VLOOKUP(B85,PROPONENTES!$B$10:$N$39,8,FALSE))</f>
        <v>#N/A</v>
      </c>
      <c r="D88" s="40" t="e">
        <f>VLOOKUP(B85,PROPONENTES!$B$10:$N$39,9,FALSE)</f>
        <v>#N/A</v>
      </c>
      <c r="E88" s="114"/>
      <c r="F88" s="114"/>
      <c r="G88" s="123" t="e">
        <f>+'15'!E18</f>
        <v>#N/A</v>
      </c>
      <c r="H88" s="124" t="e">
        <f>IF(C88="","",IF(G88&gt;='15'!$J$15*0.4,"SI","NO"))</f>
        <v>#N/A</v>
      </c>
      <c r="I88" s="126" t="e">
        <f t="shared" si="103"/>
        <v>#N/A</v>
      </c>
      <c r="J88" s="264"/>
      <c r="K88" s="398"/>
      <c r="L88" s="401"/>
      <c r="M88" s="398"/>
      <c r="N88" s="401"/>
      <c r="O88" s="114"/>
      <c r="P88" s="27" t="e">
        <f t="shared" si="87"/>
        <v>#N/A</v>
      </c>
      <c r="Q88" s="401"/>
      <c r="R88" s="398"/>
      <c r="S88" s="401"/>
      <c r="T88" s="391"/>
      <c r="U88" s="116"/>
      <c r="V88" s="270"/>
      <c r="W88" s="116"/>
      <c r="X88" s="116"/>
      <c r="Y88" s="116"/>
      <c r="Z88" s="116"/>
      <c r="AA88" s="175" t="e">
        <f t="shared" si="92"/>
        <v>#N/A</v>
      </c>
      <c r="AB88" s="270"/>
      <c r="AC88" s="116"/>
      <c r="AD88" s="116"/>
      <c r="AE88" s="176" t="e">
        <f t="shared" si="94"/>
        <v>#N/A</v>
      </c>
      <c r="AF88" s="388"/>
      <c r="AG88" s="395"/>
    </row>
    <row r="89" spans="1:33" ht="15.75" thickBot="1">
      <c r="A89" s="268"/>
      <c r="B89" s="265"/>
      <c r="C89" s="52" t="e">
        <f>IF(VLOOKUP(B85,PROPONENTES!$B$10:$N$39,10,FALSE)="","",VLOOKUP(B85,PROPONENTES!$B$10:$N$39,10,FALSE))</f>
        <v>#N/A</v>
      </c>
      <c r="D89" s="53" t="e">
        <f>VLOOKUP(B85,PROPONENTES!$B$10:$N$39,11,FALSE)</f>
        <v>#N/A</v>
      </c>
      <c r="E89" s="118"/>
      <c r="F89" s="118"/>
      <c r="G89" s="123" t="e">
        <f>+'15'!E19</f>
        <v>#N/A</v>
      </c>
      <c r="H89" s="124" t="e">
        <f>IF(C89="","",IF(G89&gt;='15'!$J$15*0.4,"SI","NO"))</f>
        <v>#N/A</v>
      </c>
      <c r="I89" s="128" t="e">
        <f t="shared" si="103"/>
        <v>#N/A</v>
      </c>
      <c r="J89" s="265"/>
      <c r="K89" s="399"/>
      <c r="L89" s="402"/>
      <c r="M89" s="399"/>
      <c r="N89" s="402"/>
      <c r="O89" s="118"/>
      <c r="P89" s="52" t="e">
        <f t="shared" si="87"/>
        <v>#N/A</v>
      </c>
      <c r="Q89" s="402"/>
      <c r="R89" s="399"/>
      <c r="S89" s="402"/>
      <c r="T89" s="392"/>
      <c r="U89" s="149"/>
      <c r="V89" s="271"/>
      <c r="W89" s="149"/>
      <c r="X89" s="149"/>
      <c r="Y89" s="149"/>
      <c r="Z89" s="149"/>
      <c r="AA89" s="175" t="e">
        <f t="shared" si="92"/>
        <v>#N/A</v>
      </c>
      <c r="AB89" s="271"/>
      <c r="AC89" s="149"/>
      <c r="AD89" s="149"/>
      <c r="AE89" s="177" t="e">
        <f t="shared" si="94"/>
        <v>#N/A</v>
      </c>
      <c r="AF89" s="389"/>
      <c r="AG89" s="396"/>
    </row>
    <row r="90" spans="1:33" ht="15.75" thickBot="1">
      <c r="A90" s="266">
        <v>16</v>
      </c>
      <c r="B90" s="263">
        <f>+PROPONENTES!B25</f>
        <v>0</v>
      </c>
      <c r="C90" s="47" t="e">
        <f>IF(VLOOKUP(B90,PROPONENTES!$B$10:$N$39,2,FALSE)="","",VLOOKUP(B90,PROPONENTES!$B$10:$N$39,2,FALSE))</f>
        <v>#N/A</v>
      </c>
      <c r="D90" s="48" t="e">
        <f>VLOOKUP(B90,PROPONENTES!$B$10:$N$39,3,FALSE)</f>
        <v>#N/A</v>
      </c>
      <c r="E90" s="109"/>
      <c r="F90" s="109"/>
      <c r="G90" s="123" t="e">
        <f>+'16'!E15</f>
        <v>#N/A</v>
      </c>
      <c r="H90" s="124" t="e">
        <f>IF(C90="","",IF(G90&gt;='16'!$J$15*0.4,"SI","NO"))</f>
        <v>#N/A</v>
      </c>
      <c r="I90" s="47" t="e">
        <f>IF(C90="",0,IF(AND(E90="SI",H90="SI",F90="SI"),1,0))</f>
        <v>#N/A</v>
      </c>
      <c r="J90" s="263" t="e">
        <f>IF((I90+I91+I92+I93+I94)&gt;=1,1,0)</f>
        <v>#N/A</v>
      </c>
      <c r="K90" s="397" t="s">
        <v>31</v>
      </c>
      <c r="L90" s="400">
        <f t="shared" ref="L90" si="104">IF(K90="CUMPLE",5,0)</f>
        <v>5</v>
      </c>
      <c r="M90" s="397" t="s">
        <v>31</v>
      </c>
      <c r="N90" s="400">
        <f t="shared" si="17"/>
        <v>5</v>
      </c>
      <c r="O90" s="113" t="s">
        <v>34</v>
      </c>
      <c r="P90" s="47" t="e">
        <f t="shared" si="87"/>
        <v>#N/A</v>
      </c>
      <c r="Q90" s="400" t="e">
        <f t="shared" ref="Q90" si="105">+L90+N90+IF(SUM(P90:P94)&gt;=1,-1,0)</f>
        <v>#N/A</v>
      </c>
      <c r="R90" s="397" t="s">
        <v>31</v>
      </c>
      <c r="S90" s="400">
        <f t="shared" ref="S90" si="106">IF(R90="CUMPLE",9,0)</f>
        <v>9</v>
      </c>
      <c r="T90" s="390" t="s">
        <v>31</v>
      </c>
      <c r="U90" s="111" t="s">
        <v>31</v>
      </c>
      <c r="V90" s="393">
        <f t="shared" ref="V90" si="107">IF(AND(T90="",U90="",U91="",U92="",U93="",U94=""),"",IF(AND(T90="CUMPLE",U90="",U91="",U92="",U93="",U94=""),"",IF(AND(T90="CUMPLE",OR(U90="CUMPLE",U90=""),OR(U91="CUMPLE",U91=""),OR(U92="CUMPLE",U92=""),OR(U93="CUMPLE",U93=""),OR(U94="CUMPLE",U94="")),20,0)))</f>
        <v>20</v>
      </c>
      <c r="W90" s="111" t="s">
        <v>31</v>
      </c>
      <c r="X90" s="111" t="s">
        <v>31</v>
      </c>
      <c r="Y90" s="111" t="s">
        <v>31</v>
      </c>
      <c r="Z90" s="111" t="s">
        <v>31</v>
      </c>
      <c r="AA90" s="175" t="e">
        <f t="shared" si="92"/>
        <v>#N/A</v>
      </c>
      <c r="AB90" s="393" t="e">
        <f t="shared" ref="AB90" si="108">IF((AA90+AA91+AA92+AA93+AA94)&gt;=0.25,0.25,0)</f>
        <v>#N/A</v>
      </c>
      <c r="AC90" s="111" t="s">
        <v>31</v>
      </c>
      <c r="AD90" s="111" t="s">
        <v>31</v>
      </c>
      <c r="AE90" s="175" t="e">
        <f t="shared" si="94"/>
        <v>#N/A</v>
      </c>
      <c r="AF90" s="387" t="e">
        <f t="shared" ref="AF90" si="109">IF((AE90+AE91+AE92+AE93+AE94)&gt;=0.25,0.25,0)</f>
        <v>#N/A</v>
      </c>
      <c r="AG90" s="406"/>
    </row>
    <row r="91" spans="1:33" ht="15.75" thickBot="1">
      <c r="A91" s="267"/>
      <c r="B91" s="264"/>
      <c r="C91" s="27" t="e">
        <f>IF(VLOOKUP(B90,PROPONENTES!$B$10:$N$39,4,FALSE)="","",VLOOKUP(B90,PROPONENTES!$B$10:$N$39,4,FALSE))</f>
        <v>#N/A</v>
      </c>
      <c r="D91" s="40" t="e">
        <f>VLOOKUP(B90,PROPONENTES!$B$10:$N$39,5,FALSE)</f>
        <v>#N/A</v>
      </c>
      <c r="E91" s="114" t="s">
        <v>27</v>
      </c>
      <c r="F91" s="114" t="s">
        <v>27</v>
      </c>
      <c r="G91" s="123" t="e">
        <f>+'16'!E16</f>
        <v>#N/A</v>
      </c>
      <c r="H91" s="124" t="e">
        <f>IF(C91="","",IF(G91&gt;='16'!$J$15*0.4,"SI","NO"))</f>
        <v>#N/A</v>
      </c>
      <c r="I91" s="27" t="e">
        <f t="shared" ref="I91:I94" si="110">IF(C91="",0,IF(AND(E91="SI",H91="SI",F91="SI"),1,0))</f>
        <v>#N/A</v>
      </c>
      <c r="J91" s="264"/>
      <c r="K91" s="398"/>
      <c r="L91" s="401"/>
      <c r="M91" s="398"/>
      <c r="N91" s="401"/>
      <c r="O91" s="115" t="s">
        <v>34</v>
      </c>
      <c r="P91" s="27" t="e">
        <f t="shared" si="87"/>
        <v>#N/A</v>
      </c>
      <c r="Q91" s="401"/>
      <c r="R91" s="398"/>
      <c r="S91" s="401"/>
      <c r="T91" s="391"/>
      <c r="U91" s="116" t="s">
        <v>31</v>
      </c>
      <c r="V91" s="270"/>
      <c r="W91" s="116"/>
      <c r="X91" s="116"/>
      <c r="Y91" s="116"/>
      <c r="Z91" s="116"/>
      <c r="AA91" s="175" t="e">
        <f t="shared" si="92"/>
        <v>#N/A</v>
      </c>
      <c r="AB91" s="270"/>
      <c r="AC91" s="116"/>
      <c r="AD91" s="116"/>
      <c r="AE91" s="176" t="e">
        <f t="shared" si="94"/>
        <v>#N/A</v>
      </c>
      <c r="AF91" s="388"/>
      <c r="AG91" s="395"/>
    </row>
    <row r="92" spans="1:33" ht="15.75" thickBot="1">
      <c r="A92" s="267"/>
      <c r="B92" s="264"/>
      <c r="C92" s="27" t="e">
        <f>IF(VLOOKUP(B90,PROPONENTES!$B$10:$N$39,6,FALSE)="","",VLOOKUP(B90,PROPONENTES!$B$10:$N$39,6,FALSE))</f>
        <v>#N/A</v>
      </c>
      <c r="D92" s="40" t="e">
        <f>VLOOKUP(B90,PROPONENTES!$B$10:$N$39,7,FALSE)</f>
        <v>#N/A</v>
      </c>
      <c r="E92" s="114"/>
      <c r="F92" s="114"/>
      <c r="G92" s="123" t="e">
        <f>+'16'!E17</f>
        <v>#N/A</v>
      </c>
      <c r="H92" s="124" t="e">
        <f>IF(C92="","",IF(G92&gt;='16'!$J$15*0.4,"SI","NO"))</f>
        <v>#N/A</v>
      </c>
      <c r="I92" s="27" t="e">
        <f t="shared" si="110"/>
        <v>#N/A</v>
      </c>
      <c r="J92" s="264"/>
      <c r="K92" s="398"/>
      <c r="L92" s="401"/>
      <c r="M92" s="398"/>
      <c r="N92" s="401"/>
      <c r="O92" s="115"/>
      <c r="P92" s="27" t="e">
        <f t="shared" si="87"/>
        <v>#N/A</v>
      </c>
      <c r="Q92" s="401"/>
      <c r="R92" s="398"/>
      <c r="S92" s="401"/>
      <c r="T92" s="391"/>
      <c r="U92" s="116"/>
      <c r="V92" s="270"/>
      <c r="W92" s="116"/>
      <c r="X92" s="116"/>
      <c r="Y92" s="116"/>
      <c r="Z92" s="116"/>
      <c r="AA92" s="175" t="e">
        <f t="shared" si="92"/>
        <v>#N/A</v>
      </c>
      <c r="AB92" s="270"/>
      <c r="AC92" s="116"/>
      <c r="AD92" s="116"/>
      <c r="AE92" s="176" t="e">
        <f t="shared" si="94"/>
        <v>#N/A</v>
      </c>
      <c r="AF92" s="388"/>
      <c r="AG92" s="395"/>
    </row>
    <row r="93" spans="1:33" ht="15.75" thickBot="1">
      <c r="A93" s="267"/>
      <c r="B93" s="264"/>
      <c r="C93" s="27" t="e">
        <f>IF(VLOOKUP(B90,PROPONENTES!$B$10:$N$39,8,FALSE)="","",VLOOKUP(B90,PROPONENTES!$B$10:$N$39,8,FALSE))</f>
        <v>#N/A</v>
      </c>
      <c r="D93" s="40" t="e">
        <f>VLOOKUP(B90,PROPONENTES!$B$10:$N$39,9,FALSE)</f>
        <v>#N/A</v>
      </c>
      <c r="E93" s="114"/>
      <c r="F93" s="114"/>
      <c r="G93" s="123" t="e">
        <f>+'16'!E18</f>
        <v>#N/A</v>
      </c>
      <c r="H93" s="124" t="e">
        <f>IF(C93="","",IF(G93&gt;='16'!$J$15*0.4,"SI","NO"))</f>
        <v>#N/A</v>
      </c>
      <c r="I93" s="126" t="e">
        <f t="shared" si="110"/>
        <v>#N/A</v>
      </c>
      <c r="J93" s="264"/>
      <c r="K93" s="398"/>
      <c r="L93" s="401"/>
      <c r="M93" s="398"/>
      <c r="N93" s="401"/>
      <c r="O93" s="114"/>
      <c r="P93" s="27" t="e">
        <f t="shared" si="87"/>
        <v>#N/A</v>
      </c>
      <c r="Q93" s="401"/>
      <c r="R93" s="398"/>
      <c r="S93" s="401"/>
      <c r="T93" s="391"/>
      <c r="U93" s="116"/>
      <c r="V93" s="270"/>
      <c r="W93" s="116"/>
      <c r="X93" s="116"/>
      <c r="Y93" s="116"/>
      <c r="Z93" s="116"/>
      <c r="AA93" s="175" t="e">
        <f t="shared" si="92"/>
        <v>#N/A</v>
      </c>
      <c r="AB93" s="270"/>
      <c r="AC93" s="116"/>
      <c r="AD93" s="116"/>
      <c r="AE93" s="176" t="e">
        <f t="shared" si="94"/>
        <v>#N/A</v>
      </c>
      <c r="AF93" s="388"/>
      <c r="AG93" s="395"/>
    </row>
    <row r="94" spans="1:33" ht="15.75" thickBot="1">
      <c r="A94" s="268"/>
      <c r="B94" s="265"/>
      <c r="C94" s="52" t="e">
        <f>IF(VLOOKUP(B90,PROPONENTES!$B$10:$N$39,10,FALSE)="","",VLOOKUP(B90,PROPONENTES!$B$10:$N$39,10,FALSE))</f>
        <v>#N/A</v>
      </c>
      <c r="D94" s="53" t="e">
        <f>VLOOKUP(B90,PROPONENTES!$B$10:$N$39,11,FALSE)</f>
        <v>#N/A</v>
      </c>
      <c r="E94" s="118"/>
      <c r="F94" s="118"/>
      <c r="G94" s="123" t="e">
        <f>+'16'!E19</f>
        <v>#N/A</v>
      </c>
      <c r="H94" s="124" t="e">
        <f>IF(C94="","",IF(G94&gt;='16'!$J$15*0.4,"SI","NO"))</f>
        <v>#N/A</v>
      </c>
      <c r="I94" s="128" t="e">
        <f t="shared" si="110"/>
        <v>#N/A</v>
      </c>
      <c r="J94" s="265"/>
      <c r="K94" s="399"/>
      <c r="L94" s="402"/>
      <c r="M94" s="399"/>
      <c r="N94" s="402"/>
      <c r="O94" s="118"/>
      <c r="P94" s="52" t="e">
        <f t="shared" si="87"/>
        <v>#N/A</v>
      </c>
      <c r="Q94" s="402"/>
      <c r="R94" s="399"/>
      <c r="S94" s="402"/>
      <c r="T94" s="392"/>
      <c r="U94" s="149"/>
      <c r="V94" s="271"/>
      <c r="W94" s="149"/>
      <c r="X94" s="149"/>
      <c r="Y94" s="149"/>
      <c r="Z94" s="149"/>
      <c r="AA94" s="175" t="e">
        <f t="shared" si="92"/>
        <v>#N/A</v>
      </c>
      <c r="AB94" s="271"/>
      <c r="AC94" s="149"/>
      <c r="AD94" s="149"/>
      <c r="AE94" s="177" t="e">
        <f t="shared" si="94"/>
        <v>#N/A</v>
      </c>
      <c r="AF94" s="389"/>
      <c r="AG94" s="396"/>
    </row>
    <row r="95" spans="1:33" ht="15.75" thickBot="1">
      <c r="A95" s="266">
        <v>17</v>
      </c>
      <c r="B95" s="263">
        <f>+PROPONENTES!B26</f>
        <v>0</v>
      </c>
      <c r="C95" s="47" t="e">
        <f>IF(VLOOKUP(B95,PROPONENTES!$B$10:$N$39,2,FALSE)="","",VLOOKUP(B95,PROPONENTES!$B$10:$N$39,2,FALSE))</f>
        <v>#N/A</v>
      </c>
      <c r="D95" s="48" t="e">
        <f>VLOOKUP(B95,PROPONENTES!$B$10:$N$39,3,FALSE)</f>
        <v>#N/A</v>
      </c>
      <c r="E95" s="109" t="s">
        <v>27</v>
      </c>
      <c r="F95" s="109" t="s">
        <v>27</v>
      </c>
      <c r="G95" s="123" t="e">
        <f>+'17'!E15</f>
        <v>#N/A</v>
      </c>
      <c r="H95" s="124" t="e">
        <f>IF(C95="","",IF(G95&gt;='17'!$J$15*0.4,"SI","NO"))</f>
        <v>#N/A</v>
      </c>
      <c r="I95" s="47" t="e">
        <f>IF(C95="",0,IF(AND(E95="SI",H95="SI",F95="SI"),1,0))</f>
        <v>#N/A</v>
      </c>
      <c r="J95" s="263" t="e">
        <f>IF((I95+I96+I97+I98+I99)&gt;=1,1,0)</f>
        <v>#N/A</v>
      </c>
      <c r="K95" s="397" t="s">
        <v>31</v>
      </c>
      <c r="L95" s="400">
        <f t="shared" ref="L95" si="111">IF(K95="CUMPLE",5,0)</f>
        <v>5</v>
      </c>
      <c r="M95" s="397" t="s">
        <v>31</v>
      </c>
      <c r="N95" s="400">
        <f t="shared" ref="N95:N125" si="112">IF(M95="CUMPLE",5,0)</f>
        <v>5</v>
      </c>
      <c r="O95" s="113" t="s">
        <v>34</v>
      </c>
      <c r="P95" s="47" t="e">
        <f t="shared" si="87"/>
        <v>#N/A</v>
      </c>
      <c r="Q95" s="400" t="e">
        <f t="shared" ref="Q95" si="113">+L95+N95+IF(SUM(P95:P99)&gt;=1,-1,0)</f>
        <v>#N/A</v>
      </c>
      <c r="R95" s="397" t="s">
        <v>31</v>
      </c>
      <c r="S95" s="400">
        <f t="shared" ref="S95" si="114">IF(R95="CUMPLE",9,0)</f>
        <v>9</v>
      </c>
      <c r="T95" s="390" t="s">
        <v>31</v>
      </c>
      <c r="U95" s="111" t="s">
        <v>31</v>
      </c>
      <c r="V95" s="393">
        <f t="shared" ref="V95" si="115">IF(AND(T95="",U95="",U96="",U97="",U98="",U99=""),"",IF(AND(T95="CUMPLE",U95="",U96="",U97="",U98="",U99=""),"",IF(AND(T95="CUMPLE",OR(U95="CUMPLE",U95=""),OR(U96="CUMPLE",U96=""),OR(U97="CUMPLE",U97=""),OR(U98="CUMPLE",U98=""),OR(U99="CUMPLE",U99="")),20,0)))</f>
        <v>20</v>
      </c>
      <c r="W95" s="111" t="s">
        <v>31</v>
      </c>
      <c r="X95" s="111" t="s">
        <v>31</v>
      </c>
      <c r="Y95" s="111" t="s">
        <v>31</v>
      </c>
      <c r="Z95" s="111" t="s">
        <v>31</v>
      </c>
      <c r="AA95" s="175" t="e">
        <f t="shared" si="92"/>
        <v>#N/A</v>
      </c>
      <c r="AB95" s="393" t="e">
        <f t="shared" ref="AB95" si="116">IF((AA95+AA96+AA97+AA98+AA99)&gt;=0.25,0.25,0)</f>
        <v>#N/A</v>
      </c>
      <c r="AC95" s="111" t="s">
        <v>31</v>
      </c>
      <c r="AD95" s="111" t="s">
        <v>31</v>
      </c>
      <c r="AE95" s="175" t="e">
        <f t="shared" si="94"/>
        <v>#N/A</v>
      </c>
      <c r="AF95" s="387" t="e">
        <f t="shared" ref="AF95" si="117">IF((AE95+AE96+AE97+AE98+AE99)&gt;=0.25,0.25,0)</f>
        <v>#N/A</v>
      </c>
      <c r="AG95" s="406"/>
    </row>
    <row r="96" spans="1:33" ht="15.75" thickBot="1">
      <c r="A96" s="267"/>
      <c r="B96" s="264"/>
      <c r="C96" s="27" t="e">
        <f>IF(VLOOKUP(B95,PROPONENTES!$B$10:$N$39,4,FALSE)="","",VLOOKUP(B95,PROPONENTES!$B$10:$N$39,4,FALSE))</f>
        <v>#N/A</v>
      </c>
      <c r="D96" s="40" t="e">
        <f>VLOOKUP(B95,PROPONENTES!$B$10:$N$39,5,FALSE)</f>
        <v>#N/A</v>
      </c>
      <c r="E96" s="114"/>
      <c r="F96" s="114"/>
      <c r="G96" s="123" t="e">
        <f>+'17'!E16</f>
        <v>#N/A</v>
      </c>
      <c r="H96" s="124" t="e">
        <f>IF(C96="","",IF(G96&gt;='17'!$J$15*0.4,"SI","NO"))</f>
        <v>#N/A</v>
      </c>
      <c r="I96" s="27" t="e">
        <f t="shared" ref="I96:I99" si="118">IF(C96="",0,IF(AND(E96="SI",H96="SI",F96="SI"),1,0))</f>
        <v>#N/A</v>
      </c>
      <c r="J96" s="264"/>
      <c r="K96" s="398"/>
      <c r="L96" s="401"/>
      <c r="M96" s="398"/>
      <c r="N96" s="401"/>
      <c r="O96" s="115" t="s">
        <v>34</v>
      </c>
      <c r="P96" s="27" t="e">
        <f t="shared" si="87"/>
        <v>#N/A</v>
      </c>
      <c r="Q96" s="401"/>
      <c r="R96" s="398"/>
      <c r="S96" s="401"/>
      <c r="T96" s="391"/>
      <c r="U96" s="116"/>
      <c r="V96" s="270"/>
      <c r="W96" s="116"/>
      <c r="X96" s="116"/>
      <c r="Y96" s="116"/>
      <c r="Z96" s="116"/>
      <c r="AA96" s="175" t="e">
        <f t="shared" si="92"/>
        <v>#N/A</v>
      </c>
      <c r="AB96" s="270"/>
      <c r="AC96" s="116"/>
      <c r="AD96" s="116"/>
      <c r="AE96" s="176" t="e">
        <f t="shared" si="94"/>
        <v>#N/A</v>
      </c>
      <c r="AF96" s="388"/>
      <c r="AG96" s="395"/>
    </row>
    <row r="97" spans="1:33" ht="15.75" thickBot="1">
      <c r="A97" s="267"/>
      <c r="B97" s="264"/>
      <c r="C97" s="27" t="e">
        <f>IF(VLOOKUP(B95,PROPONENTES!$B$10:$N$39,6,FALSE)="","",VLOOKUP(B95,PROPONENTES!$B$10:$N$39,6,FALSE))</f>
        <v>#N/A</v>
      </c>
      <c r="D97" s="40" t="e">
        <f>VLOOKUP(B95,PROPONENTES!$B$10:$N$39,7,FALSE)</f>
        <v>#N/A</v>
      </c>
      <c r="E97" s="114"/>
      <c r="F97" s="114"/>
      <c r="G97" s="123" t="e">
        <f>+'17'!E17</f>
        <v>#N/A</v>
      </c>
      <c r="H97" s="124" t="e">
        <f>IF(C97="","",IF(G97&gt;='17'!$J$15*0.4,"SI","NO"))</f>
        <v>#N/A</v>
      </c>
      <c r="I97" s="27" t="e">
        <f t="shared" si="118"/>
        <v>#N/A</v>
      </c>
      <c r="J97" s="264"/>
      <c r="K97" s="398"/>
      <c r="L97" s="401"/>
      <c r="M97" s="398"/>
      <c r="N97" s="401"/>
      <c r="O97" s="115"/>
      <c r="P97" s="27" t="e">
        <f t="shared" si="87"/>
        <v>#N/A</v>
      </c>
      <c r="Q97" s="401"/>
      <c r="R97" s="398"/>
      <c r="S97" s="401"/>
      <c r="T97" s="391"/>
      <c r="U97" s="116"/>
      <c r="V97" s="270"/>
      <c r="W97" s="116"/>
      <c r="X97" s="116"/>
      <c r="Y97" s="116"/>
      <c r="Z97" s="116"/>
      <c r="AA97" s="175" t="e">
        <f t="shared" si="92"/>
        <v>#N/A</v>
      </c>
      <c r="AB97" s="270"/>
      <c r="AC97" s="116"/>
      <c r="AD97" s="116"/>
      <c r="AE97" s="176" t="e">
        <f t="shared" si="94"/>
        <v>#N/A</v>
      </c>
      <c r="AF97" s="388"/>
      <c r="AG97" s="395"/>
    </row>
    <row r="98" spans="1:33" ht="15.75" thickBot="1">
      <c r="A98" s="267"/>
      <c r="B98" s="264"/>
      <c r="C98" s="27" t="e">
        <f>IF(VLOOKUP(B95,PROPONENTES!$B$10:$N$39,8,FALSE)="","",VLOOKUP(B95,PROPONENTES!$B$10:$N$39,8,FALSE))</f>
        <v>#N/A</v>
      </c>
      <c r="D98" s="40" t="e">
        <f>VLOOKUP(B95,PROPONENTES!$B$10:$N$39,9,FALSE)</f>
        <v>#N/A</v>
      </c>
      <c r="E98" s="114"/>
      <c r="F98" s="114"/>
      <c r="G98" s="123" t="e">
        <f>+'17'!E18</f>
        <v>#N/A</v>
      </c>
      <c r="H98" s="124" t="e">
        <f>IF(C98="","",IF(G98&gt;='17'!$J$15*0.4,"SI","NO"))</f>
        <v>#N/A</v>
      </c>
      <c r="I98" s="126" t="e">
        <f t="shared" si="118"/>
        <v>#N/A</v>
      </c>
      <c r="J98" s="264"/>
      <c r="K98" s="398"/>
      <c r="L98" s="401"/>
      <c r="M98" s="398"/>
      <c r="N98" s="401"/>
      <c r="O98" s="114"/>
      <c r="P98" s="27" t="e">
        <f t="shared" si="87"/>
        <v>#N/A</v>
      </c>
      <c r="Q98" s="401"/>
      <c r="R98" s="398"/>
      <c r="S98" s="401"/>
      <c r="T98" s="391"/>
      <c r="U98" s="116"/>
      <c r="V98" s="270"/>
      <c r="W98" s="116"/>
      <c r="X98" s="116"/>
      <c r="Y98" s="116"/>
      <c r="Z98" s="116"/>
      <c r="AA98" s="175" t="e">
        <f t="shared" si="92"/>
        <v>#N/A</v>
      </c>
      <c r="AB98" s="270"/>
      <c r="AC98" s="116"/>
      <c r="AD98" s="116"/>
      <c r="AE98" s="176" t="e">
        <f t="shared" si="94"/>
        <v>#N/A</v>
      </c>
      <c r="AF98" s="388"/>
      <c r="AG98" s="395"/>
    </row>
    <row r="99" spans="1:33" ht="15.75" thickBot="1">
      <c r="A99" s="268"/>
      <c r="B99" s="265"/>
      <c r="C99" s="52" t="e">
        <f>IF(VLOOKUP(B95,PROPONENTES!$B$10:$N$39,10,FALSE)="","",VLOOKUP(B95,PROPONENTES!$B$10:$N$39,10,FALSE))</f>
        <v>#N/A</v>
      </c>
      <c r="D99" s="53" t="e">
        <f>VLOOKUP(B95,PROPONENTES!$B$10:$N$39,11,FALSE)</f>
        <v>#N/A</v>
      </c>
      <c r="E99" s="118"/>
      <c r="F99" s="118"/>
      <c r="G99" s="123" t="e">
        <f>+'17'!E19</f>
        <v>#N/A</v>
      </c>
      <c r="H99" s="124" t="e">
        <f>IF(C99="","",IF(G99&gt;='17'!$J$15*0.4,"SI","NO"))</f>
        <v>#N/A</v>
      </c>
      <c r="I99" s="128" t="e">
        <f t="shared" si="118"/>
        <v>#N/A</v>
      </c>
      <c r="J99" s="265"/>
      <c r="K99" s="399"/>
      <c r="L99" s="402"/>
      <c r="M99" s="399"/>
      <c r="N99" s="402"/>
      <c r="O99" s="118"/>
      <c r="P99" s="52" t="e">
        <f t="shared" si="87"/>
        <v>#N/A</v>
      </c>
      <c r="Q99" s="402"/>
      <c r="R99" s="399"/>
      <c r="S99" s="402"/>
      <c r="T99" s="392"/>
      <c r="U99" s="149"/>
      <c r="V99" s="271"/>
      <c r="W99" s="149"/>
      <c r="X99" s="149"/>
      <c r="Y99" s="149"/>
      <c r="Z99" s="149"/>
      <c r="AA99" s="175" t="e">
        <f t="shared" si="92"/>
        <v>#N/A</v>
      </c>
      <c r="AB99" s="271"/>
      <c r="AC99" s="149"/>
      <c r="AD99" s="149"/>
      <c r="AE99" s="177" t="e">
        <f t="shared" si="94"/>
        <v>#N/A</v>
      </c>
      <c r="AF99" s="389"/>
      <c r="AG99" s="396"/>
    </row>
    <row r="100" spans="1:33" ht="33.75" customHeight="1" thickBot="1">
      <c r="A100" s="266">
        <v>18</v>
      </c>
      <c r="B100" s="263">
        <f>+PROPONENTES!B27</f>
        <v>0</v>
      </c>
      <c r="C100" s="47" t="e">
        <f>IF(VLOOKUP(B100,PROPONENTES!$B$10:$N$39,2,FALSE)="","",VLOOKUP(B100,PROPONENTES!$B$10:$N$39,2,FALSE))</f>
        <v>#N/A</v>
      </c>
      <c r="D100" s="48" t="e">
        <f>VLOOKUP(B100,PROPONENTES!$B$10:$N$39,3,FALSE)</f>
        <v>#N/A</v>
      </c>
      <c r="E100" s="109" t="s">
        <v>27</v>
      </c>
      <c r="F100" s="109" t="s">
        <v>27</v>
      </c>
      <c r="G100" s="123" t="e">
        <f>+'18'!E15</f>
        <v>#N/A</v>
      </c>
      <c r="H100" s="124" t="e">
        <f>IF(C100="","",IF(G100&gt;='18'!$J$15*0.4,"SI","NO"))</f>
        <v>#N/A</v>
      </c>
      <c r="I100" s="47" t="e">
        <f>IF(C100="",0,IF(AND(E100="SI",H100="SI",F100="SI"),1,0))</f>
        <v>#N/A</v>
      </c>
      <c r="J100" s="263" t="e">
        <f>IF((I100+I101+I102+I103+I104)&gt;=1,1,0)</f>
        <v>#N/A</v>
      </c>
      <c r="K100" s="397" t="s">
        <v>31</v>
      </c>
      <c r="L100" s="400">
        <f t="shared" ref="L100" si="119">IF(K100="CUMPLE",5,0)</f>
        <v>5</v>
      </c>
      <c r="M100" s="397" t="s">
        <v>31</v>
      </c>
      <c r="N100" s="400">
        <f t="shared" si="112"/>
        <v>5</v>
      </c>
      <c r="O100" s="113" t="s">
        <v>34</v>
      </c>
      <c r="P100" s="47" t="e">
        <f t="shared" si="87"/>
        <v>#N/A</v>
      </c>
      <c r="Q100" s="400" t="e">
        <f t="shared" ref="Q100" si="120">+L100+N100+IF(SUM(P100:P104)&gt;=1,-1,0)</f>
        <v>#N/A</v>
      </c>
      <c r="R100" s="397" t="s">
        <v>31</v>
      </c>
      <c r="S100" s="400">
        <f t="shared" ref="S100" si="121">IF(R100="CUMPLE",9,0)</f>
        <v>9</v>
      </c>
      <c r="T100" s="390" t="s">
        <v>31</v>
      </c>
      <c r="U100" s="111" t="s">
        <v>31</v>
      </c>
      <c r="V100" s="393">
        <f t="shared" ref="V100" si="122">IF(AND(T100="",U100="",U101="",U102="",U103="",U104=""),"",IF(AND(T100="CUMPLE",U100="",U101="",U102="",U103="",U104=""),"",IF(AND(T100="CUMPLE",OR(U100="CUMPLE",U100=""),OR(U101="CUMPLE",U101=""),OR(U102="CUMPLE",U102=""),OR(U103="CUMPLE",U103=""),OR(U104="CUMPLE",U104="")),20,0)))</f>
        <v>20</v>
      </c>
      <c r="W100" s="111"/>
      <c r="X100" s="111"/>
      <c r="Y100" s="111"/>
      <c r="Z100" s="111"/>
      <c r="AA100" s="175" t="e">
        <f t="shared" si="92"/>
        <v>#N/A</v>
      </c>
      <c r="AB100" s="393" t="e">
        <f t="shared" ref="AB100" si="123">IF((AA100+AA101+AA102+AA103+AA104)&gt;=0.25,0.25,0)</f>
        <v>#N/A</v>
      </c>
      <c r="AC100" s="111" t="s">
        <v>31</v>
      </c>
      <c r="AD100" s="111" t="s">
        <v>31</v>
      </c>
      <c r="AE100" s="175" t="e">
        <f t="shared" si="94"/>
        <v>#N/A</v>
      </c>
      <c r="AF100" s="387" t="e">
        <f t="shared" ref="AF100" si="124">IF((AE100+AE101+AE102+AE103+AE104)&gt;=0.25,0.25,0)</f>
        <v>#N/A</v>
      </c>
      <c r="AG100" s="406"/>
    </row>
    <row r="101" spans="1:33" ht="15.75" thickBot="1">
      <c r="A101" s="267"/>
      <c r="B101" s="264"/>
      <c r="C101" s="27" t="e">
        <f>IF(VLOOKUP(B100,PROPONENTES!$B$10:$N$39,4,FALSE)="","",VLOOKUP(B100,PROPONENTES!$B$10:$N$39,4,FALSE))</f>
        <v>#N/A</v>
      </c>
      <c r="D101" s="40" t="e">
        <f>VLOOKUP(B100,PROPONENTES!$B$10:$N$39,5,FALSE)</f>
        <v>#N/A</v>
      </c>
      <c r="E101" s="114"/>
      <c r="F101" s="114"/>
      <c r="G101" s="123" t="e">
        <f>+'18'!E16</f>
        <v>#N/A</v>
      </c>
      <c r="H101" s="124" t="e">
        <f>IF(C101="","",IF(G101&gt;='18'!$J$15*0.4,"SI","NO"))</f>
        <v>#N/A</v>
      </c>
      <c r="I101" s="27" t="e">
        <f t="shared" ref="I101:I104" si="125">IF(C101="",0,IF(AND(E101="SI",H101="SI",F101="SI"),1,0))</f>
        <v>#N/A</v>
      </c>
      <c r="J101" s="264"/>
      <c r="K101" s="398"/>
      <c r="L101" s="401"/>
      <c r="M101" s="398"/>
      <c r="N101" s="401"/>
      <c r="O101" s="115" t="s">
        <v>34</v>
      </c>
      <c r="P101" s="27" t="e">
        <f t="shared" si="87"/>
        <v>#N/A</v>
      </c>
      <c r="Q101" s="401"/>
      <c r="R101" s="398"/>
      <c r="S101" s="401"/>
      <c r="T101" s="391"/>
      <c r="U101" s="116" t="s">
        <v>31</v>
      </c>
      <c r="V101" s="270"/>
      <c r="W101" s="116" t="s">
        <v>31</v>
      </c>
      <c r="X101" s="116" t="s">
        <v>31</v>
      </c>
      <c r="Y101" s="116" t="s">
        <v>31</v>
      </c>
      <c r="Z101" s="116" t="s">
        <v>31</v>
      </c>
      <c r="AA101" s="175" t="e">
        <f t="shared" si="92"/>
        <v>#N/A</v>
      </c>
      <c r="AB101" s="270"/>
      <c r="AC101" s="116" t="s">
        <v>31</v>
      </c>
      <c r="AD101" s="116" t="s">
        <v>31</v>
      </c>
      <c r="AE101" s="176" t="e">
        <f t="shared" si="94"/>
        <v>#N/A</v>
      </c>
      <c r="AF101" s="388"/>
      <c r="AG101" s="395"/>
    </row>
    <row r="102" spans="1:33" ht="15.75" thickBot="1">
      <c r="A102" s="267"/>
      <c r="B102" s="264"/>
      <c r="C102" s="27" t="e">
        <f>IF(VLOOKUP(B100,PROPONENTES!$B$10:$N$39,6,FALSE)="","",VLOOKUP(B100,PROPONENTES!$B$10:$N$39,6,FALSE))</f>
        <v>#N/A</v>
      </c>
      <c r="D102" s="40" t="e">
        <f>VLOOKUP(B100,PROPONENTES!$B$10:$N$39,7,FALSE)</f>
        <v>#N/A</v>
      </c>
      <c r="E102" s="114"/>
      <c r="F102" s="114"/>
      <c r="G102" s="123" t="e">
        <f>+'18'!E17</f>
        <v>#N/A</v>
      </c>
      <c r="H102" s="124" t="e">
        <f>IF(C102="","",IF(G102&gt;='18'!$J$15*0.4,"SI","NO"))</f>
        <v>#N/A</v>
      </c>
      <c r="I102" s="27" t="e">
        <f t="shared" si="125"/>
        <v>#N/A</v>
      </c>
      <c r="J102" s="264"/>
      <c r="K102" s="398"/>
      <c r="L102" s="401"/>
      <c r="M102" s="398"/>
      <c r="N102" s="401"/>
      <c r="O102" s="115"/>
      <c r="P102" s="27" t="e">
        <f t="shared" si="87"/>
        <v>#N/A</v>
      </c>
      <c r="Q102" s="401"/>
      <c r="R102" s="398"/>
      <c r="S102" s="401"/>
      <c r="T102" s="391"/>
      <c r="U102" s="116"/>
      <c r="V102" s="270"/>
      <c r="W102" s="116"/>
      <c r="X102" s="116"/>
      <c r="Y102" s="116"/>
      <c r="Z102" s="116"/>
      <c r="AA102" s="175" t="e">
        <f t="shared" si="92"/>
        <v>#N/A</v>
      </c>
      <c r="AB102" s="270"/>
      <c r="AC102" s="116"/>
      <c r="AD102" s="116"/>
      <c r="AE102" s="176" t="e">
        <f t="shared" si="94"/>
        <v>#N/A</v>
      </c>
      <c r="AF102" s="388"/>
      <c r="AG102" s="395"/>
    </row>
    <row r="103" spans="1:33" ht="15.75" thickBot="1">
      <c r="A103" s="267"/>
      <c r="B103" s="264"/>
      <c r="C103" s="27" t="e">
        <f>IF(VLOOKUP(B100,PROPONENTES!$B$10:$N$39,8,FALSE)="","",VLOOKUP(B100,PROPONENTES!$B$10:$N$39,8,FALSE))</f>
        <v>#N/A</v>
      </c>
      <c r="D103" s="40" t="e">
        <f>VLOOKUP(B100,PROPONENTES!$B$10:$N$39,9,FALSE)</f>
        <v>#N/A</v>
      </c>
      <c r="E103" s="114"/>
      <c r="F103" s="114"/>
      <c r="G103" s="123" t="e">
        <f>+'18'!E18</f>
        <v>#N/A</v>
      </c>
      <c r="H103" s="124" t="e">
        <f>IF(C103="","",IF(G103&gt;='18'!$J$15*0.4,"SI","NO"))</f>
        <v>#N/A</v>
      </c>
      <c r="I103" s="126" t="e">
        <f t="shared" si="125"/>
        <v>#N/A</v>
      </c>
      <c r="J103" s="264"/>
      <c r="K103" s="398"/>
      <c r="L103" s="401"/>
      <c r="M103" s="398"/>
      <c r="N103" s="401"/>
      <c r="O103" s="114"/>
      <c r="P103" s="27" t="e">
        <f t="shared" si="87"/>
        <v>#N/A</v>
      </c>
      <c r="Q103" s="401"/>
      <c r="R103" s="398"/>
      <c r="S103" s="401"/>
      <c r="T103" s="391"/>
      <c r="U103" s="116"/>
      <c r="V103" s="270"/>
      <c r="W103" s="116"/>
      <c r="X103" s="116"/>
      <c r="Y103" s="116"/>
      <c r="Z103" s="116"/>
      <c r="AA103" s="175" t="e">
        <f t="shared" si="92"/>
        <v>#N/A</v>
      </c>
      <c r="AB103" s="270"/>
      <c r="AC103" s="116"/>
      <c r="AD103" s="116"/>
      <c r="AE103" s="176" t="e">
        <f t="shared" si="94"/>
        <v>#N/A</v>
      </c>
      <c r="AF103" s="388"/>
      <c r="AG103" s="395"/>
    </row>
    <row r="104" spans="1:33" ht="15.75" thickBot="1">
      <c r="A104" s="268"/>
      <c r="B104" s="265"/>
      <c r="C104" s="52" t="e">
        <f>IF(VLOOKUP(B100,PROPONENTES!$B$10:$N$39,10,FALSE)="","",VLOOKUP(B100,PROPONENTES!$B$10:$N$39,10,FALSE))</f>
        <v>#N/A</v>
      </c>
      <c r="D104" s="53" t="e">
        <f>VLOOKUP(B100,PROPONENTES!$B$10:$N$39,11,FALSE)</f>
        <v>#N/A</v>
      </c>
      <c r="E104" s="118"/>
      <c r="F104" s="118"/>
      <c r="G104" s="123" t="e">
        <f>+'18'!E19</f>
        <v>#N/A</v>
      </c>
      <c r="H104" s="124" t="e">
        <f>IF(C104="","",IF(G104&gt;='18'!$J$15*0.4,"SI","NO"))</f>
        <v>#N/A</v>
      </c>
      <c r="I104" s="128" t="e">
        <f t="shared" si="125"/>
        <v>#N/A</v>
      </c>
      <c r="J104" s="265"/>
      <c r="K104" s="399"/>
      <c r="L104" s="402"/>
      <c r="M104" s="399"/>
      <c r="N104" s="402"/>
      <c r="O104" s="118"/>
      <c r="P104" s="52" t="e">
        <f t="shared" si="87"/>
        <v>#N/A</v>
      </c>
      <c r="Q104" s="402"/>
      <c r="R104" s="399"/>
      <c r="S104" s="402"/>
      <c r="T104" s="392"/>
      <c r="U104" s="149"/>
      <c r="V104" s="271"/>
      <c r="W104" s="149"/>
      <c r="X104" s="149"/>
      <c r="Y104" s="149"/>
      <c r="Z104" s="149"/>
      <c r="AA104" s="175" t="e">
        <f t="shared" si="92"/>
        <v>#N/A</v>
      </c>
      <c r="AB104" s="271"/>
      <c r="AC104" s="149"/>
      <c r="AD104" s="149"/>
      <c r="AE104" s="177" t="e">
        <f t="shared" si="94"/>
        <v>#N/A</v>
      </c>
      <c r="AF104" s="389"/>
      <c r="AG104" s="396"/>
    </row>
    <row r="105" spans="1:33" ht="15.75" thickBot="1">
      <c r="A105" s="266">
        <v>19</v>
      </c>
      <c r="B105" s="263">
        <f>+PROPONENTES!B28</f>
        <v>0</v>
      </c>
      <c r="C105" s="47" t="e">
        <f>IF(VLOOKUP(B105,PROPONENTES!$B$10:$N$39,2,FALSE)="","",VLOOKUP(B105,PROPONENTES!$B$10:$N$39,2,FALSE))</f>
        <v>#N/A</v>
      </c>
      <c r="D105" s="48" t="e">
        <f>VLOOKUP(B105,PROPONENTES!$B$10:$N$39,3,FALSE)</f>
        <v>#N/A</v>
      </c>
      <c r="E105" s="109" t="s">
        <v>27</v>
      </c>
      <c r="F105" s="109" t="s">
        <v>27</v>
      </c>
      <c r="G105" s="123" t="e">
        <f>+'19'!E15</f>
        <v>#N/A</v>
      </c>
      <c r="H105" s="124" t="e">
        <f>IF(C105="","",IF(G105&gt;='19'!$J$15*0.4,"SI","NO"))</f>
        <v>#N/A</v>
      </c>
      <c r="I105" s="47" t="e">
        <f>IF(C105="",0,IF(AND(E105="SI",H105="SI",F105="SI"),1,0))</f>
        <v>#N/A</v>
      </c>
      <c r="J105" s="263" t="e">
        <f>IF((I105+I106+I107+I108+I109)&gt;=1,1,0)</f>
        <v>#N/A</v>
      </c>
      <c r="K105" s="397" t="s">
        <v>31</v>
      </c>
      <c r="L105" s="400">
        <f t="shared" ref="L105" si="126">IF(K105="CUMPLE",5,0)</f>
        <v>5</v>
      </c>
      <c r="M105" s="397" t="s">
        <v>31</v>
      </c>
      <c r="N105" s="400">
        <f t="shared" si="112"/>
        <v>5</v>
      </c>
      <c r="O105" s="113" t="s">
        <v>34</v>
      </c>
      <c r="P105" s="47" t="e">
        <f t="shared" si="87"/>
        <v>#N/A</v>
      </c>
      <c r="Q105" s="400" t="e">
        <f t="shared" ref="Q105" si="127">+L105+N105+IF(SUM(P105:P109)&gt;=1,-1,0)</f>
        <v>#N/A</v>
      </c>
      <c r="R105" s="397" t="s">
        <v>31</v>
      </c>
      <c r="S105" s="400">
        <f t="shared" ref="S105" si="128">IF(R105="CUMPLE",9,0)</f>
        <v>9</v>
      </c>
      <c r="T105" s="390" t="s">
        <v>31</v>
      </c>
      <c r="U105" s="111" t="s">
        <v>31</v>
      </c>
      <c r="V105" s="393">
        <f t="shared" ref="V105" si="129">IF(AND(T105="",U105="",U106="",U107="",U108="",U109=""),"",IF(AND(T105="CUMPLE",U105="",U106="",U107="",U108="",U109=""),"",IF(AND(T105="CUMPLE",OR(U105="CUMPLE",U105=""),OR(U106="CUMPLE",U106=""),OR(U107="CUMPLE",U107=""),OR(U108="CUMPLE",U108=""),OR(U109="CUMPLE",U109="")),20,0)))</f>
        <v>20</v>
      </c>
      <c r="W105" s="111" t="s">
        <v>31</v>
      </c>
      <c r="X105" s="111" t="s">
        <v>31</v>
      </c>
      <c r="Y105" s="111" t="s">
        <v>31</v>
      </c>
      <c r="Z105" s="111" t="s">
        <v>31</v>
      </c>
      <c r="AA105" s="175" t="e">
        <f t="shared" si="92"/>
        <v>#N/A</v>
      </c>
      <c r="AB105" s="393" t="e">
        <f t="shared" ref="AB105" si="130">IF((AA105+AA106+AA107+AA108+AA109)&gt;=0.25,0.25,0)</f>
        <v>#N/A</v>
      </c>
      <c r="AC105" s="111" t="s">
        <v>31</v>
      </c>
      <c r="AD105" s="111" t="s">
        <v>31</v>
      </c>
      <c r="AE105" s="175" t="e">
        <f t="shared" si="94"/>
        <v>#N/A</v>
      </c>
      <c r="AF105" s="387" t="e">
        <f t="shared" ref="AF105" si="131">IF((AE105+AE106+AE107+AE108+AE109)&gt;=0.25,0.25,0)</f>
        <v>#N/A</v>
      </c>
      <c r="AG105" s="406"/>
    </row>
    <row r="106" spans="1:33" ht="15.75" thickBot="1">
      <c r="A106" s="267"/>
      <c r="B106" s="264"/>
      <c r="C106" s="27" t="e">
        <f>IF(VLOOKUP(B105,PROPONENTES!$B$10:$N$39,4,FALSE)="","",VLOOKUP(B105,PROPONENTES!$B$10:$N$39,4,FALSE))</f>
        <v>#N/A</v>
      </c>
      <c r="D106" s="40" t="e">
        <f>VLOOKUP(B105,PROPONENTES!$B$10:$N$39,5,FALSE)</f>
        <v>#N/A</v>
      </c>
      <c r="E106" s="114"/>
      <c r="F106" s="114"/>
      <c r="G106" s="123" t="e">
        <f>+'19'!E16</f>
        <v>#N/A</v>
      </c>
      <c r="H106" s="124" t="e">
        <f>IF(C106="","",IF(G106&gt;='19'!$J$15*0.4,"SI","NO"))</f>
        <v>#N/A</v>
      </c>
      <c r="I106" s="27" t="e">
        <f t="shared" ref="I106:I109" si="132">IF(C106="",0,IF(AND(E106="SI",H106="SI",F106="SI"),1,0))</f>
        <v>#N/A</v>
      </c>
      <c r="J106" s="264"/>
      <c r="K106" s="398"/>
      <c r="L106" s="401"/>
      <c r="M106" s="398"/>
      <c r="N106" s="401"/>
      <c r="O106" s="115" t="s">
        <v>34</v>
      </c>
      <c r="P106" s="27" t="e">
        <f t="shared" si="87"/>
        <v>#N/A</v>
      </c>
      <c r="Q106" s="401"/>
      <c r="R106" s="398"/>
      <c r="S106" s="401"/>
      <c r="T106" s="391"/>
      <c r="U106" s="116"/>
      <c r="V106" s="270"/>
      <c r="W106" s="116"/>
      <c r="X106" s="116"/>
      <c r="Y106" s="116"/>
      <c r="Z106" s="116"/>
      <c r="AA106" s="175" t="e">
        <f t="shared" si="92"/>
        <v>#N/A</v>
      </c>
      <c r="AB106" s="270"/>
      <c r="AC106" s="116"/>
      <c r="AD106" s="116"/>
      <c r="AE106" s="176" t="e">
        <f t="shared" si="94"/>
        <v>#N/A</v>
      </c>
      <c r="AF106" s="388"/>
      <c r="AG106" s="395"/>
    </row>
    <row r="107" spans="1:33" ht="15.75" thickBot="1">
      <c r="A107" s="267"/>
      <c r="B107" s="264"/>
      <c r="C107" s="27" t="e">
        <f>IF(VLOOKUP(B105,PROPONENTES!$B$10:$N$39,6,FALSE)="","",VLOOKUP(B105,PROPONENTES!$B$10:$N$39,6,FALSE))</f>
        <v>#N/A</v>
      </c>
      <c r="D107" s="40" t="e">
        <f>VLOOKUP(B105,PROPONENTES!$B$10:$N$39,7,FALSE)</f>
        <v>#N/A</v>
      </c>
      <c r="E107" s="114"/>
      <c r="F107" s="114"/>
      <c r="G107" s="123" t="e">
        <f>+'19'!E17</f>
        <v>#N/A</v>
      </c>
      <c r="H107" s="124" t="e">
        <f>IF(C107="","",IF(G107&gt;='19'!$J$15*0.4,"SI","NO"))</f>
        <v>#N/A</v>
      </c>
      <c r="I107" s="27" t="e">
        <f t="shared" si="132"/>
        <v>#N/A</v>
      </c>
      <c r="J107" s="264"/>
      <c r="K107" s="398"/>
      <c r="L107" s="401"/>
      <c r="M107" s="398"/>
      <c r="N107" s="401"/>
      <c r="O107" s="115"/>
      <c r="P107" s="27" t="e">
        <f t="shared" si="87"/>
        <v>#N/A</v>
      </c>
      <c r="Q107" s="401"/>
      <c r="R107" s="398"/>
      <c r="S107" s="401"/>
      <c r="T107" s="391"/>
      <c r="U107" s="116"/>
      <c r="V107" s="270"/>
      <c r="W107" s="116"/>
      <c r="X107" s="116"/>
      <c r="Y107" s="116"/>
      <c r="Z107" s="116"/>
      <c r="AA107" s="175" t="e">
        <f t="shared" si="92"/>
        <v>#N/A</v>
      </c>
      <c r="AB107" s="270"/>
      <c r="AC107" s="116"/>
      <c r="AD107" s="116"/>
      <c r="AE107" s="176" t="e">
        <f t="shared" si="94"/>
        <v>#N/A</v>
      </c>
      <c r="AF107" s="388"/>
      <c r="AG107" s="395"/>
    </row>
    <row r="108" spans="1:33" ht="15.75" thickBot="1">
      <c r="A108" s="267"/>
      <c r="B108" s="264"/>
      <c r="C108" s="27" t="e">
        <f>IF(VLOOKUP(B105,PROPONENTES!$B$10:$N$39,8,FALSE)="","",VLOOKUP(B105,PROPONENTES!$B$10:$N$39,8,FALSE))</f>
        <v>#N/A</v>
      </c>
      <c r="D108" s="40" t="e">
        <f>VLOOKUP(B105,PROPONENTES!$B$10:$N$39,9,FALSE)</f>
        <v>#N/A</v>
      </c>
      <c r="E108" s="114"/>
      <c r="F108" s="114"/>
      <c r="G108" s="123" t="e">
        <f>+'19'!E18</f>
        <v>#N/A</v>
      </c>
      <c r="H108" s="124" t="e">
        <f>IF(C108="","",IF(G108&gt;='19'!$J$15*0.4,"SI","NO"))</f>
        <v>#N/A</v>
      </c>
      <c r="I108" s="126" t="e">
        <f t="shared" si="132"/>
        <v>#N/A</v>
      </c>
      <c r="J108" s="264"/>
      <c r="K108" s="398"/>
      <c r="L108" s="401"/>
      <c r="M108" s="398"/>
      <c r="N108" s="401"/>
      <c r="O108" s="114"/>
      <c r="P108" s="27" t="e">
        <f t="shared" si="87"/>
        <v>#N/A</v>
      </c>
      <c r="Q108" s="401"/>
      <c r="R108" s="398"/>
      <c r="S108" s="401"/>
      <c r="T108" s="391"/>
      <c r="U108" s="116"/>
      <c r="V108" s="270"/>
      <c r="W108" s="116"/>
      <c r="X108" s="116"/>
      <c r="Y108" s="116"/>
      <c r="Z108" s="116"/>
      <c r="AA108" s="175" t="e">
        <f t="shared" si="92"/>
        <v>#N/A</v>
      </c>
      <c r="AB108" s="270"/>
      <c r="AC108" s="116"/>
      <c r="AD108" s="116"/>
      <c r="AE108" s="176" t="e">
        <f t="shared" si="94"/>
        <v>#N/A</v>
      </c>
      <c r="AF108" s="388"/>
      <c r="AG108" s="395"/>
    </row>
    <row r="109" spans="1:33" ht="15.75" thickBot="1">
      <c r="A109" s="268"/>
      <c r="B109" s="265"/>
      <c r="C109" s="52" t="e">
        <f>IF(VLOOKUP(B105,PROPONENTES!$B$10:$N$39,10,FALSE)="","",VLOOKUP(B105,PROPONENTES!$B$10:$N$39,10,FALSE))</f>
        <v>#N/A</v>
      </c>
      <c r="D109" s="53" t="e">
        <f>VLOOKUP(B105,PROPONENTES!$B$10:$N$39,11,FALSE)</f>
        <v>#N/A</v>
      </c>
      <c r="E109" s="118"/>
      <c r="F109" s="118"/>
      <c r="G109" s="123" t="e">
        <f>+'19'!E19</f>
        <v>#N/A</v>
      </c>
      <c r="H109" s="124" t="e">
        <f>IF(C109="","",IF(G109&gt;='19'!$J$15*0.4,"SI","NO"))</f>
        <v>#N/A</v>
      </c>
      <c r="I109" s="128" t="e">
        <f t="shared" si="132"/>
        <v>#N/A</v>
      </c>
      <c r="J109" s="265"/>
      <c r="K109" s="399"/>
      <c r="L109" s="402"/>
      <c r="M109" s="399"/>
      <c r="N109" s="402"/>
      <c r="O109" s="118"/>
      <c r="P109" s="52" t="e">
        <f t="shared" si="87"/>
        <v>#N/A</v>
      </c>
      <c r="Q109" s="402"/>
      <c r="R109" s="399"/>
      <c r="S109" s="402"/>
      <c r="T109" s="392"/>
      <c r="U109" s="149"/>
      <c r="V109" s="271"/>
      <c r="W109" s="149"/>
      <c r="X109" s="149"/>
      <c r="Y109" s="149"/>
      <c r="Z109" s="149"/>
      <c r="AA109" s="175" t="e">
        <f t="shared" si="92"/>
        <v>#N/A</v>
      </c>
      <c r="AB109" s="271"/>
      <c r="AC109" s="149"/>
      <c r="AD109" s="149"/>
      <c r="AE109" s="177" t="e">
        <f t="shared" si="94"/>
        <v>#N/A</v>
      </c>
      <c r="AF109" s="389"/>
      <c r="AG109" s="396"/>
    </row>
    <row r="110" spans="1:33" ht="45" customHeight="1" thickBot="1">
      <c r="A110" s="266">
        <v>20</v>
      </c>
      <c r="B110" s="263">
        <f>+PROPONENTES!B29</f>
        <v>0</v>
      </c>
      <c r="C110" s="47" t="e">
        <f>IF(VLOOKUP(B110,PROPONENTES!$B$10:$N$39,2,FALSE)="","",VLOOKUP(B110,PROPONENTES!$B$10:$N$39,2,FALSE))</f>
        <v>#N/A</v>
      </c>
      <c r="D110" s="48" t="e">
        <f>VLOOKUP(B110,PROPONENTES!$B$10:$N$39,3,FALSE)</f>
        <v>#N/A</v>
      </c>
      <c r="E110" s="109" t="s">
        <v>27</v>
      </c>
      <c r="F110" s="109" t="s">
        <v>27</v>
      </c>
      <c r="G110" s="123" t="e">
        <f>+'20'!E15</f>
        <v>#N/A</v>
      </c>
      <c r="H110" s="124" t="e">
        <f>IF(C110="","",IF(G110&gt;='20'!$J$15*0.4,"SI","NO"))</f>
        <v>#N/A</v>
      </c>
      <c r="I110" s="47" t="e">
        <f>IF(C110="",0,IF(AND(E110="SI",H110="SI",F110="SI"),1,0))</f>
        <v>#N/A</v>
      </c>
      <c r="J110" s="263" t="e">
        <f>IF((I110+I111+I112+I113+I114)&gt;=1,1,0)</f>
        <v>#N/A</v>
      </c>
      <c r="K110" s="397" t="s">
        <v>31</v>
      </c>
      <c r="L110" s="400">
        <f t="shared" ref="L110" si="133">IF(K110="CUMPLE",5,0)</f>
        <v>5</v>
      </c>
      <c r="M110" s="397" t="s">
        <v>31</v>
      </c>
      <c r="N110" s="400">
        <f t="shared" si="112"/>
        <v>5</v>
      </c>
      <c r="O110" s="113" t="s">
        <v>34</v>
      </c>
      <c r="P110" s="47" t="e">
        <f t="shared" si="87"/>
        <v>#N/A</v>
      </c>
      <c r="Q110" s="400" t="e">
        <f t="shared" ref="Q110" si="134">+L110+N110+IF(SUM(P110:P114)&gt;=1,-1,0)</f>
        <v>#N/A</v>
      </c>
      <c r="R110" s="397" t="s">
        <v>31</v>
      </c>
      <c r="S110" s="400">
        <f t="shared" ref="S110" si="135">IF(R110="CUMPLE",9,0)</f>
        <v>9</v>
      </c>
      <c r="T110" s="390" t="s">
        <v>31</v>
      </c>
      <c r="U110" s="111" t="s">
        <v>31</v>
      </c>
      <c r="V110" s="393">
        <f t="shared" ref="V110" si="136">IF(AND(T110="",U110="",U111="",U112="",U113="",U114=""),"",IF(AND(T110="CUMPLE",U110="",U111="",U112="",U113="",U114=""),"",IF(AND(T110="CUMPLE",OR(U110="CUMPLE",U110=""),OR(U111="CUMPLE",U111=""),OR(U112="CUMPLE",U112=""),OR(U113="CUMPLE",U113=""),OR(U114="CUMPLE",U114="")),20,0)))</f>
        <v>20</v>
      </c>
      <c r="W110" s="111" t="s">
        <v>31</v>
      </c>
      <c r="X110" s="111" t="s">
        <v>31</v>
      </c>
      <c r="Y110" s="111" t="s">
        <v>31</v>
      </c>
      <c r="Z110" s="111" t="s">
        <v>31</v>
      </c>
      <c r="AA110" s="175" t="e">
        <f t="shared" si="92"/>
        <v>#N/A</v>
      </c>
      <c r="AB110" s="393" t="e">
        <f t="shared" ref="AB110" si="137">IF((AA110+AA111+AA112+AA113+AA114)&gt;=0.25,0.25,0)</f>
        <v>#N/A</v>
      </c>
      <c r="AC110" s="111" t="s">
        <v>31</v>
      </c>
      <c r="AD110" s="111" t="s">
        <v>31</v>
      </c>
      <c r="AE110" s="175" t="e">
        <f t="shared" si="94"/>
        <v>#N/A</v>
      </c>
      <c r="AF110" s="387" t="e">
        <f t="shared" ref="AF110" si="138">IF((AE110+AE111+AE112+AE113+AE114)&gt;=0.25,0.25,0)</f>
        <v>#N/A</v>
      </c>
      <c r="AG110" s="406"/>
    </row>
    <row r="111" spans="1:33" ht="15.75" thickBot="1">
      <c r="A111" s="267"/>
      <c r="B111" s="264"/>
      <c r="C111" s="27" t="e">
        <f>IF(VLOOKUP(B110,PROPONENTES!$B$10:$N$39,4,FALSE)="","",VLOOKUP(B110,PROPONENTES!$B$10:$N$39,4,FALSE))</f>
        <v>#N/A</v>
      </c>
      <c r="D111" s="40" t="e">
        <f>VLOOKUP(B110,PROPONENTES!$B$10:$N$39,5,FALSE)</f>
        <v>#N/A</v>
      </c>
      <c r="E111" s="114"/>
      <c r="F111" s="114"/>
      <c r="G111" s="123" t="e">
        <f>+'20'!E16</f>
        <v>#N/A</v>
      </c>
      <c r="H111" s="124" t="e">
        <f>IF(C111="","",IF(G111&gt;='20'!$J$15*0.4,"SI","NO"))</f>
        <v>#N/A</v>
      </c>
      <c r="I111" s="27" t="e">
        <f t="shared" ref="I111:I114" si="139">IF(C111="",0,IF(AND(E111="SI",H111="SI",F111="SI"),1,0))</f>
        <v>#N/A</v>
      </c>
      <c r="J111" s="264"/>
      <c r="K111" s="398"/>
      <c r="L111" s="401"/>
      <c r="M111" s="398"/>
      <c r="N111" s="401"/>
      <c r="O111" s="115" t="s">
        <v>34</v>
      </c>
      <c r="P111" s="27" t="e">
        <f t="shared" ref="P111:P129" si="140">IF(C111="","0",IF(O111="REPORTADO",1,0))</f>
        <v>#N/A</v>
      </c>
      <c r="Q111" s="401"/>
      <c r="R111" s="398"/>
      <c r="S111" s="401"/>
      <c r="T111" s="391"/>
      <c r="U111" s="116"/>
      <c r="V111" s="270"/>
      <c r="W111" s="116"/>
      <c r="X111" s="116"/>
      <c r="Y111" s="116"/>
      <c r="Z111" s="116"/>
      <c r="AA111" s="175" t="e">
        <f t="shared" si="92"/>
        <v>#N/A</v>
      </c>
      <c r="AB111" s="270"/>
      <c r="AC111" s="116"/>
      <c r="AD111" s="116"/>
      <c r="AE111" s="176" t="e">
        <f t="shared" si="94"/>
        <v>#N/A</v>
      </c>
      <c r="AF111" s="388"/>
      <c r="AG111" s="395"/>
    </row>
    <row r="112" spans="1:33" ht="15.75" thickBot="1">
      <c r="A112" s="267"/>
      <c r="B112" s="264"/>
      <c r="C112" s="27" t="e">
        <f>IF(VLOOKUP(B110,PROPONENTES!$B$10:$N$39,6,FALSE)="","",VLOOKUP(B110,PROPONENTES!$B$10:$N$39,6,FALSE))</f>
        <v>#N/A</v>
      </c>
      <c r="D112" s="40" t="e">
        <f>VLOOKUP(B110,PROPONENTES!$B$10:$N$39,7,FALSE)</f>
        <v>#N/A</v>
      </c>
      <c r="E112" s="114"/>
      <c r="F112" s="114"/>
      <c r="G112" s="123" t="e">
        <f>+'20'!E17</f>
        <v>#N/A</v>
      </c>
      <c r="H112" s="124" t="e">
        <f>IF(C112="","",IF(G112&gt;='20'!$J$15*0.4,"SI","NO"))</f>
        <v>#N/A</v>
      </c>
      <c r="I112" s="27" t="e">
        <f t="shared" si="139"/>
        <v>#N/A</v>
      </c>
      <c r="J112" s="264"/>
      <c r="K112" s="398"/>
      <c r="L112" s="401"/>
      <c r="M112" s="398"/>
      <c r="N112" s="401"/>
      <c r="O112" s="115" t="s">
        <v>34</v>
      </c>
      <c r="P112" s="27" t="e">
        <f t="shared" si="140"/>
        <v>#N/A</v>
      </c>
      <c r="Q112" s="401"/>
      <c r="R112" s="398"/>
      <c r="S112" s="401"/>
      <c r="T112" s="391"/>
      <c r="U112" s="116"/>
      <c r="V112" s="270"/>
      <c r="W112" s="116"/>
      <c r="X112" s="116"/>
      <c r="Y112" s="116"/>
      <c r="Z112" s="116"/>
      <c r="AA112" s="175" t="e">
        <f t="shared" si="92"/>
        <v>#N/A</v>
      </c>
      <c r="AB112" s="270"/>
      <c r="AC112" s="116"/>
      <c r="AD112" s="116"/>
      <c r="AE112" s="176" t="e">
        <f t="shared" si="94"/>
        <v>#N/A</v>
      </c>
      <c r="AF112" s="388"/>
      <c r="AG112" s="395"/>
    </row>
    <row r="113" spans="1:33" ht="15.75" thickBot="1">
      <c r="A113" s="267"/>
      <c r="B113" s="264"/>
      <c r="C113" s="27" t="e">
        <f>IF(VLOOKUP(B110,PROPONENTES!$B$10:$N$39,8,FALSE)="","",VLOOKUP(B110,PROPONENTES!$B$10:$N$39,8,FALSE))</f>
        <v>#N/A</v>
      </c>
      <c r="D113" s="40" t="e">
        <f>VLOOKUP(B110,PROPONENTES!$B$10:$N$39,9,FALSE)</f>
        <v>#N/A</v>
      </c>
      <c r="E113" s="114"/>
      <c r="F113" s="114"/>
      <c r="G113" s="123" t="e">
        <f>+'20'!E18</f>
        <v>#N/A</v>
      </c>
      <c r="H113" s="124" t="e">
        <f>IF(C113="","",IF(G113&gt;='20'!$J$15*0.4,"SI","NO"))</f>
        <v>#N/A</v>
      </c>
      <c r="I113" s="126" t="e">
        <f t="shared" si="139"/>
        <v>#N/A</v>
      </c>
      <c r="J113" s="264"/>
      <c r="K113" s="398"/>
      <c r="L113" s="401"/>
      <c r="M113" s="398"/>
      <c r="N113" s="401"/>
      <c r="O113" s="114"/>
      <c r="P113" s="27" t="e">
        <f t="shared" si="140"/>
        <v>#N/A</v>
      </c>
      <c r="Q113" s="401"/>
      <c r="R113" s="398"/>
      <c r="S113" s="401"/>
      <c r="T113" s="391"/>
      <c r="U113" s="116"/>
      <c r="V113" s="270"/>
      <c r="W113" s="116"/>
      <c r="X113" s="116"/>
      <c r="Y113" s="116"/>
      <c r="Z113" s="116"/>
      <c r="AA113" s="175" t="e">
        <f t="shared" si="92"/>
        <v>#N/A</v>
      </c>
      <c r="AB113" s="270"/>
      <c r="AC113" s="116"/>
      <c r="AD113" s="116"/>
      <c r="AE113" s="176" t="e">
        <f t="shared" si="94"/>
        <v>#N/A</v>
      </c>
      <c r="AF113" s="388"/>
      <c r="AG113" s="395"/>
    </row>
    <row r="114" spans="1:33" ht="15.75" thickBot="1">
      <c r="A114" s="268"/>
      <c r="B114" s="265"/>
      <c r="C114" s="52" t="e">
        <f>IF(VLOOKUP(B110,PROPONENTES!$B$10:$N$39,10,FALSE)="","",VLOOKUP(B110,PROPONENTES!$B$10:$N$39,10,FALSE))</f>
        <v>#N/A</v>
      </c>
      <c r="D114" s="53" t="e">
        <f>VLOOKUP(B110,PROPONENTES!$B$10:$N$39,11,FALSE)</f>
        <v>#N/A</v>
      </c>
      <c r="E114" s="118"/>
      <c r="F114" s="118"/>
      <c r="G114" s="123" t="e">
        <f>+'20'!E19</f>
        <v>#N/A</v>
      </c>
      <c r="H114" s="124" t="e">
        <f>IF(C114="","",IF(G114&gt;='20'!$J$15*0.4,"SI","NO"))</f>
        <v>#N/A</v>
      </c>
      <c r="I114" s="128" t="e">
        <f t="shared" si="139"/>
        <v>#N/A</v>
      </c>
      <c r="J114" s="265"/>
      <c r="K114" s="399"/>
      <c r="L114" s="402"/>
      <c r="M114" s="399"/>
      <c r="N114" s="402"/>
      <c r="O114" s="118"/>
      <c r="P114" s="52" t="e">
        <f t="shared" si="140"/>
        <v>#N/A</v>
      </c>
      <c r="Q114" s="402"/>
      <c r="R114" s="399"/>
      <c r="S114" s="402"/>
      <c r="T114" s="392"/>
      <c r="U114" s="149"/>
      <c r="V114" s="271"/>
      <c r="W114" s="149"/>
      <c r="X114" s="149"/>
      <c r="Y114" s="149"/>
      <c r="Z114" s="149"/>
      <c r="AA114" s="175" t="e">
        <f t="shared" si="92"/>
        <v>#N/A</v>
      </c>
      <c r="AB114" s="271"/>
      <c r="AC114" s="149"/>
      <c r="AD114" s="149"/>
      <c r="AE114" s="177" t="e">
        <f t="shared" si="94"/>
        <v>#N/A</v>
      </c>
      <c r="AF114" s="389"/>
      <c r="AG114" s="396"/>
    </row>
    <row r="115" spans="1:33" ht="15.75" thickBot="1">
      <c r="A115" s="266">
        <v>21</v>
      </c>
      <c r="B115" s="263">
        <f>+PROPONENTES!B30</f>
        <v>0</v>
      </c>
      <c r="C115" s="47" t="e">
        <f>IF(VLOOKUP(B115,PROPONENTES!$B$10:$N$45,2,FALSE)="","",VLOOKUP(B115,PROPONENTES!$B$10:$N$45,2,FALSE))</f>
        <v>#N/A</v>
      </c>
      <c r="D115" s="48" t="e">
        <f>VLOOKUP(B115,PROPONENTES!$B$10:$N$45,3,FALSE)</f>
        <v>#N/A</v>
      </c>
      <c r="E115" s="109"/>
      <c r="F115" s="109"/>
      <c r="G115" s="123" t="e">
        <f>+'21'!E15</f>
        <v>#N/A</v>
      </c>
      <c r="H115" s="124" t="e">
        <f>IF(C115="","",IF(G115&gt;='21'!$J$15*0.4,"SI","NO"))</f>
        <v>#N/A</v>
      </c>
      <c r="I115" s="47" t="e">
        <f>IF(C115="",0,IF(AND(E115="SI",H115="SI",F115="SI"),1,0))</f>
        <v>#N/A</v>
      </c>
      <c r="J115" s="263" t="e">
        <f>IF((I115+I116+I117+I118+I119)&gt;=1,1,0)</f>
        <v>#N/A</v>
      </c>
      <c r="K115" s="397" t="s">
        <v>31</v>
      </c>
      <c r="L115" s="400">
        <f t="shared" ref="L115" si="141">IF(K115="CUMPLE",5,0)</f>
        <v>5</v>
      </c>
      <c r="M115" s="397" t="s">
        <v>31</v>
      </c>
      <c r="N115" s="400">
        <f t="shared" si="112"/>
        <v>5</v>
      </c>
      <c r="O115" s="113" t="s">
        <v>34</v>
      </c>
      <c r="P115" s="47" t="e">
        <f t="shared" si="140"/>
        <v>#N/A</v>
      </c>
      <c r="Q115" s="400" t="e">
        <f t="shared" ref="Q115" si="142">+L115+N115+IF(SUM(P115:P119)&gt;=1,-1,0)</f>
        <v>#N/A</v>
      </c>
      <c r="R115" s="397" t="s">
        <v>31</v>
      </c>
      <c r="S115" s="400">
        <f t="shared" ref="S115" si="143">IF(R115="CUMPLE",9,0)</f>
        <v>9</v>
      </c>
      <c r="T115" s="390" t="s">
        <v>31</v>
      </c>
      <c r="U115" s="111" t="s">
        <v>31</v>
      </c>
      <c r="V115" s="393">
        <f t="shared" ref="V115" si="144">IF(AND(T115="",U115="",U116="",U117="",U118="",U119=""),"",IF(AND(T115="CUMPLE",U115="",U116="",U117="",U118="",U119=""),"",IF(AND(T115="CUMPLE",OR(U115="CUMPLE",U115=""),OR(U116="CUMPLE",U116=""),OR(U117="CUMPLE",U117=""),OR(U118="CUMPLE",U118=""),OR(U119="CUMPLE",U119="")),20,0)))</f>
        <v>20</v>
      </c>
      <c r="W115" s="111"/>
      <c r="X115" s="111"/>
      <c r="Y115" s="111"/>
      <c r="Z115" s="111"/>
      <c r="AA115" s="175" t="e">
        <f t="shared" si="92"/>
        <v>#N/A</v>
      </c>
      <c r="AB115" s="393" t="e">
        <f t="shared" ref="AB115" si="145">IF((AA115+AA116+AA117+AA118+AA119)&gt;=0.25,0.25,0)</f>
        <v>#N/A</v>
      </c>
      <c r="AC115" s="111" t="s">
        <v>31</v>
      </c>
      <c r="AD115" s="111" t="s">
        <v>31</v>
      </c>
      <c r="AE115" s="175" t="e">
        <f t="shared" si="94"/>
        <v>#N/A</v>
      </c>
      <c r="AF115" s="387" t="e">
        <f t="shared" ref="AF115" si="146">IF((AE115+AE116+AE117+AE118+AE119)&gt;=0.25,0.25,0)</f>
        <v>#N/A</v>
      </c>
      <c r="AG115" s="394"/>
    </row>
    <row r="116" spans="1:33" ht="15.75" thickBot="1">
      <c r="A116" s="267"/>
      <c r="B116" s="264"/>
      <c r="C116" s="27" t="e">
        <f>IF(VLOOKUP(B115,PROPONENTES!$B$10:$N$45,4,FALSE)="","",VLOOKUP(B115,PROPONENTES!$B$10:$N$45,4,FALSE))</f>
        <v>#N/A</v>
      </c>
      <c r="D116" s="40" t="e">
        <f>VLOOKUP(B115,PROPONENTES!$B$10:$N$45,5,FALSE)</f>
        <v>#N/A</v>
      </c>
      <c r="E116" s="114" t="s">
        <v>27</v>
      </c>
      <c r="F116" s="114" t="s">
        <v>27</v>
      </c>
      <c r="G116" s="123" t="e">
        <f>+'21'!E16</f>
        <v>#N/A</v>
      </c>
      <c r="H116" s="124" t="e">
        <f>IF(C116="","",IF(G116&gt;='21'!$J$15*0.4,"SI","NO"))</f>
        <v>#N/A</v>
      </c>
      <c r="I116" s="27" t="e">
        <f t="shared" ref="I116:I120" si="147">IF(C116="",0,IF(AND(E116="SI",H116="SI",F116="SI"),1,0))</f>
        <v>#N/A</v>
      </c>
      <c r="J116" s="264"/>
      <c r="K116" s="398"/>
      <c r="L116" s="401"/>
      <c r="M116" s="398"/>
      <c r="N116" s="401"/>
      <c r="O116" s="115" t="s">
        <v>34</v>
      </c>
      <c r="P116" s="27" t="e">
        <f t="shared" si="140"/>
        <v>#N/A</v>
      </c>
      <c r="Q116" s="401"/>
      <c r="R116" s="398"/>
      <c r="S116" s="401"/>
      <c r="T116" s="391"/>
      <c r="U116" s="116" t="s">
        <v>31</v>
      </c>
      <c r="V116" s="270"/>
      <c r="W116" s="116" t="s">
        <v>31</v>
      </c>
      <c r="X116" s="116" t="s">
        <v>31</v>
      </c>
      <c r="Y116" s="116" t="s">
        <v>31</v>
      </c>
      <c r="Z116" s="116" t="s">
        <v>31</v>
      </c>
      <c r="AA116" s="175" t="e">
        <f t="shared" si="92"/>
        <v>#N/A</v>
      </c>
      <c r="AB116" s="270"/>
      <c r="AC116" s="116" t="s">
        <v>31</v>
      </c>
      <c r="AD116" s="116" t="s">
        <v>31</v>
      </c>
      <c r="AE116" s="176" t="e">
        <f t="shared" si="94"/>
        <v>#N/A</v>
      </c>
      <c r="AF116" s="388"/>
      <c r="AG116" s="395"/>
    </row>
    <row r="117" spans="1:33" ht="15.75" thickBot="1">
      <c r="A117" s="267"/>
      <c r="B117" s="264"/>
      <c r="C117" s="27" t="e">
        <f>IF(VLOOKUP(B115,PROPONENTES!$B$10:$N$45,6,FALSE)="","",VLOOKUP(B115,PROPONENTES!$B$10:$N$45,6,FALSE))</f>
        <v>#N/A</v>
      </c>
      <c r="D117" s="40" t="e">
        <f>VLOOKUP(B115,PROPONENTES!$B$10:$N$45,7,FALSE)</f>
        <v>#N/A</v>
      </c>
      <c r="E117" s="114"/>
      <c r="F117" s="114"/>
      <c r="G117" s="123" t="e">
        <f>+'21'!E17</f>
        <v>#N/A</v>
      </c>
      <c r="H117" s="124" t="e">
        <f>IF(C117="","",IF(G117&gt;='21'!$J$15*0.4,"SI","NO"))</f>
        <v>#N/A</v>
      </c>
      <c r="I117" s="27" t="e">
        <f t="shared" si="147"/>
        <v>#N/A</v>
      </c>
      <c r="J117" s="264"/>
      <c r="K117" s="398"/>
      <c r="L117" s="401"/>
      <c r="M117" s="398"/>
      <c r="N117" s="401"/>
      <c r="O117" s="115"/>
      <c r="P117" s="27" t="e">
        <f t="shared" si="140"/>
        <v>#N/A</v>
      </c>
      <c r="Q117" s="401"/>
      <c r="R117" s="398"/>
      <c r="S117" s="401"/>
      <c r="T117" s="391"/>
      <c r="U117" s="116"/>
      <c r="V117" s="270"/>
      <c r="W117" s="116"/>
      <c r="X117" s="116"/>
      <c r="Y117" s="116"/>
      <c r="Z117" s="116"/>
      <c r="AA117" s="175" t="e">
        <f t="shared" si="92"/>
        <v>#N/A</v>
      </c>
      <c r="AB117" s="270"/>
      <c r="AC117" s="116"/>
      <c r="AD117" s="116"/>
      <c r="AE117" s="176" t="e">
        <f t="shared" si="94"/>
        <v>#N/A</v>
      </c>
      <c r="AF117" s="388"/>
      <c r="AG117" s="395"/>
    </row>
    <row r="118" spans="1:33" ht="15.75" thickBot="1">
      <c r="A118" s="267"/>
      <c r="B118" s="264"/>
      <c r="C118" s="27" t="e">
        <f>IF(VLOOKUP(B115,PROPONENTES!$B$10:$N$45,8,FALSE)="","",VLOOKUP(B115,PROPONENTES!$B$10:$N$45,8,FALSE))</f>
        <v>#N/A</v>
      </c>
      <c r="D118" s="40" t="e">
        <f>VLOOKUP(B115,PROPONENTES!$B$10:$N$45,9,FALSE)</f>
        <v>#N/A</v>
      </c>
      <c r="E118" s="114"/>
      <c r="F118" s="114"/>
      <c r="G118" s="123" t="e">
        <f>+'21'!E18</f>
        <v>#N/A</v>
      </c>
      <c r="H118" s="124" t="e">
        <f>IF(C118="","",IF(G118&gt;='21'!$J$15*0.4,"SI","NO"))</f>
        <v>#N/A</v>
      </c>
      <c r="I118" s="126" t="e">
        <f t="shared" si="147"/>
        <v>#N/A</v>
      </c>
      <c r="J118" s="264"/>
      <c r="K118" s="398"/>
      <c r="L118" s="401"/>
      <c r="M118" s="398"/>
      <c r="N118" s="401"/>
      <c r="O118" s="114"/>
      <c r="P118" s="27" t="e">
        <f t="shared" si="140"/>
        <v>#N/A</v>
      </c>
      <c r="Q118" s="401"/>
      <c r="R118" s="398"/>
      <c r="S118" s="401"/>
      <c r="T118" s="391"/>
      <c r="U118" s="116"/>
      <c r="V118" s="270"/>
      <c r="W118" s="116"/>
      <c r="X118" s="116"/>
      <c r="Y118" s="116"/>
      <c r="Z118" s="116"/>
      <c r="AA118" s="175" t="e">
        <f t="shared" si="92"/>
        <v>#N/A</v>
      </c>
      <c r="AB118" s="270"/>
      <c r="AC118" s="116"/>
      <c r="AD118" s="116"/>
      <c r="AE118" s="176" t="e">
        <f t="shared" si="94"/>
        <v>#N/A</v>
      </c>
      <c r="AF118" s="388"/>
      <c r="AG118" s="395"/>
    </row>
    <row r="119" spans="1:33" ht="15.75" thickBot="1">
      <c r="A119" s="268"/>
      <c r="B119" s="265"/>
      <c r="C119" s="52" t="e">
        <f>IF(VLOOKUP(B115,PROPONENTES!$B$10:$N$45,10,FALSE)="","",VLOOKUP(B115,PROPONENTES!$B$10:$N$45,10,FALSE))</f>
        <v>#N/A</v>
      </c>
      <c r="D119" s="53" t="e">
        <f>VLOOKUP(B115,PROPONENTES!$B$10:$N$45,11,FALSE)</f>
        <v>#N/A</v>
      </c>
      <c r="E119" s="118"/>
      <c r="F119" s="118"/>
      <c r="G119" s="123" t="e">
        <f>+'21'!E19</f>
        <v>#N/A</v>
      </c>
      <c r="H119" s="124" t="e">
        <f>IF(C119="","",IF(G119&gt;='21'!$J$15*0.4,"SI","NO"))</f>
        <v>#N/A</v>
      </c>
      <c r="I119" s="128" t="e">
        <f t="shared" si="147"/>
        <v>#N/A</v>
      </c>
      <c r="J119" s="265"/>
      <c r="K119" s="399"/>
      <c r="L119" s="402"/>
      <c r="M119" s="399"/>
      <c r="N119" s="402"/>
      <c r="O119" s="118"/>
      <c r="P119" s="52" t="e">
        <f t="shared" si="140"/>
        <v>#N/A</v>
      </c>
      <c r="Q119" s="402"/>
      <c r="R119" s="399"/>
      <c r="S119" s="402"/>
      <c r="T119" s="392"/>
      <c r="U119" s="149"/>
      <c r="V119" s="271"/>
      <c r="W119" s="149"/>
      <c r="X119" s="149"/>
      <c r="Y119" s="149"/>
      <c r="Z119" s="149"/>
      <c r="AA119" s="175" t="e">
        <f t="shared" si="92"/>
        <v>#N/A</v>
      </c>
      <c r="AB119" s="271"/>
      <c r="AC119" s="149"/>
      <c r="AD119" s="149"/>
      <c r="AE119" s="177" t="e">
        <f t="shared" si="94"/>
        <v>#N/A</v>
      </c>
      <c r="AF119" s="389"/>
      <c r="AG119" s="396"/>
    </row>
    <row r="120" spans="1:33" ht="27" customHeight="1" thickBot="1">
      <c r="A120" s="266">
        <v>22</v>
      </c>
      <c r="B120" s="263">
        <f>+PROPONENTES!B31</f>
        <v>0</v>
      </c>
      <c r="C120" s="47" t="e">
        <f>IF(VLOOKUP(B120,PROPONENTES!$B$10:$N$45,2,FALSE)="","",VLOOKUP(B120,PROPONENTES!$B$10:$N$45,2,FALSE))</f>
        <v>#N/A</v>
      </c>
      <c r="D120" s="48" t="e">
        <f>VLOOKUP(B120,PROPONENTES!$B$10:$N$45,3,FALSE)</f>
        <v>#N/A</v>
      </c>
      <c r="E120" s="109" t="s">
        <v>27</v>
      </c>
      <c r="F120" s="109" t="s">
        <v>27</v>
      </c>
      <c r="G120" s="123" t="e">
        <f>+'22'!E15</f>
        <v>#N/A</v>
      </c>
      <c r="H120" s="124" t="e">
        <f>IF(C120="","",IF(G120&gt;='22'!$J$15*0.4,"SI","NO"))</f>
        <v>#N/A</v>
      </c>
      <c r="I120" s="47" t="e">
        <f t="shared" si="147"/>
        <v>#N/A</v>
      </c>
      <c r="J120" s="263" t="e">
        <f t="shared" ref="J120" si="148">IF((I120+I121+I122+I123+I124)&gt;=1,1,0)</f>
        <v>#N/A</v>
      </c>
      <c r="K120" s="397" t="s">
        <v>31</v>
      </c>
      <c r="L120" s="400">
        <f t="shared" ref="L120:L125" si="149">IF(K120="CUMPLE",5,0)</f>
        <v>5</v>
      </c>
      <c r="M120" s="397" t="s">
        <v>31</v>
      </c>
      <c r="N120" s="400">
        <f t="shared" si="112"/>
        <v>5</v>
      </c>
      <c r="O120" s="113" t="s">
        <v>34</v>
      </c>
      <c r="P120" s="47" t="e">
        <f t="shared" si="140"/>
        <v>#N/A</v>
      </c>
      <c r="Q120" s="400" t="e">
        <f t="shared" ref="Q120" si="150">+L120+N120+IF(SUM(P120:P124)&gt;=1,-1,0)</f>
        <v>#N/A</v>
      </c>
      <c r="R120" s="397" t="s">
        <v>33</v>
      </c>
      <c r="S120" s="400">
        <f t="shared" ref="S120" si="151">IF(R120="CUMPLE",9,0)</f>
        <v>0</v>
      </c>
      <c r="T120" s="390" t="s">
        <v>31</v>
      </c>
      <c r="U120" s="111" t="s">
        <v>31</v>
      </c>
      <c r="V120" s="393">
        <f t="shared" ref="V120" si="152">IF(AND(T120="",U120="",U121="",U122="",U123="",U124=""),"",IF(AND(T120="CUMPLE",U120="",U121="",U122="",U123="",U124=""),"",IF(AND(T120="CUMPLE",OR(U120="CUMPLE",U120=""),OR(U121="CUMPLE",U121=""),OR(U122="CUMPLE",U122=""),OR(U123="CUMPLE",U123=""),OR(U124="CUMPLE",U124="")),20,0)))</f>
        <v>20</v>
      </c>
      <c r="W120" s="111" t="s">
        <v>31</v>
      </c>
      <c r="X120" s="111" t="s">
        <v>31</v>
      </c>
      <c r="Y120" s="111" t="s">
        <v>30</v>
      </c>
      <c r="Z120" s="111" t="s">
        <v>30</v>
      </c>
      <c r="AA120" s="175" t="e">
        <f t="shared" si="92"/>
        <v>#N/A</v>
      </c>
      <c r="AB120" s="393" t="e">
        <f t="shared" ref="AB120" si="153">IF((AA120+AA121+AA122+AA123+AA124)&gt;=0.25,0.25,0)</f>
        <v>#N/A</v>
      </c>
      <c r="AC120" s="111" t="s">
        <v>31</v>
      </c>
      <c r="AD120" s="111" t="s">
        <v>31</v>
      </c>
      <c r="AE120" s="175" t="e">
        <f t="shared" si="94"/>
        <v>#N/A</v>
      </c>
      <c r="AF120" s="387" t="e">
        <f t="shared" ref="AF120" si="154">IF((AE120+AE121+AE122+AE123+AE124)&gt;=0.25,0.25,0)</f>
        <v>#N/A</v>
      </c>
      <c r="AG120" s="394"/>
    </row>
    <row r="121" spans="1:33" ht="27" customHeight="1" thickBot="1">
      <c r="A121" s="267"/>
      <c r="B121" s="264"/>
      <c r="C121" s="27" t="e">
        <f>IF(VLOOKUP(B120,PROPONENTES!$B$10:$N$45,4,FALSE)="","",VLOOKUP(B120,PROPONENTES!$B$10:$N$45,4,FALSE))</f>
        <v>#N/A</v>
      </c>
      <c r="D121" s="40" t="e">
        <f>VLOOKUP(B120,PROPONENTES!$B$10:$N$45,5,FALSE)</f>
        <v>#N/A</v>
      </c>
      <c r="E121" s="114"/>
      <c r="F121" s="114"/>
      <c r="G121" s="123" t="e">
        <f>+'22'!E16</f>
        <v>#N/A</v>
      </c>
      <c r="H121" s="124" t="e">
        <f>IF(C121="","",IF(G121&gt;='22'!$J$15*0.4,"SI","NO"))</f>
        <v>#N/A</v>
      </c>
      <c r="I121" s="27" t="e">
        <f t="shared" ref="I121:I129" si="155">IF(C121="",0,IF(AND(E121="SI",H121="SI",F121="SI"),1,0))</f>
        <v>#N/A</v>
      </c>
      <c r="J121" s="264"/>
      <c r="K121" s="398"/>
      <c r="L121" s="401"/>
      <c r="M121" s="398"/>
      <c r="N121" s="401"/>
      <c r="O121" s="115" t="s">
        <v>34</v>
      </c>
      <c r="P121" s="27" t="e">
        <f t="shared" si="140"/>
        <v>#N/A</v>
      </c>
      <c r="Q121" s="401"/>
      <c r="R121" s="398"/>
      <c r="S121" s="401"/>
      <c r="T121" s="391"/>
      <c r="U121" s="116"/>
      <c r="V121" s="270"/>
      <c r="W121" s="116"/>
      <c r="X121" s="116"/>
      <c r="Y121" s="116"/>
      <c r="Z121" s="116"/>
      <c r="AA121" s="175" t="e">
        <f t="shared" si="92"/>
        <v>#N/A</v>
      </c>
      <c r="AB121" s="270"/>
      <c r="AC121" s="116"/>
      <c r="AD121" s="116"/>
      <c r="AE121" s="176" t="e">
        <f t="shared" si="94"/>
        <v>#N/A</v>
      </c>
      <c r="AF121" s="388"/>
      <c r="AG121" s="395"/>
    </row>
    <row r="122" spans="1:33" ht="27" customHeight="1" thickBot="1">
      <c r="A122" s="267"/>
      <c r="B122" s="264"/>
      <c r="C122" s="27" t="e">
        <f>IF(VLOOKUP(B120,PROPONENTES!$B$10:$N$45,6,FALSE)="","",VLOOKUP(B120,PROPONENTES!$B$10:$N$45,6,FALSE))</f>
        <v>#N/A</v>
      </c>
      <c r="D122" s="40" t="e">
        <f>VLOOKUP(B120,PROPONENTES!$B$10:$N$45,7,FALSE)</f>
        <v>#N/A</v>
      </c>
      <c r="E122" s="114"/>
      <c r="F122" s="114"/>
      <c r="G122" s="123" t="e">
        <f>+'22'!E17</f>
        <v>#N/A</v>
      </c>
      <c r="H122" s="124" t="e">
        <f>IF(C122="","",IF(G122&gt;='22'!$J$15*0.4,"SI","NO"))</f>
        <v>#N/A</v>
      </c>
      <c r="I122" s="27" t="e">
        <f t="shared" si="155"/>
        <v>#N/A</v>
      </c>
      <c r="J122" s="264"/>
      <c r="K122" s="398"/>
      <c r="L122" s="401"/>
      <c r="M122" s="398"/>
      <c r="N122" s="401"/>
      <c r="O122" s="115"/>
      <c r="P122" s="27" t="e">
        <f t="shared" si="140"/>
        <v>#N/A</v>
      </c>
      <c r="Q122" s="401"/>
      <c r="R122" s="398"/>
      <c r="S122" s="401"/>
      <c r="T122" s="391"/>
      <c r="U122" s="116"/>
      <c r="V122" s="270"/>
      <c r="W122" s="116"/>
      <c r="X122" s="116"/>
      <c r="Y122" s="116"/>
      <c r="Z122" s="116"/>
      <c r="AA122" s="175" t="e">
        <f t="shared" si="92"/>
        <v>#N/A</v>
      </c>
      <c r="AB122" s="270"/>
      <c r="AC122" s="116"/>
      <c r="AD122" s="116"/>
      <c r="AE122" s="176" t="e">
        <f t="shared" si="94"/>
        <v>#N/A</v>
      </c>
      <c r="AF122" s="388"/>
      <c r="AG122" s="395"/>
    </row>
    <row r="123" spans="1:33" ht="27" customHeight="1" thickBot="1">
      <c r="A123" s="267"/>
      <c r="B123" s="264"/>
      <c r="C123" s="27" t="e">
        <f>IF(VLOOKUP(B120,PROPONENTES!$B$10:$N$45,8,FALSE)="","",VLOOKUP(B120,PROPONENTES!$B$10:$N$45,8,FALSE))</f>
        <v>#N/A</v>
      </c>
      <c r="D123" s="40" t="e">
        <f>VLOOKUP(B120,PROPONENTES!$B$10:$N$45,9,FALSE)</f>
        <v>#N/A</v>
      </c>
      <c r="E123" s="114"/>
      <c r="F123" s="114"/>
      <c r="G123" s="123" t="e">
        <f>+'22'!E18</f>
        <v>#N/A</v>
      </c>
      <c r="H123" s="124" t="e">
        <f>IF(C123="","",IF(G123&gt;='22'!$J$15*0.4,"SI","NO"))</f>
        <v>#N/A</v>
      </c>
      <c r="I123" s="126" t="e">
        <f t="shared" si="155"/>
        <v>#N/A</v>
      </c>
      <c r="J123" s="264"/>
      <c r="K123" s="398"/>
      <c r="L123" s="401"/>
      <c r="M123" s="398"/>
      <c r="N123" s="401"/>
      <c r="O123" s="114"/>
      <c r="P123" s="27" t="e">
        <f t="shared" si="140"/>
        <v>#N/A</v>
      </c>
      <c r="Q123" s="401"/>
      <c r="R123" s="398"/>
      <c r="S123" s="401"/>
      <c r="T123" s="391"/>
      <c r="U123" s="116"/>
      <c r="V123" s="270"/>
      <c r="W123" s="116"/>
      <c r="X123" s="116"/>
      <c r="Y123" s="116"/>
      <c r="Z123" s="116"/>
      <c r="AA123" s="175" t="e">
        <f t="shared" si="92"/>
        <v>#N/A</v>
      </c>
      <c r="AB123" s="270"/>
      <c r="AC123" s="116"/>
      <c r="AD123" s="116"/>
      <c r="AE123" s="176" t="e">
        <f t="shared" si="94"/>
        <v>#N/A</v>
      </c>
      <c r="AF123" s="388"/>
      <c r="AG123" s="395"/>
    </row>
    <row r="124" spans="1:33" ht="27" customHeight="1" thickBot="1">
      <c r="A124" s="268"/>
      <c r="B124" s="265"/>
      <c r="C124" s="52" t="e">
        <f>IF(VLOOKUP(B120,PROPONENTES!$B$10:$N$45,10,FALSE)="","",VLOOKUP(B120,PROPONENTES!$B$10:$N$45,10,FALSE))</f>
        <v>#N/A</v>
      </c>
      <c r="D124" s="53" t="e">
        <f>VLOOKUP(B120,PROPONENTES!$B$10:$N$45,11,FALSE)</f>
        <v>#N/A</v>
      </c>
      <c r="E124" s="118"/>
      <c r="F124" s="118"/>
      <c r="G124" s="123" t="e">
        <f>+'22'!E19</f>
        <v>#N/A</v>
      </c>
      <c r="H124" s="124" t="e">
        <f>IF(C124="","",IF(G124&gt;='22'!$J$15*0.4,"SI","NO"))</f>
        <v>#N/A</v>
      </c>
      <c r="I124" s="128" t="e">
        <f t="shared" si="155"/>
        <v>#N/A</v>
      </c>
      <c r="J124" s="265"/>
      <c r="K124" s="399"/>
      <c r="L124" s="402"/>
      <c r="M124" s="399"/>
      <c r="N124" s="402"/>
      <c r="O124" s="118"/>
      <c r="P124" s="52" t="e">
        <f t="shared" si="140"/>
        <v>#N/A</v>
      </c>
      <c r="Q124" s="402"/>
      <c r="R124" s="399"/>
      <c r="S124" s="402"/>
      <c r="T124" s="392"/>
      <c r="U124" s="149"/>
      <c r="V124" s="271"/>
      <c r="W124" s="149"/>
      <c r="X124" s="149"/>
      <c r="Y124" s="149"/>
      <c r="Z124" s="149"/>
      <c r="AA124" s="175" t="e">
        <f t="shared" si="92"/>
        <v>#N/A</v>
      </c>
      <c r="AB124" s="271"/>
      <c r="AC124" s="149"/>
      <c r="AD124" s="149"/>
      <c r="AE124" s="177" t="e">
        <f t="shared" si="94"/>
        <v>#N/A</v>
      </c>
      <c r="AF124" s="389"/>
      <c r="AG124" s="396"/>
    </row>
    <row r="125" spans="1:33" ht="24" customHeight="1" thickBot="1">
      <c r="A125" s="266">
        <v>23</v>
      </c>
      <c r="B125" s="263">
        <f>+PROPONENTES!B32</f>
        <v>0</v>
      </c>
      <c r="C125" s="47" t="e">
        <f>IF(VLOOKUP(B125,PROPONENTES!$B$10:$N$45,2,FALSE)="","",VLOOKUP(B125,PROPONENTES!$B$10:$N$45,2,FALSE))</f>
        <v>#N/A</v>
      </c>
      <c r="D125" s="48" t="e">
        <f>VLOOKUP(B125,PROPONENTES!$B$10:$N$45,3,FALSE)</f>
        <v>#N/A</v>
      </c>
      <c r="E125" s="109" t="s">
        <v>27</v>
      </c>
      <c r="F125" s="109" t="s">
        <v>27</v>
      </c>
      <c r="G125" s="123" t="e">
        <f>+'23'!E15</f>
        <v>#N/A</v>
      </c>
      <c r="H125" s="124" t="e">
        <f>IF(C125="","",IF(G125&gt;='23'!$J$15*0.4,"SI","NO"))</f>
        <v>#N/A</v>
      </c>
      <c r="I125" s="47" t="e">
        <f t="shared" si="155"/>
        <v>#N/A</v>
      </c>
      <c r="J125" s="263" t="e">
        <f t="shared" ref="J125" si="156">IF((I125+I126+I127+I128+I129)&gt;=1,1,0)</f>
        <v>#N/A</v>
      </c>
      <c r="K125" s="397" t="s">
        <v>31</v>
      </c>
      <c r="L125" s="400">
        <f t="shared" si="149"/>
        <v>5</v>
      </c>
      <c r="M125" s="397" t="s">
        <v>31</v>
      </c>
      <c r="N125" s="400">
        <f t="shared" si="112"/>
        <v>5</v>
      </c>
      <c r="O125" s="113" t="s">
        <v>34</v>
      </c>
      <c r="P125" s="47" t="e">
        <f t="shared" si="140"/>
        <v>#N/A</v>
      </c>
      <c r="Q125" s="400" t="e">
        <f t="shared" ref="Q125" si="157">+L125+N125+IF(SUM(P125:P129)&gt;=1,-1,0)</f>
        <v>#N/A</v>
      </c>
      <c r="R125" s="397" t="s">
        <v>31</v>
      </c>
      <c r="S125" s="387">
        <f t="shared" ref="S125" si="158">IF(R125="CUMPLE",9,0)</f>
        <v>9</v>
      </c>
      <c r="T125" s="390" t="s">
        <v>31</v>
      </c>
      <c r="U125" s="111" t="s">
        <v>31</v>
      </c>
      <c r="V125" s="393">
        <f t="shared" ref="V125" si="159">IF(AND(T125="",U125="",U126="",U127="",U128="",U129=""),"",IF(AND(T125="CUMPLE",U125="",U126="",U127="",U128="",U129=""),"",IF(AND(T125="CUMPLE",OR(U125="CUMPLE",U125=""),OR(U126="CUMPLE",U126=""),OR(U127="CUMPLE",U127=""),OR(U128="CUMPLE",U128=""),OR(U129="CUMPLE",U129="")),20,0)))</f>
        <v>20</v>
      </c>
      <c r="W125" s="111" t="s">
        <v>31</v>
      </c>
      <c r="X125" s="111" t="s">
        <v>30</v>
      </c>
      <c r="Y125" s="111" t="s">
        <v>30</v>
      </c>
      <c r="Z125" s="111" t="s">
        <v>30</v>
      </c>
      <c r="AA125" s="175" t="e">
        <f t="shared" si="92"/>
        <v>#N/A</v>
      </c>
      <c r="AB125" s="393" t="e">
        <f t="shared" ref="AB125" si="160">IF((AA125+AA126+AA127+AA128+AA129)&gt;=0.25,0.25,0)</f>
        <v>#N/A</v>
      </c>
      <c r="AC125" s="111" t="s">
        <v>31</v>
      </c>
      <c r="AD125" s="111" t="s">
        <v>31</v>
      </c>
      <c r="AE125" s="175" t="e">
        <f t="shared" si="94"/>
        <v>#N/A</v>
      </c>
      <c r="AF125" s="387" t="e">
        <f t="shared" ref="AF125" si="161">IF((AE125+AE126+AE127+AE128+AE129)&gt;=0.25,0.25,0)</f>
        <v>#N/A</v>
      </c>
      <c r="AG125" s="394"/>
    </row>
    <row r="126" spans="1:33" ht="32.25" customHeight="1" thickBot="1">
      <c r="A126" s="267"/>
      <c r="B126" s="264"/>
      <c r="C126" s="27" t="e">
        <f>IF(VLOOKUP(B125,PROPONENTES!$B$10:$N$45,4,FALSE)="","",VLOOKUP(B125,PROPONENTES!$B$10:$N$45,4,FALSE))</f>
        <v>#N/A</v>
      </c>
      <c r="D126" s="40" t="e">
        <f>VLOOKUP(B125,PROPONENTES!$B$10:$N$45,5,FALSE)</f>
        <v>#N/A</v>
      </c>
      <c r="E126" s="114"/>
      <c r="F126" s="114"/>
      <c r="G126" s="123" t="e">
        <f>+'23'!E16</f>
        <v>#N/A</v>
      </c>
      <c r="H126" s="124" t="e">
        <f>IF(C126="","",IF(G126&gt;='23'!$J$15*0.4,"SI","NO"))</f>
        <v>#N/A</v>
      </c>
      <c r="I126" s="27" t="e">
        <f t="shared" si="155"/>
        <v>#N/A</v>
      </c>
      <c r="J126" s="264"/>
      <c r="K126" s="398"/>
      <c r="L126" s="401"/>
      <c r="M126" s="398"/>
      <c r="N126" s="401"/>
      <c r="O126" s="115" t="s">
        <v>34</v>
      </c>
      <c r="P126" s="27" t="e">
        <f t="shared" si="140"/>
        <v>#N/A</v>
      </c>
      <c r="Q126" s="401"/>
      <c r="R126" s="398"/>
      <c r="S126" s="388"/>
      <c r="T126" s="391"/>
      <c r="U126" s="116"/>
      <c r="V126" s="270"/>
      <c r="W126" s="116"/>
      <c r="X126" s="116"/>
      <c r="Y126" s="116"/>
      <c r="Z126" s="116"/>
      <c r="AA126" s="175" t="e">
        <f t="shared" si="92"/>
        <v>#N/A</v>
      </c>
      <c r="AB126" s="270"/>
      <c r="AC126" s="111"/>
      <c r="AD126" s="111"/>
      <c r="AE126" s="176" t="e">
        <f t="shared" si="94"/>
        <v>#N/A</v>
      </c>
      <c r="AF126" s="388"/>
      <c r="AG126" s="395"/>
    </row>
    <row r="127" spans="1:33" ht="24" customHeight="1" thickBot="1">
      <c r="A127" s="267"/>
      <c r="B127" s="264"/>
      <c r="C127" s="27" t="e">
        <f>IF(VLOOKUP(B125,PROPONENTES!$B$10:$N$45,6,FALSE)="","",VLOOKUP(B125,PROPONENTES!$B$10:$N$45,6,FALSE))</f>
        <v>#N/A</v>
      </c>
      <c r="D127" s="40" t="e">
        <f>VLOOKUP(B125,PROPONENTES!$B$10:$N$45,7,FALSE)</f>
        <v>#N/A</v>
      </c>
      <c r="E127" s="114"/>
      <c r="F127" s="114"/>
      <c r="G127" s="123" t="e">
        <f>+'23'!E17</f>
        <v>#N/A</v>
      </c>
      <c r="H127" s="124" t="e">
        <f>IF(C127="","",IF(G127&gt;='23'!$J$15*0.4,"SI","NO"))</f>
        <v>#N/A</v>
      </c>
      <c r="I127" s="27" t="e">
        <f t="shared" si="155"/>
        <v>#N/A</v>
      </c>
      <c r="J127" s="264"/>
      <c r="K127" s="398"/>
      <c r="L127" s="401"/>
      <c r="M127" s="398"/>
      <c r="N127" s="401"/>
      <c r="O127" s="115"/>
      <c r="P127" s="27" t="e">
        <f t="shared" si="140"/>
        <v>#N/A</v>
      </c>
      <c r="Q127" s="401"/>
      <c r="R127" s="398"/>
      <c r="S127" s="388"/>
      <c r="T127" s="391"/>
      <c r="U127" s="116"/>
      <c r="V127" s="270"/>
      <c r="W127" s="116"/>
      <c r="X127" s="116"/>
      <c r="Y127" s="116"/>
      <c r="Z127" s="116"/>
      <c r="AA127" s="175" t="e">
        <f t="shared" si="92"/>
        <v>#N/A</v>
      </c>
      <c r="AB127" s="270"/>
      <c r="AC127" s="116"/>
      <c r="AD127" s="116"/>
      <c r="AE127" s="176" t="e">
        <f t="shared" si="94"/>
        <v>#N/A</v>
      </c>
      <c r="AF127" s="388"/>
      <c r="AG127" s="395"/>
    </row>
    <row r="128" spans="1:33" ht="24" customHeight="1" thickBot="1">
      <c r="A128" s="267"/>
      <c r="B128" s="264"/>
      <c r="C128" s="27" t="e">
        <f>IF(VLOOKUP(B125,PROPONENTES!$B$10:$N$45,8,FALSE)="","",VLOOKUP(B125,PROPONENTES!$B$10:$N$45,8,FALSE))</f>
        <v>#N/A</v>
      </c>
      <c r="D128" s="40" t="e">
        <f>VLOOKUP(B125,PROPONENTES!$B$10:$N$45,9,FALSE)</f>
        <v>#N/A</v>
      </c>
      <c r="E128" s="114"/>
      <c r="F128" s="114"/>
      <c r="G128" s="123" t="e">
        <f>+'23'!E18</f>
        <v>#N/A</v>
      </c>
      <c r="H128" s="124" t="e">
        <f>IF(C128="","",IF(G128&gt;='23'!$J$15*0.4,"SI","NO"))</f>
        <v>#N/A</v>
      </c>
      <c r="I128" s="126" t="e">
        <f t="shared" si="155"/>
        <v>#N/A</v>
      </c>
      <c r="J128" s="264"/>
      <c r="K128" s="398"/>
      <c r="L128" s="401"/>
      <c r="M128" s="398"/>
      <c r="N128" s="401"/>
      <c r="O128" s="114"/>
      <c r="P128" s="27" t="e">
        <f t="shared" si="140"/>
        <v>#N/A</v>
      </c>
      <c r="Q128" s="401"/>
      <c r="R128" s="398"/>
      <c r="S128" s="388"/>
      <c r="T128" s="391"/>
      <c r="U128" s="116"/>
      <c r="V128" s="270"/>
      <c r="W128" s="116"/>
      <c r="X128" s="116"/>
      <c r="Y128" s="116"/>
      <c r="Z128" s="116"/>
      <c r="AA128" s="175" t="e">
        <f t="shared" si="92"/>
        <v>#N/A</v>
      </c>
      <c r="AB128" s="270"/>
      <c r="AC128" s="116"/>
      <c r="AD128" s="116"/>
      <c r="AE128" s="176" t="e">
        <f t="shared" si="94"/>
        <v>#N/A</v>
      </c>
      <c r="AF128" s="388"/>
      <c r="AG128" s="395"/>
    </row>
    <row r="129" spans="1:33" ht="24" customHeight="1" thickBot="1">
      <c r="A129" s="268"/>
      <c r="B129" s="265"/>
      <c r="C129" s="52" t="e">
        <f>IF(VLOOKUP(B125,PROPONENTES!$B$10:$N$45,10,FALSE)="","",VLOOKUP(B125,PROPONENTES!$B$10:$N$45,10,FALSE))</f>
        <v>#N/A</v>
      </c>
      <c r="D129" s="53" t="e">
        <f>VLOOKUP(B125,PROPONENTES!$B$10:$N$45,11,FALSE)</f>
        <v>#N/A</v>
      </c>
      <c r="E129" s="118"/>
      <c r="F129" s="118"/>
      <c r="G129" s="123" t="e">
        <f>+'23'!E19</f>
        <v>#N/A</v>
      </c>
      <c r="H129" s="124" t="e">
        <f>IF(C129="","",IF(G129&gt;='23'!$J$15*0.4,"SI","NO"))</f>
        <v>#N/A</v>
      </c>
      <c r="I129" s="128" t="e">
        <f t="shared" si="155"/>
        <v>#N/A</v>
      </c>
      <c r="J129" s="265"/>
      <c r="K129" s="399"/>
      <c r="L129" s="402"/>
      <c r="M129" s="399"/>
      <c r="N129" s="402"/>
      <c r="O129" s="118"/>
      <c r="P129" s="52" t="e">
        <f t="shared" si="140"/>
        <v>#N/A</v>
      </c>
      <c r="Q129" s="402"/>
      <c r="R129" s="399"/>
      <c r="S129" s="389"/>
      <c r="T129" s="392"/>
      <c r="U129" s="149"/>
      <c r="V129" s="271"/>
      <c r="W129" s="149"/>
      <c r="X129" s="149"/>
      <c r="Y129" s="149"/>
      <c r="Z129" s="149"/>
      <c r="AA129" s="175" t="e">
        <f t="shared" si="92"/>
        <v>#N/A</v>
      </c>
      <c r="AB129" s="271"/>
      <c r="AC129" s="149"/>
      <c r="AD129" s="149"/>
      <c r="AE129" s="177" t="e">
        <f t="shared" si="94"/>
        <v>#N/A</v>
      </c>
      <c r="AF129" s="389"/>
      <c r="AG129" s="396"/>
    </row>
    <row r="130" spans="1:33" ht="24" customHeight="1" thickBot="1">
      <c r="A130" s="266">
        <v>24</v>
      </c>
      <c r="B130" s="263">
        <f>+PROPONENTES!B33</f>
        <v>0</v>
      </c>
      <c r="C130" s="47" t="e">
        <f>IF(VLOOKUP(B130,PROPONENTES!$B$10:$N$45,2,FALSE)="","",VLOOKUP(B130,PROPONENTES!$B$10:$N$45,2,FALSE))</f>
        <v>#N/A</v>
      </c>
      <c r="D130" s="48" t="e">
        <f>VLOOKUP(B130,PROPONENTES!$B$10:$N$45,3,FALSE)</f>
        <v>#N/A</v>
      </c>
      <c r="E130" s="109" t="s">
        <v>27</v>
      </c>
      <c r="F130" s="109" t="s">
        <v>27</v>
      </c>
      <c r="G130" s="123" t="e">
        <f>+'24'!E15</f>
        <v>#N/A</v>
      </c>
      <c r="H130" s="124" t="e">
        <f>IF(C130="","",IF(G130&gt;='24'!$J$15*0.4,"SI","NO"))</f>
        <v>#N/A</v>
      </c>
      <c r="I130" s="47" t="e">
        <f t="shared" ref="I130:I154" si="162">IF(C130="",0,IF(AND(E130="SI",H130="SI",F130="SI"),1,0))</f>
        <v>#N/A</v>
      </c>
      <c r="J130" s="263" t="e">
        <f t="shared" ref="J130" si="163">IF((I130+I131+I132+I133+I134)&gt;=1,1,0)</f>
        <v>#N/A</v>
      </c>
      <c r="K130" s="397" t="s">
        <v>31</v>
      </c>
      <c r="L130" s="400">
        <f t="shared" ref="L130" si="164">IF(K130="CUMPLE",5,0)</f>
        <v>5</v>
      </c>
      <c r="M130" s="397" t="s">
        <v>31</v>
      </c>
      <c r="N130" s="400">
        <f t="shared" ref="N130" si="165">IF(M130="CUMPLE",5,0)</f>
        <v>5</v>
      </c>
      <c r="O130" s="113" t="s">
        <v>34</v>
      </c>
      <c r="P130" s="47" t="e">
        <f t="shared" ref="P130:P154" si="166">IF(C130="","0",IF(O130="REPORTADO",1,0))</f>
        <v>#N/A</v>
      </c>
      <c r="Q130" s="400" t="e">
        <f t="shared" ref="Q130" si="167">+L130+N130+IF(SUM(P130:P134)&gt;=1,-1,0)</f>
        <v>#N/A</v>
      </c>
      <c r="R130" s="397" t="s">
        <v>31</v>
      </c>
      <c r="S130" s="387">
        <f t="shared" ref="S130" si="168">IF(R130="CUMPLE",9,0)</f>
        <v>9</v>
      </c>
      <c r="T130" s="390" t="s">
        <v>31</v>
      </c>
      <c r="U130" s="111" t="s">
        <v>31</v>
      </c>
      <c r="V130" s="393">
        <f t="shared" ref="V130" si="169">IF(AND(T130="",U130="",U131="",U132="",U133="",U134=""),"",IF(AND(T130="CUMPLE",U130="",U131="",U132="",U133="",U134=""),"",IF(AND(T130="CUMPLE",OR(U130="CUMPLE",U130=""),OR(U131="CUMPLE",U131=""),OR(U132="CUMPLE",U132=""),OR(U133="CUMPLE",U133=""),OR(U134="CUMPLE",U134="")),20,0)))</f>
        <v>20</v>
      </c>
      <c r="W130" s="111" t="s">
        <v>31</v>
      </c>
      <c r="X130" s="111" t="s">
        <v>31</v>
      </c>
      <c r="Y130" s="111" t="s">
        <v>31</v>
      </c>
      <c r="Z130" s="111" t="s">
        <v>31</v>
      </c>
      <c r="AA130" s="175" t="e">
        <f t="shared" si="92"/>
        <v>#N/A</v>
      </c>
      <c r="AB130" s="393" t="e">
        <f t="shared" ref="AB130" si="170">IF((AA130+AA131+AA132+AA133+AA134)&gt;=0.25,0.25,0)</f>
        <v>#N/A</v>
      </c>
      <c r="AC130" s="111" t="s">
        <v>31</v>
      </c>
      <c r="AD130" s="111" t="s">
        <v>31</v>
      </c>
      <c r="AE130" s="175" t="e">
        <f t="shared" ref="AE130:AE154" si="171">IF(C130="",0,IF(AND(AC130="CUMPLE",AD130="CUMPLE",D130&gt;=10%),0.25,0))</f>
        <v>#N/A</v>
      </c>
      <c r="AF130" s="387" t="e">
        <f t="shared" ref="AF130" si="172">IF((AE130+AE131+AE132+AE133+AE134)&gt;=0.25,0.25,0)</f>
        <v>#N/A</v>
      </c>
      <c r="AG130" s="394"/>
    </row>
    <row r="131" spans="1:33" ht="32.25" customHeight="1" thickBot="1">
      <c r="A131" s="267"/>
      <c r="B131" s="264"/>
      <c r="C131" s="27" t="e">
        <f>IF(VLOOKUP(B130,PROPONENTES!$B$10:$N$45,4,FALSE)="","",VLOOKUP(B130,PROPONENTES!$B$10:$N$45,4,FALSE))</f>
        <v>#N/A</v>
      </c>
      <c r="D131" s="40" t="e">
        <f>VLOOKUP(B130,PROPONENTES!$B$10:$N$45,5,FALSE)</f>
        <v>#N/A</v>
      </c>
      <c r="E131" s="114"/>
      <c r="F131" s="114"/>
      <c r="G131" s="123" t="e">
        <f>+'24'!E16</f>
        <v>#N/A</v>
      </c>
      <c r="H131" s="124" t="e">
        <f>IF(C131="","",IF(G131&gt;='24'!$J$15*0.4,"SI","NO"))</f>
        <v>#N/A</v>
      </c>
      <c r="I131" s="27" t="e">
        <f t="shared" si="162"/>
        <v>#N/A</v>
      </c>
      <c r="J131" s="264"/>
      <c r="K131" s="398"/>
      <c r="L131" s="401"/>
      <c r="M131" s="398"/>
      <c r="N131" s="401"/>
      <c r="O131" s="115"/>
      <c r="P131" s="27" t="e">
        <f t="shared" si="166"/>
        <v>#N/A</v>
      </c>
      <c r="Q131" s="401"/>
      <c r="R131" s="398"/>
      <c r="S131" s="388"/>
      <c r="T131" s="391"/>
      <c r="U131" s="116"/>
      <c r="V131" s="270"/>
      <c r="W131" s="116"/>
      <c r="X131" s="116"/>
      <c r="Y131" s="116"/>
      <c r="Z131" s="116"/>
      <c r="AA131" s="175" t="e">
        <f t="shared" si="92"/>
        <v>#N/A</v>
      </c>
      <c r="AB131" s="270"/>
      <c r="AC131" s="111"/>
      <c r="AD131" s="111"/>
      <c r="AE131" s="176" t="e">
        <f t="shared" si="171"/>
        <v>#N/A</v>
      </c>
      <c r="AF131" s="388"/>
      <c r="AG131" s="395"/>
    </row>
    <row r="132" spans="1:33" ht="24" customHeight="1" thickBot="1">
      <c r="A132" s="267"/>
      <c r="B132" s="264"/>
      <c r="C132" s="27" t="e">
        <f>IF(VLOOKUP(B130,PROPONENTES!$B$10:$N$45,6,FALSE)="","",VLOOKUP(B130,PROPONENTES!$B$10:$N$45,6,FALSE))</f>
        <v>#N/A</v>
      </c>
      <c r="D132" s="40" t="e">
        <f>VLOOKUP(B130,PROPONENTES!$B$10:$N$45,7,FALSE)</f>
        <v>#N/A</v>
      </c>
      <c r="E132" s="114"/>
      <c r="F132" s="114"/>
      <c r="G132" s="123" t="e">
        <f>+'24'!E17</f>
        <v>#N/A</v>
      </c>
      <c r="H132" s="124" t="e">
        <f>IF(C132="","",IF(G132&gt;='24'!$J$15*0.4,"SI","NO"))</f>
        <v>#N/A</v>
      </c>
      <c r="I132" s="27" t="e">
        <f t="shared" si="162"/>
        <v>#N/A</v>
      </c>
      <c r="J132" s="264"/>
      <c r="K132" s="398"/>
      <c r="L132" s="401"/>
      <c r="M132" s="398"/>
      <c r="N132" s="401"/>
      <c r="O132" s="115"/>
      <c r="P132" s="27" t="e">
        <f t="shared" si="166"/>
        <v>#N/A</v>
      </c>
      <c r="Q132" s="401"/>
      <c r="R132" s="398"/>
      <c r="S132" s="388"/>
      <c r="T132" s="391"/>
      <c r="U132" s="116"/>
      <c r="V132" s="270"/>
      <c r="W132" s="116"/>
      <c r="X132" s="116"/>
      <c r="Y132" s="116"/>
      <c r="Z132" s="116"/>
      <c r="AA132" s="175" t="e">
        <f t="shared" si="92"/>
        <v>#N/A</v>
      </c>
      <c r="AB132" s="270"/>
      <c r="AC132" s="116"/>
      <c r="AD132" s="116"/>
      <c r="AE132" s="176" t="e">
        <f t="shared" si="171"/>
        <v>#N/A</v>
      </c>
      <c r="AF132" s="388"/>
      <c r="AG132" s="395"/>
    </row>
    <row r="133" spans="1:33" ht="24" customHeight="1" thickBot="1">
      <c r="A133" s="267"/>
      <c r="B133" s="264"/>
      <c r="C133" s="27" t="e">
        <f>IF(VLOOKUP(B130,PROPONENTES!$B$10:$N$45,8,FALSE)="","",VLOOKUP(B130,PROPONENTES!$B$10:$N$45,8,FALSE))</f>
        <v>#N/A</v>
      </c>
      <c r="D133" s="40" t="e">
        <f>VLOOKUP(B130,PROPONENTES!$B$10:$N$45,9,FALSE)</f>
        <v>#N/A</v>
      </c>
      <c r="E133" s="114"/>
      <c r="F133" s="114"/>
      <c r="G133" s="123" t="e">
        <f>+'24'!E18</f>
        <v>#N/A</v>
      </c>
      <c r="H133" s="124" t="e">
        <f>IF(C133="","",IF(G133&gt;='24'!$J$15*0.4,"SI","NO"))</f>
        <v>#N/A</v>
      </c>
      <c r="I133" s="126" t="e">
        <f t="shared" si="162"/>
        <v>#N/A</v>
      </c>
      <c r="J133" s="264"/>
      <c r="K133" s="398"/>
      <c r="L133" s="401"/>
      <c r="M133" s="398"/>
      <c r="N133" s="401"/>
      <c r="O133" s="114"/>
      <c r="P133" s="27" t="e">
        <f t="shared" si="166"/>
        <v>#N/A</v>
      </c>
      <c r="Q133" s="401"/>
      <c r="R133" s="398"/>
      <c r="S133" s="388"/>
      <c r="T133" s="391"/>
      <c r="U133" s="116"/>
      <c r="V133" s="270"/>
      <c r="W133" s="116"/>
      <c r="X133" s="116"/>
      <c r="Y133" s="116"/>
      <c r="Z133" s="116"/>
      <c r="AA133" s="175" t="e">
        <f t="shared" si="92"/>
        <v>#N/A</v>
      </c>
      <c r="AB133" s="270"/>
      <c r="AC133" s="116"/>
      <c r="AD133" s="116"/>
      <c r="AE133" s="176" t="e">
        <f t="shared" si="171"/>
        <v>#N/A</v>
      </c>
      <c r="AF133" s="388"/>
      <c r="AG133" s="395"/>
    </row>
    <row r="134" spans="1:33" ht="24" customHeight="1" thickBot="1">
      <c r="A134" s="268"/>
      <c r="B134" s="265"/>
      <c r="C134" s="52" t="e">
        <f>IF(VLOOKUP(B130,PROPONENTES!$B$10:$N$45,10,FALSE)="","",VLOOKUP(B130,PROPONENTES!$B$10:$N$45,10,FALSE))</f>
        <v>#N/A</v>
      </c>
      <c r="D134" s="53" t="e">
        <f>VLOOKUP(B130,PROPONENTES!$B$10:$N$45,11,FALSE)</f>
        <v>#N/A</v>
      </c>
      <c r="E134" s="118"/>
      <c r="F134" s="118"/>
      <c r="G134" s="123" t="e">
        <f>+'24'!E19</f>
        <v>#N/A</v>
      </c>
      <c r="H134" s="124" t="e">
        <f>IF(C134="","",IF(G134&gt;='24'!$J$15*0.4,"SI","NO"))</f>
        <v>#N/A</v>
      </c>
      <c r="I134" s="128" t="e">
        <f t="shared" si="162"/>
        <v>#N/A</v>
      </c>
      <c r="J134" s="265"/>
      <c r="K134" s="399"/>
      <c r="L134" s="402"/>
      <c r="M134" s="399"/>
      <c r="N134" s="402"/>
      <c r="O134" s="118"/>
      <c r="P134" s="52" t="e">
        <f t="shared" si="166"/>
        <v>#N/A</v>
      </c>
      <c r="Q134" s="402"/>
      <c r="R134" s="399"/>
      <c r="S134" s="389"/>
      <c r="T134" s="392"/>
      <c r="U134" s="149"/>
      <c r="V134" s="271"/>
      <c r="W134" s="149"/>
      <c r="X134" s="149"/>
      <c r="Y134" s="149"/>
      <c r="Z134" s="149"/>
      <c r="AA134" s="175" t="e">
        <f t="shared" si="92"/>
        <v>#N/A</v>
      </c>
      <c r="AB134" s="271"/>
      <c r="AC134" s="149"/>
      <c r="AD134" s="149"/>
      <c r="AE134" s="177" t="e">
        <f t="shared" si="171"/>
        <v>#N/A</v>
      </c>
      <c r="AF134" s="389"/>
      <c r="AG134" s="396"/>
    </row>
    <row r="135" spans="1:33" ht="24" customHeight="1" thickBot="1">
      <c r="A135" s="266">
        <v>25</v>
      </c>
      <c r="B135" s="263">
        <f>+PROPONENTES!B34</f>
        <v>0</v>
      </c>
      <c r="C135" s="47" t="e">
        <f>IF(VLOOKUP(B135,PROPONENTES!$B$10:$N$45,2,FALSE)="","",VLOOKUP(B135,PROPONENTES!$B$10:$N$45,2,FALSE))</f>
        <v>#N/A</v>
      </c>
      <c r="D135" s="48" t="e">
        <f>VLOOKUP(B135,PROPONENTES!$B$10:$N$45,3,FALSE)</f>
        <v>#N/A</v>
      </c>
      <c r="E135" s="109" t="s">
        <v>27</v>
      </c>
      <c r="F135" s="109" t="s">
        <v>27</v>
      </c>
      <c r="G135" s="123" t="e">
        <f>+'25'!E15</f>
        <v>#N/A</v>
      </c>
      <c r="H135" s="124" t="e">
        <f>IF(C135="","",IF(G135&gt;='25'!$J$15*0.4,"SI","NO"))</f>
        <v>#N/A</v>
      </c>
      <c r="I135" s="47" t="e">
        <f t="shared" si="162"/>
        <v>#N/A</v>
      </c>
      <c r="J135" s="263" t="e">
        <f t="shared" ref="J135" si="173">IF((I135+I136+I137+I138+I139)&gt;=1,1,0)</f>
        <v>#N/A</v>
      </c>
      <c r="K135" s="397" t="s">
        <v>31</v>
      </c>
      <c r="L135" s="400">
        <f t="shared" ref="L135" si="174">IF(K135="CUMPLE",5,0)</f>
        <v>5</v>
      </c>
      <c r="M135" s="397" t="s">
        <v>31</v>
      </c>
      <c r="N135" s="400">
        <f t="shared" ref="N135" si="175">IF(M135="CUMPLE",5,0)</f>
        <v>5</v>
      </c>
      <c r="O135" s="113" t="s">
        <v>34</v>
      </c>
      <c r="P135" s="47" t="e">
        <f t="shared" si="166"/>
        <v>#N/A</v>
      </c>
      <c r="Q135" s="400" t="e">
        <f t="shared" ref="Q135" si="176">+L135+N135+IF(SUM(P135:P139)&gt;=1,-1,0)</f>
        <v>#N/A</v>
      </c>
      <c r="R135" s="397" t="s">
        <v>31</v>
      </c>
      <c r="S135" s="387">
        <f t="shared" ref="S135" si="177">IF(R135="CUMPLE",9,0)</f>
        <v>9</v>
      </c>
      <c r="T135" s="390" t="s">
        <v>31</v>
      </c>
      <c r="U135" s="111" t="s">
        <v>31</v>
      </c>
      <c r="V135" s="393">
        <f t="shared" ref="V135" si="178">IF(AND(T135="",U135="",U136="",U137="",U138="",U139=""),"",IF(AND(T135="CUMPLE",U135="",U136="",U137="",U138="",U139=""),"",IF(AND(T135="CUMPLE",OR(U135="CUMPLE",U135=""),OR(U136="CUMPLE",U136=""),OR(U137="CUMPLE",U137=""),OR(U138="CUMPLE",U138=""),OR(U139="CUMPLE",U139="")),20,0)))</f>
        <v>20</v>
      </c>
      <c r="W135" s="111" t="s">
        <v>31</v>
      </c>
      <c r="X135" s="111" t="s">
        <v>31</v>
      </c>
      <c r="Y135" s="111" t="s">
        <v>31</v>
      </c>
      <c r="Z135" s="111" t="s">
        <v>31</v>
      </c>
      <c r="AA135" s="175" t="e">
        <f t="shared" si="92"/>
        <v>#N/A</v>
      </c>
      <c r="AB135" s="393" t="e">
        <f t="shared" ref="AB135" si="179">IF((AA135+AA136+AA137+AA138+AA139)&gt;=0.25,0.25,0)</f>
        <v>#N/A</v>
      </c>
      <c r="AC135" s="111" t="s">
        <v>31</v>
      </c>
      <c r="AD135" s="111" t="s">
        <v>31</v>
      </c>
      <c r="AE135" s="175" t="e">
        <f t="shared" si="171"/>
        <v>#N/A</v>
      </c>
      <c r="AF135" s="387" t="e">
        <f t="shared" ref="AF135" si="180">IF((AE135+AE136+AE137+AE138+AE139)&gt;=0.25,0.25,0)</f>
        <v>#N/A</v>
      </c>
      <c r="AG135" s="394"/>
    </row>
    <row r="136" spans="1:33" ht="32.25" customHeight="1" thickBot="1">
      <c r="A136" s="267"/>
      <c r="B136" s="264"/>
      <c r="C136" s="27" t="e">
        <f>IF(VLOOKUP(B135,PROPONENTES!$B$10:$N$45,4,FALSE)="","",VLOOKUP(B135,PROPONENTES!$B$10:$N$45,4,FALSE))</f>
        <v>#N/A</v>
      </c>
      <c r="D136" s="40" t="e">
        <f>VLOOKUP(B135,PROPONENTES!$B$10:$N$45,5,FALSE)</f>
        <v>#N/A</v>
      </c>
      <c r="E136" s="114"/>
      <c r="F136" s="114"/>
      <c r="G136" s="123" t="e">
        <f>+'25'!E16</f>
        <v>#N/A</v>
      </c>
      <c r="H136" s="124" t="e">
        <f>IF(C136="","",IF(G136&gt;='25'!$J$15*0.4,"SI","NO"))</f>
        <v>#N/A</v>
      </c>
      <c r="I136" s="27" t="e">
        <f t="shared" si="162"/>
        <v>#N/A</v>
      </c>
      <c r="J136" s="264"/>
      <c r="K136" s="398"/>
      <c r="L136" s="401"/>
      <c r="M136" s="398"/>
      <c r="N136" s="401"/>
      <c r="O136" s="115" t="s">
        <v>34</v>
      </c>
      <c r="P136" s="27" t="e">
        <f t="shared" si="166"/>
        <v>#N/A</v>
      </c>
      <c r="Q136" s="401"/>
      <c r="R136" s="398"/>
      <c r="S136" s="388"/>
      <c r="T136" s="391"/>
      <c r="U136" s="116"/>
      <c r="V136" s="270"/>
      <c r="W136" s="116"/>
      <c r="X136" s="116"/>
      <c r="Y136" s="116"/>
      <c r="Z136" s="116"/>
      <c r="AA136" s="175" t="e">
        <f t="shared" si="92"/>
        <v>#N/A</v>
      </c>
      <c r="AB136" s="270"/>
      <c r="AC136" s="111"/>
      <c r="AD136" s="111"/>
      <c r="AE136" s="176" t="e">
        <f t="shared" si="171"/>
        <v>#N/A</v>
      </c>
      <c r="AF136" s="388"/>
      <c r="AG136" s="395"/>
    </row>
    <row r="137" spans="1:33" ht="24" customHeight="1" thickBot="1">
      <c r="A137" s="267"/>
      <c r="B137" s="264"/>
      <c r="C137" s="27" t="e">
        <f>IF(VLOOKUP(B135,PROPONENTES!$B$10:$N$45,6,FALSE)="","",VLOOKUP(B135,PROPONENTES!$B$10:$N$45,6,FALSE))</f>
        <v>#N/A</v>
      </c>
      <c r="D137" s="40" t="e">
        <f>VLOOKUP(B135,PROPONENTES!$B$10:$N$45,7,FALSE)</f>
        <v>#N/A</v>
      </c>
      <c r="E137" s="114"/>
      <c r="F137" s="114"/>
      <c r="G137" s="123" t="e">
        <f>+'25'!E17</f>
        <v>#N/A</v>
      </c>
      <c r="H137" s="124" t="e">
        <f>IF(C137="","",IF(G137&gt;='25'!$J$15*0.4,"SI","NO"))</f>
        <v>#N/A</v>
      </c>
      <c r="I137" s="27" t="e">
        <f t="shared" si="162"/>
        <v>#N/A</v>
      </c>
      <c r="J137" s="264"/>
      <c r="K137" s="398"/>
      <c r="L137" s="401"/>
      <c r="M137" s="398"/>
      <c r="N137" s="401"/>
      <c r="O137" s="115"/>
      <c r="P137" s="27" t="e">
        <f t="shared" si="166"/>
        <v>#N/A</v>
      </c>
      <c r="Q137" s="401"/>
      <c r="R137" s="398"/>
      <c r="S137" s="388"/>
      <c r="T137" s="391"/>
      <c r="U137" s="116"/>
      <c r="V137" s="270"/>
      <c r="W137" s="116"/>
      <c r="X137" s="116"/>
      <c r="Y137" s="116"/>
      <c r="Z137" s="116"/>
      <c r="AA137" s="175" t="e">
        <f t="shared" si="92"/>
        <v>#N/A</v>
      </c>
      <c r="AB137" s="270"/>
      <c r="AC137" s="116"/>
      <c r="AD137" s="116"/>
      <c r="AE137" s="176" t="e">
        <f t="shared" si="171"/>
        <v>#N/A</v>
      </c>
      <c r="AF137" s="388"/>
      <c r="AG137" s="395"/>
    </row>
    <row r="138" spans="1:33" ht="24" customHeight="1" thickBot="1">
      <c r="A138" s="267"/>
      <c r="B138" s="264"/>
      <c r="C138" s="27" t="e">
        <f>IF(VLOOKUP(B135,PROPONENTES!$B$10:$N$45,8,FALSE)="","",VLOOKUP(B135,PROPONENTES!$B$10:$N$45,8,FALSE))</f>
        <v>#N/A</v>
      </c>
      <c r="D138" s="40" t="e">
        <f>VLOOKUP(B135,PROPONENTES!$B$10:$N$45,9,FALSE)</f>
        <v>#N/A</v>
      </c>
      <c r="E138" s="114"/>
      <c r="F138" s="114"/>
      <c r="G138" s="123" t="e">
        <f>+'25'!E18</f>
        <v>#N/A</v>
      </c>
      <c r="H138" s="124" t="e">
        <f>IF(C138="","",IF(G138&gt;='25'!$J$15*0.4,"SI","NO"))</f>
        <v>#N/A</v>
      </c>
      <c r="I138" s="126" t="e">
        <f t="shared" si="162"/>
        <v>#N/A</v>
      </c>
      <c r="J138" s="264"/>
      <c r="K138" s="398"/>
      <c r="L138" s="401"/>
      <c r="M138" s="398"/>
      <c r="N138" s="401"/>
      <c r="O138" s="114"/>
      <c r="P138" s="27" t="e">
        <f t="shared" si="166"/>
        <v>#N/A</v>
      </c>
      <c r="Q138" s="401"/>
      <c r="R138" s="398"/>
      <c r="S138" s="388"/>
      <c r="T138" s="391"/>
      <c r="U138" s="116"/>
      <c r="V138" s="270"/>
      <c r="W138" s="116"/>
      <c r="X138" s="116"/>
      <c r="Y138" s="116"/>
      <c r="Z138" s="116"/>
      <c r="AA138" s="175" t="e">
        <f t="shared" si="92"/>
        <v>#N/A</v>
      </c>
      <c r="AB138" s="270"/>
      <c r="AC138" s="116"/>
      <c r="AD138" s="116"/>
      <c r="AE138" s="176" t="e">
        <f t="shared" si="171"/>
        <v>#N/A</v>
      </c>
      <c r="AF138" s="388"/>
      <c r="AG138" s="395"/>
    </row>
    <row r="139" spans="1:33" ht="24" customHeight="1" thickBot="1">
      <c r="A139" s="268"/>
      <c r="B139" s="265"/>
      <c r="C139" s="52" t="e">
        <f>IF(VLOOKUP(B135,PROPONENTES!$B$10:$N$45,10,FALSE)="","",VLOOKUP(B135,PROPONENTES!$B$10:$N$45,10,FALSE))</f>
        <v>#N/A</v>
      </c>
      <c r="D139" s="53" t="e">
        <f>VLOOKUP(B135,PROPONENTES!$B$10:$N$45,11,FALSE)</f>
        <v>#N/A</v>
      </c>
      <c r="E139" s="118"/>
      <c r="F139" s="118"/>
      <c r="G139" s="123" t="e">
        <f>+'25'!E19</f>
        <v>#N/A</v>
      </c>
      <c r="H139" s="124" t="e">
        <f>IF(C139="","",IF(G139&gt;='25'!$J$15*0.4,"SI","NO"))</f>
        <v>#N/A</v>
      </c>
      <c r="I139" s="128" t="e">
        <f t="shared" si="162"/>
        <v>#N/A</v>
      </c>
      <c r="J139" s="265"/>
      <c r="K139" s="399"/>
      <c r="L139" s="402"/>
      <c r="M139" s="399"/>
      <c r="N139" s="402"/>
      <c r="O139" s="118"/>
      <c r="P139" s="52" t="e">
        <f t="shared" si="166"/>
        <v>#N/A</v>
      </c>
      <c r="Q139" s="402"/>
      <c r="R139" s="399"/>
      <c r="S139" s="389"/>
      <c r="T139" s="392"/>
      <c r="U139" s="149"/>
      <c r="V139" s="271"/>
      <c r="W139" s="149"/>
      <c r="X139" s="149"/>
      <c r="Y139" s="149"/>
      <c r="Z139" s="149"/>
      <c r="AA139" s="175" t="e">
        <f t="shared" si="92"/>
        <v>#N/A</v>
      </c>
      <c r="AB139" s="271"/>
      <c r="AC139" s="149"/>
      <c r="AD139" s="149"/>
      <c r="AE139" s="177" t="e">
        <f t="shared" si="171"/>
        <v>#N/A</v>
      </c>
      <c r="AF139" s="389"/>
      <c r="AG139" s="396"/>
    </row>
    <row r="140" spans="1:33" ht="24" customHeight="1" thickBot="1">
      <c r="A140" s="266">
        <v>26</v>
      </c>
      <c r="B140" s="263">
        <f>+PROPONENTES!B35</f>
        <v>0</v>
      </c>
      <c r="C140" s="47" t="e">
        <f>IF(VLOOKUP(B140,PROPONENTES!$B$10:$N$45,2,FALSE)="","",VLOOKUP(B140,PROPONENTES!$B$10:$N$45,2,FALSE))</f>
        <v>#N/A</v>
      </c>
      <c r="D140" s="48" t="e">
        <f>VLOOKUP(B140,PROPONENTES!$B$10:$N$45,3,FALSE)</f>
        <v>#N/A</v>
      </c>
      <c r="E140" s="109" t="s">
        <v>27</v>
      </c>
      <c r="F140" s="109" t="s">
        <v>27</v>
      </c>
      <c r="G140" s="123" t="e">
        <f>+'26'!E15</f>
        <v>#N/A</v>
      </c>
      <c r="H140" s="124" t="e">
        <f>IF(C140="","",IF(G140&gt;='26'!$J$15*0.4,"SI","NO"))</f>
        <v>#N/A</v>
      </c>
      <c r="I140" s="47" t="e">
        <f t="shared" si="162"/>
        <v>#N/A</v>
      </c>
      <c r="J140" s="263" t="e">
        <f t="shared" ref="J140" si="181">IF((I140+I141+I142+I143+I144)&gt;=1,1,0)</f>
        <v>#N/A</v>
      </c>
      <c r="K140" s="397" t="s">
        <v>31</v>
      </c>
      <c r="L140" s="400">
        <f t="shared" ref="L140" si="182">IF(K140="CUMPLE",5,0)</f>
        <v>5</v>
      </c>
      <c r="M140" s="397" t="s">
        <v>31</v>
      </c>
      <c r="N140" s="400">
        <f t="shared" ref="N140" si="183">IF(M140="CUMPLE",5,0)</f>
        <v>5</v>
      </c>
      <c r="O140" s="113" t="s">
        <v>34</v>
      </c>
      <c r="P140" s="47" t="e">
        <f t="shared" si="166"/>
        <v>#N/A</v>
      </c>
      <c r="Q140" s="400" t="e">
        <f t="shared" ref="Q140" si="184">+L140+N140+IF(SUM(P140:P144)&gt;=1,-1,0)</f>
        <v>#N/A</v>
      </c>
      <c r="R140" s="397" t="s">
        <v>31</v>
      </c>
      <c r="S140" s="387">
        <f t="shared" ref="S140" si="185">IF(R140="CUMPLE",9,0)</f>
        <v>9</v>
      </c>
      <c r="T140" s="390" t="s">
        <v>31</v>
      </c>
      <c r="U140" s="111" t="s">
        <v>31</v>
      </c>
      <c r="V140" s="393">
        <f t="shared" ref="V140" si="186">IF(AND(T140="",U140="",U141="",U142="",U143="",U144=""),"",IF(AND(T140="CUMPLE",U140="",U141="",U142="",U143="",U144=""),"",IF(AND(T140="CUMPLE",OR(U140="CUMPLE",U140=""),OR(U141="CUMPLE",U141=""),OR(U142="CUMPLE",U142=""),OR(U143="CUMPLE",U143=""),OR(U144="CUMPLE",U144="")),20,0)))</f>
        <v>20</v>
      </c>
      <c r="W140" s="111"/>
      <c r="X140" s="111"/>
      <c r="Y140" s="111"/>
      <c r="Z140" s="111"/>
      <c r="AA140" s="175" t="e">
        <f t="shared" si="92"/>
        <v>#N/A</v>
      </c>
      <c r="AB140" s="393" t="e">
        <f t="shared" ref="AB140" si="187">IF((AA140+AA141+AA142+AA143+AA144)&gt;=0.25,0.25,0)</f>
        <v>#N/A</v>
      </c>
      <c r="AC140" s="111" t="s">
        <v>31</v>
      </c>
      <c r="AD140" s="111" t="s">
        <v>31</v>
      </c>
      <c r="AE140" s="175" t="e">
        <f t="shared" si="171"/>
        <v>#N/A</v>
      </c>
      <c r="AF140" s="387" t="e">
        <f t="shared" ref="AF140" si="188">IF((AE140+AE141+AE142+AE143+AE144)&gt;=0.25,0.25,0)</f>
        <v>#N/A</v>
      </c>
      <c r="AG140" s="394"/>
    </row>
    <row r="141" spans="1:33" ht="32.25" customHeight="1" thickBot="1">
      <c r="A141" s="267"/>
      <c r="B141" s="264"/>
      <c r="C141" s="27" t="e">
        <f>IF(VLOOKUP(B140,PROPONENTES!$B$10:$N$45,4,FALSE)="","",VLOOKUP(B140,PROPONENTES!$B$10:$N$45,4,FALSE))</f>
        <v>#N/A</v>
      </c>
      <c r="D141" s="40" t="e">
        <f>VLOOKUP(B140,PROPONENTES!$B$10:$N$45,5,FALSE)</f>
        <v>#N/A</v>
      </c>
      <c r="E141" s="114"/>
      <c r="F141" s="114"/>
      <c r="G141" s="123" t="e">
        <f>+'26'!E16</f>
        <v>#N/A</v>
      </c>
      <c r="H141" s="124" t="e">
        <f>IF(C141="","",IF(G141&gt;='26'!$J$15*0.4,"SI","NO"))</f>
        <v>#N/A</v>
      </c>
      <c r="I141" s="27" t="e">
        <f t="shared" si="162"/>
        <v>#N/A</v>
      </c>
      <c r="J141" s="264"/>
      <c r="K141" s="398"/>
      <c r="L141" s="401"/>
      <c r="M141" s="398"/>
      <c r="N141" s="401"/>
      <c r="O141" s="115" t="s">
        <v>34</v>
      </c>
      <c r="P141" s="27" t="e">
        <f t="shared" si="166"/>
        <v>#N/A</v>
      </c>
      <c r="Q141" s="401"/>
      <c r="R141" s="398"/>
      <c r="S141" s="388"/>
      <c r="T141" s="391"/>
      <c r="U141" s="116"/>
      <c r="V141" s="270"/>
      <c r="W141" s="116" t="s">
        <v>31</v>
      </c>
      <c r="X141" s="116" t="s">
        <v>31</v>
      </c>
      <c r="Y141" s="116" t="s">
        <v>31</v>
      </c>
      <c r="Z141" s="116" t="s">
        <v>31</v>
      </c>
      <c r="AA141" s="175" t="e">
        <f t="shared" si="92"/>
        <v>#N/A</v>
      </c>
      <c r="AB141" s="270"/>
      <c r="AC141" s="111" t="s">
        <v>31</v>
      </c>
      <c r="AD141" s="111" t="s">
        <v>31</v>
      </c>
      <c r="AE141" s="176" t="e">
        <f t="shared" si="171"/>
        <v>#N/A</v>
      </c>
      <c r="AF141" s="388"/>
      <c r="AG141" s="395"/>
    </row>
    <row r="142" spans="1:33" ht="24" customHeight="1" thickBot="1">
      <c r="A142" s="267"/>
      <c r="B142" s="264"/>
      <c r="C142" s="27" t="e">
        <f>IF(VLOOKUP(B140,PROPONENTES!$B$10:$N$45,6,FALSE)="","",VLOOKUP(B140,PROPONENTES!$B$10:$N$45,6,FALSE))</f>
        <v>#N/A</v>
      </c>
      <c r="D142" s="40" t="e">
        <f>VLOOKUP(B140,PROPONENTES!$B$10:$N$45,7,FALSE)</f>
        <v>#N/A</v>
      </c>
      <c r="E142" s="114"/>
      <c r="F142" s="114"/>
      <c r="G142" s="123" t="e">
        <f>+'26'!E17</f>
        <v>#N/A</v>
      </c>
      <c r="H142" s="124" t="e">
        <f>IF(C142="","",IF(G142&gt;='26'!$J$15*0.4,"SI","NO"))</f>
        <v>#N/A</v>
      </c>
      <c r="I142" s="27" t="e">
        <f t="shared" si="162"/>
        <v>#N/A</v>
      </c>
      <c r="J142" s="264"/>
      <c r="K142" s="398"/>
      <c r="L142" s="401"/>
      <c r="M142" s="398"/>
      <c r="N142" s="401"/>
      <c r="O142" s="115"/>
      <c r="P142" s="27" t="e">
        <f t="shared" si="166"/>
        <v>#N/A</v>
      </c>
      <c r="Q142" s="401"/>
      <c r="R142" s="398"/>
      <c r="S142" s="388"/>
      <c r="T142" s="391"/>
      <c r="U142" s="116"/>
      <c r="V142" s="270"/>
      <c r="W142" s="116"/>
      <c r="X142" s="116"/>
      <c r="Y142" s="116"/>
      <c r="Z142" s="116"/>
      <c r="AA142" s="175" t="e">
        <f t="shared" si="92"/>
        <v>#N/A</v>
      </c>
      <c r="AB142" s="270"/>
      <c r="AC142" s="116"/>
      <c r="AD142" s="116"/>
      <c r="AE142" s="176" t="e">
        <f t="shared" si="171"/>
        <v>#N/A</v>
      </c>
      <c r="AF142" s="388"/>
      <c r="AG142" s="395"/>
    </row>
    <row r="143" spans="1:33" ht="24" customHeight="1" thickBot="1">
      <c r="A143" s="267"/>
      <c r="B143" s="264"/>
      <c r="C143" s="27" t="e">
        <f>IF(VLOOKUP(B140,PROPONENTES!$B$10:$N$45,8,FALSE)="","",VLOOKUP(B140,PROPONENTES!$B$10:$N$45,8,FALSE))</f>
        <v>#N/A</v>
      </c>
      <c r="D143" s="40" t="e">
        <f>VLOOKUP(B140,PROPONENTES!$B$10:$N$45,9,FALSE)</f>
        <v>#N/A</v>
      </c>
      <c r="E143" s="114"/>
      <c r="F143" s="114"/>
      <c r="G143" s="123" t="e">
        <f>+'26'!E18</f>
        <v>#N/A</v>
      </c>
      <c r="H143" s="124" t="e">
        <f>IF(C143="","",IF(G143&gt;='26'!$J$15*0.4,"SI","NO"))</f>
        <v>#N/A</v>
      </c>
      <c r="I143" s="126" t="e">
        <f t="shared" si="162"/>
        <v>#N/A</v>
      </c>
      <c r="J143" s="264"/>
      <c r="K143" s="398"/>
      <c r="L143" s="401"/>
      <c r="M143" s="398"/>
      <c r="N143" s="401"/>
      <c r="O143" s="114"/>
      <c r="P143" s="27" t="e">
        <f t="shared" si="166"/>
        <v>#N/A</v>
      </c>
      <c r="Q143" s="401"/>
      <c r="R143" s="398"/>
      <c r="S143" s="388"/>
      <c r="T143" s="391"/>
      <c r="U143" s="116"/>
      <c r="V143" s="270"/>
      <c r="W143" s="116"/>
      <c r="X143" s="116"/>
      <c r="Y143" s="116"/>
      <c r="Z143" s="116"/>
      <c r="AA143" s="175" t="e">
        <f t="shared" si="92"/>
        <v>#N/A</v>
      </c>
      <c r="AB143" s="270"/>
      <c r="AC143" s="116"/>
      <c r="AD143" s="116"/>
      <c r="AE143" s="176" t="e">
        <f t="shared" si="171"/>
        <v>#N/A</v>
      </c>
      <c r="AF143" s="388"/>
      <c r="AG143" s="395"/>
    </row>
    <row r="144" spans="1:33" ht="24" customHeight="1" thickBot="1">
      <c r="A144" s="268"/>
      <c r="B144" s="265"/>
      <c r="C144" s="52" t="e">
        <f>IF(VLOOKUP(B140,PROPONENTES!$B$10:$N$45,10,FALSE)="","",VLOOKUP(B140,PROPONENTES!$B$10:$N$45,10,FALSE))</f>
        <v>#N/A</v>
      </c>
      <c r="D144" s="53" t="e">
        <f>VLOOKUP(B140,PROPONENTES!$B$10:$N$45,11,FALSE)</f>
        <v>#N/A</v>
      </c>
      <c r="E144" s="118"/>
      <c r="F144" s="118"/>
      <c r="G144" s="123" t="e">
        <f>+'26'!E19</f>
        <v>#N/A</v>
      </c>
      <c r="H144" s="124" t="e">
        <f>IF(C144="","",IF(G144&gt;='26'!$J$15*0.4,"SI","NO"))</f>
        <v>#N/A</v>
      </c>
      <c r="I144" s="128" t="e">
        <f t="shared" si="162"/>
        <v>#N/A</v>
      </c>
      <c r="J144" s="265"/>
      <c r="K144" s="399"/>
      <c r="L144" s="402"/>
      <c r="M144" s="399"/>
      <c r="N144" s="402"/>
      <c r="O144" s="118"/>
      <c r="P144" s="52" t="e">
        <f t="shared" si="166"/>
        <v>#N/A</v>
      </c>
      <c r="Q144" s="402"/>
      <c r="R144" s="399"/>
      <c r="S144" s="389"/>
      <c r="T144" s="392"/>
      <c r="U144" s="149"/>
      <c r="V144" s="271"/>
      <c r="W144" s="149"/>
      <c r="X144" s="149"/>
      <c r="Y144" s="149"/>
      <c r="Z144" s="149"/>
      <c r="AA144" s="175" t="e">
        <f t="shared" ref="AA144:AA154" si="189">IF(C144="",0,IF(AND(OR(X144="CUMPLE",X144="N/A"),OR(Y144="CUMPLE",Y144="N/A"),OR(Z144="CUMPLE",Z144="N/A"),AND(W144="CUMPLE",D144&gt;=10%)),0.25,))</f>
        <v>#N/A</v>
      </c>
      <c r="AB144" s="271"/>
      <c r="AC144" s="149"/>
      <c r="AD144" s="149"/>
      <c r="AE144" s="177" t="e">
        <f t="shared" si="171"/>
        <v>#N/A</v>
      </c>
      <c r="AF144" s="389"/>
      <c r="AG144" s="396"/>
    </row>
    <row r="145" spans="1:33" ht="51.75" customHeight="1" thickBot="1">
      <c r="A145" s="266">
        <v>27</v>
      </c>
      <c r="B145" s="263">
        <f>+PROPONENTES!B36</f>
        <v>0</v>
      </c>
      <c r="C145" s="47" t="e">
        <f>IF(VLOOKUP(B145,PROPONENTES!$B$10:$N$45,2,FALSE)="","",VLOOKUP(B145,PROPONENTES!$B$10:$N$45,2,FALSE))</f>
        <v>#N/A</v>
      </c>
      <c r="D145" s="48" t="e">
        <f>VLOOKUP(B145,PROPONENTES!$B$10:$N$45,3,FALSE)</f>
        <v>#N/A</v>
      </c>
      <c r="E145" s="109"/>
      <c r="F145" s="109"/>
      <c r="G145" s="123" t="e">
        <f>+'27'!E15</f>
        <v>#N/A</v>
      </c>
      <c r="H145" s="124" t="e">
        <f>IF(C145="","",IF(G145&gt;='27'!$J$15*0.4,"SI","NO"))</f>
        <v>#N/A</v>
      </c>
      <c r="I145" s="47" t="e">
        <f t="shared" si="162"/>
        <v>#N/A</v>
      </c>
      <c r="J145" s="263" t="e">
        <f t="shared" ref="J145" si="190">IF((I145+I146+I147+I148+I149)&gt;=1,1,0)</f>
        <v>#N/A</v>
      </c>
      <c r="K145" s="397" t="s">
        <v>31</v>
      </c>
      <c r="L145" s="400">
        <f t="shared" ref="L145" si="191">IF(K145="CUMPLE",5,0)</f>
        <v>5</v>
      </c>
      <c r="M145" s="397" t="s">
        <v>31</v>
      </c>
      <c r="N145" s="400">
        <f t="shared" ref="N145" si="192">IF(M145="CUMPLE",5,0)</f>
        <v>5</v>
      </c>
      <c r="O145" s="113" t="s">
        <v>34</v>
      </c>
      <c r="P145" s="47" t="e">
        <f t="shared" si="166"/>
        <v>#N/A</v>
      </c>
      <c r="Q145" s="400" t="e">
        <f t="shared" ref="Q145" si="193">+L145+N145+IF(SUM(P145:P149)&gt;=1,-1,0)</f>
        <v>#N/A</v>
      </c>
      <c r="R145" s="397" t="s">
        <v>31</v>
      </c>
      <c r="S145" s="387">
        <f t="shared" ref="S145" si="194">IF(R145="CUMPLE",9,0)</f>
        <v>9</v>
      </c>
      <c r="T145" s="390" t="s">
        <v>31</v>
      </c>
      <c r="U145" s="111" t="s">
        <v>31</v>
      </c>
      <c r="V145" s="393">
        <f t="shared" ref="V145" si="195">IF(AND(T145="",U145="",U146="",U147="",U148="",U149=""),"",IF(AND(T145="CUMPLE",U145="",U146="",U147="",U148="",U149=""),"",IF(AND(T145="CUMPLE",OR(U145="CUMPLE",U145=""),OR(U146="CUMPLE",U146=""),OR(U147="CUMPLE",U147=""),OR(U148="CUMPLE",U148=""),OR(U149="CUMPLE",U149="")),20,0)))</f>
        <v>20</v>
      </c>
      <c r="W145" s="111" t="s">
        <v>31</v>
      </c>
      <c r="X145" s="111" t="s">
        <v>31</v>
      </c>
      <c r="Y145" s="111" t="s">
        <v>31</v>
      </c>
      <c r="Z145" s="111" t="s">
        <v>31</v>
      </c>
      <c r="AA145" s="175" t="e">
        <f t="shared" si="189"/>
        <v>#N/A</v>
      </c>
      <c r="AB145" s="393" t="e">
        <f t="shared" ref="AB145" si="196">IF((AA145+AA146+AA147+AA148+AA149)&gt;=0.25,0.25,0)</f>
        <v>#N/A</v>
      </c>
      <c r="AC145" s="111" t="s">
        <v>31</v>
      </c>
      <c r="AD145" s="111" t="s">
        <v>31</v>
      </c>
      <c r="AE145" s="175" t="e">
        <f t="shared" si="171"/>
        <v>#N/A</v>
      </c>
      <c r="AF145" s="387" t="e">
        <f t="shared" ref="AF145" si="197">IF((AE145+AE146+AE147+AE148+AE149)&gt;=0.25,0.25,0)</f>
        <v>#N/A</v>
      </c>
      <c r="AG145" s="394"/>
    </row>
    <row r="146" spans="1:33" ht="32.25" customHeight="1" thickBot="1">
      <c r="A146" s="267"/>
      <c r="B146" s="264"/>
      <c r="C146" s="27" t="e">
        <f>IF(VLOOKUP(B145,PROPONENTES!$B$10:$N$45,4,FALSE)="","",VLOOKUP(B145,PROPONENTES!$B$10:$N$45,4,FALSE))</f>
        <v>#N/A</v>
      </c>
      <c r="D146" s="40" t="e">
        <f>VLOOKUP(B145,PROPONENTES!$B$10:$N$45,5,FALSE)</f>
        <v>#N/A</v>
      </c>
      <c r="E146" s="114" t="s">
        <v>27</v>
      </c>
      <c r="F146" s="114" t="s">
        <v>27</v>
      </c>
      <c r="G146" s="123" t="e">
        <f>+'27'!E16</f>
        <v>#N/A</v>
      </c>
      <c r="H146" s="124" t="e">
        <f>IF(C146="","",IF(G146&gt;='27'!$J$15*0.4,"SI","NO"))</f>
        <v>#N/A</v>
      </c>
      <c r="I146" s="27" t="e">
        <f t="shared" si="162"/>
        <v>#N/A</v>
      </c>
      <c r="J146" s="264"/>
      <c r="K146" s="398"/>
      <c r="L146" s="401"/>
      <c r="M146" s="398"/>
      <c r="N146" s="401"/>
      <c r="O146" s="115" t="s">
        <v>34</v>
      </c>
      <c r="P146" s="27" t="e">
        <f t="shared" si="166"/>
        <v>#N/A</v>
      </c>
      <c r="Q146" s="401"/>
      <c r="R146" s="398"/>
      <c r="S146" s="388"/>
      <c r="T146" s="391"/>
      <c r="U146" s="116"/>
      <c r="V146" s="270"/>
      <c r="W146" s="116"/>
      <c r="X146" s="116"/>
      <c r="Y146" s="116"/>
      <c r="Z146" s="116"/>
      <c r="AA146" s="175" t="e">
        <f t="shared" si="189"/>
        <v>#N/A</v>
      </c>
      <c r="AB146" s="270"/>
      <c r="AC146" s="111" t="s">
        <v>31</v>
      </c>
      <c r="AD146" s="111" t="s">
        <v>31</v>
      </c>
      <c r="AE146" s="176" t="e">
        <f t="shared" si="171"/>
        <v>#N/A</v>
      </c>
      <c r="AF146" s="388"/>
      <c r="AG146" s="395"/>
    </row>
    <row r="147" spans="1:33" ht="24" customHeight="1" thickBot="1">
      <c r="A147" s="267"/>
      <c r="B147" s="264"/>
      <c r="C147" s="27" t="e">
        <f>IF(VLOOKUP(B145,PROPONENTES!$B$10:$N$45,6,FALSE)="","",VLOOKUP(B145,PROPONENTES!$B$10:$N$45,6,FALSE))</f>
        <v>#N/A</v>
      </c>
      <c r="D147" s="40" t="e">
        <f>VLOOKUP(B145,PROPONENTES!$B$10:$N$45,7,FALSE)</f>
        <v>#N/A</v>
      </c>
      <c r="E147" s="114"/>
      <c r="F147" s="114"/>
      <c r="G147" s="123" t="e">
        <f>+'27'!E17</f>
        <v>#N/A</v>
      </c>
      <c r="H147" s="124" t="e">
        <f>IF(C147="","",IF(G147&gt;='27'!$J$15*0.4,"SI","NO"))</f>
        <v>#N/A</v>
      </c>
      <c r="I147" s="27" t="e">
        <f t="shared" si="162"/>
        <v>#N/A</v>
      </c>
      <c r="J147" s="264"/>
      <c r="K147" s="398"/>
      <c r="L147" s="401"/>
      <c r="M147" s="398"/>
      <c r="N147" s="401"/>
      <c r="O147" s="115" t="s">
        <v>34</v>
      </c>
      <c r="P147" s="27" t="e">
        <f t="shared" si="166"/>
        <v>#N/A</v>
      </c>
      <c r="Q147" s="401"/>
      <c r="R147" s="398"/>
      <c r="S147" s="388"/>
      <c r="T147" s="391"/>
      <c r="U147" s="116"/>
      <c r="V147" s="270"/>
      <c r="W147" s="116"/>
      <c r="X147" s="116"/>
      <c r="Y147" s="116"/>
      <c r="Z147" s="116"/>
      <c r="AA147" s="175" t="e">
        <f t="shared" si="189"/>
        <v>#N/A</v>
      </c>
      <c r="AB147" s="270"/>
      <c r="AC147" s="116"/>
      <c r="AD147" s="116"/>
      <c r="AE147" s="176" t="e">
        <f t="shared" si="171"/>
        <v>#N/A</v>
      </c>
      <c r="AF147" s="388"/>
      <c r="AG147" s="395"/>
    </row>
    <row r="148" spans="1:33" ht="24" customHeight="1" thickBot="1">
      <c r="A148" s="267"/>
      <c r="B148" s="264"/>
      <c r="C148" s="27" t="e">
        <f>IF(VLOOKUP(B145,PROPONENTES!$B$10:$N$45,8,FALSE)="","",VLOOKUP(B145,PROPONENTES!$B$10:$N$45,8,FALSE))</f>
        <v>#N/A</v>
      </c>
      <c r="D148" s="40" t="e">
        <f>VLOOKUP(B145,PROPONENTES!$B$10:$N$45,9,FALSE)</f>
        <v>#N/A</v>
      </c>
      <c r="E148" s="114"/>
      <c r="F148" s="114"/>
      <c r="G148" s="123" t="e">
        <f>+'27'!E18</f>
        <v>#N/A</v>
      </c>
      <c r="H148" s="124" t="e">
        <f>IF(C148="","",IF(G148&gt;='27'!$J$15*0.4,"SI","NO"))</f>
        <v>#N/A</v>
      </c>
      <c r="I148" s="126" t="e">
        <f t="shared" si="162"/>
        <v>#N/A</v>
      </c>
      <c r="J148" s="264"/>
      <c r="K148" s="398"/>
      <c r="L148" s="401"/>
      <c r="M148" s="398"/>
      <c r="N148" s="401"/>
      <c r="O148" s="114"/>
      <c r="P148" s="27" t="e">
        <f t="shared" si="166"/>
        <v>#N/A</v>
      </c>
      <c r="Q148" s="401"/>
      <c r="R148" s="398"/>
      <c r="S148" s="388"/>
      <c r="T148" s="391"/>
      <c r="U148" s="116"/>
      <c r="V148" s="270"/>
      <c r="W148" s="116"/>
      <c r="X148" s="116"/>
      <c r="Y148" s="116"/>
      <c r="Z148" s="116"/>
      <c r="AA148" s="175" t="e">
        <f t="shared" si="189"/>
        <v>#N/A</v>
      </c>
      <c r="AB148" s="270"/>
      <c r="AC148" s="116"/>
      <c r="AD148" s="116"/>
      <c r="AE148" s="176" t="e">
        <f t="shared" si="171"/>
        <v>#N/A</v>
      </c>
      <c r="AF148" s="388"/>
      <c r="AG148" s="395"/>
    </row>
    <row r="149" spans="1:33" ht="24" customHeight="1" thickBot="1">
      <c r="A149" s="268"/>
      <c r="B149" s="265"/>
      <c r="C149" s="52" t="e">
        <f>IF(VLOOKUP(B145,PROPONENTES!$B$10:$N$45,10,FALSE)="","",VLOOKUP(B145,PROPONENTES!$B$10:$N$45,10,FALSE))</f>
        <v>#N/A</v>
      </c>
      <c r="D149" s="53" t="e">
        <f>VLOOKUP(B145,PROPONENTES!$B$10:$N$45,11,FALSE)</f>
        <v>#N/A</v>
      </c>
      <c r="E149" s="118"/>
      <c r="F149" s="118"/>
      <c r="G149" s="123" t="e">
        <f>+'27'!E19</f>
        <v>#N/A</v>
      </c>
      <c r="H149" s="124" t="e">
        <f>IF(C149="","",IF(G149&gt;='27'!$J$15*0.4,"SI","NO"))</f>
        <v>#N/A</v>
      </c>
      <c r="I149" s="128" t="e">
        <f t="shared" si="162"/>
        <v>#N/A</v>
      </c>
      <c r="J149" s="265"/>
      <c r="K149" s="399"/>
      <c r="L149" s="402"/>
      <c r="M149" s="399"/>
      <c r="N149" s="402"/>
      <c r="O149" s="118"/>
      <c r="P149" s="52" t="e">
        <f t="shared" si="166"/>
        <v>#N/A</v>
      </c>
      <c r="Q149" s="402"/>
      <c r="R149" s="399"/>
      <c r="S149" s="389"/>
      <c r="T149" s="392"/>
      <c r="U149" s="149"/>
      <c r="V149" s="271"/>
      <c r="W149" s="149"/>
      <c r="X149" s="149"/>
      <c r="Y149" s="149"/>
      <c r="Z149" s="149"/>
      <c r="AA149" s="175" t="e">
        <f t="shared" si="189"/>
        <v>#N/A</v>
      </c>
      <c r="AB149" s="271"/>
      <c r="AC149" s="149"/>
      <c r="AD149" s="149"/>
      <c r="AE149" s="177" t="e">
        <f t="shared" si="171"/>
        <v>#N/A</v>
      </c>
      <c r="AF149" s="389"/>
      <c r="AG149" s="396"/>
    </row>
    <row r="150" spans="1:33" ht="24" customHeight="1" thickBot="1">
      <c r="A150" s="266">
        <v>28</v>
      </c>
      <c r="B150" s="263">
        <f>+PROPONENTES!B37</f>
        <v>0</v>
      </c>
      <c r="C150" s="47" t="e">
        <f>IF(VLOOKUP(B150,PROPONENTES!$B$10:$N$45,2,FALSE)="","",VLOOKUP(B150,PROPONENTES!$B$10:$N$45,2,FALSE))</f>
        <v>#N/A</v>
      </c>
      <c r="D150" s="48" t="e">
        <f>VLOOKUP(B150,PROPONENTES!$B$10:$N$45,3,FALSE)</f>
        <v>#N/A</v>
      </c>
      <c r="E150" s="109" t="s">
        <v>27</v>
      </c>
      <c r="F150" s="109" t="s">
        <v>27</v>
      </c>
      <c r="G150" s="123" t="e">
        <f>+'28'!E15</f>
        <v>#N/A</v>
      </c>
      <c r="H150" s="124" t="e">
        <f>IF(C150="","",IF(G150&gt;='28'!$J$15*0.4,"SI","NO"))</f>
        <v>#N/A</v>
      </c>
      <c r="I150" s="47" t="e">
        <f t="shared" si="162"/>
        <v>#N/A</v>
      </c>
      <c r="J150" s="263" t="e">
        <f t="shared" ref="J150" si="198">IF((I150+I151+I152+I153+I154)&gt;=1,1,0)</f>
        <v>#N/A</v>
      </c>
      <c r="K150" s="397" t="s">
        <v>31</v>
      </c>
      <c r="L150" s="400">
        <f t="shared" ref="L150" si="199">IF(K150="CUMPLE",5,0)</f>
        <v>5</v>
      </c>
      <c r="M150" s="397" t="s">
        <v>31</v>
      </c>
      <c r="N150" s="400">
        <f t="shared" ref="N150" si="200">IF(M150="CUMPLE",5,0)</f>
        <v>5</v>
      </c>
      <c r="O150" s="113" t="s">
        <v>34</v>
      </c>
      <c r="P150" s="47" t="e">
        <f t="shared" si="166"/>
        <v>#N/A</v>
      </c>
      <c r="Q150" s="400" t="e">
        <f t="shared" ref="Q150" si="201">+L150+N150+IF(SUM(P150:P154)&gt;=1,-1,0)</f>
        <v>#N/A</v>
      </c>
      <c r="R150" s="397" t="s">
        <v>31</v>
      </c>
      <c r="S150" s="387">
        <f t="shared" ref="S150" si="202">IF(R150="CUMPLE",9,0)</f>
        <v>9</v>
      </c>
      <c r="T150" s="390" t="s">
        <v>31</v>
      </c>
      <c r="U150" s="111" t="s">
        <v>31</v>
      </c>
      <c r="V150" s="393">
        <f t="shared" ref="V150" si="203">IF(AND(T150="",U150="",U151="",U152="",U153="",U154=""),"",IF(AND(T150="CUMPLE",U150="",U151="",U152="",U153="",U154=""),"",IF(AND(T150="CUMPLE",OR(U150="CUMPLE",U150=""),OR(U151="CUMPLE",U151=""),OR(U152="CUMPLE",U152=""),OR(U153="CUMPLE",U153=""),OR(U154="CUMPLE",U154="")),20,0)))</f>
        <v>20</v>
      </c>
      <c r="W150" s="111" t="s">
        <v>31</v>
      </c>
      <c r="X150" s="111" t="s">
        <v>31</v>
      </c>
      <c r="Y150" s="111" t="s">
        <v>31</v>
      </c>
      <c r="Z150" s="111" t="s">
        <v>31</v>
      </c>
      <c r="AA150" s="175" t="e">
        <f t="shared" si="189"/>
        <v>#N/A</v>
      </c>
      <c r="AB150" s="393" t="e">
        <f t="shared" ref="AB150" si="204">IF((AA150+AA151+AA152+AA153+AA154)&gt;=0.25,0.25,0)</f>
        <v>#N/A</v>
      </c>
      <c r="AC150" s="111" t="s">
        <v>31</v>
      </c>
      <c r="AD150" s="111" t="s">
        <v>31</v>
      </c>
      <c r="AE150" s="175" t="e">
        <f t="shared" si="171"/>
        <v>#N/A</v>
      </c>
      <c r="AF150" s="387" t="e">
        <f t="shared" ref="AF150" si="205">IF((AE150+AE151+AE152+AE153+AE154)&gt;=0.25,0.25,0)</f>
        <v>#N/A</v>
      </c>
      <c r="AG150" s="394"/>
    </row>
    <row r="151" spans="1:33" ht="32.25" customHeight="1" thickBot="1">
      <c r="A151" s="267"/>
      <c r="B151" s="264"/>
      <c r="C151" s="27" t="e">
        <f>IF(VLOOKUP(B150,PROPONENTES!$B$10:$N$45,4,FALSE)="","",VLOOKUP(B150,PROPONENTES!$B$10:$N$45,4,FALSE))</f>
        <v>#N/A</v>
      </c>
      <c r="D151" s="40" t="e">
        <f>VLOOKUP(B150,PROPONENTES!$B$10:$N$45,5,FALSE)</f>
        <v>#N/A</v>
      </c>
      <c r="E151" s="114"/>
      <c r="F151" s="114"/>
      <c r="G151" s="123" t="e">
        <f>+'28'!E16</f>
        <v>#N/A</v>
      </c>
      <c r="H151" s="124" t="e">
        <f>IF(C151="","",IF(G151&gt;='28'!$J$15*0.4,"SI","NO"))</f>
        <v>#N/A</v>
      </c>
      <c r="I151" s="27" t="e">
        <f t="shared" si="162"/>
        <v>#N/A</v>
      </c>
      <c r="J151" s="264"/>
      <c r="K151" s="398"/>
      <c r="L151" s="401"/>
      <c r="M151" s="398"/>
      <c r="N151" s="401"/>
      <c r="O151" s="115" t="s">
        <v>34</v>
      </c>
      <c r="P151" s="27" t="e">
        <f t="shared" si="166"/>
        <v>#N/A</v>
      </c>
      <c r="Q151" s="401"/>
      <c r="R151" s="398"/>
      <c r="S151" s="388"/>
      <c r="T151" s="391"/>
      <c r="U151" s="116" t="s">
        <v>31</v>
      </c>
      <c r="V151" s="270"/>
      <c r="W151" s="116"/>
      <c r="X151" s="116"/>
      <c r="Y151" s="116"/>
      <c r="Z151" s="116"/>
      <c r="AA151" s="175" t="e">
        <f t="shared" si="189"/>
        <v>#N/A</v>
      </c>
      <c r="AB151" s="270"/>
      <c r="AC151" s="111" t="s">
        <v>31</v>
      </c>
      <c r="AD151" s="111" t="s">
        <v>31</v>
      </c>
      <c r="AE151" s="176" t="e">
        <f t="shared" si="171"/>
        <v>#N/A</v>
      </c>
      <c r="AF151" s="388"/>
      <c r="AG151" s="395"/>
    </row>
    <row r="152" spans="1:33" ht="39.75" customHeight="1" thickBot="1">
      <c r="A152" s="267"/>
      <c r="B152" s="264"/>
      <c r="C152" s="27" t="e">
        <f>IF(VLOOKUP(B150,PROPONENTES!$B$10:$N$45,6,FALSE)="","",VLOOKUP(B150,PROPONENTES!$B$10:$N$45,6,FALSE))</f>
        <v>#N/A</v>
      </c>
      <c r="D152" s="40" t="e">
        <f>VLOOKUP(B150,PROPONENTES!$B$10:$N$45,7,FALSE)</f>
        <v>#N/A</v>
      </c>
      <c r="E152" s="114" t="s">
        <v>27</v>
      </c>
      <c r="F152" s="114" t="s">
        <v>27</v>
      </c>
      <c r="G152" s="123" t="e">
        <f>+'28'!E17</f>
        <v>#N/A</v>
      </c>
      <c r="H152" s="124" t="e">
        <f>IF(C152="","",IF(G152&gt;='28'!$J$15*0.4,"SI","NO"))</f>
        <v>#N/A</v>
      </c>
      <c r="I152" s="27" t="e">
        <f t="shared" si="162"/>
        <v>#N/A</v>
      </c>
      <c r="J152" s="264"/>
      <c r="K152" s="398"/>
      <c r="L152" s="401"/>
      <c r="M152" s="398"/>
      <c r="N152" s="401"/>
      <c r="O152" s="115"/>
      <c r="P152" s="27" t="e">
        <f t="shared" si="166"/>
        <v>#N/A</v>
      </c>
      <c r="Q152" s="401"/>
      <c r="R152" s="398"/>
      <c r="S152" s="388"/>
      <c r="T152" s="391"/>
      <c r="U152" s="116" t="s">
        <v>31</v>
      </c>
      <c r="V152" s="270"/>
      <c r="W152" s="116"/>
      <c r="X152" s="116"/>
      <c r="Y152" s="116"/>
      <c r="Z152" s="116"/>
      <c r="AA152" s="175" t="e">
        <f t="shared" si="189"/>
        <v>#N/A</v>
      </c>
      <c r="AB152" s="270"/>
      <c r="AC152" s="116" t="s">
        <v>31</v>
      </c>
      <c r="AD152" s="116" t="s">
        <v>31</v>
      </c>
      <c r="AE152" s="176" t="e">
        <f t="shared" si="171"/>
        <v>#N/A</v>
      </c>
      <c r="AF152" s="388"/>
      <c r="AG152" s="395"/>
    </row>
    <row r="153" spans="1:33" ht="24" customHeight="1" thickBot="1">
      <c r="A153" s="267"/>
      <c r="B153" s="264"/>
      <c r="C153" s="27" t="e">
        <f>IF(VLOOKUP(B150,PROPONENTES!$B$10:$N$45,8,FALSE)="","",VLOOKUP(B150,PROPONENTES!$B$10:$N$45,8,FALSE))</f>
        <v>#N/A</v>
      </c>
      <c r="D153" s="40" t="e">
        <f>VLOOKUP(B150,PROPONENTES!$B$10:$N$45,9,FALSE)</f>
        <v>#N/A</v>
      </c>
      <c r="E153" s="114" t="s">
        <v>27</v>
      </c>
      <c r="F153" s="114" t="s">
        <v>27</v>
      </c>
      <c r="G153" s="123" t="e">
        <f>+'28'!E18</f>
        <v>#N/A</v>
      </c>
      <c r="H153" s="124" t="e">
        <f>IF(C153="","",IF(G153&gt;='28'!$J$15*0.4,"SI","NO"))</f>
        <v>#N/A</v>
      </c>
      <c r="I153" s="126" t="e">
        <f t="shared" si="162"/>
        <v>#N/A</v>
      </c>
      <c r="J153" s="264"/>
      <c r="K153" s="398"/>
      <c r="L153" s="401"/>
      <c r="M153" s="398"/>
      <c r="N153" s="401"/>
      <c r="O153" s="114"/>
      <c r="P153" s="27" t="e">
        <f t="shared" si="166"/>
        <v>#N/A</v>
      </c>
      <c r="Q153" s="401"/>
      <c r="R153" s="398"/>
      <c r="S153" s="388"/>
      <c r="T153" s="391"/>
      <c r="U153" s="116" t="s">
        <v>31</v>
      </c>
      <c r="V153" s="270"/>
      <c r="W153" s="116"/>
      <c r="X153" s="116"/>
      <c r="Y153" s="116"/>
      <c r="Z153" s="116"/>
      <c r="AA153" s="175" t="e">
        <f t="shared" si="189"/>
        <v>#N/A</v>
      </c>
      <c r="AB153" s="270"/>
      <c r="AC153" s="116" t="s">
        <v>31</v>
      </c>
      <c r="AD153" s="116" t="s">
        <v>31</v>
      </c>
      <c r="AE153" s="176" t="e">
        <f t="shared" si="171"/>
        <v>#N/A</v>
      </c>
      <c r="AF153" s="388"/>
      <c r="AG153" s="395"/>
    </row>
    <row r="154" spans="1:33" ht="24" customHeight="1" thickBot="1">
      <c r="A154" s="268"/>
      <c r="B154" s="265"/>
      <c r="C154" s="52" t="e">
        <f>IF(VLOOKUP(B150,PROPONENTES!$B$10:$N$45,10,FALSE)="","",VLOOKUP(B150,PROPONENTES!$B$10:$N$45,10,FALSE))</f>
        <v>#N/A</v>
      </c>
      <c r="D154" s="53" t="e">
        <f>VLOOKUP(B150,PROPONENTES!$B$10:$N$45,11,FALSE)</f>
        <v>#N/A</v>
      </c>
      <c r="E154" s="118"/>
      <c r="F154" s="118"/>
      <c r="G154" s="123" t="e">
        <f>+'28'!E19</f>
        <v>#N/A</v>
      </c>
      <c r="H154" s="124" t="e">
        <f>IF(C154="","",IF(G154&gt;='28'!$J$15*0.4,"SI","NO"))</f>
        <v>#N/A</v>
      </c>
      <c r="I154" s="128" t="e">
        <f t="shared" si="162"/>
        <v>#N/A</v>
      </c>
      <c r="J154" s="265"/>
      <c r="K154" s="399"/>
      <c r="L154" s="402"/>
      <c r="M154" s="399"/>
      <c r="N154" s="402"/>
      <c r="O154" s="118"/>
      <c r="P154" s="52" t="e">
        <f t="shared" si="166"/>
        <v>#N/A</v>
      </c>
      <c r="Q154" s="402"/>
      <c r="R154" s="399"/>
      <c r="S154" s="389"/>
      <c r="T154" s="392"/>
      <c r="U154" s="149"/>
      <c r="V154" s="271"/>
      <c r="W154" s="149"/>
      <c r="X154" s="149"/>
      <c r="Y154" s="149"/>
      <c r="Z154" s="149"/>
      <c r="AA154" s="175" t="e">
        <f t="shared" si="189"/>
        <v>#N/A</v>
      </c>
      <c r="AB154" s="271"/>
      <c r="AC154" s="149"/>
      <c r="AD154" s="149"/>
      <c r="AE154" s="177" t="e">
        <f t="shared" si="171"/>
        <v>#N/A</v>
      </c>
      <c r="AF154" s="389"/>
      <c r="AG154" s="396"/>
    </row>
  </sheetData>
  <mergeCells count="450">
    <mergeCell ref="AG15:AG19"/>
    <mergeCell ref="AG30:AG34"/>
    <mergeCell ref="AG35:AG39"/>
    <mergeCell ref="AG45:AG49"/>
    <mergeCell ref="AG20:AG24"/>
    <mergeCell ref="AG40:AG44"/>
    <mergeCell ref="AG25:AG29"/>
    <mergeCell ref="V15:V19"/>
    <mergeCell ref="Q30:Q34"/>
    <mergeCell ref="V35:V39"/>
    <mergeCell ref="V40:V44"/>
    <mergeCell ref="V45:V49"/>
    <mergeCell ref="V20:V24"/>
    <mergeCell ref="Q15:Q19"/>
    <mergeCell ref="Q45:Q49"/>
    <mergeCell ref="Q40:Q44"/>
    <mergeCell ref="Q20:Q24"/>
    <mergeCell ref="Q25:Q29"/>
    <mergeCell ref="V25:V29"/>
    <mergeCell ref="V30:V34"/>
    <mergeCell ref="T15:T19"/>
    <mergeCell ref="T20:T24"/>
    <mergeCell ref="T25:T29"/>
    <mergeCell ref="T30:T34"/>
    <mergeCell ref="T35:T39"/>
    <mergeCell ref="T40:T44"/>
    <mergeCell ref="B13:B14"/>
    <mergeCell ref="A13:A14"/>
    <mergeCell ref="K13:Q13"/>
    <mergeCell ref="K15:K19"/>
    <mergeCell ref="M15:M19"/>
    <mergeCell ref="N15:N19"/>
    <mergeCell ref="E13:J13"/>
    <mergeCell ref="D13:D14"/>
    <mergeCell ref="C13:C14"/>
    <mergeCell ref="J15:J19"/>
    <mergeCell ref="L15:L19"/>
    <mergeCell ref="K20:K24"/>
    <mergeCell ref="K25:K29"/>
    <mergeCell ref="K30:K34"/>
    <mergeCell ref="M20:M24"/>
    <mergeCell ref="M25:M29"/>
    <mergeCell ref="J20:J24"/>
    <mergeCell ref="L20:L24"/>
    <mergeCell ref="A30:A34"/>
    <mergeCell ref="B30:B34"/>
    <mergeCell ref="J25:J29"/>
    <mergeCell ref="J30:J34"/>
    <mergeCell ref="A15:A19"/>
    <mergeCell ref="B15:B19"/>
    <mergeCell ref="N20:N24"/>
    <mergeCell ref="N25:N29"/>
    <mergeCell ref="N30:N34"/>
    <mergeCell ref="A20:A24"/>
    <mergeCell ref="B20:B24"/>
    <mergeCell ref="A25:A29"/>
    <mergeCell ref="B25:B29"/>
    <mergeCell ref="M30:M34"/>
    <mergeCell ref="L25:L29"/>
    <mergeCell ref="L30:L34"/>
    <mergeCell ref="AG13:AG14"/>
    <mergeCell ref="A2:AG2"/>
    <mergeCell ref="A4:AG4"/>
    <mergeCell ref="A5:AG5"/>
    <mergeCell ref="I6:AG6"/>
    <mergeCell ref="A7:AG7"/>
    <mergeCell ref="C8:AG8"/>
    <mergeCell ref="I9:AG9"/>
    <mergeCell ref="I10:AG10"/>
    <mergeCell ref="A3:AG3"/>
    <mergeCell ref="A12:AG12"/>
    <mergeCell ref="A9:B9"/>
    <mergeCell ref="C9:E9"/>
    <mergeCell ref="A8:B8"/>
    <mergeCell ref="A6:B6"/>
    <mergeCell ref="D6:G6"/>
    <mergeCell ref="A10:B10"/>
    <mergeCell ref="C10:E10"/>
    <mergeCell ref="T13:V13"/>
    <mergeCell ref="AG50:AG54"/>
    <mergeCell ref="A50:A54"/>
    <mergeCell ref="B50:B54"/>
    <mergeCell ref="J50:J54"/>
    <mergeCell ref="K50:K54"/>
    <mergeCell ref="L50:L54"/>
    <mergeCell ref="M50:M54"/>
    <mergeCell ref="A45:A49"/>
    <mergeCell ref="B45:B49"/>
    <mergeCell ref="J45:J49"/>
    <mergeCell ref="K45:K49"/>
    <mergeCell ref="L45:L49"/>
    <mergeCell ref="T50:T54"/>
    <mergeCell ref="M45:M49"/>
    <mergeCell ref="N45:N49"/>
    <mergeCell ref="T45:T49"/>
    <mergeCell ref="K55:K59"/>
    <mergeCell ref="L55:L59"/>
    <mergeCell ref="M55:M59"/>
    <mergeCell ref="N55:N59"/>
    <mergeCell ref="Q55:Q59"/>
    <mergeCell ref="A40:A44"/>
    <mergeCell ref="B40:B44"/>
    <mergeCell ref="J40:J44"/>
    <mergeCell ref="A35:A39"/>
    <mergeCell ref="B35:B39"/>
    <mergeCell ref="N50:N54"/>
    <mergeCell ref="Q50:Q54"/>
    <mergeCell ref="K35:K39"/>
    <mergeCell ref="K40:K44"/>
    <mergeCell ref="L40:L44"/>
    <mergeCell ref="Q35:Q39"/>
    <mergeCell ref="J35:J39"/>
    <mergeCell ref="M35:M39"/>
    <mergeCell ref="L35:L39"/>
    <mergeCell ref="M40:M44"/>
    <mergeCell ref="N35:N39"/>
    <mergeCell ref="N40:N44"/>
    <mergeCell ref="AG55:AG59"/>
    <mergeCell ref="AG60:AG64"/>
    <mergeCell ref="A65:A69"/>
    <mergeCell ref="B65:B69"/>
    <mergeCell ref="J65:J69"/>
    <mergeCell ref="K65:K69"/>
    <mergeCell ref="L65:L69"/>
    <mergeCell ref="M65:M69"/>
    <mergeCell ref="N65:N69"/>
    <mergeCell ref="Q65:Q69"/>
    <mergeCell ref="V65:V69"/>
    <mergeCell ref="AG65:AG69"/>
    <mergeCell ref="M60:M64"/>
    <mergeCell ref="N60:N64"/>
    <mergeCell ref="Q60:Q64"/>
    <mergeCell ref="V60:V64"/>
    <mergeCell ref="A60:A64"/>
    <mergeCell ref="B60:B64"/>
    <mergeCell ref="J60:J64"/>
    <mergeCell ref="K60:K64"/>
    <mergeCell ref="L60:L64"/>
    <mergeCell ref="A55:A59"/>
    <mergeCell ref="B55:B59"/>
    <mergeCell ref="J55:J59"/>
    <mergeCell ref="K80:K84"/>
    <mergeCell ref="L80:L84"/>
    <mergeCell ref="AG70:AG74"/>
    <mergeCell ref="A75:A79"/>
    <mergeCell ref="B75:B79"/>
    <mergeCell ref="J75:J79"/>
    <mergeCell ref="K75:K79"/>
    <mergeCell ref="L75:L79"/>
    <mergeCell ref="M75:M79"/>
    <mergeCell ref="N75:N79"/>
    <mergeCell ref="Q75:Q79"/>
    <mergeCell ref="V75:V79"/>
    <mergeCell ref="AG75:AG79"/>
    <mergeCell ref="M70:M74"/>
    <mergeCell ref="N70:N74"/>
    <mergeCell ref="Q70:Q74"/>
    <mergeCell ref="V70:V74"/>
    <mergeCell ref="A70:A74"/>
    <mergeCell ref="B70:B74"/>
    <mergeCell ref="J70:J74"/>
    <mergeCell ref="K70:K74"/>
    <mergeCell ref="L70:L74"/>
    <mergeCell ref="B90:B94"/>
    <mergeCell ref="J90:J94"/>
    <mergeCell ref="K90:K94"/>
    <mergeCell ref="L90:L94"/>
    <mergeCell ref="R90:R94"/>
    <mergeCell ref="S90:S94"/>
    <mergeCell ref="AG80:AG84"/>
    <mergeCell ref="A85:A89"/>
    <mergeCell ref="B85:B89"/>
    <mergeCell ref="J85:J89"/>
    <mergeCell ref="K85:K89"/>
    <mergeCell ref="L85:L89"/>
    <mergeCell ref="M85:M89"/>
    <mergeCell ref="N85:N89"/>
    <mergeCell ref="Q85:Q89"/>
    <mergeCell ref="V85:V89"/>
    <mergeCell ref="AG85:AG89"/>
    <mergeCell ref="M80:M84"/>
    <mergeCell ref="N80:N84"/>
    <mergeCell ref="Q80:Q84"/>
    <mergeCell ref="V80:V84"/>
    <mergeCell ref="A80:A84"/>
    <mergeCell ref="B80:B84"/>
    <mergeCell ref="J80:J84"/>
    <mergeCell ref="N100:N104"/>
    <mergeCell ref="Q100:Q104"/>
    <mergeCell ref="V100:V104"/>
    <mergeCell ref="A100:A104"/>
    <mergeCell ref="B100:B104"/>
    <mergeCell ref="J100:J104"/>
    <mergeCell ref="K100:K104"/>
    <mergeCell ref="L100:L104"/>
    <mergeCell ref="AG90:AG94"/>
    <mergeCell ref="A95:A99"/>
    <mergeCell ref="B95:B99"/>
    <mergeCell ref="J95:J99"/>
    <mergeCell ref="K95:K99"/>
    <mergeCell ref="L95:L99"/>
    <mergeCell ref="M95:M99"/>
    <mergeCell ref="N95:N99"/>
    <mergeCell ref="Q95:Q99"/>
    <mergeCell ref="V95:V99"/>
    <mergeCell ref="AG95:AG99"/>
    <mergeCell ref="M90:M94"/>
    <mergeCell ref="N90:N94"/>
    <mergeCell ref="Q90:Q94"/>
    <mergeCell ref="V90:V94"/>
    <mergeCell ref="A90:A94"/>
    <mergeCell ref="AG110:AG114"/>
    <mergeCell ref="F9:G9"/>
    <mergeCell ref="F10:G10"/>
    <mergeCell ref="M110:M114"/>
    <mergeCell ref="N110:N114"/>
    <mergeCell ref="Q110:Q114"/>
    <mergeCell ref="V110:V114"/>
    <mergeCell ref="A110:A114"/>
    <mergeCell ref="B110:B114"/>
    <mergeCell ref="J110:J114"/>
    <mergeCell ref="K110:K114"/>
    <mergeCell ref="L110:L114"/>
    <mergeCell ref="AG100:AG104"/>
    <mergeCell ref="A105:A109"/>
    <mergeCell ref="B105:B109"/>
    <mergeCell ref="J105:J109"/>
    <mergeCell ref="K105:K109"/>
    <mergeCell ref="L105:L109"/>
    <mergeCell ref="M105:M109"/>
    <mergeCell ref="N105:N109"/>
    <mergeCell ref="Q105:Q109"/>
    <mergeCell ref="V105:V109"/>
    <mergeCell ref="AG105:AG109"/>
    <mergeCell ref="M100:M104"/>
    <mergeCell ref="AG120:AG124"/>
    <mergeCell ref="R120:R124"/>
    <mergeCell ref="S120:S124"/>
    <mergeCell ref="AB120:AB124"/>
    <mergeCell ref="AF120:AF124"/>
    <mergeCell ref="A115:A119"/>
    <mergeCell ref="B115:B119"/>
    <mergeCell ref="J115:J119"/>
    <mergeCell ref="K115:K119"/>
    <mergeCell ref="L115:L119"/>
    <mergeCell ref="M115:M119"/>
    <mergeCell ref="N115:N119"/>
    <mergeCell ref="Q115:Q119"/>
    <mergeCell ref="A125:A129"/>
    <mergeCell ref="B125:B129"/>
    <mergeCell ref="J125:J129"/>
    <mergeCell ref="K125:K129"/>
    <mergeCell ref="L125:L129"/>
    <mergeCell ref="M125:M129"/>
    <mergeCell ref="N125:N129"/>
    <mergeCell ref="Q125:Q129"/>
    <mergeCell ref="V115:V119"/>
    <mergeCell ref="A120:A124"/>
    <mergeCell ref="B120:B124"/>
    <mergeCell ref="J120:J124"/>
    <mergeCell ref="K120:K124"/>
    <mergeCell ref="L120:L124"/>
    <mergeCell ref="M120:M124"/>
    <mergeCell ref="N120:N124"/>
    <mergeCell ref="Q120:Q124"/>
    <mergeCell ref="V120:V124"/>
    <mergeCell ref="R125:R129"/>
    <mergeCell ref="S125:S129"/>
    <mergeCell ref="AG125:AG129"/>
    <mergeCell ref="R13:S13"/>
    <mergeCell ref="R15:R19"/>
    <mergeCell ref="S15:S19"/>
    <mergeCell ref="R20:R24"/>
    <mergeCell ref="S20:S24"/>
    <mergeCell ref="R25:R29"/>
    <mergeCell ref="S25:S29"/>
    <mergeCell ref="R30:R34"/>
    <mergeCell ref="S30:S34"/>
    <mergeCell ref="R35:R39"/>
    <mergeCell ref="S35:S39"/>
    <mergeCell ref="R40:R44"/>
    <mergeCell ref="S40:S44"/>
    <mergeCell ref="R45:R49"/>
    <mergeCell ref="S45:S49"/>
    <mergeCell ref="R50:R54"/>
    <mergeCell ref="S50:S54"/>
    <mergeCell ref="R55:R59"/>
    <mergeCell ref="S55:S59"/>
    <mergeCell ref="R60:R64"/>
    <mergeCell ref="S60:S64"/>
    <mergeCell ref="R65:R69"/>
    <mergeCell ref="AG115:AG119"/>
    <mergeCell ref="S65:S69"/>
    <mergeCell ref="R70:R74"/>
    <mergeCell ref="S70:S74"/>
    <mergeCell ref="R75:R79"/>
    <mergeCell ref="S75:S79"/>
    <mergeCell ref="R80:R84"/>
    <mergeCell ref="S80:S84"/>
    <mergeCell ref="R85:R89"/>
    <mergeCell ref="S85:S89"/>
    <mergeCell ref="R95:R99"/>
    <mergeCell ref="S95:S99"/>
    <mergeCell ref="R100:R104"/>
    <mergeCell ref="S100:S104"/>
    <mergeCell ref="R105:R109"/>
    <mergeCell ref="S105:S109"/>
    <mergeCell ref="R110:R114"/>
    <mergeCell ref="S110:S114"/>
    <mergeCell ref="R115:R119"/>
    <mergeCell ref="S115:S119"/>
    <mergeCell ref="T55:T59"/>
    <mergeCell ref="T60:T64"/>
    <mergeCell ref="T65:T69"/>
    <mergeCell ref="T70:T74"/>
    <mergeCell ref="T75:T79"/>
    <mergeCell ref="T80:T84"/>
    <mergeCell ref="T85:T89"/>
    <mergeCell ref="T90:T94"/>
    <mergeCell ref="T95:T99"/>
    <mergeCell ref="T100:T104"/>
    <mergeCell ref="T105:T109"/>
    <mergeCell ref="T110:T114"/>
    <mergeCell ref="T115:T119"/>
    <mergeCell ref="T120:T124"/>
    <mergeCell ref="T125:T129"/>
    <mergeCell ref="W13:AB13"/>
    <mergeCell ref="AB15:AB19"/>
    <mergeCell ref="AB20:AB24"/>
    <mergeCell ref="AB25:AB29"/>
    <mergeCell ref="AB30:AB34"/>
    <mergeCell ref="AB35:AB39"/>
    <mergeCell ref="AB40:AB44"/>
    <mergeCell ref="AB45:AB49"/>
    <mergeCell ref="AB50:AB54"/>
    <mergeCell ref="AB55:AB59"/>
    <mergeCell ref="AB60:AB64"/>
    <mergeCell ref="AB65:AB69"/>
    <mergeCell ref="AB70:AB74"/>
    <mergeCell ref="AB75:AB79"/>
    <mergeCell ref="AB80:AB84"/>
    <mergeCell ref="AB85:AB89"/>
    <mergeCell ref="AB90:AB94"/>
    <mergeCell ref="V125:V129"/>
    <mergeCell ref="AF125:AF129"/>
    <mergeCell ref="AB125:AB129"/>
    <mergeCell ref="AC13:AF13"/>
    <mergeCell ref="AF15:AF19"/>
    <mergeCell ref="AF20:AF24"/>
    <mergeCell ref="AF25:AF29"/>
    <mergeCell ref="AF30:AF34"/>
    <mergeCell ref="AF35:AF39"/>
    <mergeCell ref="AF40:AF44"/>
    <mergeCell ref="AF45:AF49"/>
    <mergeCell ref="AF50:AF54"/>
    <mergeCell ref="AF55:AF59"/>
    <mergeCell ref="AF60:AF64"/>
    <mergeCell ref="AF65:AF69"/>
    <mergeCell ref="AF70:AF74"/>
    <mergeCell ref="AF75:AF79"/>
    <mergeCell ref="AF80:AF84"/>
    <mergeCell ref="AF85:AF89"/>
    <mergeCell ref="V55:V59"/>
    <mergeCell ref="V50:V54"/>
    <mergeCell ref="AF90:AF94"/>
    <mergeCell ref="AF95:AF99"/>
    <mergeCell ref="AF100:AF104"/>
    <mergeCell ref="AF105:AF109"/>
    <mergeCell ref="AF110:AF114"/>
    <mergeCell ref="AF115:AF119"/>
    <mergeCell ref="AB95:AB99"/>
    <mergeCell ref="AB100:AB104"/>
    <mergeCell ref="AB105:AB109"/>
    <mergeCell ref="AB110:AB114"/>
    <mergeCell ref="AB115:AB119"/>
    <mergeCell ref="AB130:AB134"/>
    <mergeCell ref="AF130:AF134"/>
    <mergeCell ref="AG130:AG134"/>
    <mergeCell ref="A135:A139"/>
    <mergeCell ref="B135:B139"/>
    <mergeCell ref="J135:J139"/>
    <mergeCell ref="K135:K139"/>
    <mergeCell ref="L135:L139"/>
    <mergeCell ref="M135:M139"/>
    <mergeCell ref="N135:N139"/>
    <mergeCell ref="Q135:Q139"/>
    <mergeCell ref="R135:R139"/>
    <mergeCell ref="S135:S139"/>
    <mergeCell ref="T135:T139"/>
    <mergeCell ref="V135:V139"/>
    <mergeCell ref="AB135:AB139"/>
    <mergeCell ref="AF135:AF139"/>
    <mergeCell ref="AG135:AG139"/>
    <mergeCell ref="A130:A134"/>
    <mergeCell ref="B130:B134"/>
    <mergeCell ref="J130:J134"/>
    <mergeCell ref="K130:K134"/>
    <mergeCell ref="L130:L134"/>
    <mergeCell ref="M130:M134"/>
    <mergeCell ref="N140:N144"/>
    <mergeCell ref="Q140:Q144"/>
    <mergeCell ref="R140:R144"/>
    <mergeCell ref="S130:S134"/>
    <mergeCell ref="T130:T134"/>
    <mergeCell ref="V130:V134"/>
    <mergeCell ref="N130:N134"/>
    <mergeCell ref="Q130:Q134"/>
    <mergeCell ref="R130:R134"/>
    <mergeCell ref="S140:S144"/>
    <mergeCell ref="T140:T144"/>
    <mergeCell ref="V140:V144"/>
    <mergeCell ref="AB140:AB144"/>
    <mergeCell ref="AF140:AF144"/>
    <mergeCell ref="AG140:AG144"/>
    <mergeCell ref="A145:A149"/>
    <mergeCell ref="B145:B149"/>
    <mergeCell ref="J145:J149"/>
    <mergeCell ref="K145:K149"/>
    <mergeCell ref="L145:L149"/>
    <mergeCell ref="M145:M149"/>
    <mergeCell ref="N145:N149"/>
    <mergeCell ref="Q145:Q149"/>
    <mergeCell ref="R145:R149"/>
    <mergeCell ref="S145:S149"/>
    <mergeCell ref="T145:T149"/>
    <mergeCell ref="V145:V149"/>
    <mergeCell ref="AB145:AB149"/>
    <mergeCell ref="AF145:AF149"/>
    <mergeCell ref="AG145:AG149"/>
    <mergeCell ref="A140:A144"/>
    <mergeCell ref="B140:B144"/>
    <mergeCell ref="J140:J144"/>
    <mergeCell ref="K140:K144"/>
    <mergeCell ref="L140:L144"/>
    <mergeCell ref="M140:M144"/>
    <mergeCell ref="S150:S154"/>
    <mergeCell ref="T150:T154"/>
    <mergeCell ref="V150:V154"/>
    <mergeCell ref="AB150:AB154"/>
    <mergeCell ref="AF150:AF154"/>
    <mergeCell ref="AG150:AG154"/>
    <mergeCell ref="A150:A154"/>
    <mergeCell ref="B150:B154"/>
    <mergeCell ref="J150:J154"/>
    <mergeCell ref="K150:K154"/>
    <mergeCell ref="L150:L154"/>
    <mergeCell ref="M150:M154"/>
    <mergeCell ref="N150:N154"/>
    <mergeCell ref="Q150:Q154"/>
    <mergeCell ref="R150:R154"/>
  </mergeCells>
  <pageMargins left="0.70866141732283472" right="0.70866141732283472" top="0.74803149606299213" bottom="0.74803149606299213" header="0.31496062992125984" footer="0.31496062992125984"/>
  <pageSetup paperSize="5" scale="14" orientation="landscape" r:id="rId1"/>
  <rowBreaks count="2" manualBreakCount="2">
    <brk id="34" max="16383" man="1"/>
    <brk id="119" max="16383" man="1"/>
  </rowBreak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2100-000000000000}">
          <x14:formula1>
            <xm:f>'DATOS INICIALES'!$C$44:$C$45</xm:f>
          </x14:formula1>
          <xm:sqref>E15:F154</xm:sqref>
        </x14:dataValidation>
        <x14:dataValidation type="list" allowBlank="1" showInputMessage="1" showErrorMessage="1" xr:uid="{00000000-0002-0000-2100-000001000000}">
          <x14:formula1>
            <xm:f>'DATOS INICIALES'!$A$49:$A$50</xm:f>
          </x14:formula1>
          <xm:sqref>K15 M150 K150 T150 M145 K145 T145 M140 K140 T140 M135 K135 T135 M130 K130 T130 R15:R154 T120 T115 T110 T105 T100 T95 T90 T85 T80 T75 T70 T65 T60 T55 T50 T45 T40 T35 T30 T25 T20 T15 U15:U154 M125 M120 M115 M110 M105 M100 M95 M90 M85 M80 M75 M70 M65 M60 M55 M50 M45 M40 M35 M30 M25 M20 M15 K120 K115 K110 K105 K100 K95 K90 K85 K80 K75 K70 K65 K60 K55 K50 K45 K40 K35 K30 K25 K20 K125 T125</xm:sqref>
        </x14:dataValidation>
        <x14:dataValidation type="list" allowBlank="1" showInputMessage="1" showErrorMessage="1" xr:uid="{00000000-0002-0000-2100-000002000000}">
          <x14:formula1>
            <xm:f>'DATOS INICIALES'!$C$49:$C$50</xm:f>
          </x14:formula1>
          <xm:sqref>O15:O154</xm:sqref>
        </x14:dataValidation>
        <x14:dataValidation type="list" allowBlank="1" showInputMessage="1" showErrorMessage="1" xr:uid="{00000000-0002-0000-2100-000003000000}">
          <x14:formula1>
            <xm:f>'DATOS INICIALES'!$A$49:$A$51</xm:f>
          </x14:formula1>
          <xm:sqref>W15:Z154 U15:U154 AC15:AD154</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M46"/>
  <sheetViews>
    <sheetView tabSelected="1" topLeftCell="G1" zoomScale="80" zoomScaleNormal="80" zoomScaleSheetLayoutView="80" workbookViewId="0">
      <pane ySplit="9" topLeftCell="A12" activePane="bottomLeft" state="frozenSplit"/>
      <selection pane="bottomLeft" activeCell="N12" sqref="N12"/>
    </sheetView>
  </sheetViews>
  <sheetFormatPr baseColWidth="10" defaultColWidth="11.42578125" defaultRowHeight="15"/>
  <cols>
    <col min="1" max="1" width="7.42578125" style="14" customWidth="1"/>
    <col min="2" max="2" width="52.7109375" customWidth="1"/>
    <col min="3" max="3" width="22.7109375" style="15" customWidth="1"/>
    <col min="4" max="4" width="23.5703125" style="71" customWidth="1"/>
    <col min="5" max="5" width="23.5703125" style="71" hidden="1" customWidth="1"/>
    <col min="6" max="11" width="23.85546875" customWidth="1"/>
    <col min="12" max="12" width="28.5703125" customWidth="1"/>
    <col min="13" max="13" width="98.42578125" customWidth="1"/>
    <col min="14" max="14" width="11.42578125" customWidth="1"/>
  </cols>
  <sheetData>
    <row r="1" spans="1:13">
      <c r="A1" s="386"/>
      <c r="B1" s="386"/>
      <c r="C1" s="386"/>
      <c r="D1" s="386"/>
      <c r="E1" s="386"/>
      <c r="F1" s="386"/>
      <c r="G1" s="386"/>
      <c r="H1" s="386"/>
      <c r="I1" s="386"/>
      <c r="J1" s="386"/>
      <c r="K1" s="386"/>
      <c r="L1" s="386"/>
    </row>
    <row r="2" spans="1:13" ht="24.75" customHeight="1">
      <c r="A2" s="430" t="s">
        <v>0</v>
      </c>
      <c r="B2" s="431"/>
      <c r="C2" s="431"/>
      <c r="D2" s="431"/>
      <c r="E2" s="431"/>
      <c r="F2" s="431"/>
      <c r="G2" s="431"/>
      <c r="H2" s="431"/>
      <c r="I2" s="431"/>
      <c r="J2" s="431"/>
      <c r="K2" s="431"/>
      <c r="L2" s="431"/>
      <c r="M2" s="431"/>
    </row>
    <row r="3" spans="1:13" ht="8.4499999999999993" customHeight="1">
      <c r="A3" s="386"/>
      <c r="B3" s="386"/>
      <c r="C3" s="386"/>
      <c r="D3" s="386"/>
      <c r="E3" s="386"/>
      <c r="F3" s="429"/>
      <c r="G3" s="429"/>
      <c r="H3" s="429"/>
      <c r="I3" s="429"/>
      <c r="J3" s="429"/>
      <c r="K3" s="429"/>
      <c r="L3" s="429"/>
    </row>
    <row r="4" spans="1:13" ht="73.5" customHeight="1">
      <c r="A4" s="386"/>
      <c r="B4" s="386"/>
      <c r="C4" s="378" t="s">
        <v>506</v>
      </c>
      <c r="D4" s="378"/>
      <c r="E4" s="75"/>
      <c r="F4" s="294" t="str">
        <f>'DATOS INICIALES'!D2</f>
        <v>Proporcionar servicios para promover la transición hacia prácticas sostenibles en pequeñas y medianas empresas, emprendimientos y la comunidad en general de Kennedy, centrándose en la transformación de los métodos de producción, así como en la modificación de los patrones de consumo mediante el fomento de separación en la fuente, reciclaje, la reducción de desechos, la atención de puntos críticos y la eficiencia en el uso de materiales.</v>
      </c>
      <c r="G4" s="294"/>
      <c r="H4" s="294"/>
      <c r="I4" s="294"/>
      <c r="J4" s="294"/>
      <c r="K4" s="294"/>
      <c r="L4" s="294"/>
      <c r="M4" s="294"/>
    </row>
    <row r="5" spans="1:13" ht="55.5" customHeight="1">
      <c r="A5" s="386"/>
      <c r="B5" s="386"/>
      <c r="C5" s="378" t="s">
        <v>507</v>
      </c>
      <c r="D5" s="378"/>
      <c r="E5" s="75"/>
      <c r="F5" s="433" t="str">
        <f>'DATOS INICIALES'!G4</f>
        <v>FDLK-LP-007-2024</v>
      </c>
      <c r="G5" s="433"/>
      <c r="H5" s="433"/>
      <c r="I5" s="433"/>
      <c r="J5" s="433"/>
      <c r="K5" s="433"/>
      <c r="L5" s="432">
        <f>'DATOS INICIALES'!C5</f>
        <v>3807405444</v>
      </c>
      <c r="M5" s="432"/>
    </row>
    <row r="6" spans="1:13" ht="7.5" customHeight="1">
      <c r="A6" s="434"/>
      <c r="B6" s="435"/>
      <c r="C6" s="435"/>
      <c r="D6" s="435"/>
      <c r="E6" s="435"/>
      <c r="F6" s="435"/>
      <c r="G6" s="435"/>
      <c r="H6" s="435"/>
      <c r="I6" s="435"/>
      <c r="J6" s="435"/>
      <c r="K6" s="435"/>
      <c r="L6" s="437"/>
    </row>
    <row r="7" spans="1:13" ht="21.75" customHeight="1">
      <c r="A7" s="430" t="str">
        <f>CONCATENATE("RESUMEN DE EVALUACIÓN PUNTAJE - ",'DATOS INICIALES'!G4)</f>
        <v>RESUMEN DE EVALUACIÓN PUNTAJE - FDLK-LP-007-2024</v>
      </c>
      <c r="B7" s="431"/>
      <c r="C7" s="431"/>
      <c r="D7" s="431"/>
      <c r="E7" s="431"/>
      <c r="F7" s="431"/>
      <c r="G7" s="431"/>
      <c r="H7" s="431"/>
      <c r="I7" s="431"/>
      <c r="J7" s="431"/>
      <c r="K7" s="431"/>
      <c r="L7" s="431"/>
      <c r="M7" s="431"/>
    </row>
    <row r="8" spans="1:13" ht="8.25" customHeight="1">
      <c r="A8" s="434"/>
      <c r="B8" s="435"/>
      <c r="C8" s="435"/>
      <c r="D8" s="435"/>
      <c r="E8" s="435"/>
      <c r="F8" s="435"/>
      <c r="G8" s="435"/>
      <c r="H8" s="435"/>
      <c r="I8" s="435"/>
      <c r="J8" s="435"/>
      <c r="K8" s="435"/>
      <c r="L8" s="436"/>
    </row>
    <row r="9" spans="1:13" s="3" customFormat="1" ht="75" customHeight="1">
      <c r="A9" s="38" t="s">
        <v>43</v>
      </c>
      <c r="B9" s="38" t="s">
        <v>44</v>
      </c>
      <c r="C9" s="38" t="s">
        <v>550</v>
      </c>
      <c r="D9" s="38" t="s">
        <v>551</v>
      </c>
      <c r="E9" s="38" t="s">
        <v>518</v>
      </c>
      <c r="F9" s="38" t="s">
        <v>552</v>
      </c>
      <c r="G9" s="38" t="s">
        <v>526</v>
      </c>
      <c r="H9" s="38" t="s">
        <v>520</v>
      </c>
      <c r="I9" s="38" t="s">
        <v>521</v>
      </c>
      <c r="J9" s="38" t="s">
        <v>553</v>
      </c>
      <c r="K9" s="38" t="s">
        <v>554</v>
      </c>
      <c r="L9" s="196" t="s">
        <v>555</v>
      </c>
      <c r="M9" s="38" t="s">
        <v>117</v>
      </c>
    </row>
    <row r="10" spans="1:13" ht="6.75" customHeight="1">
      <c r="D10"/>
      <c r="E10"/>
      <c r="M10" s="88"/>
    </row>
    <row r="11" spans="1:13" ht="23.25" customHeight="1">
      <c r="A11" s="37">
        <v>1</v>
      </c>
      <c r="B11" s="17" t="str">
        <f>+PROPONENTES!B10</f>
        <v xml:space="preserve"> BOOST BUSINESS CONSULTING S.A.S.</v>
      </c>
      <c r="C11" s="18" t="str">
        <f>CONSOLIDADO!I11</f>
        <v>HABILITADO</v>
      </c>
      <c r="D11" s="36">
        <f>IF(C11="HABILITADO",VLOOKUP(B11,PUNTAJE!$B$15:$AF$154,16,FALSE),"INHABILITADO")</f>
        <v>38.5</v>
      </c>
      <c r="E11" s="36">
        <f>IF(C11="HABILITADO",VLOOKUP(B11,PUNTAJE!$B$15:$AF$154,18,FALSE),"INHABILITADO")</f>
        <v>0</v>
      </c>
      <c r="F11" s="39">
        <f>IF(C11="HABILITADO",VLOOKUP(B11,PUNTAJE!$B$15:$AF$154,21,FALSE),"INHABILITADO")</f>
        <v>10</v>
      </c>
      <c r="G11" s="27">
        <f>IF(C11="HABILITADO",VLOOKUP(B11,PUNTAJE!$B$15:$AF$154,9,FALSE),"INHABILITADO")</f>
        <v>1</v>
      </c>
      <c r="H11" s="27">
        <f>IF(C11="HABILITADO",VLOOKUP(B11,PUNTAJE!$B$15:$AF$154,27,FALSE),"INHABILITADO")</f>
        <v>0.25</v>
      </c>
      <c r="I11" s="27">
        <f>IF(C11="HABILITADO",VLOOKUP(B11,PUNTAJE!$B$15:$AF$154,31,FALSE),"INHABILITADO")</f>
        <v>0.25</v>
      </c>
      <c r="J11" s="183">
        <f>'OFERTA ECONOMICA'!I8</f>
        <v>49.765334239861687</v>
      </c>
      <c r="K11" s="72">
        <f>IFERROR(J11+G11+F11+D11+E11+H11+I11,"0")</f>
        <v>99.765334239861687</v>
      </c>
      <c r="L11" s="197">
        <f>RANK(K11,$K$11:$K$38,0)</f>
        <v>1</v>
      </c>
      <c r="M11" s="88"/>
    </row>
    <row r="12" spans="1:13" ht="89.25" customHeight="1">
      <c r="A12" s="37">
        <v>2</v>
      </c>
      <c r="B12" s="17" t="str">
        <f>+PROPONENTES!B11</f>
        <v xml:space="preserve"> CONSORCIO KENNEDY AMBIENTAL 2024</v>
      </c>
      <c r="C12" s="18" t="str">
        <f>CONSOLIDADO!I12</f>
        <v>HABILITADO</v>
      </c>
      <c r="D12" s="36">
        <f>IF(C12="HABILITADO",VLOOKUP(B12,PUNTAJE!$B$15:$AF$154,16,FALSE),"INHABILITADO")</f>
        <v>38.5</v>
      </c>
      <c r="E12" s="36">
        <f>IF(C12="HABILITADO",VLOOKUP(B12,PUNTAJE!$B$15:$AF$154,18,FALSE),"INHABILITADO")</f>
        <v>0</v>
      </c>
      <c r="F12" s="39">
        <f>IF(C12="HABILITADO",VLOOKUP(B12,PUNTAJE!$B$15:$AF$154,21,FALSE),"INHABILITADO")</f>
        <v>10</v>
      </c>
      <c r="G12" s="27">
        <f>IF(C12="HABILITADO",VLOOKUP(B12,PUNTAJE!$B$15:$AF$154,9,FALSE),"INHABILITADO")</f>
        <v>1</v>
      </c>
      <c r="H12" s="27">
        <f>IF(C12="HABILITADO",VLOOKUP(B12,PUNTAJE!$B$15:$AF$154,27,FALSE),"INHABILITADO")</f>
        <v>0</v>
      </c>
      <c r="I12" s="27">
        <f>IF(C12="HABILITADO",VLOOKUP(B12,PUNTAJE!$B$15:$AF$154,31,FALSE),"INHABILITADO")</f>
        <v>0.25</v>
      </c>
      <c r="J12" s="183">
        <f>'OFERTA ECONOMICA'!I7</f>
        <v>50</v>
      </c>
      <c r="K12" s="72">
        <f t="shared" ref="K12:K38" si="0">IFERROR(J12+G12+F12+D12+E12+H12+I12,"0")</f>
        <v>99.75</v>
      </c>
      <c r="L12" s="197">
        <f t="shared" ref="L12:L38" si="1">RANK(K12,$K$11:$K$38,0)</f>
        <v>2</v>
      </c>
      <c r="M12" s="198" t="s">
        <v>586</v>
      </c>
    </row>
    <row r="13" spans="1:13" ht="23.25" customHeight="1">
      <c r="A13" s="37">
        <v>3</v>
      </c>
      <c r="B13" s="17" t="str">
        <f>+PROPONENTES!B12</f>
        <v xml:space="preserve"> UNIÓN TEMPORAL SUEÑOS WM</v>
      </c>
      <c r="C13" s="18" t="str">
        <f>CONSOLIDADO!I13</f>
        <v>INHABILITADO</v>
      </c>
      <c r="D13" s="36" t="str">
        <f>IF(C13="HABILITADO",VLOOKUP(B13,PUNTAJE!$B$15:$AF$154,16,FALSE),"INHABILITADO")</f>
        <v>INHABILITADO</v>
      </c>
      <c r="E13" s="36" t="str">
        <f>IF(C13="HABILITADO",VLOOKUP(B13,PUNTAJE!$B$15:$AF$154,18,FALSE),"INHABILITADO")</f>
        <v>INHABILITADO</v>
      </c>
      <c r="F13" s="39" t="str">
        <f>IF(C13="HABILITADO",VLOOKUP(B13,PUNTAJE!$B$15:$AF$154,21,FALSE),"INHABILITADO")</f>
        <v>INHABILITADO</v>
      </c>
      <c r="G13" s="27" t="str">
        <f>IF(C13="HABILITADO",VLOOKUP(B13,PUNTAJE!$B$15:$AF$154,9,FALSE),"INHABILITADO")</f>
        <v>INHABILITADO</v>
      </c>
      <c r="H13" s="27" t="str">
        <f>IF(C13="HABILITADO",VLOOKUP(B13,PUNTAJE!$B$15:$AF$154,27,FALSE),"INHABILITADO")</f>
        <v>INHABILITADO</v>
      </c>
      <c r="I13" s="27" t="str">
        <f>IF(C13="HABILITADO",VLOOKUP(B13,PUNTAJE!$B$15:$AF$154,31,FALSE),"INHABILITADO")</f>
        <v>INHABILITADO</v>
      </c>
      <c r="J13" s="183" t="e">
        <f>'OFERTA ECONOMICA'!#REF!</f>
        <v>#REF!</v>
      </c>
      <c r="K13" s="72" t="str">
        <f t="shared" si="0"/>
        <v>0</v>
      </c>
      <c r="L13" s="197" t="e">
        <f t="shared" si="1"/>
        <v>#N/A</v>
      </c>
      <c r="M13" s="88"/>
    </row>
    <row r="14" spans="1:13" ht="23.25" customHeight="1">
      <c r="A14" s="37">
        <v>4</v>
      </c>
      <c r="B14" s="17" t="str">
        <f>+PROPONENTES!B13</f>
        <v xml:space="preserve"> UNION TEMPORAL PROMOVER Y EMPRENDER EUFESS 2024</v>
      </c>
      <c r="C14" s="18" t="str">
        <f>CONSOLIDADO!I14</f>
        <v>INHABILITADO</v>
      </c>
      <c r="D14" s="36" t="str">
        <f>IF(C14="HABILITADO",VLOOKUP(B14,PUNTAJE!$B$15:$AF$154,16,FALSE),"INHABILITADO")</f>
        <v>INHABILITADO</v>
      </c>
      <c r="E14" s="36" t="str">
        <f>IF(C14="HABILITADO",VLOOKUP(B14,PUNTAJE!$B$15:$AF$154,18,FALSE),"INHABILITADO")</f>
        <v>INHABILITADO</v>
      </c>
      <c r="F14" s="39" t="str">
        <f>IF(C14="HABILITADO",VLOOKUP(B14,PUNTAJE!$B$15:$AF$154,21,FALSE),"INHABILITADO")</f>
        <v>INHABILITADO</v>
      </c>
      <c r="G14" s="27" t="str">
        <f>IF(C14="HABILITADO",VLOOKUP(B14,PUNTAJE!$B$15:$AF$154,9,FALSE),"INHABILITADO")</f>
        <v>INHABILITADO</v>
      </c>
      <c r="H14" s="27" t="str">
        <f>IF(C14="HABILITADO",VLOOKUP(B14,PUNTAJE!$B$15:$AF$154,27,FALSE),"INHABILITADO")</f>
        <v>INHABILITADO</v>
      </c>
      <c r="I14" s="27" t="str">
        <f>IF(C14="HABILITADO",VLOOKUP(B14,PUNTAJE!$B$15:$AF$154,31,FALSE),"INHABILITADO")</f>
        <v>INHABILITADO</v>
      </c>
      <c r="J14" s="183" t="e">
        <f>'OFERTA ECONOMICA'!#REF!</f>
        <v>#REF!</v>
      </c>
      <c r="K14" s="72" t="str">
        <f t="shared" si="0"/>
        <v>0</v>
      </c>
      <c r="L14" s="197" t="e">
        <f t="shared" si="1"/>
        <v>#N/A</v>
      </c>
      <c r="M14" s="88"/>
    </row>
    <row r="15" spans="1:13" ht="23.25" customHeight="1">
      <c r="A15" s="37">
        <v>5</v>
      </c>
      <c r="B15" s="17" t="str">
        <f>+PROPONENTES!B14</f>
        <v xml:space="preserve"> UNION TEMPORAL PRACTICAS</v>
      </c>
      <c r="C15" s="18" t="str">
        <f>CONSOLIDADO!I15</f>
        <v>INHABILITADO</v>
      </c>
      <c r="D15" s="36" t="str">
        <f>IF(C15="HABILITADO",VLOOKUP(B15,PUNTAJE!$B$15:$AF$154,16,FALSE),"INHABILITADO")</f>
        <v>INHABILITADO</v>
      </c>
      <c r="E15" s="36" t="str">
        <f>IF(C15="HABILITADO",VLOOKUP(B15,PUNTAJE!$B$15:$AF$154,18,FALSE),"INHABILITADO")</f>
        <v>INHABILITADO</v>
      </c>
      <c r="F15" s="39" t="str">
        <f>IF(C15="HABILITADO",VLOOKUP(B15,PUNTAJE!$B$15:$AF$154,21,FALSE),"INHABILITADO")</f>
        <v>INHABILITADO</v>
      </c>
      <c r="G15" s="27" t="str">
        <f>IF(C15="HABILITADO",VLOOKUP(B15,PUNTAJE!$B$15:$AF$154,9,FALSE),"INHABILITADO")</f>
        <v>INHABILITADO</v>
      </c>
      <c r="H15" s="27" t="str">
        <f>IF(C15="HABILITADO",VLOOKUP(B15,PUNTAJE!$B$15:$AF$154,27,FALSE),"INHABILITADO")</f>
        <v>INHABILITADO</v>
      </c>
      <c r="I15" s="27" t="str">
        <f>IF(C15="HABILITADO",VLOOKUP(B15,PUNTAJE!$B$15:$AF$154,31,FALSE),"INHABILITADO")</f>
        <v>INHABILITADO</v>
      </c>
      <c r="J15" s="183" t="e">
        <f>'OFERTA ECONOMICA'!#REF!</f>
        <v>#REF!</v>
      </c>
      <c r="K15" s="72" t="str">
        <f t="shared" si="0"/>
        <v>0</v>
      </c>
      <c r="L15" s="197" t="e">
        <f t="shared" si="1"/>
        <v>#N/A</v>
      </c>
      <c r="M15" s="88"/>
    </row>
    <row r="16" spans="1:13" ht="23.25" hidden="1" customHeight="1">
      <c r="A16" s="37">
        <v>6</v>
      </c>
      <c r="B16" s="17">
        <f>+PROPONENTES!B15</f>
        <v>0</v>
      </c>
      <c r="C16" s="18" t="e">
        <f>CONSOLIDADO!I16</f>
        <v>#N/A</v>
      </c>
      <c r="D16" s="36" t="e">
        <f>IF(C16="HABILITADO",VLOOKUP(B16,PUNTAJE!$B$15:$AF$154,16,FALSE),"INHABILITADO")</f>
        <v>#N/A</v>
      </c>
      <c r="E16" s="36" t="e">
        <f>IF(C16="HABILITADO",VLOOKUP(B16,PUNTAJE!$B$15:$AF$154,18,FALSE),"INHABILITADO")</f>
        <v>#N/A</v>
      </c>
      <c r="F16" s="39" t="e">
        <f>IF(C16="HABILITADO",VLOOKUP(B16,PUNTAJE!$B$15:$AF$154,21,FALSE),"INHABILITADO")</f>
        <v>#N/A</v>
      </c>
      <c r="G16" s="27" t="e">
        <f>IF(C16="HABILITADO",VLOOKUP(B16,PUNTAJE!$B$15:$AF$154,9,FALSE),"INHABILITADO")</f>
        <v>#N/A</v>
      </c>
      <c r="H16" s="27" t="e">
        <f>IF(C16="HABILITADO",VLOOKUP(B16,PUNTAJE!$B$15:$AF$154,27,FALSE),"INHABILITADO")</f>
        <v>#N/A</v>
      </c>
      <c r="I16" s="27" t="e">
        <f>IF(C16="HABILITADO",VLOOKUP(B16,PUNTAJE!$B$15:$AF$154,31,FALSE),"INHABILITADO")</f>
        <v>#N/A</v>
      </c>
      <c r="J16" s="183" t="e">
        <f>'OFERTA ECONOMICA'!#REF!</f>
        <v>#REF!</v>
      </c>
      <c r="K16" s="72" t="str">
        <f t="shared" si="0"/>
        <v>0</v>
      </c>
      <c r="L16" s="18" t="e">
        <f t="shared" si="1"/>
        <v>#N/A</v>
      </c>
    </row>
    <row r="17" spans="1:12" ht="23.25" hidden="1" customHeight="1">
      <c r="A17" s="37">
        <v>7</v>
      </c>
      <c r="B17" s="17">
        <f>+PROPONENTES!B16</f>
        <v>0</v>
      </c>
      <c r="C17" s="18" t="e">
        <f>CONSOLIDADO!I17</f>
        <v>#N/A</v>
      </c>
      <c r="D17" s="36" t="e">
        <f>IF(C17="HABILITADO",VLOOKUP(B17,PUNTAJE!$B$15:$AF$154,16,FALSE),"INHABILITADO")</f>
        <v>#N/A</v>
      </c>
      <c r="E17" s="36" t="e">
        <f>IF(C17="HABILITADO",VLOOKUP(B17,PUNTAJE!$B$15:$AF$154,18,FALSE),"INHABILITADO")</f>
        <v>#N/A</v>
      </c>
      <c r="F17" s="39" t="e">
        <f>IF(C17="HABILITADO",VLOOKUP(B17,PUNTAJE!$B$15:$AF$154,21,FALSE),"INHABILITADO")</f>
        <v>#N/A</v>
      </c>
      <c r="G17" s="27" t="e">
        <f>IF(C17="HABILITADO",VLOOKUP(B17,PUNTAJE!$B$15:$AF$154,9,FALSE),"INHABILITADO")</f>
        <v>#N/A</v>
      </c>
      <c r="H17" s="27" t="e">
        <f>IF(C17="HABILITADO",VLOOKUP(B17,PUNTAJE!$B$15:$AF$154,27,FALSE),"INHABILITADO")</f>
        <v>#N/A</v>
      </c>
      <c r="I17" s="27" t="e">
        <f>IF(C17="HABILITADO",VLOOKUP(B17,PUNTAJE!$B$15:$AF$154,31,FALSE),"INHABILITADO")</f>
        <v>#N/A</v>
      </c>
      <c r="J17" s="183" t="e">
        <f>'OFERTA ECONOMICA'!#REF!</f>
        <v>#REF!</v>
      </c>
      <c r="K17" s="72" t="str">
        <f t="shared" si="0"/>
        <v>0</v>
      </c>
      <c r="L17" s="18" t="e">
        <f t="shared" si="1"/>
        <v>#N/A</v>
      </c>
    </row>
    <row r="18" spans="1:12" ht="23.25" hidden="1" customHeight="1">
      <c r="A18" s="37">
        <v>8</v>
      </c>
      <c r="B18" s="17">
        <f>+PROPONENTES!B17</f>
        <v>0</v>
      </c>
      <c r="C18" s="18" t="e">
        <f>CONSOLIDADO!I18</f>
        <v>#N/A</v>
      </c>
      <c r="D18" s="36" t="e">
        <f>IF(C18="HABILITADO",VLOOKUP(B18,PUNTAJE!$B$15:$AF$154,16,FALSE),"INHABILITADO")</f>
        <v>#N/A</v>
      </c>
      <c r="E18" s="36" t="e">
        <f>IF(C18="HABILITADO",VLOOKUP(B18,PUNTAJE!$B$15:$AF$154,18,FALSE),"INHABILITADO")</f>
        <v>#N/A</v>
      </c>
      <c r="F18" s="39" t="e">
        <f>IF(C18="HABILITADO",VLOOKUP(B18,PUNTAJE!$B$15:$AF$154,21,FALSE),"INHABILITADO")</f>
        <v>#N/A</v>
      </c>
      <c r="G18" s="27" t="e">
        <f>IF(C18="HABILITADO",VLOOKUP(B18,PUNTAJE!$B$15:$AF$154,9,FALSE),"INHABILITADO")</f>
        <v>#N/A</v>
      </c>
      <c r="H18" s="27" t="e">
        <f>IF(C18="HABILITADO",VLOOKUP(B18,PUNTAJE!$B$15:$AF$154,27,FALSE),"INHABILITADO")</f>
        <v>#N/A</v>
      </c>
      <c r="I18" s="27" t="e">
        <f>IF(C18="HABILITADO",VLOOKUP(B18,PUNTAJE!$B$15:$AF$154,31,FALSE),"INHABILITADO")</f>
        <v>#N/A</v>
      </c>
      <c r="J18" s="182" t="e">
        <f>'OFERTA ECONOMICA'!#REF!</f>
        <v>#REF!</v>
      </c>
      <c r="K18" s="72" t="str">
        <f t="shared" si="0"/>
        <v>0</v>
      </c>
      <c r="L18" s="18" t="e">
        <f t="shared" si="1"/>
        <v>#N/A</v>
      </c>
    </row>
    <row r="19" spans="1:12" ht="23.25" hidden="1" customHeight="1">
      <c r="A19" s="37">
        <v>9</v>
      </c>
      <c r="B19" s="17">
        <f>+PROPONENTES!B18</f>
        <v>0</v>
      </c>
      <c r="C19" s="18" t="e">
        <f>CONSOLIDADO!I19</f>
        <v>#N/A</v>
      </c>
      <c r="D19" s="36" t="e">
        <f>IF(C19="HABILITADO",VLOOKUP(B19,PUNTAJE!$B$15:$AF$154,16,FALSE),"INHABILITADO")</f>
        <v>#N/A</v>
      </c>
      <c r="E19" s="36" t="e">
        <f>IF(C19="HABILITADO",VLOOKUP(B19,PUNTAJE!$B$15:$AF$154,18,FALSE),"INHABILITADO")</f>
        <v>#N/A</v>
      </c>
      <c r="F19" s="39" t="e">
        <f>IF(C19="HABILITADO",VLOOKUP(B19,PUNTAJE!$B$15:$AF$154,21,FALSE),"INHABILITADO")</f>
        <v>#N/A</v>
      </c>
      <c r="G19" s="27" t="e">
        <f>IF(C19="HABILITADO",VLOOKUP(B19,PUNTAJE!$B$15:$AF$154,9,FALSE),"INHABILITADO")</f>
        <v>#N/A</v>
      </c>
      <c r="H19" s="27" t="e">
        <f>IF(C19="HABILITADO",VLOOKUP(B19,PUNTAJE!$B$15:$AF$154,27,FALSE),"INHABILITADO")</f>
        <v>#N/A</v>
      </c>
      <c r="I19" s="27" t="e">
        <f>IF(C19="HABILITADO",VLOOKUP(B19,PUNTAJE!$B$15:$AF$154,31,FALSE),"INHABILITADO")</f>
        <v>#N/A</v>
      </c>
      <c r="J19" s="183" t="e">
        <f>'OFERTA ECONOMICA'!#REF!</f>
        <v>#REF!</v>
      </c>
      <c r="K19" s="72" t="str">
        <f t="shared" si="0"/>
        <v>0</v>
      </c>
      <c r="L19" s="18" t="e">
        <f t="shared" si="1"/>
        <v>#N/A</v>
      </c>
    </row>
    <row r="20" spans="1:12" ht="23.25" hidden="1" customHeight="1">
      <c r="A20" s="37">
        <v>10</v>
      </c>
      <c r="B20" s="17">
        <f>+PROPONENTES!B19</f>
        <v>0</v>
      </c>
      <c r="C20" s="18" t="e">
        <f>CONSOLIDADO!I20</f>
        <v>#N/A</v>
      </c>
      <c r="D20" s="36" t="e">
        <f>IF(C20="HABILITADO",VLOOKUP(B20,PUNTAJE!$B$15:$AF$154,16,FALSE),"INHABILITADO")</f>
        <v>#N/A</v>
      </c>
      <c r="E20" s="36" t="e">
        <f>IF(C20="HABILITADO",VLOOKUP(B20,PUNTAJE!$B$15:$AF$154,18,FALSE),"INHABILITADO")</f>
        <v>#N/A</v>
      </c>
      <c r="F20" s="39" t="e">
        <f>IF(C20="HABILITADO",VLOOKUP(B20,PUNTAJE!$B$15:$AF$154,21,FALSE),"INHABILITADO")</f>
        <v>#N/A</v>
      </c>
      <c r="G20" s="27" t="e">
        <f>IF(C20="HABILITADO",VLOOKUP(B20,PUNTAJE!$B$15:$AF$154,9,FALSE),"INHABILITADO")</f>
        <v>#N/A</v>
      </c>
      <c r="H20" s="27" t="e">
        <f>IF(C20="HABILITADO",VLOOKUP(B20,PUNTAJE!$B$15:$AF$154,27,FALSE),"INHABILITADO")</f>
        <v>#N/A</v>
      </c>
      <c r="I20" s="27" t="e">
        <f>IF(C20="HABILITADO",VLOOKUP(B20,PUNTAJE!$B$15:$AF$154,31,FALSE),"INHABILITADO")</f>
        <v>#N/A</v>
      </c>
      <c r="J20" s="183" t="e">
        <f>'OFERTA ECONOMICA'!#REF!</f>
        <v>#REF!</v>
      </c>
      <c r="K20" s="72" t="str">
        <f t="shared" si="0"/>
        <v>0</v>
      </c>
      <c r="L20" s="18" t="e">
        <f t="shared" si="1"/>
        <v>#N/A</v>
      </c>
    </row>
    <row r="21" spans="1:12" ht="23.25" hidden="1" customHeight="1">
      <c r="A21" s="37">
        <v>11</v>
      </c>
      <c r="B21" s="17">
        <f>+PROPONENTES!B20</f>
        <v>0</v>
      </c>
      <c r="C21" s="18" t="e">
        <f>CONSOLIDADO!I21</f>
        <v>#N/A</v>
      </c>
      <c r="D21" s="36" t="e">
        <f>IF(C21="HABILITADO",VLOOKUP(B21,PUNTAJE!$B$15:$AF$154,16,FALSE),"INHABILITADO")</f>
        <v>#N/A</v>
      </c>
      <c r="E21" s="36" t="e">
        <f>IF(C21="HABILITADO",VLOOKUP(B21,PUNTAJE!$B$15:$AF$154,18,FALSE),"INHABILITADO")</f>
        <v>#N/A</v>
      </c>
      <c r="F21" s="39" t="e">
        <f>IF(C21="HABILITADO",VLOOKUP(B21,PUNTAJE!$B$15:$AF$154,21,FALSE),"INHABILITADO")</f>
        <v>#N/A</v>
      </c>
      <c r="G21" s="27" t="e">
        <f>IF(C21="HABILITADO",VLOOKUP(B21,PUNTAJE!$B$15:$AF$154,9,FALSE),"INHABILITADO")</f>
        <v>#N/A</v>
      </c>
      <c r="H21" s="27" t="e">
        <f>IF(C21="HABILITADO",VLOOKUP(B21,PUNTAJE!$B$15:$AF$154,27,FALSE),"INHABILITADO")</f>
        <v>#N/A</v>
      </c>
      <c r="I21" s="27" t="e">
        <f>IF(C21="HABILITADO",VLOOKUP(B21,PUNTAJE!$B$15:$AF$154,31,FALSE),"INHABILITADO")</f>
        <v>#N/A</v>
      </c>
      <c r="J21" s="183" t="e">
        <f>'OFERTA ECONOMICA'!#REF!</f>
        <v>#REF!</v>
      </c>
      <c r="K21" s="72" t="str">
        <f t="shared" si="0"/>
        <v>0</v>
      </c>
      <c r="L21" s="18" t="e">
        <f t="shared" si="1"/>
        <v>#N/A</v>
      </c>
    </row>
    <row r="22" spans="1:12" ht="23.25" hidden="1" customHeight="1">
      <c r="A22" s="37">
        <v>12</v>
      </c>
      <c r="B22" s="17">
        <f>+PROPONENTES!B21</f>
        <v>0</v>
      </c>
      <c r="C22" s="18" t="e">
        <f>CONSOLIDADO!I22</f>
        <v>#N/A</v>
      </c>
      <c r="D22" s="36" t="e">
        <f>IF(C22="HABILITADO",VLOOKUP(B22,PUNTAJE!$B$15:$AF$154,16,FALSE),"INHABILITADO")</f>
        <v>#N/A</v>
      </c>
      <c r="E22" s="36" t="e">
        <f>IF(C22="HABILITADO",VLOOKUP(B22,PUNTAJE!$B$15:$AF$154,18,FALSE),"INHABILITADO")</f>
        <v>#N/A</v>
      </c>
      <c r="F22" s="39" t="e">
        <f>IF(C22="HABILITADO",VLOOKUP(B22,PUNTAJE!$B$15:$AF$154,21,FALSE),"INHABILITADO")</f>
        <v>#N/A</v>
      </c>
      <c r="G22" s="27" t="e">
        <f>IF(C22="HABILITADO",VLOOKUP(B22,PUNTAJE!$B$15:$AF$154,9,FALSE),"INHABILITADO")</f>
        <v>#N/A</v>
      </c>
      <c r="H22" s="27" t="e">
        <f>IF(C22="HABILITADO",VLOOKUP(B22,PUNTAJE!$B$15:$AF$154,27,FALSE),"INHABILITADO")</f>
        <v>#N/A</v>
      </c>
      <c r="I22" s="27" t="e">
        <f>IF(C22="HABILITADO",VLOOKUP(B22,PUNTAJE!$B$15:$AF$154,31,FALSE),"INHABILITADO")</f>
        <v>#N/A</v>
      </c>
      <c r="J22" s="183" t="e">
        <f>'OFERTA ECONOMICA'!#REF!</f>
        <v>#REF!</v>
      </c>
      <c r="K22" s="72" t="str">
        <f t="shared" si="0"/>
        <v>0</v>
      </c>
      <c r="L22" s="18" t="e">
        <f t="shared" si="1"/>
        <v>#N/A</v>
      </c>
    </row>
    <row r="23" spans="1:12" ht="23.25" hidden="1" customHeight="1">
      <c r="A23" s="37">
        <v>13</v>
      </c>
      <c r="B23" s="17">
        <f>+PROPONENTES!B22</f>
        <v>0</v>
      </c>
      <c r="C23" s="18" t="e">
        <f>CONSOLIDADO!I23</f>
        <v>#N/A</v>
      </c>
      <c r="D23" s="36" t="e">
        <f>IF(C23="HABILITADO",VLOOKUP(B23,PUNTAJE!$B$15:$AF$154,16,FALSE),"INHABILITADO")</f>
        <v>#N/A</v>
      </c>
      <c r="E23" s="36" t="e">
        <f>IF(C23="HABILITADO",VLOOKUP(B23,PUNTAJE!$B$15:$AF$154,18,FALSE),"INHABILITADO")</f>
        <v>#N/A</v>
      </c>
      <c r="F23" s="39" t="e">
        <f>IF(C23="HABILITADO",VLOOKUP(B23,PUNTAJE!$B$15:$AF$154,21,FALSE),"INHABILITADO")</f>
        <v>#N/A</v>
      </c>
      <c r="G23" s="27" t="e">
        <f>IF(C23="HABILITADO",VLOOKUP(B23,PUNTAJE!$B$15:$AF$154,9,FALSE),"INHABILITADO")</f>
        <v>#N/A</v>
      </c>
      <c r="H23" s="27" t="e">
        <f>IF(C23="HABILITADO",VLOOKUP(B23,PUNTAJE!$B$15:$AF$154,27,FALSE),"INHABILITADO")</f>
        <v>#N/A</v>
      </c>
      <c r="I23" s="27" t="e">
        <f>IF(C23="HABILITADO",VLOOKUP(B23,PUNTAJE!$B$15:$AF$154,31,FALSE),"INHABILITADO")</f>
        <v>#N/A</v>
      </c>
      <c r="J23" s="183" t="e">
        <f>'OFERTA ECONOMICA'!#REF!</f>
        <v>#REF!</v>
      </c>
      <c r="K23" s="72" t="str">
        <f t="shared" si="0"/>
        <v>0</v>
      </c>
      <c r="L23" s="18" t="e">
        <f t="shared" si="1"/>
        <v>#N/A</v>
      </c>
    </row>
    <row r="24" spans="1:12" ht="23.25" hidden="1" customHeight="1">
      <c r="A24" s="37">
        <v>14</v>
      </c>
      <c r="B24" s="17">
        <f>+PROPONENTES!B23</f>
        <v>0</v>
      </c>
      <c r="C24" s="18" t="e">
        <f>CONSOLIDADO!I24</f>
        <v>#N/A</v>
      </c>
      <c r="D24" s="36" t="e">
        <f>IF(C24="HABILITADO",VLOOKUP(B24,PUNTAJE!$B$15:$AF$154,16,FALSE),"INHABILITADO")</f>
        <v>#N/A</v>
      </c>
      <c r="E24" s="36" t="e">
        <f>IF(C24="HABILITADO",VLOOKUP(B24,PUNTAJE!$B$15:$AF$154,18,FALSE),"INHABILITADO")</f>
        <v>#N/A</v>
      </c>
      <c r="F24" s="39" t="e">
        <f>IF(C24="HABILITADO",VLOOKUP(B24,PUNTAJE!$B$15:$AF$154,21,FALSE),"INHABILITADO")</f>
        <v>#N/A</v>
      </c>
      <c r="G24" s="27" t="e">
        <f>IF(C24="HABILITADO",VLOOKUP(B24,PUNTAJE!$B$15:$AF$154,9,FALSE),"INHABILITADO")</f>
        <v>#N/A</v>
      </c>
      <c r="H24" s="27" t="e">
        <f>IF(C24="HABILITADO",VLOOKUP(B24,PUNTAJE!$B$15:$AF$154,27,FALSE),"INHABILITADO")</f>
        <v>#N/A</v>
      </c>
      <c r="I24" s="27" t="e">
        <f>IF(C24="HABILITADO",VLOOKUP(B24,PUNTAJE!$B$15:$AF$154,31,FALSE),"INHABILITADO")</f>
        <v>#N/A</v>
      </c>
      <c r="J24" s="183" t="e">
        <f>'OFERTA ECONOMICA'!#REF!</f>
        <v>#REF!</v>
      </c>
      <c r="K24" s="72" t="str">
        <f t="shared" si="0"/>
        <v>0</v>
      </c>
      <c r="L24" s="18" t="e">
        <f t="shared" si="1"/>
        <v>#N/A</v>
      </c>
    </row>
    <row r="25" spans="1:12" ht="23.25" hidden="1" customHeight="1">
      <c r="A25" s="37">
        <v>15</v>
      </c>
      <c r="B25" s="17">
        <f>+PROPONENTES!B24</f>
        <v>0</v>
      </c>
      <c r="C25" s="18" t="e">
        <f>CONSOLIDADO!I25</f>
        <v>#N/A</v>
      </c>
      <c r="D25" s="36" t="e">
        <f>IF(C25="HABILITADO",VLOOKUP(B25,PUNTAJE!$B$15:$AF$154,16,FALSE),"INHABILITADO")</f>
        <v>#N/A</v>
      </c>
      <c r="E25" s="36" t="e">
        <f>IF(C25="HABILITADO",VLOOKUP(B25,PUNTAJE!$B$15:$AF$154,18,FALSE),"INHABILITADO")</f>
        <v>#N/A</v>
      </c>
      <c r="F25" s="39" t="e">
        <f>IF(C25="HABILITADO",VLOOKUP(B25,PUNTAJE!$B$15:$AF$154,21,FALSE),"INHABILITADO")</f>
        <v>#N/A</v>
      </c>
      <c r="G25" s="27" t="e">
        <f>IF(C25="HABILITADO",VLOOKUP(B25,PUNTAJE!$B$15:$AF$154,9,FALSE),"INHABILITADO")</f>
        <v>#N/A</v>
      </c>
      <c r="H25" s="27" t="e">
        <f>IF(C25="HABILITADO",VLOOKUP(B25,PUNTAJE!$B$15:$AF$154,27,FALSE),"INHABILITADO")</f>
        <v>#N/A</v>
      </c>
      <c r="I25" s="27" t="e">
        <f>IF(C25="HABILITADO",VLOOKUP(B25,PUNTAJE!$B$15:$AF$154,31,FALSE),"INHABILITADO")</f>
        <v>#N/A</v>
      </c>
      <c r="J25" s="183" t="e">
        <f>'OFERTA ECONOMICA'!#REF!</f>
        <v>#REF!</v>
      </c>
      <c r="K25" s="72" t="str">
        <f t="shared" si="0"/>
        <v>0</v>
      </c>
      <c r="L25" s="18" t="e">
        <f t="shared" si="1"/>
        <v>#N/A</v>
      </c>
    </row>
    <row r="26" spans="1:12" ht="23.25" hidden="1" customHeight="1">
      <c r="A26" s="37">
        <v>16</v>
      </c>
      <c r="B26" s="17">
        <f>+PROPONENTES!B25</f>
        <v>0</v>
      </c>
      <c r="C26" s="18" t="e">
        <f>CONSOLIDADO!I26</f>
        <v>#N/A</v>
      </c>
      <c r="D26" s="36" t="e">
        <f>IF(C26="HABILITADO",VLOOKUP(B26,PUNTAJE!$B$15:$AF$154,16,FALSE),"INHABILITADO")</f>
        <v>#N/A</v>
      </c>
      <c r="E26" s="36" t="e">
        <f>IF(C26="HABILITADO",VLOOKUP(B26,PUNTAJE!$B$15:$AF$154,18,FALSE),"INHABILITADO")</f>
        <v>#N/A</v>
      </c>
      <c r="F26" s="39" t="e">
        <f>IF(C26="HABILITADO",VLOOKUP(B26,PUNTAJE!$B$15:$AF$154,21,FALSE),"INHABILITADO")</f>
        <v>#N/A</v>
      </c>
      <c r="G26" s="27" t="e">
        <f>IF(C26="HABILITADO",VLOOKUP(B26,PUNTAJE!$B$15:$AF$154,9,FALSE),"INHABILITADO")</f>
        <v>#N/A</v>
      </c>
      <c r="H26" s="27" t="e">
        <f>IF(C26="HABILITADO",VLOOKUP(B26,PUNTAJE!$B$15:$AF$154,27,FALSE),"INHABILITADO")</f>
        <v>#N/A</v>
      </c>
      <c r="I26" s="27" t="e">
        <f>IF(C26="HABILITADO",VLOOKUP(B26,PUNTAJE!$B$15:$AF$154,31,FALSE),"INHABILITADO")</f>
        <v>#N/A</v>
      </c>
      <c r="J26" s="183" t="e">
        <f>'OFERTA ECONOMICA'!#REF!</f>
        <v>#REF!</v>
      </c>
      <c r="K26" s="72" t="str">
        <f t="shared" si="0"/>
        <v>0</v>
      </c>
      <c r="L26" s="18" t="e">
        <f t="shared" si="1"/>
        <v>#N/A</v>
      </c>
    </row>
    <row r="27" spans="1:12" ht="23.25" hidden="1" customHeight="1">
      <c r="A27" s="37">
        <v>17</v>
      </c>
      <c r="B27" s="17">
        <f>+PROPONENTES!B26</f>
        <v>0</v>
      </c>
      <c r="C27" s="18" t="e">
        <f>CONSOLIDADO!I27</f>
        <v>#N/A</v>
      </c>
      <c r="D27" s="36" t="e">
        <f>IF(C27="HABILITADO",VLOOKUP(B27,PUNTAJE!$B$15:$AF$154,16,FALSE),"INHABILITADO")</f>
        <v>#N/A</v>
      </c>
      <c r="E27" s="36" t="e">
        <f>IF(C27="HABILITADO",VLOOKUP(B27,PUNTAJE!$B$15:$AF$154,18,FALSE),"INHABILITADO")</f>
        <v>#N/A</v>
      </c>
      <c r="F27" s="39" t="e">
        <f>IF(C27="HABILITADO",VLOOKUP(B27,PUNTAJE!$B$15:$AF$154,21,FALSE),"INHABILITADO")</f>
        <v>#N/A</v>
      </c>
      <c r="G27" s="27" t="e">
        <f>IF(C27="HABILITADO",VLOOKUP(B27,PUNTAJE!$B$15:$AF$154,9,FALSE),"INHABILITADO")</f>
        <v>#N/A</v>
      </c>
      <c r="H27" s="27" t="e">
        <f>IF(C27="HABILITADO",VLOOKUP(B27,PUNTAJE!$B$15:$AF$154,27,FALSE),"INHABILITADO")</f>
        <v>#N/A</v>
      </c>
      <c r="I27" s="27" t="e">
        <f>IF(C27="HABILITADO",VLOOKUP(B27,PUNTAJE!$B$15:$AF$154,31,FALSE),"INHABILITADO")</f>
        <v>#N/A</v>
      </c>
      <c r="J27" s="183" t="e">
        <f>'OFERTA ECONOMICA'!#REF!</f>
        <v>#REF!</v>
      </c>
      <c r="K27" s="72" t="str">
        <f t="shared" si="0"/>
        <v>0</v>
      </c>
      <c r="L27" s="18" t="e">
        <f t="shared" si="1"/>
        <v>#N/A</v>
      </c>
    </row>
    <row r="28" spans="1:12" ht="23.25" hidden="1" customHeight="1">
      <c r="A28" s="37">
        <v>18</v>
      </c>
      <c r="B28" s="17">
        <f>+PROPONENTES!B27</f>
        <v>0</v>
      </c>
      <c r="C28" s="18" t="e">
        <f>CONSOLIDADO!I28</f>
        <v>#N/A</v>
      </c>
      <c r="D28" s="36" t="e">
        <f>IF(C28="HABILITADO",VLOOKUP(B28,PUNTAJE!$B$15:$AF$154,16,FALSE),"INHABILITADO")</f>
        <v>#N/A</v>
      </c>
      <c r="E28" s="36" t="e">
        <f>IF(C28="HABILITADO",VLOOKUP(B28,PUNTAJE!$B$15:$AF$154,18,FALSE),"INHABILITADO")</f>
        <v>#N/A</v>
      </c>
      <c r="F28" s="39" t="e">
        <f>IF(C28="HABILITADO",VLOOKUP(B28,PUNTAJE!$B$15:$AF$154,21,FALSE),"INHABILITADO")</f>
        <v>#N/A</v>
      </c>
      <c r="G28" s="27" t="e">
        <f>IF(C28="HABILITADO",VLOOKUP(B28,PUNTAJE!$B$15:$AF$154,9,FALSE),"INHABILITADO")</f>
        <v>#N/A</v>
      </c>
      <c r="H28" s="27" t="e">
        <f>IF(C28="HABILITADO",VLOOKUP(B28,PUNTAJE!$B$15:$AF$154,27,FALSE),"INHABILITADO")</f>
        <v>#N/A</v>
      </c>
      <c r="I28" s="27" t="e">
        <f>IF(C28="HABILITADO",VLOOKUP(B28,PUNTAJE!$B$15:$AF$154,31,FALSE),"INHABILITADO")</f>
        <v>#N/A</v>
      </c>
      <c r="J28" s="183" t="e">
        <f>'OFERTA ECONOMICA'!#REF!</f>
        <v>#REF!</v>
      </c>
      <c r="K28" s="72" t="str">
        <f t="shared" si="0"/>
        <v>0</v>
      </c>
      <c r="L28" s="18" t="e">
        <f t="shared" si="1"/>
        <v>#N/A</v>
      </c>
    </row>
    <row r="29" spans="1:12" ht="23.25" hidden="1" customHeight="1">
      <c r="A29" s="37">
        <v>19</v>
      </c>
      <c r="B29" s="17">
        <f>+PROPONENTES!B28</f>
        <v>0</v>
      </c>
      <c r="C29" s="18" t="e">
        <f>CONSOLIDADO!I29</f>
        <v>#N/A</v>
      </c>
      <c r="D29" s="36" t="e">
        <f>IF(C29="HABILITADO",VLOOKUP(B29,PUNTAJE!$B$15:$AF$154,16,FALSE),"INHABILITADO")</f>
        <v>#N/A</v>
      </c>
      <c r="E29" s="36" t="e">
        <f>IF(C29="HABILITADO",VLOOKUP(B29,PUNTAJE!$B$15:$AF$154,18,FALSE),"INHABILITADO")</f>
        <v>#N/A</v>
      </c>
      <c r="F29" s="39" t="e">
        <f>IF(C29="HABILITADO",VLOOKUP(B29,PUNTAJE!$B$15:$AF$154,21,FALSE),"INHABILITADO")</f>
        <v>#N/A</v>
      </c>
      <c r="G29" s="27" t="e">
        <f>IF(C29="HABILITADO",VLOOKUP(B29,PUNTAJE!$B$15:$AF$154,9,FALSE),"INHABILITADO")</f>
        <v>#N/A</v>
      </c>
      <c r="H29" s="27" t="e">
        <f>IF(C29="HABILITADO",VLOOKUP(B29,PUNTAJE!$B$15:$AF$154,27,FALSE),"INHABILITADO")</f>
        <v>#N/A</v>
      </c>
      <c r="I29" s="27" t="e">
        <f>IF(C29="HABILITADO",VLOOKUP(B29,PUNTAJE!$B$15:$AF$154,31,FALSE),"INHABILITADO")</f>
        <v>#N/A</v>
      </c>
      <c r="J29" s="183" t="e">
        <f>'OFERTA ECONOMICA'!#REF!</f>
        <v>#REF!</v>
      </c>
      <c r="K29" s="72" t="str">
        <f t="shared" si="0"/>
        <v>0</v>
      </c>
      <c r="L29" s="18" t="e">
        <f t="shared" si="1"/>
        <v>#N/A</v>
      </c>
    </row>
    <row r="30" spans="1:12" ht="23.25" hidden="1" customHeight="1">
      <c r="A30" s="37">
        <v>20</v>
      </c>
      <c r="B30" s="17">
        <f>+PROPONENTES!B29</f>
        <v>0</v>
      </c>
      <c r="C30" s="18" t="e">
        <f>CONSOLIDADO!I30</f>
        <v>#N/A</v>
      </c>
      <c r="D30" s="36" t="e">
        <f>IF(C30="HABILITADO",VLOOKUP(B30,PUNTAJE!$B$15:$AF$154,16,FALSE),"INHABILITADO")</f>
        <v>#N/A</v>
      </c>
      <c r="E30" s="36" t="e">
        <f>IF(C30="HABILITADO",VLOOKUP(B30,PUNTAJE!$B$15:$AF$154,18,FALSE),"INHABILITADO")</f>
        <v>#N/A</v>
      </c>
      <c r="F30" s="39" t="e">
        <f>IF(C30="HABILITADO",VLOOKUP(B30,PUNTAJE!$B$15:$AF$154,21,FALSE),"INHABILITADO")</f>
        <v>#N/A</v>
      </c>
      <c r="G30" s="27" t="e">
        <f>IF(C30="HABILITADO",VLOOKUP(B30,PUNTAJE!$B$15:$AF$154,9,FALSE),"INHABILITADO")</f>
        <v>#N/A</v>
      </c>
      <c r="H30" s="27" t="e">
        <f>IF(C30="HABILITADO",VLOOKUP(B30,PUNTAJE!$B$15:$AF$154,27,FALSE),"INHABILITADO")</f>
        <v>#N/A</v>
      </c>
      <c r="I30" s="27" t="e">
        <f>IF(C30="HABILITADO",VLOOKUP(B30,PUNTAJE!$B$15:$AF$154,31,FALSE),"INHABILITADO")</f>
        <v>#N/A</v>
      </c>
      <c r="J30" s="183" t="e">
        <f>'OFERTA ECONOMICA'!#REF!</f>
        <v>#REF!</v>
      </c>
      <c r="K30" s="72" t="str">
        <f t="shared" si="0"/>
        <v>0</v>
      </c>
      <c r="L30" s="18" t="e">
        <f t="shared" si="1"/>
        <v>#N/A</v>
      </c>
    </row>
    <row r="31" spans="1:12" ht="23.25" hidden="1" customHeight="1">
      <c r="A31" s="37">
        <v>21</v>
      </c>
      <c r="B31" s="17">
        <f>+PROPONENTES!B30</f>
        <v>0</v>
      </c>
      <c r="C31" s="18" t="e">
        <f>CONSOLIDADO!I31</f>
        <v>#N/A</v>
      </c>
      <c r="D31" s="36" t="e">
        <f>IF(C31="HABILITADO",VLOOKUP(B31,PUNTAJE!$B$15:$AF$154,16,FALSE),"INHABILITADO")</f>
        <v>#N/A</v>
      </c>
      <c r="E31" s="36" t="e">
        <f>IF(C31="HABILITADO",VLOOKUP(B31,PUNTAJE!$B$15:$AF$154,18,FALSE),"INHABILITADO")</f>
        <v>#N/A</v>
      </c>
      <c r="F31" s="39" t="e">
        <f>IF(C31="HABILITADO",VLOOKUP(B31,PUNTAJE!$B$15:$AF$154,21,FALSE),"INHABILITADO")</f>
        <v>#N/A</v>
      </c>
      <c r="G31" s="27" t="e">
        <f>IF(C31="HABILITADO",VLOOKUP(B31,PUNTAJE!$B$15:$AF$154,9,FALSE),"INHABILITADO")</f>
        <v>#N/A</v>
      </c>
      <c r="H31" s="27" t="e">
        <f>IF(C31="HABILITADO",VLOOKUP(B31,PUNTAJE!$B$15:$AF$154,27,FALSE),"INHABILITADO")</f>
        <v>#N/A</v>
      </c>
      <c r="I31" s="27" t="e">
        <f>IF(C31="HABILITADO",VLOOKUP(B31,PUNTAJE!$B$15:$AF$154,31,FALSE),"INHABILITADO")</f>
        <v>#N/A</v>
      </c>
      <c r="J31" s="183" t="e">
        <f>'OFERTA ECONOMICA'!#REF!</f>
        <v>#REF!</v>
      </c>
      <c r="K31" s="72" t="str">
        <f t="shared" si="0"/>
        <v>0</v>
      </c>
      <c r="L31" s="18" t="e">
        <f t="shared" si="1"/>
        <v>#N/A</v>
      </c>
    </row>
    <row r="32" spans="1:12" ht="23.25" hidden="1" customHeight="1">
      <c r="A32" s="37">
        <v>22</v>
      </c>
      <c r="B32" s="17">
        <f>+PROPONENTES!B31</f>
        <v>0</v>
      </c>
      <c r="C32" s="18" t="e">
        <f>CONSOLIDADO!I32</f>
        <v>#N/A</v>
      </c>
      <c r="D32" s="36" t="e">
        <f>IF(C32="HABILITADO",VLOOKUP(B32,PUNTAJE!$B$15:$AF$154,16,FALSE),"INHABILITADO")</f>
        <v>#N/A</v>
      </c>
      <c r="E32" s="36" t="e">
        <f>IF(C32="HABILITADO",VLOOKUP(B32,PUNTAJE!$B$15:$AF$154,18,FALSE),"INHABILITADO")</f>
        <v>#N/A</v>
      </c>
      <c r="F32" s="39" t="e">
        <f>IF(C32="HABILITADO",VLOOKUP(B32,PUNTAJE!$B$15:$AF$154,21,FALSE),"INHABILITADO")</f>
        <v>#N/A</v>
      </c>
      <c r="G32" s="27" t="e">
        <f>IF(C32="HABILITADO",VLOOKUP(B32,PUNTAJE!$B$15:$AF$154,9,FALSE),"INHABILITADO")</f>
        <v>#N/A</v>
      </c>
      <c r="H32" s="27" t="e">
        <f>IF(C32="HABILITADO",VLOOKUP(B32,PUNTAJE!$B$15:$AF$154,27,FALSE),"INHABILITADO")</f>
        <v>#N/A</v>
      </c>
      <c r="I32" s="27" t="e">
        <f>IF(C32="HABILITADO",VLOOKUP(B32,PUNTAJE!$B$15:$AF$154,31,FALSE),"INHABILITADO")</f>
        <v>#N/A</v>
      </c>
      <c r="J32" s="182"/>
      <c r="K32" s="72" t="str">
        <f t="shared" si="0"/>
        <v>0</v>
      </c>
      <c r="L32" s="18" t="e">
        <f t="shared" si="1"/>
        <v>#N/A</v>
      </c>
    </row>
    <row r="33" spans="1:12" ht="23.25" hidden="1" customHeight="1">
      <c r="A33" s="37">
        <v>23</v>
      </c>
      <c r="B33" s="17">
        <f>+PROPONENTES!B32</f>
        <v>0</v>
      </c>
      <c r="C33" s="18" t="e">
        <f>CONSOLIDADO!I33</f>
        <v>#N/A</v>
      </c>
      <c r="D33" s="36" t="e">
        <f>IF(C33="HABILITADO",VLOOKUP(B33,PUNTAJE!$B$15:$AF$154,16,FALSE),"INHABILITADO")</f>
        <v>#N/A</v>
      </c>
      <c r="E33" s="36" t="e">
        <f>IF(C33="HABILITADO",VLOOKUP(B33,PUNTAJE!$B$15:$AF$154,18,FALSE),"INHABILITADO")</f>
        <v>#N/A</v>
      </c>
      <c r="F33" s="39" t="e">
        <f>IF(C33="HABILITADO",VLOOKUP(B33,PUNTAJE!$B$15:$AF$154,21,FALSE),"INHABILITADO")</f>
        <v>#N/A</v>
      </c>
      <c r="G33" s="27" t="e">
        <f>IF(C33="HABILITADO",VLOOKUP(B33,PUNTAJE!$B$15:$AF$154,9,FALSE),"INHABILITADO")</f>
        <v>#N/A</v>
      </c>
      <c r="H33" s="27" t="e">
        <f>IF(C33="HABILITADO",VLOOKUP(B33,PUNTAJE!$B$15:$AF$154,27,FALSE),"INHABILITADO")</f>
        <v>#N/A</v>
      </c>
      <c r="I33" s="27" t="e">
        <f>IF(C33="HABILITADO",VLOOKUP(B33,PUNTAJE!$B$15:$AF$154,31,FALSE),"INHABILITADO")</f>
        <v>#N/A</v>
      </c>
      <c r="J33" s="183" t="e">
        <f>'OFERTA ECONOMICA'!#REF!</f>
        <v>#REF!</v>
      </c>
      <c r="K33" s="72" t="str">
        <f t="shared" si="0"/>
        <v>0</v>
      </c>
      <c r="L33" s="18" t="e">
        <f t="shared" si="1"/>
        <v>#N/A</v>
      </c>
    </row>
    <row r="34" spans="1:12" ht="23.25" hidden="1" customHeight="1">
      <c r="A34" s="37">
        <v>24</v>
      </c>
      <c r="B34" s="17">
        <f>+PROPONENTES!B33</f>
        <v>0</v>
      </c>
      <c r="C34" s="18" t="e">
        <f>CONSOLIDADO!I34</f>
        <v>#N/A</v>
      </c>
      <c r="D34" s="36" t="e">
        <f>IF(C34="HABILITADO",VLOOKUP(B34,PUNTAJE!$B$15:$AF$154,16,FALSE),"INHABILITADO")</f>
        <v>#N/A</v>
      </c>
      <c r="E34" s="36" t="e">
        <f>IF(C34="HABILITADO",VLOOKUP(B34,PUNTAJE!$B$15:$AF$154,18,FALSE),"INHABILITADO")</f>
        <v>#N/A</v>
      </c>
      <c r="F34" s="39" t="e">
        <f>IF(C34="HABILITADO",VLOOKUP(B34,PUNTAJE!$B$15:$AF$154,21,FALSE),"INHABILITADO")</f>
        <v>#N/A</v>
      </c>
      <c r="G34" s="27" t="e">
        <f>IF(C34="HABILITADO",VLOOKUP(B34,PUNTAJE!$B$15:$AF$154,9,FALSE),"INHABILITADO")</f>
        <v>#N/A</v>
      </c>
      <c r="H34" s="27" t="e">
        <f>IF(C34="HABILITADO",VLOOKUP(B34,PUNTAJE!$B$15:$AF$154,27,FALSE),"INHABILITADO")</f>
        <v>#N/A</v>
      </c>
      <c r="I34" s="27" t="e">
        <f>IF(C34="HABILITADO",VLOOKUP(B34,PUNTAJE!$B$15:$AF$154,31,FALSE),"INHABILITADO")</f>
        <v>#N/A</v>
      </c>
      <c r="J34" s="182"/>
      <c r="K34" s="72" t="str">
        <f t="shared" si="0"/>
        <v>0</v>
      </c>
      <c r="L34" s="18" t="e">
        <f t="shared" si="1"/>
        <v>#N/A</v>
      </c>
    </row>
    <row r="35" spans="1:12" ht="23.25" hidden="1" customHeight="1">
      <c r="A35" s="37">
        <v>25</v>
      </c>
      <c r="B35" s="17">
        <f>+PROPONENTES!B34</f>
        <v>0</v>
      </c>
      <c r="C35" s="18" t="e">
        <f>CONSOLIDADO!I35</f>
        <v>#N/A</v>
      </c>
      <c r="D35" s="36" t="e">
        <f>IF(C35="HABILITADO",VLOOKUP(B35,PUNTAJE!$B$15:$AF$154,16,FALSE),"INHABILITADO")</f>
        <v>#N/A</v>
      </c>
      <c r="E35" s="36" t="e">
        <f>IF(C35="HABILITADO",VLOOKUP(B35,PUNTAJE!$B$15:$AF$154,18,FALSE),"INHABILITADO")</f>
        <v>#N/A</v>
      </c>
      <c r="F35" s="39" t="e">
        <f>IF(C35="HABILITADO",VLOOKUP(B35,PUNTAJE!$B$15:$AF$154,21,FALSE),"INHABILITADO")</f>
        <v>#N/A</v>
      </c>
      <c r="G35" s="27" t="e">
        <f>IF(C35="HABILITADO",VLOOKUP(B35,PUNTAJE!$B$15:$AF$154,9,FALSE),"INHABILITADO")</f>
        <v>#N/A</v>
      </c>
      <c r="H35" s="27" t="e">
        <f>IF(C35="HABILITADO",VLOOKUP(B35,PUNTAJE!$B$15:$AF$154,27,FALSE),"INHABILITADO")</f>
        <v>#N/A</v>
      </c>
      <c r="I35" s="27" t="e">
        <f>IF(C35="HABILITADO",VLOOKUP(B35,PUNTAJE!$B$15:$AF$154,31,FALSE),"INHABILITADO")</f>
        <v>#N/A</v>
      </c>
      <c r="J35" s="183" t="e">
        <f>'OFERTA ECONOMICA'!#REF!</f>
        <v>#REF!</v>
      </c>
      <c r="K35" s="72" t="str">
        <f t="shared" si="0"/>
        <v>0</v>
      </c>
      <c r="L35" s="18" t="e">
        <f t="shared" si="1"/>
        <v>#N/A</v>
      </c>
    </row>
    <row r="36" spans="1:12" ht="23.25" hidden="1" customHeight="1">
      <c r="A36" s="37">
        <v>26</v>
      </c>
      <c r="B36" s="17">
        <f>+PROPONENTES!B35</f>
        <v>0</v>
      </c>
      <c r="C36" s="18" t="e">
        <f>CONSOLIDADO!I36</f>
        <v>#N/A</v>
      </c>
      <c r="D36" s="36" t="e">
        <f>IF(C36="HABILITADO",VLOOKUP(B36,PUNTAJE!$B$15:$AF$154,16,FALSE),"INHABILITADO")</f>
        <v>#N/A</v>
      </c>
      <c r="E36" s="36" t="e">
        <f>IF(C36="HABILITADO",VLOOKUP(B36,PUNTAJE!$B$15:$AF$154,18,FALSE),"INHABILITADO")</f>
        <v>#N/A</v>
      </c>
      <c r="F36" s="39" t="e">
        <f>IF(C36="HABILITADO",VLOOKUP(B36,PUNTAJE!$B$15:$AF$154,21,FALSE),"INHABILITADO")</f>
        <v>#N/A</v>
      </c>
      <c r="G36" s="27" t="e">
        <f>IF(C36="HABILITADO",VLOOKUP(B36,PUNTAJE!$B$15:$AF$154,9,FALSE),"INHABILITADO")</f>
        <v>#N/A</v>
      </c>
      <c r="H36" s="27" t="e">
        <f>IF(C36="HABILITADO",VLOOKUP(B36,PUNTAJE!$B$15:$AF$154,27,FALSE),"INHABILITADO")</f>
        <v>#N/A</v>
      </c>
      <c r="I36" s="27" t="e">
        <f>IF(C36="HABILITADO",VLOOKUP(B36,PUNTAJE!$B$15:$AF$154,31,FALSE),"INHABILITADO")</f>
        <v>#N/A</v>
      </c>
      <c r="J36" s="183" t="e">
        <f>'OFERTA ECONOMICA'!#REF!</f>
        <v>#REF!</v>
      </c>
      <c r="K36" s="72" t="str">
        <f t="shared" si="0"/>
        <v>0</v>
      </c>
      <c r="L36" s="18" t="e">
        <f t="shared" si="1"/>
        <v>#N/A</v>
      </c>
    </row>
    <row r="37" spans="1:12" ht="23.25" hidden="1" customHeight="1">
      <c r="A37" s="37">
        <v>27</v>
      </c>
      <c r="B37" s="17">
        <f>+PROPONENTES!B36</f>
        <v>0</v>
      </c>
      <c r="C37" s="18" t="e">
        <f>CONSOLIDADO!I37</f>
        <v>#N/A</v>
      </c>
      <c r="D37" s="36" t="e">
        <f>IF(C37="HABILITADO",VLOOKUP(B37,PUNTAJE!$B$15:$AF$154,16,FALSE),"INHABILITADO")</f>
        <v>#N/A</v>
      </c>
      <c r="E37" s="36" t="e">
        <f>IF(C37="HABILITADO",VLOOKUP(B37,PUNTAJE!$B$15:$AF$154,18,FALSE),"INHABILITADO")</f>
        <v>#N/A</v>
      </c>
      <c r="F37" s="39" t="e">
        <f>IF(C37="HABILITADO",VLOOKUP(B37,PUNTAJE!$B$15:$AF$154,21,FALSE),"INHABILITADO")</f>
        <v>#N/A</v>
      </c>
      <c r="G37" s="27" t="e">
        <f>IF(C37="HABILITADO",VLOOKUP(B37,PUNTAJE!$B$15:$AF$154,9,FALSE),"INHABILITADO")</f>
        <v>#N/A</v>
      </c>
      <c r="H37" s="27" t="e">
        <f>IF(C37="HABILITADO",VLOOKUP(B37,PUNTAJE!$B$15:$AF$154,27,FALSE),"INHABILITADO")</f>
        <v>#N/A</v>
      </c>
      <c r="I37" s="27" t="e">
        <f>IF(C37="HABILITADO",VLOOKUP(B37,PUNTAJE!$B$15:$AF$154,31,FALSE),"INHABILITADO")</f>
        <v>#N/A</v>
      </c>
      <c r="J37" s="183" t="e">
        <f>'OFERTA ECONOMICA'!#REF!</f>
        <v>#REF!</v>
      </c>
      <c r="K37" s="72" t="str">
        <f t="shared" si="0"/>
        <v>0</v>
      </c>
      <c r="L37" s="18" t="e">
        <f t="shared" si="1"/>
        <v>#N/A</v>
      </c>
    </row>
    <row r="38" spans="1:12" ht="23.25" hidden="1" customHeight="1">
      <c r="A38" s="37">
        <v>28</v>
      </c>
      <c r="B38" s="17">
        <f>+PROPONENTES!B37</f>
        <v>0</v>
      </c>
      <c r="C38" s="18" t="e">
        <f>CONSOLIDADO!I38</f>
        <v>#N/A</v>
      </c>
      <c r="D38" s="36" t="e">
        <f>IF(C38="HABILITADO",VLOOKUP(B38,PUNTAJE!$B$15:$AF$154,16,FALSE),"INHABILITADO")</f>
        <v>#N/A</v>
      </c>
      <c r="E38" s="36" t="e">
        <f>IF(C38="HABILITADO",VLOOKUP(B38,PUNTAJE!$B$15:$AF$154,18,FALSE),"INHABILITADO")</f>
        <v>#N/A</v>
      </c>
      <c r="F38" s="39" t="e">
        <f>IF(C38="HABILITADO",VLOOKUP(B38,PUNTAJE!$B$15:$AF$154,21,FALSE),"INHABILITADO")</f>
        <v>#N/A</v>
      </c>
      <c r="G38" s="27" t="e">
        <f>IF(C38="HABILITADO",VLOOKUP(B38,PUNTAJE!$B$15:$AF$154,9,FALSE),"INHABILITADO")</f>
        <v>#N/A</v>
      </c>
      <c r="H38" s="27" t="e">
        <f>IF(C38="HABILITADO",VLOOKUP(B38,PUNTAJE!$B$15:$AF$154,27,FALSE),"INHABILITADO")</f>
        <v>#N/A</v>
      </c>
      <c r="I38" s="27" t="e">
        <f>IF(C38="HABILITADO",VLOOKUP(B38,PUNTAJE!$B$15:$AF$154,31,FALSE),"INHABILITADO")</f>
        <v>#N/A</v>
      </c>
      <c r="J38" s="182"/>
      <c r="K38" s="72" t="str">
        <f t="shared" si="0"/>
        <v>0</v>
      </c>
      <c r="L38" s="18" t="e">
        <f t="shared" si="1"/>
        <v>#N/A</v>
      </c>
    </row>
    <row r="39" spans="1:12" ht="23.25" hidden="1" customHeight="1">
      <c r="B39" s="15"/>
      <c r="D39" s="35"/>
      <c r="E39" s="35"/>
      <c r="F39" s="16"/>
      <c r="G39" s="16"/>
      <c r="H39" s="16"/>
      <c r="I39" s="16"/>
      <c r="J39" s="16"/>
      <c r="K39" s="16"/>
      <c r="L39" s="23"/>
    </row>
    <row r="40" spans="1:12" ht="6.75" hidden="1" customHeight="1"/>
    <row r="41" spans="1:12" ht="45" hidden="1" customHeight="1">
      <c r="B41" s="264"/>
      <c r="C41" s="386"/>
      <c r="D41" s="386"/>
      <c r="E41" s="188"/>
      <c r="F41" s="88"/>
    </row>
    <row r="42" spans="1:12" ht="45" hidden="1" customHeight="1">
      <c r="B42" s="264"/>
      <c r="C42" s="386"/>
      <c r="D42" s="386"/>
      <c r="E42" s="188"/>
      <c r="F42" s="88"/>
    </row>
    <row r="43" spans="1:12" ht="45" hidden="1" customHeight="1">
      <c r="B43" s="264"/>
      <c r="C43" s="386"/>
      <c r="D43" s="386"/>
      <c r="E43" s="188"/>
      <c r="F43" s="88"/>
    </row>
    <row r="44" spans="1:12" ht="48" hidden="1" customHeight="1">
      <c r="B44" s="264"/>
      <c r="C44" s="386"/>
      <c r="D44" s="386"/>
      <c r="E44" s="188"/>
      <c r="F44" s="88"/>
    </row>
    <row r="45" spans="1:12" ht="5.25" customHeight="1"/>
    <row r="46" spans="1:12">
      <c r="C46" s="71"/>
    </row>
  </sheetData>
  <mergeCells count="17">
    <mergeCell ref="B41:B44"/>
    <mergeCell ref="C4:D4"/>
    <mergeCell ref="C5:D5"/>
    <mergeCell ref="F5:K5"/>
    <mergeCell ref="C41:D41"/>
    <mergeCell ref="C42:D42"/>
    <mergeCell ref="C43:D43"/>
    <mergeCell ref="C44:D44"/>
    <mergeCell ref="A8:L8"/>
    <mergeCell ref="A6:L6"/>
    <mergeCell ref="A1:L1"/>
    <mergeCell ref="A3:L3"/>
    <mergeCell ref="A4:B5"/>
    <mergeCell ref="A7:M7"/>
    <mergeCell ref="L5:M5"/>
    <mergeCell ref="F4:M4"/>
    <mergeCell ref="A2:M2"/>
  </mergeCells>
  <conditionalFormatting sqref="C11:C38">
    <cfRule type="containsText" dxfId="11" priority="3" operator="containsText" text="INHABILITADO">
      <formula>NOT(ISERROR(SEARCH("INHABILITADO",C11)))</formula>
    </cfRule>
    <cfRule type="containsText" dxfId="10" priority="4" operator="containsText" text="HABILITADO">
      <formula>NOT(ISERROR(SEARCH("HABILITADO",C11)))</formula>
    </cfRule>
  </conditionalFormatting>
  <conditionalFormatting sqref="F11:K38">
    <cfRule type="cellIs" dxfId="9" priority="5" operator="equal">
      <formula>"CUMPLE"</formula>
    </cfRule>
    <cfRule type="cellIs" dxfId="8" priority="6" operator="equal">
      <formula>"NO CUMPLE"</formula>
    </cfRule>
    <cfRule type="cellIs" dxfId="7" priority="7" operator="equal">
      <formula>"""CUMPLE"""</formula>
    </cfRule>
  </conditionalFormatting>
  <conditionalFormatting sqref="F39:K39">
    <cfRule type="containsText" dxfId="6" priority="10" operator="containsText" text="NO CUMPLE">
      <formula>NOT(ISERROR(SEARCH("NO CUMPLE",F39)))</formula>
    </cfRule>
    <cfRule type="containsText" dxfId="5" priority="11" operator="containsText" text="CUMPLE">
      <formula>NOT(ISERROR(SEARCH("CUMPLE",F39)))</formula>
    </cfRule>
  </conditionalFormatting>
  <conditionalFormatting sqref="L11:L39">
    <cfRule type="containsText" dxfId="4" priority="8" operator="containsText" text="INHABILITADO">
      <formula>NOT(ISERROR(SEARCH("INHABILITADO",L11)))</formula>
    </cfRule>
    <cfRule type="containsText" dxfId="3" priority="9" operator="containsText" text="HABILITADO">
      <formula>NOT(ISERROR(SEARCH("HABILITADO",L11)))</formula>
    </cfRule>
  </conditionalFormatting>
  <pageMargins left="0.7" right="0.7" top="0.75" bottom="0.75" header="0.3" footer="0.3"/>
  <pageSetup scale="4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2200-000000000000}">
          <x14:formula1>
            <xm:f>'DATOS INICIALES'!$A$44:$A$45</xm:f>
          </x14:formula1>
          <xm:sqref>L39</xm:sqref>
        </x14:dataValidation>
        <x14:dataValidation type="list" allowBlank="1" showInputMessage="1" showErrorMessage="1" xr:uid="{00000000-0002-0000-2200-000001000000}">
          <x14:formula1>
            <xm:f>'DATOS INICIALES'!$A$49:$A$50</xm:f>
          </x14:formula1>
          <xm:sqref>J39:K39</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R12"/>
  <sheetViews>
    <sheetView view="pageBreakPreview" topLeftCell="C1" zoomScale="85" zoomScaleNormal="85" zoomScaleSheetLayoutView="85" workbookViewId="0">
      <selection activeCell="A8" sqref="A8"/>
    </sheetView>
  </sheetViews>
  <sheetFormatPr baseColWidth="10" defaultColWidth="11.42578125" defaultRowHeight="15"/>
  <cols>
    <col min="2" max="2" width="43.42578125" customWidth="1"/>
    <col min="3" max="3" width="21.140625" customWidth="1"/>
    <col min="4" max="4" width="23.42578125" customWidth="1"/>
    <col min="5" max="5" width="20.42578125" customWidth="1"/>
    <col min="6" max="6" width="16.28515625" customWidth="1"/>
    <col min="7" max="7" width="9.85546875" customWidth="1"/>
    <col min="8" max="8" width="20.42578125" customWidth="1"/>
    <col min="9" max="9" width="11.42578125" customWidth="1"/>
    <col min="10" max="10" width="22.42578125" customWidth="1"/>
    <col min="11" max="11" width="11.42578125" customWidth="1"/>
    <col min="12" max="12" width="22.42578125" customWidth="1"/>
    <col min="14" max="14" width="24" customWidth="1"/>
    <col min="15" max="15" width="11.42578125" customWidth="1"/>
    <col min="16" max="16" width="19" customWidth="1"/>
    <col min="17" max="17" width="40" customWidth="1"/>
  </cols>
  <sheetData>
    <row r="1" spans="1:18" ht="26.25">
      <c r="A1" s="153" t="s">
        <v>556</v>
      </c>
      <c r="B1" s="443" t="str">
        <f>IF(AND(A5&gt;=0,A5&lt;=0.24),"MEDIANA CON VALOR ABSOLUTO",IF(AND(A5&gt;=0.25,A5&lt;=0.49),"MEDIA GEOMETRICA",IF(AND(A5&gt;=0.5,A5&lt;=0.74),"MEDIA ARITMETICA BAJA",IF(AND(A5&gt;=0.75,A5&lt;=0.99),"MENOR VALOR",))))</f>
        <v>MEDIA ARITMETICA BAJA</v>
      </c>
      <c r="C1" s="438"/>
      <c r="D1" s="438"/>
      <c r="E1" s="439"/>
      <c r="F1" s="449" t="str">
        <f>CONCATENATE("PUNTAJE OFERTA ECONOMICA ",'DATOS INICIALES'!G4)</f>
        <v>PUNTAJE OFERTA ECONOMICA FDLK-LP-007-2024</v>
      </c>
      <c r="G1" s="450"/>
      <c r="H1" s="450"/>
      <c r="I1" s="450"/>
      <c r="J1" s="450"/>
      <c r="K1" s="450"/>
      <c r="L1" s="450"/>
      <c r="M1" s="450"/>
      <c r="N1" s="450"/>
      <c r="O1" s="450"/>
      <c r="P1" s="451"/>
    </row>
    <row r="2" spans="1:18">
      <c r="A2" s="38" t="s">
        <v>557</v>
      </c>
      <c r="B2" s="444"/>
      <c r="C2" s="445"/>
      <c r="D2" s="38" t="s">
        <v>558</v>
      </c>
      <c r="E2" s="164">
        <f>_xlfn.STDEV.P(D7:D8)</f>
        <v>1141795.5</v>
      </c>
      <c r="F2" s="444"/>
      <c r="G2" s="445"/>
      <c r="H2" s="452"/>
      <c r="I2" s="38" t="s">
        <v>559</v>
      </c>
      <c r="J2" s="154">
        <f>MEDIAN(H7:H8)</f>
        <v>487704257.5</v>
      </c>
      <c r="K2" s="38" t="s">
        <v>560</v>
      </c>
      <c r="L2" s="155">
        <f>GEOMEAN(H7:H8)</f>
        <v>487702920.93308455</v>
      </c>
      <c r="M2" s="38" t="s">
        <v>561</v>
      </c>
      <c r="N2" s="156">
        <f>AVERAGE(H7:H8)</f>
        <v>487704257.5</v>
      </c>
      <c r="O2" s="455"/>
      <c r="P2" s="455"/>
    </row>
    <row r="3" spans="1:18" ht="30">
      <c r="A3" s="157"/>
      <c r="B3" s="446"/>
      <c r="C3" s="382"/>
      <c r="D3" s="38" t="s">
        <v>562</v>
      </c>
      <c r="E3" s="165">
        <f>MEDIAN(C7:C8)</f>
        <v>487704257.5</v>
      </c>
      <c r="F3" s="446"/>
      <c r="G3" s="382"/>
      <c r="H3" s="453"/>
      <c r="I3" s="38" t="s">
        <v>563</v>
      </c>
      <c r="J3" s="154" cm="1">
        <f t="array" ref="J3">MAX(IF(H7:H8&lt;$J$2,H7:H8))</f>
        <v>486562462</v>
      </c>
      <c r="K3" s="38" t="s">
        <v>564</v>
      </c>
      <c r="L3" s="158">
        <f>VLOOKUP(MIN(G7:G8),G7:H8,2,FALSE)</f>
        <v>486562462</v>
      </c>
      <c r="M3" s="38" t="s">
        <v>565</v>
      </c>
      <c r="N3" s="156">
        <f>MIN(H7:H8)</f>
        <v>486562462</v>
      </c>
      <c r="O3" s="38" t="s">
        <v>565</v>
      </c>
      <c r="P3" s="156">
        <f>MIN(H7:H8)</f>
        <v>486562462</v>
      </c>
    </row>
    <row r="4" spans="1:18" ht="30">
      <c r="A4" s="38" t="s">
        <v>566</v>
      </c>
      <c r="B4" s="446"/>
      <c r="C4" s="382"/>
      <c r="D4" s="38" t="s">
        <v>567</v>
      </c>
      <c r="E4" s="165">
        <f>+E3-E2</f>
        <v>486562462</v>
      </c>
      <c r="F4" s="446"/>
      <c r="G4" s="382"/>
      <c r="H4" s="453"/>
      <c r="I4" s="28">
        <f>COUNT(H7:H8)</f>
        <v>2</v>
      </c>
      <c r="J4" s="31" t="str">
        <f>IF(ISODD(I4),"IMPAR","PAR")</f>
        <v>PAR</v>
      </c>
      <c r="K4" s="455"/>
      <c r="L4" s="455"/>
      <c r="M4" s="38" t="s">
        <v>568</v>
      </c>
      <c r="N4" s="156">
        <f>AVERAGE(N2:N3)</f>
        <v>487133359.75</v>
      </c>
      <c r="O4" s="455"/>
      <c r="P4" s="455"/>
    </row>
    <row r="5" spans="1:18" ht="30">
      <c r="A5" s="157">
        <v>0.54</v>
      </c>
      <c r="B5" s="447"/>
      <c r="C5" s="448"/>
      <c r="D5" s="440" t="s">
        <v>569</v>
      </c>
      <c r="E5" s="441"/>
      <c r="F5" s="447"/>
      <c r="G5" s="448"/>
      <c r="H5" s="454"/>
      <c r="I5" s="38" t="s">
        <v>570</v>
      </c>
      <c r="J5" s="162">
        <v>50</v>
      </c>
      <c r="K5" s="38" t="s">
        <v>570</v>
      </c>
      <c r="L5" s="162">
        <v>50</v>
      </c>
      <c r="M5" s="38" t="s">
        <v>570</v>
      </c>
      <c r="N5" s="184">
        <v>50</v>
      </c>
      <c r="O5" s="38" t="s">
        <v>570</v>
      </c>
      <c r="P5" s="163">
        <v>50</v>
      </c>
    </row>
    <row r="6" spans="1:18" ht="60">
      <c r="A6" s="38" t="s">
        <v>571</v>
      </c>
      <c r="B6" s="38" t="s">
        <v>572</v>
      </c>
      <c r="C6" s="38" t="s">
        <v>573</v>
      </c>
      <c r="D6" s="38" t="s">
        <v>574</v>
      </c>
      <c r="E6" s="38" t="s">
        <v>575</v>
      </c>
      <c r="F6" s="38" t="s">
        <v>576</v>
      </c>
      <c r="G6" s="38" t="s">
        <v>577</v>
      </c>
      <c r="H6" s="38" t="s">
        <v>578</v>
      </c>
      <c r="I6" s="225" t="s">
        <v>579</v>
      </c>
      <c r="J6" s="225"/>
      <c r="K6" s="225" t="s">
        <v>580</v>
      </c>
      <c r="L6" s="225"/>
      <c r="M6" s="225" t="s">
        <v>581</v>
      </c>
      <c r="N6" s="225"/>
      <c r="O6" s="225" t="s">
        <v>582</v>
      </c>
      <c r="P6" s="225"/>
      <c r="Q6" s="186" t="s">
        <v>581</v>
      </c>
      <c r="R6" s="187"/>
    </row>
    <row r="7" spans="1:18">
      <c r="A7" s="159">
        <v>1</v>
      </c>
      <c r="B7" s="88" t="s">
        <v>583</v>
      </c>
      <c r="C7" s="158">
        <v>486562462</v>
      </c>
      <c r="D7" s="158">
        <v>486562462</v>
      </c>
      <c r="E7" s="160" t="str">
        <f>IF(D7&lt;$E$4,"SI","NO")</f>
        <v>NO</v>
      </c>
      <c r="F7" s="160" t="s">
        <v>584</v>
      </c>
      <c r="G7" s="88">
        <f t="shared" ref="G7:G8" si="0">IF(H7="","",ABS(H7-$L$2))</f>
        <v>1140458.9330845475</v>
      </c>
      <c r="H7" s="161">
        <f>IF(F7="X",D7,"")</f>
        <v>486562462</v>
      </c>
      <c r="I7" s="442">
        <f>IF(H7="","",IF($J$4="IMPAR",IF(H7=$J$2,$J$5,((1-ABS(($J$2-H7)/$J$2))*$J$5)),IF(H7=$J$3,$J$5,((1-ABS((($J$3-H7)/$J$3)))*$J$5))))</f>
        <v>50</v>
      </c>
      <c r="J7" s="442"/>
      <c r="K7" s="442">
        <f>IF(H7="","",IF(H7=$L$3,$L$5,$L$5*(1-((ABS($L$2-H7))/$L$2))))</f>
        <v>50</v>
      </c>
      <c r="L7" s="442"/>
      <c r="M7" s="456">
        <f>IF(H7="","",IF(H7&lt;=$N$4,$N$5*(1-(($N$4-H7)/$N$4)),$N$5*(1-((ABS($N$4-H7))/$N$4))))</f>
        <v>49.941402314317685</v>
      </c>
      <c r="N7" s="456"/>
      <c r="O7" s="442">
        <f>IF(H7="","",$P$5*$P$3/H7)</f>
        <v>50</v>
      </c>
      <c r="P7" s="442"/>
      <c r="Q7" s="88"/>
    </row>
    <row r="8" spans="1:18" ht="45.6" customHeight="1">
      <c r="A8" s="159">
        <v>2</v>
      </c>
      <c r="B8" s="88" t="s">
        <v>585</v>
      </c>
      <c r="C8" s="158">
        <v>488846053</v>
      </c>
      <c r="D8" s="158">
        <v>488846053</v>
      </c>
      <c r="E8" s="160" t="str">
        <f t="shared" ref="E8" si="1">IF(D8&lt;$E$4,"SI","NO")</f>
        <v>NO</v>
      </c>
      <c r="F8" s="160" t="s">
        <v>584</v>
      </c>
      <c r="G8" s="88">
        <f t="shared" si="0"/>
        <v>1143132.0669154525</v>
      </c>
      <c r="H8" s="161">
        <f t="shared" ref="H8" si="2">IF(F8="X",D8,"")</f>
        <v>488846053</v>
      </c>
      <c r="I8" s="442">
        <f t="shared" ref="I8" si="3">IF(H8="","",IF($J$4="IMPAR",IF(H8=$J$2,$J$5,((1-ABS(($J$2-H8)/$J$2))*$J$5)),IF(H8=$J$3,$J$5,((1-ABS((($J$3-H8)/$J$3)))*$J$5))))</f>
        <v>49.765334239861687</v>
      </c>
      <c r="J8" s="442"/>
      <c r="K8" s="442">
        <f t="shared" ref="K8" si="4">IF(H8="","",IF(H8=$L$3,$L$5,$L$5*(1-((ABS($L$2-H8))/$L$2))))</f>
        <v>49.882804467858385</v>
      </c>
      <c r="L8" s="442"/>
      <c r="M8" s="456">
        <f t="shared" ref="M8" si="5">IF(H8="","",IF(H8&lt;=$N$4,$N$5*(1-(($N$4-H8)/$N$4)),$N$5*(1-((ABS($N$4-H8))/$N$4))))</f>
        <v>49.824206942953062</v>
      </c>
      <c r="N8" s="456"/>
      <c r="O8" s="442">
        <f t="shared" ref="O8" si="6">IF(H8="","",$P$5*$P$3/H8)</f>
        <v>49.766430455356463</v>
      </c>
      <c r="P8" s="442"/>
      <c r="Q8" s="88"/>
    </row>
    <row r="10" spans="1:18">
      <c r="D10" s="185"/>
    </row>
    <row r="11" spans="1:18">
      <c r="C11" s="185"/>
      <c r="D11" s="185"/>
    </row>
    <row r="12" spans="1:18">
      <c r="D12" s="185"/>
    </row>
  </sheetData>
  <mergeCells count="21">
    <mergeCell ref="K4:L4"/>
    <mergeCell ref="I6:J6"/>
    <mergeCell ref="K6:L6"/>
    <mergeCell ref="K8:L8"/>
    <mergeCell ref="K7:L7"/>
    <mergeCell ref="D1:E1"/>
    <mergeCell ref="D5:E5"/>
    <mergeCell ref="I7:J7"/>
    <mergeCell ref="I8:J8"/>
    <mergeCell ref="B1:C1"/>
    <mergeCell ref="B2:C5"/>
    <mergeCell ref="F1:P1"/>
    <mergeCell ref="F2:H5"/>
    <mergeCell ref="O4:P4"/>
    <mergeCell ref="M6:N6"/>
    <mergeCell ref="M7:N7"/>
    <mergeCell ref="M8:N8"/>
    <mergeCell ref="O2:P2"/>
    <mergeCell ref="O6:P6"/>
    <mergeCell ref="O7:P7"/>
    <mergeCell ref="O8:P8"/>
  </mergeCells>
  <conditionalFormatting sqref="E7:H8">
    <cfRule type="cellIs" dxfId="2" priority="2" operator="equal">
      <formula>"NO"</formula>
    </cfRule>
    <cfRule type="cellIs" dxfId="1" priority="3" operator="equal">
      <formula>"SI"</formula>
    </cfRule>
  </conditionalFormatting>
  <conditionalFormatting sqref="I7:P8">
    <cfRule type="cellIs" dxfId="0" priority="1" operator="equal">
      <formula>60</formula>
    </cfRule>
  </conditionalFormatting>
  <pageMargins left="0.7" right="0.7" top="0.75" bottom="0.75" header="0.3" footer="0.3"/>
  <pageSetup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32</vt:i4>
      </vt:variant>
    </vt:vector>
  </HeadingPairs>
  <TitlesOfParts>
    <vt:vector size="68" baseType="lpstr">
      <vt:lpstr>DATOS INICIALES</vt:lpstr>
      <vt:lpstr>PROPONENTES</vt:lpstr>
      <vt:lpstr>K RESIDUAL CALCULO</vt:lpstr>
      <vt:lpstr>1</vt:lpstr>
      <vt:lpstr>K RESIDUAL DOCUMENTOS</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CONSOLIDADO</vt:lpstr>
      <vt:lpstr>PUNTAJE</vt:lpstr>
      <vt:lpstr>PONDERACION</vt:lpstr>
      <vt:lpstr>OFERTA ECONOMICA</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'3'!Área_de_impresión</vt:lpstr>
      <vt:lpstr>'4'!Área_de_impresión</vt:lpstr>
      <vt:lpstr>'5'!Área_de_impresión</vt:lpstr>
      <vt:lpstr>'6'!Área_de_impresión</vt:lpstr>
      <vt:lpstr>'7'!Área_de_impresión</vt:lpstr>
      <vt:lpstr>'8'!Área_de_impresión</vt:lpstr>
      <vt:lpstr>'9'!Área_de_impresión</vt:lpstr>
      <vt:lpstr>CONSOLIDADO!Área_de_impresión</vt:lpstr>
      <vt:lpstr>'DATOS INICIALES'!Área_de_impresión</vt:lpstr>
      <vt:lpstr>'OFERTA ECONOMICA'!Área_de_impresión</vt:lpstr>
      <vt:lpstr>PROPONENTES!Área_de_impresión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Elkin Leonardo Lopez Guerrero</cp:lastModifiedBy>
  <cp:revision/>
  <dcterms:created xsi:type="dcterms:W3CDTF">2020-12-10T19:47:01Z</dcterms:created>
  <dcterms:modified xsi:type="dcterms:W3CDTF">2024-12-19T03:39:17Z</dcterms:modified>
  <cp:category/>
  <cp:contentStatus/>
</cp:coreProperties>
</file>