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D:\TUNJUELITO\PROCESOS DE SELECCIÓN\1. CONSULTORIA PARQUES\EVALUACION\1er INFORME -EVALUACION JURIDICA\"/>
    </mc:Choice>
  </mc:AlternateContent>
  <xr:revisionPtr revIDLastSave="0" documentId="8_{C06CA814-05CB-47F3-9CDC-731A565B0ECF}" xr6:coauthVersionLast="47" xr6:coauthVersionMax="47" xr10:uidLastSave="{00000000-0000-0000-0000-000000000000}"/>
  <bookViews>
    <workbookView xWindow="-120" yWindow="-120" windowWidth="20730" windowHeight="11040" xr2:uid="{4D190DEC-62E9-43BF-8643-1340CE86A086}"/>
  </bookViews>
  <sheets>
    <sheet name="Hoja1" sheetId="1" r:id="rId1"/>
    <sheet name="Hoja2"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2" l="1"/>
  <c r="C7" i="2"/>
  <c r="F20" i="1"/>
  <c r="H13" i="2"/>
  <c r="B21" i="2"/>
  <c r="B18" i="2"/>
  <c r="B14" i="2"/>
  <c r="F44" i="1"/>
  <c r="C44" i="1"/>
  <c r="B13" i="2" s="1"/>
  <c r="E23" i="2"/>
  <c r="E22" i="2"/>
  <c r="E21" i="2"/>
  <c r="B20" i="2"/>
  <c r="B17" i="2"/>
  <c r="F14" i="1"/>
  <c r="F21" i="1"/>
  <c r="F15" i="1"/>
  <c r="F16" i="1"/>
  <c r="F17" i="1"/>
  <c r="F18" i="1"/>
  <c r="C36" i="1"/>
  <c r="C35" i="1" s="1"/>
  <c r="F13" i="2" s="1"/>
  <c r="I24" i="1"/>
  <c r="E73" i="1"/>
  <c r="E74" i="1" s="1"/>
  <c r="E12" i="1" s="1"/>
  <c r="E60" i="1" s="1"/>
  <c r="D73" i="1"/>
  <c r="D74" i="1" s="1"/>
  <c r="D12" i="1" s="1"/>
  <c r="F12" i="1" s="1"/>
  <c r="C73" i="1"/>
  <c r="C74" i="1" s="1"/>
  <c r="F69" i="1"/>
  <c r="E69" i="1"/>
  <c r="C67" i="1"/>
  <c r="B48" i="1"/>
  <c r="E42" i="1"/>
  <c r="D42" i="1"/>
  <c r="D41" i="1" s="1"/>
  <c r="C42" i="1"/>
  <c r="C41" i="1" s="1"/>
  <c r="E41" i="1"/>
  <c r="B41" i="1"/>
  <c r="E40" i="1"/>
  <c r="E39" i="1" s="1"/>
  <c r="D40" i="1"/>
  <c r="D39" i="1" s="1"/>
  <c r="C40" i="1"/>
  <c r="C39" i="1" s="1"/>
  <c r="G13" i="2" s="1"/>
  <c r="B39" i="1"/>
  <c r="E36" i="1"/>
  <c r="D36" i="1"/>
  <c r="B36" i="1"/>
  <c r="B35" i="1"/>
  <c r="E34" i="1"/>
  <c r="E33" i="1" s="1"/>
  <c r="D34" i="1"/>
  <c r="D33" i="1" s="1"/>
  <c r="C34" i="1"/>
  <c r="C33" i="1" s="1"/>
  <c r="E13" i="2" s="1"/>
  <c r="B33" i="1"/>
  <c r="E32" i="1"/>
  <c r="E31" i="1" s="1"/>
  <c r="D32" i="1"/>
  <c r="D31" i="1" s="1"/>
  <c r="C32" i="1"/>
  <c r="C31" i="1" s="1"/>
  <c r="D13" i="2" s="1"/>
  <c r="B31" i="1"/>
  <c r="E30" i="1"/>
  <c r="E29" i="1" s="1"/>
  <c r="D30" i="1"/>
  <c r="D29" i="1" s="1"/>
  <c r="C30" i="1"/>
  <c r="C29" i="1"/>
  <c r="C13" i="2" s="1"/>
  <c r="B29" i="1"/>
  <c r="F24" i="1"/>
  <c r="E24" i="1"/>
  <c r="E35" i="1" s="1"/>
  <c r="D24" i="1"/>
  <c r="C24" i="1"/>
  <c r="E23" i="1"/>
  <c r="D23" i="1"/>
  <c r="C23" i="1"/>
  <c r="E22" i="1"/>
  <c r="D22" i="1"/>
  <c r="C22" i="1"/>
  <c r="E19" i="1"/>
  <c r="D19" i="1"/>
  <c r="C19" i="1"/>
  <c r="D35" i="1" l="1"/>
  <c r="C12" i="1"/>
  <c r="I13" i="2" s="1"/>
  <c r="F40" i="1"/>
  <c r="F39" i="1" s="1"/>
  <c r="G14" i="2" s="1"/>
  <c r="F19" i="1"/>
  <c r="F36" i="1"/>
  <c r="F35" i="1" s="1"/>
  <c r="F14" i="2" s="1"/>
  <c r="F32" i="1"/>
  <c r="F31" i="1" s="1"/>
  <c r="D14" i="2" s="1"/>
  <c r="C43" i="1"/>
  <c r="J13" i="2" s="1"/>
  <c r="F22" i="1"/>
  <c r="F30" i="1"/>
  <c r="F29" i="1" s="1"/>
  <c r="C14" i="2" s="1"/>
  <c r="D43" i="1"/>
  <c r="D60" i="1"/>
  <c r="I14" i="2"/>
  <c r="E43" i="1"/>
  <c r="F42" i="1"/>
  <c r="F41" i="1" s="1"/>
  <c r="H14" i="2" s="1"/>
  <c r="F23" i="1"/>
  <c r="F34" i="1"/>
  <c r="F33" i="1" s="1"/>
  <c r="E14" i="2" s="1"/>
  <c r="C60" i="1" l="1"/>
  <c r="F60" i="1" s="1"/>
  <c r="F43" i="1"/>
  <c r="B45" i="1" l="1"/>
  <c r="J14" i="2"/>
</calcChain>
</file>

<file path=xl/sharedStrings.xml><?xml version="1.0" encoding="utf-8"?>
<sst xmlns="http://schemas.openxmlformats.org/spreadsheetml/2006/main" count="94" uniqueCount="82">
  <si>
    <t>CONCURSO DE MÉRITOS ABIERTO</t>
  </si>
  <si>
    <t>OBJETO: REALIZAR LA INTERVENTORIA TECNICA, ADMINISTRATIVA, LEGAL, FINANCIERA, SOCIAL, AMBIENTALY SST PARA EL CONTRATO DE OBRA PÙBLICA RESULTANTE DEL PROCESO DE LICITACION PUBLICA FDLT-LP-220-2024 cuyo objeto es "EJECUTAR A MONTO AGOTABLE POR EL SISTEMA DE PRECIOS UNITARIOS, LA CONSTRUCCIÓN DE MALLA VIAL Y OBRAS COMPLEMENTARIAS EN LA LOCALIDAD DE TUNJUELITO DE LA CIUDAD DE BOGOTÁ D.C.</t>
  </si>
  <si>
    <t>CONCEPTO</t>
  </si>
  <si>
    <t>BALANCE GENERAL CON CORTE A 31 DE DICIEMBRE DEL AÑO: 2021, 2022 o 2023</t>
  </si>
  <si>
    <t>31-DIC.-2023 RUP</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</si>
  <si>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</si>
  <si>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</si>
  <si>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</si>
  <si>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</si>
  <si>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</si>
  <si>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</si>
  <si>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</si>
  <si>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</si>
  <si>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</si>
  <si>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</si>
  <si>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0"/>
        <rFont val="Garamond"/>
        <family val="1"/>
      </rPr>
      <t>Utilidad Operacional / Patrimonio</t>
    </r>
  </si>
  <si>
    <t>Datos para validación financiera</t>
  </si>
  <si>
    <r>
      <t xml:space="preserve">Rentabilidad del Activo = </t>
    </r>
    <r>
      <rPr>
        <sz val="10"/>
        <rFont val="Garamond"/>
        <family val="1"/>
      </rPr>
      <t xml:space="preserve">Utilidad Operacional / Activo Total </t>
    </r>
  </si>
  <si>
    <t>MiPyME</t>
  </si>
  <si>
    <t>No MiPyME
(Gran Empresa)</t>
  </si>
  <si>
    <t>VALOR DEL PRESUPUESTO OFICIAL</t>
  </si>
  <si>
    <t>CRITERIO DE VERIFICACIÓN FINANCIERA</t>
  </si>
  <si>
    <t>CUMPLE</t>
  </si>
  <si>
    <t>NO CUMPLE</t>
  </si>
  <si>
    <t>Activo corriente / Pasivo corriente</t>
  </si>
  <si>
    <t>(Pasivo total / Activo total)*100</t>
  </si>
  <si>
    <t>RC= (Utilidad Operacional) / (Gastos de Intereses)</t>
  </si>
  <si>
    <t>CRITERIO DE VERIFICACIÓN CAPACIDAD ORGANIZACIONAL</t>
  </si>
  <si>
    <t>Según Pliego Tipo</t>
  </si>
  <si>
    <r>
      <t>RP</t>
    </r>
    <r>
      <rPr>
        <b/>
        <sz val="10"/>
        <rFont val="Garamond"/>
        <family val="1"/>
      </rPr>
      <t xml:space="preserve">  </t>
    </r>
    <r>
      <rPr>
        <sz val="10"/>
        <rFont val="Garamond"/>
        <family val="1"/>
      </rPr>
      <t xml:space="preserve">= (Utilidad Operacional / Patrimonio)    </t>
    </r>
  </si>
  <si>
    <t xml:space="preserve">RA   = (Utilidad Operacional / Activo Total) </t>
  </si>
  <si>
    <t>CUMPLIMIENTO REQUISITOS HABILITANTES</t>
  </si>
  <si>
    <t>PROPONENTE</t>
  </si>
  <si>
    <t>Evaluadores</t>
  </si>
  <si>
    <t>Fecha de elaboración (preliminar):</t>
  </si>
  <si>
    <t>Maribel Gómez Rodriguez</t>
  </si>
  <si>
    <t>Fecha de verificación defiitiva:</t>
  </si>
  <si>
    <t>Profesional Área de Presupuesto (E) - FDL Tunjuelito</t>
  </si>
  <si>
    <t>Comité Evaluador Financiero</t>
  </si>
  <si>
    <t>OBSERVACIONES:</t>
  </si>
  <si>
    <t>Verificaciones efectuadas por el(los) miembro(s) del Comité Evaluador:</t>
  </si>
  <si>
    <t>Fecha de elaboración:</t>
  </si>
  <si>
    <t>B</t>
  </si>
  <si>
    <t>Fecha de expedición RUP:</t>
  </si>
  <si>
    <t>Fecha de última renovación en el registro de los proponentes:</t>
  </si>
  <si>
    <t>Fecha de cierre del proceso:</t>
  </si>
  <si>
    <t>Días (calend.) transcurridos entre exped. RUP y cierre del proceso:</t>
  </si>
  <si>
    <t>CLASIFICACIÓN POR TAMAÑO DE LA EMPRESA:</t>
  </si>
  <si>
    <t>Tratándose de Proponentes Plurales estos indicadores solo se aplicarán si por lo menos uno de los inte_x0002_grantes acredita la calidad de Mipyme de conformidad con lo previsto en el artículo 2.2.1.2.4.2.4. del Decreto 
1082 de 2015, o la normas que los modifiquen, sustituyan o complementen, y tienen una participación igual 
o superior al diez por ciento (10 %) en el Consorcio o en la Unión Temporal.</t>
  </si>
  <si>
    <t xml:space="preserve">Nota 1: Para aquellos procesos de selección en los que el plazo estimado de ejecución del contrato sea mayor o igual a 12 meses se solicitará que los proponentes acrediten un capital de trabajo equivalente a dos (2) meses de ejecución del contrato </t>
  </si>
  <si>
    <t>CONSULTORIAS, INVERSIONES Y PROYECTOS SOCIEDAD POR ACCIONES SIMPLIFICADA</t>
  </si>
  <si>
    <t xml:space="preserve">NOTA: La fecha de corte de la información financiera registrada en el RUP debe ser 31/12/2023, de acuerdo a lo establecido en el pliego definitivo de condiciones del proceso   Concurso de Méritos Abierto No. FDLT-CMA-355-2024 (121355)
</t>
  </si>
  <si>
    <t>A</t>
  </si>
  <si>
    <t>GUSTAVO PALACIOS RUBIANO</t>
  </si>
  <si>
    <t>PROYECTOS DE INGENIERIA PBS S.A.S</t>
  </si>
  <si>
    <t>OBJETO: REALIZAR LOS ESTUDIOS Y DISEÑOS PARA LA CONSTRUCCIÓN DE PARQUES DE PROXIMIDAD EN LA LOCALIDAD DE TUNJUELITO”</t>
  </si>
  <si>
    <t>CONSORCIO ARQINGCO</t>
  </si>
  <si>
    <t>Alcaldía de Bogotá D.C.</t>
  </si>
  <si>
    <t>Secretaría Distrital de Gobierno</t>
  </si>
  <si>
    <t>Alcaldía Local de Tunjuelito</t>
  </si>
  <si>
    <t>Presupuesto Oficial del Proceso</t>
  </si>
  <si>
    <t>EVALUACION FINANCIERA 281-2024 CONSOLIDADA (1)</t>
  </si>
  <si>
    <t>Fecha corte Información Financiera</t>
  </si>
  <si>
    <t>Fecha cierre del proceso de selección</t>
  </si>
  <si>
    <t>VERIFICACIóN DE LOS INDICADORES</t>
  </si>
  <si>
    <t>RUP</t>
  </si>
  <si>
    <t>RESULTADO FINANCIERO</t>
  </si>
  <si>
    <t>OBSERVACIONES</t>
  </si>
  <si>
    <t>NO. Del Proponente</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</si>
  <si>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</si>
  <si>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</si>
  <si>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</si>
  <si>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</si>
  <si>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</si>
  <si>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</si>
  <si>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</si>
  <si>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VIGENTE; EN FIRME Y 30 DÍAS ANTERIORES</t>
  </si>
  <si>
    <t>HOJA</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</si>
  <si>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</si>
  <si>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Nota 2: Se solicitará para aquellos procesos de selección en los que el plazo estimado de ejecución del contrato sea mayor o igual a 24 meses y se calculará conforme a la formula definida de acuerdo con el plazo estimado de ejecución de cada proceso</t>
  </si>
  <si>
    <t xml:space="preserve">PROPONENTE 2. </t>
  </si>
  <si>
    <t>PROPONENTE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</si>
</sst>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1" formatCode="_-* #,##0_-;\-* #,##0_-;_-* &quot;-&quot;_-;_-@_-"/>
    <numFmt numFmtId="164" formatCode="0.000"/>
    <numFmt numFmtId="165" formatCode="0.0"/>
    <numFmt numFmtId="166" formatCode="0\ &quot;meses&quot;"/>
    <numFmt numFmtId="167" formatCode="[$-F800]dddd\,\ mmmm\ dd\,\ yyyy"/>
    <numFmt numFmtId="168" formatCode="[$-C0A]dd\-mmm\-yy;@"/>
    <numFmt numFmtId="169" formatCode="0\ &quot;días&quot;"/>
    <numFmt numFmtId="170" formatCode="##\ &quot;días&quot;"/>
    <numFmt numFmtId="171" formatCode="&quot;$&quot;\ #,##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0"/>
      <name val="Garamond"/>
      <family val="1"/>
    </font>
    <font>
      <b/>
      <sz val="10"/>
      <name val="Garamond"/>
      <family val="1"/>
    </font>
    <font>
      <b/>
      <sz val="12"/>
      <name val="Garamond"/>
      <family val="1"/>
    </font>
    <font>
      <sz val="12"/>
      <color rgb="FF000000"/>
      <name val="Calibri"/>
      <family val="2"/>
    </font>
    <font>
      <b/>
      <sz val="11"/>
      <name val="Garamond"/>
      <family val="1"/>
    </font>
    <font>
      <sz val="10"/>
      <color rgb="FFFF0000"/>
      <name val="Garamond"/>
      <family val="1"/>
    </font>
    <font>
      <b/>
      <sz val="12"/>
      <color theme="1"/>
      <name val="Garamond"/>
      <family val="1"/>
    </font>
    <font>
      <sz val="10"/>
      <color theme="1"/>
      <name val="Garamond"/>
      <family val="1"/>
    </font>
    <font>
      <b/>
      <sz val="10"/>
      <color theme="0"/>
      <name val="Garamond"/>
      <family val="1"/>
    </font>
    <font>
      <b/>
      <sz val="10"/>
      <color theme="1"/>
      <name val="Garamond"/>
      <family val="1"/>
    </font>
    <font>
      <sz val="11"/>
      <name val="Garamond"/>
      <family val="1"/>
    </font>
    <font>
      <sz val="10"/>
      <color theme="0"/>
      <name val="Garamond"/>
      <family val="1"/>
    </font>
    <font>
      <sz val="12"/>
      <color theme="1"/>
      <name val="Calibri"/>
      <family val="2"/>
      <scheme val="minor"/>
    </font>
    <font>
      <b/>
      <sz val="14"/>
      <name val="Garamond"/>
      <family val="1"/>
    </font>
    <font>
      <sz val="12"/>
      <name val="Garamond"/>
      <family val="1"/>
    </font>
    <font>
      <b/>
      <sz val="10"/>
      <color rgb="FFFF0000"/>
      <name val="Garamond"/>
      <family val="1"/>
    </font>
    <font>
      <b/>
      <sz val="12"/>
      <color rgb="FFFF0000"/>
      <name val="Garamond"/>
      <family val="1"/>
    </font>
    <font>
      <i/>
      <sz val="10"/>
      <name val="Garamond"/>
      <family val="1"/>
    </font>
    <font>
      <sz val="8"/>
      <name val="Garamond"/>
      <family val="1"/>
    </font>
    <font>
      <sz val="10"/>
      <name val="Arial"/>
      <family val="2"/>
    </font>
    <font>
      <sz val="12"/>
      <name val="Arial"/>
      <family val="2"/>
    </font>
    <font>
      <sz val="7"/>
      <name val="Garamond"/>
      <family val="1"/>
    </font>
    <font>
      <sz val="10"/>
      <color theme="1"/>
      <name val="Calibri"/>
      <family val="2"/>
      <scheme val="minor"/>
    </font>
    <font>
      <b/>
      <sz val="14"/>
      <color theme="1"/>
      <name val="Tahoma"/>
      <family val="2"/>
    </font>
    <font>
      <sz val="14"/>
      <color theme="1"/>
      <name val="Tahoma"/>
      <family val="2"/>
    </font>
    <font>
      <b/>
      <sz val="10"/>
      <color theme="1"/>
      <name val="Tahoma"/>
      <family val="2"/>
    </font>
    <font>
      <sz val="10"/>
      <color theme="1"/>
      <name val="Tahoma"/>
      <family val="2"/>
    </font>
    <font>
      <b/>
      <sz val="14"/>
      <color theme="0"/>
      <name val="Tahoma"/>
      <family val="2"/>
    </font>
    <font>
      <b/>
      <sz val="12"/>
      <color theme="1"/>
      <name val="Tahoma"/>
      <family val="2"/>
    </font>
    <font>
      <b/>
      <sz val="11"/>
      <name val="Tahoma"/>
      <family val="2"/>
    </font>
    <font>
      <b/>
      <sz val="10"/>
      <color theme="0"/>
      <name val="Arial"/>
      <family val="2"/>
    </font>
    <font>
      <b/>
      <sz val="10"/>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rgb="FFE2F7FE"/>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1"/>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4" tint="-0.249977111117893"/>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auto="1"/>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indexed="64"/>
      </left>
      <right/>
      <top style="thin">
        <color indexed="64"/>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0" fontId="1" fillId="0" borderId="0"/>
  </cellStyleXfs>
  <cellXfs count="242">
    <xf numFmtId="0" fontId="0" fillId="0" borderId="0" xfId="0"/>
    <xf numFmtId="0" fontId="3" fillId="0" borderId="0" xfId="0" applyFont="1"/>
    <xf numFmtId="0" fontId="4" fillId="0" borderId="2" xfId="0" applyFont="1" applyBorder="1" applyAlignment="1">
      <alignment vertical="center" wrapText="1"/>
    </xf>
    <xf numFmtId="0" fontId="5" fillId="0" borderId="3" xfId="0" applyFont="1" applyBorder="1" applyAlignment="1">
      <alignment vertical="center" wrapText="1"/>
    </xf>
    <xf numFmtId="0" fontId="4" fillId="0" borderId="0" xfId="0" applyFont="1" applyAlignment="1">
      <alignment vertical="center" wrapText="1"/>
    </xf>
    <xf numFmtId="0" fontId="5" fillId="0" borderId="4" xfId="0" applyFont="1" applyBorder="1" applyAlignment="1">
      <alignment vertical="center" wrapText="1"/>
    </xf>
    <xf numFmtId="0" fontId="4" fillId="0" borderId="0" xfId="0" applyFont="1" applyAlignment="1">
      <alignment horizontal="centerContinuous" vertical="center" wrapText="1"/>
    </xf>
    <xf numFmtId="0" fontId="5" fillId="0" borderId="4" xfId="0" applyFont="1" applyBorder="1" applyAlignment="1">
      <alignment horizontal="centerContinuous" vertical="center" wrapText="1"/>
    </xf>
    <xf numFmtId="0" fontId="4" fillId="0" borderId="5" xfId="0" applyFont="1" applyBorder="1" applyAlignment="1">
      <alignment vertical="center" wrapText="1"/>
    </xf>
    <xf numFmtId="0" fontId="5" fillId="0" borderId="6" xfId="0" applyFont="1" applyBorder="1" applyAlignment="1">
      <alignment vertical="center" wrapText="1"/>
    </xf>
    <xf numFmtId="0" fontId="6" fillId="0" borderId="7" xfId="0" applyFont="1" applyBorder="1"/>
    <xf numFmtId="0" fontId="5" fillId="0" borderId="8" xfId="0" applyFont="1" applyBorder="1" applyAlignment="1">
      <alignment horizontal="centerContinuous" vertical="center"/>
    </xf>
    <xf numFmtId="0" fontId="7" fillId="0" borderId="8" xfId="0" applyFont="1" applyBorder="1" applyAlignment="1">
      <alignment horizontal="centerContinuous" vertical="center"/>
    </xf>
    <xf numFmtId="0" fontId="5" fillId="0" borderId="9" xfId="0" applyFont="1" applyBorder="1" applyAlignment="1">
      <alignment horizontal="centerContinuous" vertical="center"/>
    </xf>
    <xf numFmtId="6" fontId="3" fillId="0" borderId="0" xfId="0" applyNumberFormat="1" applyFont="1"/>
    <xf numFmtId="0" fontId="4" fillId="0" borderId="7" xfId="0" applyFont="1" applyBorder="1" applyAlignment="1">
      <alignment horizontal="center" vertical="center" wrapText="1"/>
    </xf>
    <xf numFmtId="0" fontId="8" fillId="0" borderId="0" xfId="0" applyFont="1"/>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3" fillId="0" borderId="0" xfId="0" applyFont="1" applyAlignment="1">
      <alignment vertical="center"/>
    </xf>
    <xf numFmtId="14" fontId="4" fillId="0" borderId="1" xfId="0" quotePrefix="1" applyNumberFormat="1" applyFont="1" applyBorder="1" applyAlignment="1">
      <alignment horizontal="center" vertical="center" wrapText="1"/>
    </xf>
    <xf numFmtId="9" fontId="4" fillId="2" borderId="1" xfId="0" applyNumberFormat="1" applyFont="1" applyFill="1" applyBorder="1" applyAlignment="1">
      <alignment horizontal="center" vertical="center" wrapText="1"/>
    </xf>
    <xf numFmtId="6" fontId="3" fillId="2" borderId="1" xfId="0" applyNumberFormat="1" applyFont="1" applyFill="1" applyBorder="1" applyAlignment="1">
      <alignment horizontal="center" vertical="center"/>
    </xf>
    <xf numFmtId="6" fontId="10" fillId="0" borderId="1" xfId="0" applyNumberFormat="1" applyFont="1" applyBorder="1" applyAlignment="1">
      <alignment horizontal="center" vertical="center"/>
    </xf>
    <xf numFmtId="6" fontId="10" fillId="2" borderId="1" xfId="0" applyNumberFormat="1" applyFont="1" applyFill="1" applyBorder="1" applyAlignment="1">
      <alignment horizontal="center" vertical="center"/>
    </xf>
    <xf numFmtId="2" fontId="10" fillId="0" borderId="1" xfId="1" applyNumberFormat="1" applyFont="1" applyFill="1" applyBorder="1" applyAlignment="1">
      <alignment horizontal="center" vertical="center"/>
    </xf>
    <xf numFmtId="0" fontId="3" fillId="0" borderId="1" xfId="0" applyFont="1" applyBorder="1" applyAlignment="1">
      <alignment horizontal="center" vertical="center" wrapText="1"/>
    </xf>
    <xf numFmtId="0" fontId="4" fillId="0" borderId="0" xfId="0" quotePrefix="1" applyFont="1" applyAlignment="1">
      <alignment horizontal="center" vertical="center"/>
    </xf>
    <xf numFmtId="6" fontId="5" fillId="0" borderId="1" xfId="0" applyNumberFormat="1" applyFont="1" applyBorder="1" applyAlignment="1">
      <alignment horizontal="center" vertical="center"/>
    </xf>
    <xf numFmtId="6" fontId="3" fillId="5" borderId="1" xfId="0" applyNumberFormat="1" applyFont="1" applyFill="1" applyBorder="1" applyAlignment="1">
      <alignment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6" borderId="1" xfId="0" applyFont="1" applyFill="1" applyBorder="1" applyAlignment="1">
      <alignment horizontal="center" vertical="center"/>
    </xf>
    <xf numFmtId="0" fontId="11" fillId="0" borderId="7" xfId="0" applyFont="1" applyBorder="1" applyAlignment="1">
      <alignment horizontal="center" vertical="center"/>
    </xf>
    <xf numFmtId="0" fontId="4" fillId="0" borderId="8" xfId="0" applyFont="1" applyBorder="1" applyAlignment="1">
      <alignment horizontal="left" vertical="center"/>
    </xf>
    <xf numFmtId="4" fontId="12" fillId="0" borderId="1" xfId="0" applyNumberFormat="1" applyFont="1" applyBorder="1" applyAlignment="1">
      <alignment horizontal="center" vertical="center"/>
    </xf>
    <xf numFmtId="2" fontId="13"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4" fontId="4" fillId="0" borderId="1" xfId="0" applyNumberFormat="1" applyFont="1" applyBorder="1" applyAlignment="1">
      <alignment horizontal="center" vertical="center"/>
    </xf>
    <xf numFmtId="9" fontId="13" fillId="0" borderId="1" xfId="0" applyNumberFormat="1" applyFont="1" applyBorder="1" applyAlignment="1">
      <alignment horizontal="center" vertical="center"/>
    </xf>
    <xf numFmtId="164" fontId="3" fillId="0" borderId="1" xfId="1" applyNumberFormat="1" applyFont="1" applyFill="1" applyBorder="1" applyAlignment="1">
      <alignment horizontal="center" vertical="center"/>
    </xf>
    <xf numFmtId="165" fontId="1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0" fontId="3" fillId="0" borderId="1" xfId="0" applyNumberFormat="1" applyFont="1" applyBorder="1" applyAlignment="1">
      <alignment horizontal="center" vertical="center"/>
    </xf>
    <xf numFmtId="41" fontId="3" fillId="0" borderId="0" xfId="0" applyNumberFormat="1" applyFont="1" applyAlignment="1">
      <alignment vertical="center"/>
    </xf>
    <xf numFmtId="6" fontId="3"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0" fontId="14" fillId="0" borderId="0" xfId="0" quotePrefix="1" applyFont="1" applyAlignment="1">
      <alignment horizontal="left" vertical="center"/>
    </xf>
    <xf numFmtId="0" fontId="4" fillId="0" borderId="1" xfId="0" applyFont="1" applyBorder="1" applyAlignment="1">
      <alignment horizontal="center" vertical="center"/>
    </xf>
    <xf numFmtId="0" fontId="15" fillId="0" borderId="0" xfId="0" applyFont="1"/>
    <xf numFmtId="9" fontId="3" fillId="0" borderId="1" xfId="1" applyFont="1" applyFill="1" applyBorder="1" applyAlignment="1">
      <alignment horizontal="center" vertical="center"/>
    </xf>
    <xf numFmtId="0" fontId="3" fillId="0" borderId="10" xfId="0" applyFont="1" applyBorder="1" applyAlignment="1">
      <alignment horizontal="center" vertical="center" wrapText="1"/>
    </xf>
    <xf numFmtId="0" fontId="3" fillId="0" borderId="0" xfId="0" applyFont="1" applyAlignment="1">
      <alignment horizontal="center" vertical="center" wrapText="1"/>
    </xf>
    <xf numFmtId="0" fontId="17" fillId="0" borderId="4" xfId="0" applyFont="1" applyBorder="1" applyAlignment="1">
      <alignment horizontal="center" vertical="center" wrapText="1"/>
    </xf>
    <xf numFmtId="167" fontId="5" fillId="2" borderId="10" xfId="0" applyNumberFormat="1" applyFont="1" applyFill="1" applyBorder="1" applyAlignment="1">
      <alignment horizontal="right" vertical="center" wrapText="1"/>
    </xf>
    <xf numFmtId="0" fontId="3" fillId="0" borderId="10" xfId="0" applyFont="1" applyBorder="1" applyAlignment="1">
      <alignment horizontal="left" vertical="center" indent="2"/>
    </xf>
    <xf numFmtId="0" fontId="17" fillId="0" borderId="4" xfId="0" applyFont="1" applyBorder="1" applyAlignment="1">
      <alignment vertical="center"/>
    </xf>
    <xf numFmtId="0" fontId="4" fillId="0" borderId="10" xfId="0" quotePrefix="1" applyFont="1" applyBorder="1" applyAlignment="1">
      <alignment horizontal="center" vertical="center"/>
    </xf>
    <xf numFmtId="167" fontId="5" fillId="0" borderId="10" xfId="0" applyNumberFormat="1" applyFont="1" applyBorder="1" applyAlignment="1">
      <alignment horizontal="right" vertical="center" wrapText="1"/>
    </xf>
    <xf numFmtId="167" fontId="4" fillId="0" borderId="10" xfId="0" quotePrefix="1" applyNumberFormat="1" applyFont="1" applyBorder="1" applyAlignment="1">
      <alignment horizontal="right"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4" fillId="0" borderId="0" xfId="0" applyFont="1" applyAlignment="1">
      <alignment vertical="top" wrapText="1"/>
    </xf>
    <xf numFmtId="0" fontId="3" fillId="0" borderId="0" xfId="0" quotePrefix="1" applyFont="1" applyAlignment="1">
      <alignment horizontal="center" vertical="center"/>
    </xf>
    <xf numFmtId="0" fontId="17" fillId="0" borderId="4" xfId="0" quotePrefix="1" applyFont="1" applyBorder="1" applyAlignment="1">
      <alignment horizontal="center" vertical="center"/>
    </xf>
    <xf numFmtId="0" fontId="17" fillId="0" borderId="0" xfId="0" quotePrefix="1" applyFont="1" applyAlignment="1">
      <alignment horizontal="center" vertical="center"/>
    </xf>
    <xf numFmtId="0" fontId="4" fillId="0" borderId="0" xfId="0" applyFont="1" applyAlignment="1">
      <alignment vertical="top"/>
    </xf>
    <xf numFmtId="0" fontId="5" fillId="0" borderId="4" xfId="0" applyFont="1" applyBorder="1" applyAlignment="1">
      <alignment vertical="top"/>
    </xf>
    <xf numFmtId="0" fontId="4" fillId="0" borderId="0" xfId="0" quotePrefix="1" applyFont="1" applyAlignment="1">
      <alignment horizontal="center" vertical="center" wrapText="1"/>
    </xf>
    <xf numFmtId="0" fontId="3" fillId="0" borderId="0" xfId="0" applyFont="1" applyAlignment="1">
      <alignment vertical="top" wrapText="1"/>
    </xf>
    <xf numFmtId="0" fontId="14" fillId="0" borderId="1" xfId="0" applyFont="1" applyBorder="1" applyAlignment="1">
      <alignment wrapText="1"/>
    </xf>
    <xf numFmtId="0" fontId="17" fillId="0" borderId="1" xfId="0" applyFont="1" applyBorder="1" applyAlignment="1">
      <alignment wrapText="1"/>
    </xf>
    <xf numFmtId="0" fontId="18" fillId="0" borderId="10" xfId="0" applyFont="1" applyBorder="1"/>
    <xf numFmtId="0" fontId="18" fillId="0" borderId="0" xfId="0" applyFont="1"/>
    <xf numFmtId="0" fontId="19" fillId="0" borderId="4" xfId="0" applyFont="1" applyBorder="1"/>
    <xf numFmtId="0" fontId="3" fillId="0" borderId="10" xfId="0" applyFont="1" applyBorder="1"/>
    <xf numFmtId="0" fontId="17" fillId="0" borderId="4" xfId="0" applyFont="1" applyBorder="1"/>
    <xf numFmtId="0" fontId="4" fillId="0" borderId="11" xfId="0" quotePrefix="1" applyFont="1" applyBorder="1" applyAlignment="1">
      <alignment horizontal="left"/>
    </xf>
    <xf numFmtId="0" fontId="3" fillId="0" borderId="2" xfId="0" applyFont="1" applyBorder="1"/>
    <xf numFmtId="0" fontId="17" fillId="0" borderId="3" xfId="0" applyFont="1" applyBorder="1"/>
    <xf numFmtId="168" fontId="3" fillId="0" borderId="0" xfId="0" applyNumberFormat="1" applyFont="1" applyAlignment="1">
      <alignment horizontal="center"/>
    </xf>
    <xf numFmtId="0" fontId="3" fillId="0" borderId="10" xfId="0" applyFont="1" applyBorder="1" applyAlignment="1">
      <alignment horizontal="center"/>
    </xf>
    <xf numFmtId="0" fontId="3" fillId="0" borderId="0" xfId="0" applyFont="1" applyAlignment="1">
      <alignment horizontal="center"/>
    </xf>
    <xf numFmtId="0" fontId="3" fillId="0" borderId="10" xfId="0" quotePrefix="1" applyFont="1" applyBorder="1" applyAlignment="1">
      <alignment horizontal="left"/>
    </xf>
    <xf numFmtId="168" fontId="3" fillId="2" borderId="0" xfId="0" applyNumberFormat="1" applyFont="1" applyFill="1" applyAlignment="1">
      <alignment horizontal="center"/>
    </xf>
    <xf numFmtId="14" fontId="3" fillId="0" borderId="0" xfId="0" applyNumberFormat="1" applyFont="1"/>
    <xf numFmtId="168" fontId="4" fillId="0" borderId="0" xfId="0" applyNumberFormat="1" applyFont="1" applyAlignment="1">
      <alignment horizontal="center"/>
    </xf>
    <xf numFmtId="169" fontId="3" fillId="0" borderId="0" xfId="0" applyNumberFormat="1" applyFont="1" applyAlignment="1">
      <alignment horizontal="center"/>
    </xf>
    <xf numFmtId="169" fontId="20" fillId="0" borderId="10" xfId="0" applyNumberFormat="1" applyFont="1" applyBorder="1" applyAlignment="1">
      <alignment horizontal="center"/>
    </xf>
    <xf numFmtId="170" fontId="3" fillId="0" borderId="0" xfId="0" applyNumberFormat="1" applyFont="1" applyAlignment="1">
      <alignment horizontal="center"/>
    </xf>
    <xf numFmtId="0" fontId="17" fillId="0" borderId="0" xfId="0" applyFont="1" applyAlignment="1">
      <alignment wrapText="1"/>
    </xf>
    <xf numFmtId="0" fontId="3" fillId="0" borderId="10" xfId="0" quotePrefix="1" applyFont="1" applyBorder="1" applyAlignment="1">
      <alignment horizontal="left" vertical="center" wrapText="1"/>
    </xf>
    <xf numFmtId="0" fontId="3" fillId="2" borderId="0" xfId="0" quotePrefix="1" applyFont="1" applyFill="1" applyAlignment="1">
      <alignment horizontal="center" vertical="center" wrapText="1"/>
    </xf>
    <xf numFmtId="0" fontId="17" fillId="2" borderId="4" xfId="0" quotePrefix="1" applyFont="1" applyFill="1" applyBorder="1" applyAlignment="1">
      <alignment horizontal="center" vertical="center" wrapText="1"/>
    </xf>
    <xf numFmtId="0" fontId="3" fillId="0" borderId="12" xfId="0" applyFont="1" applyBorder="1"/>
    <xf numFmtId="0" fontId="3" fillId="0" borderId="5" xfId="0" applyFont="1" applyBorder="1" applyAlignment="1">
      <alignment vertical="top" wrapText="1"/>
    </xf>
    <xf numFmtId="0" fontId="17" fillId="0" borderId="6" xfId="0" applyFont="1" applyBorder="1" applyAlignment="1">
      <alignment vertical="top" wrapText="1"/>
    </xf>
    <xf numFmtId="0" fontId="22" fillId="0" borderId="12" xfId="0" applyFont="1" applyBorder="1"/>
    <xf numFmtId="0" fontId="22" fillId="0" borderId="5" xfId="0" applyFont="1" applyBorder="1"/>
    <xf numFmtId="0" fontId="23" fillId="0" borderId="6" xfId="0" applyFont="1" applyBorder="1"/>
    <xf numFmtId="0" fontId="22" fillId="0" borderId="0" xfId="0" applyFont="1"/>
    <xf numFmtId="0" fontId="23" fillId="0" borderId="0" xfId="0" applyFont="1"/>
    <xf numFmtId="0" fontId="25" fillId="7" borderId="0" xfId="2" applyFont="1" applyFill="1"/>
    <xf numFmtId="0" fontId="0" fillId="7" borderId="0" xfId="0" applyFill="1"/>
    <xf numFmtId="0" fontId="33" fillId="10" borderId="14" xfId="2" applyFont="1" applyFill="1" applyBorder="1" applyAlignment="1">
      <alignment horizontal="center" vertical="center" wrapText="1"/>
    </xf>
    <xf numFmtId="0" fontId="33" fillId="10" borderId="1" xfId="2" applyFont="1" applyFill="1" applyBorder="1" applyAlignment="1">
      <alignment horizontal="center" vertical="center" wrapText="1"/>
    </xf>
    <xf numFmtId="0" fontId="33" fillId="10" borderId="1" xfId="2" quotePrefix="1" applyFont="1" applyFill="1" applyBorder="1" applyAlignment="1">
      <alignment horizontal="center" vertical="center" wrapText="1"/>
    </xf>
    <xf numFmtId="0" fontId="34" fillId="0" borderId="1" xfId="2" applyFont="1" applyBorder="1"/>
    <xf numFmtId="0" fontId="28" fillId="0" borderId="1" xfId="2" applyFont="1" applyBorder="1" applyAlignment="1">
      <alignment horizontal="center" vertical="center" wrapText="1"/>
    </xf>
    <xf numFmtId="0" fontId="28" fillId="0" borderId="15" xfId="2" applyFont="1" applyBorder="1" applyAlignment="1">
      <alignment horizontal="center" vertical="center" wrapText="1"/>
    </xf>
    <xf numFmtId="0" fontId="34" fillId="0" borderId="1" xfId="2" applyFont="1" applyBorder="1" applyAlignment="1">
      <alignment horizontal="center" vertical="center" wrapText="1"/>
    </xf>
    <xf numFmtId="0" fontId="28" fillId="0" borderId="9" xfId="2" applyFont="1" applyBorder="1" applyAlignment="1">
      <alignment horizontal="center" vertical="center" wrapText="1"/>
    </xf>
    <xf numFmtId="0" fontId="25" fillId="0" borderId="0" xfId="2" applyFont="1"/>
    <xf numFmtId="0" fontId="4" fillId="0" borderId="4" xfId="0" applyFont="1" applyBorder="1" applyAlignment="1">
      <alignment horizontal="center" vertical="center"/>
    </xf>
    <xf numFmtId="0" fontId="25" fillId="0" borderId="0" xfId="2" applyFont="1" applyAlignment="1">
      <alignment horizontal="center"/>
    </xf>
    <xf numFmtId="0" fontId="3" fillId="0" borderId="4" xfId="0" quotePrefix="1" applyFont="1" applyBorder="1" applyAlignment="1">
      <alignment horizontal="center" vertical="center"/>
    </xf>
    <xf numFmtId="0" fontId="4" fillId="2" borderId="14" xfId="0" quotePrefix="1"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7" xfId="0" quotePrefix="1" applyFont="1" applyBorder="1" applyAlignment="1">
      <alignment horizontal="left" vertical="center" wrapText="1"/>
    </xf>
    <xf numFmtId="0" fontId="5" fillId="0" borderId="7" xfId="0" applyFont="1" applyBorder="1" applyAlignment="1">
      <alignment horizontal="left" vertical="center" wrapText="1"/>
    </xf>
    <xf numFmtId="0" fontId="4" fillId="6" borderId="7" xfId="0" applyFont="1" applyFill="1" applyBorder="1" applyAlignment="1">
      <alignment horizontal="center" vertical="center"/>
    </xf>
    <xf numFmtId="0" fontId="3" fillId="0" borderId="7" xfId="0" applyFont="1" applyBorder="1" applyAlignment="1">
      <alignment horizontal="left" vertical="center" wrapText="1"/>
    </xf>
    <xf numFmtId="0" fontId="3" fillId="0" borderId="7" xfId="0" applyFont="1" applyBorder="1" applyAlignment="1">
      <alignment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2" fillId="0" borderId="16" xfId="0" applyFont="1" applyBorder="1" applyAlignment="1">
      <alignment horizontal="center" vertical="center"/>
    </xf>
    <xf numFmtId="0" fontId="5" fillId="3" borderId="20" xfId="0" applyFont="1" applyFill="1" applyBorder="1" applyAlignment="1">
      <alignment horizontal="center" vertical="center" wrapText="1"/>
    </xf>
    <xf numFmtId="0" fontId="9" fillId="4" borderId="21" xfId="0" applyFont="1" applyFill="1" applyBorder="1" applyAlignment="1">
      <alignment horizontal="center" vertical="center" wrapText="1"/>
    </xf>
    <xf numFmtId="14" fontId="4" fillId="0" borderId="21" xfId="0" quotePrefix="1" applyNumberFormat="1" applyFont="1" applyBorder="1" applyAlignment="1">
      <alignment horizontal="center" vertical="center" wrapText="1"/>
    </xf>
    <xf numFmtId="0" fontId="4" fillId="0" borderId="21" xfId="0" applyFont="1" applyBorder="1" applyAlignment="1">
      <alignment horizontal="center" vertical="center" wrapText="1"/>
    </xf>
    <xf numFmtId="9" fontId="4" fillId="2" borderId="21" xfId="0" applyNumberFormat="1" applyFont="1" applyFill="1" applyBorder="1" applyAlignment="1">
      <alignment horizontal="center" vertical="center" wrapText="1"/>
    </xf>
    <xf numFmtId="6" fontId="3" fillId="2" borderId="21" xfId="0" applyNumberFormat="1" applyFont="1" applyFill="1" applyBorder="1" applyAlignment="1">
      <alignment horizontal="center" vertical="center"/>
    </xf>
    <xf numFmtId="6" fontId="10" fillId="0" borderId="21" xfId="0" applyNumberFormat="1" applyFont="1" applyBorder="1" applyAlignment="1">
      <alignment horizontal="center" vertical="center"/>
    </xf>
    <xf numFmtId="6" fontId="10" fillId="2" borderId="21" xfId="0" applyNumberFormat="1" applyFont="1" applyFill="1" applyBorder="1" applyAlignment="1">
      <alignment horizontal="center" vertical="center"/>
    </xf>
    <xf numFmtId="2" fontId="10" fillId="0" borderId="21" xfId="1" applyNumberFormat="1" applyFont="1" applyFill="1" applyBorder="1" applyAlignment="1">
      <alignment horizontal="center" vertical="center"/>
    </xf>
    <xf numFmtId="6" fontId="5" fillId="0" borderId="21" xfId="0" applyNumberFormat="1" applyFont="1" applyBorder="1" applyAlignment="1">
      <alignment horizontal="center" vertical="center"/>
    </xf>
    <xf numFmtId="0" fontId="4" fillId="2" borderId="21" xfId="0" applyFont="1" applyFill="1" applyBorder="1" applyAlignment="1">
      <alignment horizontal="center" vertical="center"/>
    </xf>
    <xf numFmtId="0" fontId="4" fillId="6" borderId="21" xfId="0" applyFont="1" applyFill="1" applyBorder="1" applyAlignment="1">
      <alignment horizontal="center" vertical="center"/>
    </xf>
    <xf numFmtId="0" fontId="4" fillId="0" borderId="21" xfId="0" applyFont="1" applyBorder="1" applyAlignment="1">
      <alignment horizontal="left" vertical="center"/>
    </xf>
    <xf numFmtId="4" fontId="12" fillId="0" borderId="21" xfId="0" applyNumberFormat="1" applyFont="1" applyBorder="1" applyAlignment="1">
      <alignment horizontal="center" vertical="center"/>
    </xf>
    <xf numFmtId="164" fontId="10" fillId="0" borderId="21" xfId="0" applyNumberFormat="1" applyFont="1" applyBorder="1" applyAlignment="1">
      <alignment horizontal="center" vertical="center"/>
    </xf>
    <xf numFmtId="4" fontId="4" fillId="0" borderId="21" xfId="0" applyNumberFormat="1" applyFont="1" applyBorder="1" applyAlignment="1">
      <alignment horizontal="center" vertical="center"/>
    </xf>
    <xf numFmtId="164" fontId="3" fillId="0" borderId="21" xfId="1" applyNumberFormat="1" applyFont="1" applyFill="1" applyBorder="1" applyAlignment="1">
      <alignment horizontal="center" vertical="center"/>
    </xf>
    <xf numFmtId="164" fontId="3" fillId="0" borderId="21" xfId="0" applyNumberFormat="1" applyFont="1" applyBorder="1" applyAlignment="1">
      <alignment horizontal="center" vertical="center"/>
    </xf>
    <xf numFmtId="6" fontId="3" fillId="0" borderId="21" xfId="0" applyNumberFormat="1" applyFont="1" applyBorder="1" applyAlignment="1">
      <alignment horizontal="center" vertical="center"/>
    </xf>
    <xf numFmtId="0" fontId="4" fillId="0" borderId="21" xfId="0" applyFont="1" applyBorder="1" applyAlignment="1">
      <alignment horizontal="center" vertical="center"/>
    </xf>
    <xf numFmtId="9" fontId="3" fillId="0" borderId="21" xfId="1" applyFont="1" applyFill="1" applyBorder="1" applyAlignment="1">
      <alignment horizontal="center" vertical="center"/>
    </xf>
    <xf numFmtId="0" fontId="4" fillId="0" borderId="22" xfId="0" applyFont="1" applyBorder="1" applyAlignment="1">
      <alignment horizontal="center" vertical="center"/>
    </xf>
    <xf numFmtId="0" fontId="4" fillId="0" borderId="5" xfId="0" applyFont="1" applyBorder="1" applyAlignment="1">
      <alignment horizontal="center" vertical="center"/>
    </xf>
    <xf numFmtId="0" fontId="16" fillId="0" borderId="14" xfId="0" applyFont="1" applyBorder="1" applyAlignment="1">
      <alignment horizontal="center" vertical="center" wrapText="1"/>
    </xf>
    <xf numFmtId="0" fontId="4" fillId="2" borderId="23" xfId="0" quotePrefix="1"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9" fillId="4" borderId="26" xfId="0" applyFont="1" applyFill="1" applyBorder="1" applyAlignment="1">
      <alignment horizontal="center" vertical="center" wrapText="1"/>
    </xf>
    <xf numFmtId="14" fontId="4" fillId="0" borderId="25" xfId="0" quotePrefix="1" applyNumberFormat="1" applyFont="1" applyBorder="1" applyAlignment="1">
      <alignment horizontal="center" vertical="center" wrapText="1"/>
    </xf>
    <xf numFmtId="14" fontId="4" fillId="0" borderId="26" xfId="0" quotePrefix="1" applyNumberFormat="1"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9" fontId="4" fillId="2" borderId="25" xfId="0" applyNumberFormat="1" applyFont="1" applyFill="1" applyBorder="1" applyAlignment="1">
      <alignment horizontal="center" vertical="center" wrapText="1"/>
    </xf>
    <xf numFmtId="9" fontId="5" fillId="0" borderId="26" xfId="0" applyNumberFormat="1" applyFont="1" applyBorder="1" applyAlignment="1">
      <alignment horizontal="center" vertical="center" wrapText="1"/>
    </xf>
    <xf numFmtId="6" fontId="3" fillId="2" borderId="25" xfId="0" applyNumberFormat="1" applyFont="1" applyFill="1" applyBorder="1" applyAlignment="1">
      <alignment horizontal="center" vertical="center"/>
    </xf>
    <xf numFmtId="6" fontId="4" fillId="0" borderId="26" xfId="0" applyNumberFormat="1" applyFont="1" applyBorder="1" applyAlignment="1">
      <alignment horizontal="center" vertical="center"/>
    </xf>
    <xf numFmtId="6" fontId="10" fillId="0" borderId="25" xfId="0" applyNumberFormat="1" applyFont="1" applyBorder="1" applyAlignment="1">
      <alignment horizontal="center" vertical="center"/>
    </xf>
    <xf numFmtId="6" fontId="10" fillId="0" borderId="26" xfId="0" applyNumberFormat="1" applyFont="1" applyBorder="1" applyAlignment="1">
      <alignment horizontal="center" vertical="center"/>
    </xf>
    <xf numFmtId="6" fontId="10" fillId="2" borderId="25" xfId="0" applyNumberFormat="1" applyFont="1" applyFill="1" applyBorder="1" applyAlignment="1">
      <alignment horizontal="center" vertical="center"/>
    </xf>
    <xf numFmtId="2" fontId="10" fillId="0" borderId="25" xfId="1" applyNumberFormat="1" applyFont="1" applyFill="1" applyBorder="1" applyAlignment="1">
      <alignment horizontal="center" vertical="center"/>
    </xf>
    <xf numFmtId="2" fontId="10" fillId="0" borderId="26" xfId="1" applyNumberFormat="1" applyFont="1" applyFill="1" applyBorder="1" applyAlignment="1">
      <alignment horizontal="center" vertical="center"/>
    </xf>
    <xf numFmtId="6" fontId="5" fillId="0" borderId="25" xfId="0" applyNumberFormat="1" applyFont="1" applyBorder="1" applyAlignment="1">
      <alignment horizontal="center" vertical="center"/>
    </xf>
    <xf numFmtId="6" fontId="5" fillId="0" borderId="26" xfId="0" applyNumberFormat="1" applyFont="1" applyBorder="1" applyAlignment="1">
      <alignment horizontal="center" vertical="center"/>
    </xf>
    <xf numFmtId="0" fontId="4"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4" fillId="6" borderId="25" xfId="0" applyFont="1" applyFill="1" applyBorder="1" applyAlignment="1">
      <alignment horizontal="center" vertical="center"/>
    </xf>
    <xf numFmtId="0" fontId="5" fillId="6" borderId="26" xfId="0" applyFont="1" applyFill="1" applyBorder="1" applyAlignment="1">
      <alignment horizontal="center" vertical="center"/>
    </xf>
    <xf numFmtId="0" fontId="4" fillId="0" borderId="27" xfId="0" applyFont="1" applyBorder="1" applyAlignment="1">
      <alignment horizontal="left" vertical="center"/>
    </xf>
    <xf numFmtId="0" fontId="5" fillId="0" borderId="28" xfId="0" applyFont="1" applyBorder="1" applyAlignment="1">
      <alignment horizontal="left" vertical="center"/>
    </xf>
    <xf numFmtId="4" fontId="12" fillId="0" borderId="25" xfId="0" applyNumberFormat="1" applyFont="1" applyBorder="1" applyAlignment="1">
      <alignment horizontal="center" vertical="center"/>
    </xf>
    <xf numFmtId="4" fontId="12" fillId="0" borderId="26" xfId="0" applyNumberFormat="1" applyFont="1" applyBorder="1" applyAlignment="1">
      <alignment horizontal="center" vertical="center"/>
    </xf>
    <xf numFmtId="164" fontId="10" fillId="0" borderId="25" xfId="0" applyNumberFormat="1" applyFont="1" applyBorder="1" applyAlignment="1">
      <alignment horizontal="center" vertical="center"/>
    </xf>
    <xf numFmtId="164" fontId="10" fillId="0" borderId="26" xfId="0" applyNumberFormat="1" applyFont="1" applyBorder="1" applyAlignment="1">
      <alignment horizontal="center" vertical="center"/>
    </xf>
    <xf numFmtId="4" fontId="4" fillId="0" borderId="25" xfId="0" applyNumberFormat="1" applyFont="1" applyBorder="1" applyAlignment="1">
      <alignment horizontal="center" vertical="center"/>
    </xf>
    <xf numFmtId="4" fontId="4" fillId="0" borderId="26" xfId="0" applyNumberFormat="1" applyFont="1" applyBorder="1" applyAlignment="1">
      <alignment horizontal="center" vertical="center"/>
    </xf>
    <xf numFmtId="164" fontId="3" fillId="0" borderId="25" xfId="1" applyNumberFormat="1" applyFont="1" applyFill="1" applyBorder="1" applyAlignment="1">
      <alignment horizontal="center" vertical="center"/>
    </xf>
    <xf numFmtId="164" fontId="3" fillId="0" borderId="26" xfId="1" applyNumberFormat="1" applyFont="1" applyFill="1" applyBorder="1" applyAlignment="1">
      <alignment horizontal="center" vertical="center"/>
    </xf>
    <xf numFmtId="164" fontId="3" fillId="0" borderId="25" xfId="0" applyNumberFormat="1" applyFont="1" applyBorder="1" applyAlignment="1">
      <alignment horizontal="center" vertical="center"/>
    </xf>
    <xf numFmtId="164" fontId="3" fillId="0" borderId="26" xfId="0" applyNumberFormat="1" applyFont="1" applyBorder="1" applyAlignment="1">
      <alignment horizontal="center" vertical="center"/>
    </xf>
    <xf numFmtId="6" fontId="3" fillId="0" borderId="25" xfId="0" applyNumberFormat="1" applyFont="1" applyBorder="1" applyAlignment="1">
      <alignment horizontal="center" vertical="center"/>
    </xf>
    <xf numFmtId="6" fontId="3" fillId="0" borderId="26" xfId="0" applyNumberFormat="1" applyFont="1" applyBorder="1" applyAlignment="1">
      <alignment horizontal="center" vertical="center"/>
    </xf>
    <xf numFmtId="0" fontId="4" fillId="2" borderId="25" xfId="0" applyFont="1" applyFill="1" applyBorder="1" applyAlignment="1">
      <alignment horizontal="center" vertical="center"/>
    </xf>
    <xf numFmtId="0" fontId="4" fillId="2" borderId="26" xfId="0" applyFont="1" applyFill="1" applyBorder="1" applyAlignment="1">
      <alignment horizontal="center" vertical="center"/>
    </xf>
    <xf numFmtId="0" fontId="4" fillId="0" borderId="25" xfId="0" applyFont="1" applyBorder="1" applyAlignment="1">
      <alignment horizontal="center" vertical="center"/>
    </xf>
    <xf numFmtId="0" fontId="15" fillId="0" borderId="29" xfId="0" applyFont="1" applyBorder="1"/>
    <xf numFmtId="9" fontId="3" fillId="0" borderId="25" xfId="1" applyFont="1" applyFill="1" applyBorder="1" applyAlignment="1">
      <alignment horizontal="center" vertical="center"/>
    </xf>
    <xf numFmtId="9" fontId="3" fillId="0" borderId="26" xfId="1" applyFont="1" applyFill="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3" fillId="0" borderId="1" xfId="0" applyFont="1" applyBorder="1" applyAlignment="1">
      <alignment horizontal="center"/>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1" xfId="0" quotePrefix="1" applyFont="1" applyBorder="1" applyAlignment="1">
      <alignment horizontal="left" vertical="center" wrapText="1"/>
    </xf>
    <xf numFmtId="0" fontId="4" fillId="0" borderId="2" xfId="0" quotePrefix="1" applyFont="1" applyBorder="1" applyAlignment="1">
      <alignment horizontal="left" vertical="center" wrapText="1"/>
    </xf>
    <xf numFmtId="0" fontId="4" fillId="0" borderId="3" xfId="0" quotePrefix="1" applyFont="1" applyBorder="1" applyAlignment="1">
      <alignment horizontal="left" vertical="center" wrapText="1"/>
    </xf>
    <xf numFmtId="0" fontId="4" fillId="0" borderId="12" xfId="0" quotePrefix="1" applyFont="1" applyBorder="1" applyAlignment="1">
      <alignment horizontal="left" vertical="center" wrapText="1"/>
    </xf>
    <xf numFmtId="0" fontId="4" fillId="0" borderId="5" xfId="0" quotePrefix="1" applyFont="1" applyBorder="1" applyAlignment="1">
      <alignment horizontal="left" vertical="center" wrapText="1"/>
    </xf>
    <xf numFmtId="0" fontId="4" fillId="0" borderId="6" xfId="0" quotePrefix="1" applyFont="1" applyBorder="1" applyAlignment="1">
      <alignment horizontal="left" vertical="center" wrapText="1"/>
    </xf>
    <xf numFmtId="167" fontId="3" fillId="0" borderId="11" xfId="0" quotePrefix="1" applyNumberFormat="1" applyFont="1" applyBorder="1" applyAlignment="1">
      <alignment horizontal="left" vertical="center" wrapText="1"/>
    </xf>
    <xf numFmtId="167" fontId="3" fillId="0" borderId="2" xfId="0" quotePrefix="1" applyNumberFormat="1" applyFont="1" applyBorder="1" applyAlignment="1">
      <alignment horizontal="left" vertical="center" wrapText="1"/>
    </xf>
    <xf numFmtId="167" fontId="3" fillId="0" borderId="3" xfId="0" quotePrefix="1" applyNumberFormat="1" applyFont="1" applyBorder="1" applyAlignment="1">
      <alignment horizontal="left" vertical="center" wrapText="1"/>
    </xf>
    <xf numFmtId="167" fontId="3" fillId="0" borderId="10" xfId="0" quotePrefix="1" applyNumberFormat="1" applyFont="1" applyBorder="1" applyAlignment="1">
      <alignment horizontal="left" vertical="center" wrapText="1"/>
    </xf>
    <xf numFmtId="167" fontId="3" fillId="0" borderId="0" xfId="0" quotePrefix="1" applyNumberFormat="1" applyFont="1" applyAlignment="1">
      <alignment horizontal="left" vertical="center" wrapText="1"/>
    </xf>
    <xf numFmtId="167" fontId="3" fillId="0" borderId="4" xfId="0" quotePrefix="1" applyNumberFormat="1" applyFont="1" applyBorder="1" applyAlignment="1">
      <alignment horizontal="left" vertical="center" wrapText="1"/>
    </xf>
    <xf numFmtId="167" fontId="3" fillId="0" borderId="12" xfId="0" quotePrefix="1" applyNumberFormat="1" applyFont="1" applyBorder="1" applyAlignment="1">
      <alignment horizontal="left" vertical="center" wrapText="1"/>
    </xf>
    <xf numFmtId="167" fontId="3" fillId="0" borderId="5" xfId="0" quotePrefix="1" applyNumberFormat="1" applyFont="1" applyBorder="1" applyAlignment="1">
      <alignment horizontal="left" vertical="center" wrapText="1"/>
    </xf>
    <xf numFmtId="167" fontId="3" fillId="0" borderId="6" xfId="0" quotePrefix="1" applyNumberFormat="1" applyFont="1" applyBorder="1" applyAlignment="1">
      <alignment horizontal="left" vertical="center" wrapText="1"/>
    </xf>
    <xf numFmtId="0" fontId="21" fillId="0" borderId="0" xfId="0" applyFont="1" applyAlignment="1">
      <alignment horizontal="left" vertical="top" wrapText="1"/>
    </xf>
    <xf numFmtId="166" fontId="24" fillId="0" borderId="2" xfId="0" applyNumberFormat="1" applyFont="1" applyBorder="1" applyAlignment="1">
      <alignment horizontal="center" vertical="center" wrapText="1"/>
    </xf>
    <xf numFmtId="166" fontId="24" fillId="0" borderId="0" xfId="0" applyNumberFormat="1" applyFont="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33" fillId="10" borderId="12" xfId="2" quotePrefix="1" applyFont="1" applyFill="1" applyBorder="1" applyAlignment="1">
      <alignment horizontal="center" vertical="center" wrapText="1"/>
    </xf>
    <xf numFmtId="0" fontId="33" fillId="10" borderId="5" xfId="2" quotePrefix="1" applyFont="1" applyFill="1" applyBorder="1" applyAlignment="1">
      <alignment horizontal="center" vertical="center" wrapText="1"/>
    </xf>
    <xf numFmtId="0" fontId="33" fillId="10" borderId="6" xfId="2" quotePrefix="1" applyFont="1" applyFill="1" applyBorder="1" applyAlignment="1">
      <alignment horizontal="center" vertical="center" wrapText="1"/>
    </xf>
    <xf numFmtId="0" fontId="33" fillId="10" borderId="15" xfId="2" applyFont="1" applyFill="1" applyBorder="1" applyAlignment="1">
      <alignment horizontal="center" vertical="center" wrapText="1"/>
    </xf>
    <xf numFmtId="0" fontId="33" fillId="10" borderId="14" xfId="2" applyFont="1" applyFill="1" applyBorder="1" applyAlignment="1">
      <alignment horizontal="center" vertical="center" wrapText="1"/>
    </xf>
    <xf numFmtId="0" fontId="33" fillId="10" borderId="1" xfId="2" applyFont="1" applyFill="1" applyBorder="1" applyAlignment="1">
      <alignment horizontal="center" vertical="center" wrapText="1"/>
    </xf>
    <xf numFmtId="0" fontId="31" fillId="7" borderId="1" xfId="2" applyFont="1" applyFill="1" applyBorder="1" applyAlignment="1">
      <alignment horizontal="left" wrapText="1"/>
    </xf>
    <xf numFmtId="171" fontId="32" fillId="9" borderId="1" xfId="2" applyNumberFormat="1" applyFont="1" applyFill="1" applyBorder="1" applyAlignment="1">
      <alignment horizontal="center" vertical="center" wrapText="1"/>
    </xf>
    <xf numFmtId="171" fontId="32" fillId="9" borderId="7" xfId="2" applyNumberFormat="1" applyFont="1" applyFill="1" applyBorder="1" applyAlignment="1">
      <alignment horizontal="center" vertical="center" wrapText="1"/>
    </xf>
    <xf numFmtId="0" fontId="31" fillId="7" borderId="1" xfId="2" applyFont="1" applyFill="1" applyBorder="1"/>
    <xf numFmtId="168" fontId="32" fillId="9" borderId="1" xfId="2" applyNumberFormat="1" applyFont="1" applyFill="1" applyBorder="1" applyAlignment="1">
      <alignment horizontal="center" vertical="center"/>
    </xf>
    <xf numFmtId="168" fontId="32" fillId="9" borderId="7" xfId="2" applyNumberFormat="1" applyFont="1" applyFill="1" applyBorder="1" applyAlignment="1">
      <alignment horizontal="center" vertical="center"/>
    </xf>
    <xf numFmtId="0" fontId="26" fillId="7" borderId="0" xfId="2" applyFont="1" applyFill="1" applyAlignment="1">
      <alignment horizontal="center"/>
    </xf>
    <xf numFmtId="0" fontId="27" fillId="7" borderId="0" xfId="2" applyFont="1" applyFill="1" applyAlignment="1">
      <alignment horizontal="center"/>
    </xf>
    <xf numFmtId="0" fontId="28" fillId="7" borderId="0" xfId="2" applyFont="1" applyFill="1" applyAlignment="1">
      <alignment horizontal="left" vertical="center"/>
    </xf>
    <xf numFmtId="0" fontId="29" fillId="7" borderId="0" xfId="2" applyFont="1" applyFill="1" applyAlignment="1">
      <alignment horizontal="left" vertical="center"/>
    </xf>
    <xf numFmtId="0" fontId="30" fillId="8" borderId="1" xfId="2" applyFont="1" applyFill="1" applyBorder="1" applyAlignment="1">
      <alignment horizontal="center" vertical="center" wrapText="1"/>
    </xf>
    <xf numFmtId="0" fontId="30" fillId="8" borderId="13" xfId="2" applyFont="1" applyFill="1" applyBorder="1" applyAlignment="1">
      <alignment horizontal="center" vertical="center" wrapText="1"/>
    </xf>
  </cellXfs>
  <cellStyles count="3">
    <cellStyle name="Normal" xfId="0" builtinId="0"/>
    <cellStyle name="Normal 3" xfId="2" xr:uid="{830B800D-46F2-4072-A6C1-BE672C5E2AF9}"/>
    <cellStyle name="Porcentaje" xfId="1" builtinId="5"/>
  </cellStyles>
  <dxfs count="20">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val="0"/>
        <u val="none"/>
        <color theme="5"/>
      </font>
      <fill>
        <patternFill>
          <bgColor theme="5" tint="0.7999816888943144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5" tint="0.39994506668294322"/>
        </patternFill>
      </fill>
    </dxf>
    <dxf>
      <fill>
        <patternFill>
          <bgColor theme="9" tint="0.39994506668294322"/>
        </patternFill>
      </fill>
    </dxf>
    <dxf>
      <fill>
        <patternFill>
          <bgColor theme="9"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2117</xdr:rowOff>
    </xdr:from>
    <xdr:to>
      <xdr:col>1</xdr:col>
      <xdr:colOff>996436</xdr:colOff>
      <xdr:row>3</xdr:row>
      <xdr:rowOff>143578</xdr:rowOff>
    </xdr:to>
    <xdr:pic>
      <xdr:nvPicPr>
        <xdr:cNvPr id="2" name="3 Imagen" descr="Logo de SDG.jpg">
          <a:extLst>
            <a:ext uri="{FF2B5EF4-FFF2-40B4-BE49-F238E27FC236}">
              <a16:creationId xmlns:a16="http://schemas.microsoft.com/office/drawing/2014/main" id="{0B7E6C96-F711-4675-8FC2-0065AE543EE7}"/>
            </a:ext>
          </a:extLst>
        </xdr:cNvPr>
        <xdr:cNvPicPr>
          <a:picLocks noChangeAspect="1"/>
        </xdr:cNvPicPr>
      </xdr:nvPicPr>
      <xdr:blipFill>
        <a:blip xmlns:r="http://schemas.openxmlformats.org/officeDocument/2006/relationships" r:embed="rId1" cstate="print"/>
        <a:srcRect/>
        <a:stretch>
          <a:fillRect/>
        </a:stretch>
      </xdr:blipFill>
      <xdr:spPr bwMode="auto">
        <a:xfrm>
          <a:off x="823181" y="2117"/>
          <a:ext cx="935255" cy="732011"/>
        </a:xfrm>
        <a:prstGeom prst="rect">
          <a:avLst/>
        </a:prstGeom>
        <a:noFill/>
        <a:ln w="9525">
          <a:noFill/>
          <a:miter lim="800000"/>
          <a:headEnd/>
          <a:tailEnd/>
        </a:ln>
      </xdr:spPr>
    </xdr:pic>
    <xdr:clientData/>
  </xdr:twoCellAnchor>
  <xdr:twoCellAnchor editAs="oneCell">
    <xdr:from>
      <xdr:col>1</xdr:col>
      <xdr:colOff>242156</xdr:colOff>
      <xdr:row>0</xdr:row>
      <xdr:rowOff>2117</xdr:rowOff>
    </xdr:from>
    <xdr:to>
      <xdr:col>1</xdr:col>
      <xdr:colOff>1158361</xdr:colOff>
      <xdr:row>3</xdr:row>
      <xdr:rowOff>115003</xdr:rowOff>
    </xdr:to>
    <xdr:pic>
      <xdr:nvPicPr>
        <xdr:cNvPr id="3" name="3 Imagen" descr="Logo de SDG.jpg">
          <a:extLst>
            <a:ext uri="{FF2B5EF4-FFF2-40B4-BE49-F238E27FC236}">
              <a16:creationId xmlns:a16="http://schemas.microsoft.com/office/drawing/2014/main" id="{F1F9260A-4482-44E5-AFBF-875F199F241E}"/>
            </a:ext>
          </a:extLst>
        </xdr:cNvPr>
        <xdr:cNvPicPr>
          <a:picLocks noChangeAspect="1"/>
        </xdr:cNvPicPr>
      </xdr:nvPicPr>
      <xdr:blipFill>
        <a:blip xmlns:r="http://schemas.openxmlformats.org/officeDocument/2006/relationships" r:embed="rId1" cstate="print"/>
        <a:srcRect/>
        <a:stretch>
          <a:fillRect/>
        </a:stretch>
      </xdr:blipFill>
      <xdr:spPr bwMode="auto">
        <a:xfrm>
          <a:off x="823181" y="2117"/>
          <a:ext cx="1182905" cy="703436"/>
        </a:xfrm>
        <a:prstGeom prst="rect">
          <a:avLst/>
        </a:prstGeom>
        <a:noFill/>
        <a:ln w="9525">
          <a:noFill/>
          <a:miter lim="800000"/>
          <a:headEnd/>
          <a:tailEnd/>
        </a:ln>
      </xdr:spPr>
    </xdr:pic>
    <xdr:clientData/>
  </xdr:twoCellAnchor>
  <xdr:twoCellAnchor editAs="oneCell">
    <xdr:from>
      <xdr:col>7</xdr:col>
      <xdr:colOff>0</xdr:colOff>
      <xdr:row>43</xdr:row>
      <xdr:rowOff>0</xdr:rowOff>
    </xdr:from>
    <xdr:to>
      <xdr:col>8</xdr:col>
      <xdr:colOff>1029176</xdr:colOff>
      <xdr:row>56</xdr:row>
      <xdr:rowOff>28949</xdr:rowOff>
    </xdr:to>
    <xdr:pic>
      <xdr:nvPicPr>
        <xdr:cNvPr id="7" name="Imagen 6">
          <a:extLst>
            <a:ext uri="{FF2B5EF4-FFF2-40B4-BE49-F238E27FC236}">
              <a16:creationId xmlns:a16="http://schemas.microsoft.com/office/drawing/2014/main" id="{BF2150AC-27D6-4460-891A-184E9C23D33F}"/>
            </a:ext>
          </a:extLst>
        </xdr:cNvPr>
        <xdr:cNvPicPr>
          <a:picLocks noChangeAspect="1"/>
        </xdr:cNvPicPr>
      </xdr:nvPicPr>
      <xdr:blipFill>
        <a:blip xmlns:r="http://schemas.openxmlformats.org/officeDocument/2006/relationships" r:embed="rId2"/>
        <a:stretch>
          <a:fillRect/>
        </a:stretch>
      </xdr:blipFill>
      <xdr:spPr>
        <a:xfrm>
          <a:off x="9496425" y="13249275"/>
          <a:ext cx="3410426" cy="2676899"/>
        </a:xfrm>
        <a:prstGeom prst="rect">
          <a:avLst/>
        </a:prstGeom>
      </xdr:spPr>
    </xdr:pic>
    <xdr:clientData/>
  </xdr:twoCellAnchor>
  <xdr:twoCellAnchor editAs="oneCell">
    <xdr:from>
      <xdr:col>7</xdr:col>
      <xdr:colOff>0</xdr:colOff>
      <xdr:row>58</xdr:row>
      <xdr:rowOff>0</xdr:rowOff>
    </xdr:from>
    <xdr:to>
      <xdr:col>8</xdr:col>
      <xdr:colOff>972018</xdr:colOff>
      <xdr:row>72</xdr:row>
      <xdr:rowOff>171833</xdr:rowOff>
    </xdr:to>
    <xdr:pic>
      <xdr:nvPicPr>
        <xdr:cNvPr id="8" name="Imagen 7">
          <a:extLst>
            <a:ext uri="{FF2B5EF4-FFF2-40B4-BE49-F238E27FC236}">
              <a16:creationId xmlns:a16="http://schemas.microsoft.com/office/drawing/2014/main" id="{C4AFAA85-DC0A-4D91-96CE-772A626F4C97}"/>
            </a:ext>
          </a:extLst>
        </xdr:cNvPr>
        <xdr:cNvPicPr>
          <a:picLocks noChangeAspect="1"/>
        </xdr:cNvPicPr>
      </xdr:nvPicPr>
      <xdr:blipFill>
        <a:blip xmlns:r="http://schemas.openxmlformats.org/officeDocument/2006/relationships" r:embed="rId3"/>
        <a:stretch>
          <a:fillRect/>
        </a:stretch>
      </xdr:blipFill>
      <xdr:spPr>
        <a:xfrm>
          <a:off x="9496425" y="17002125"/>
          <a:ext cx="3353268" cy="27435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1755321</xdr:colOff>
      <xdr:row>0</xdr:row>
      <xdr:rowOff>95250</xdr:rowOff>
    </xdr:from>
    <xdr:to>
      <xdr:col>2</xdr:col>
      <xdr:colOff>665655</xdr:colOff>
      <xdr:row>4</xdr:row>
      <xdr:rowOff>76200</xdr:rowOff>
    </xdr:to>
    <xdr:pic>
      <xdr:nvPicPr>
        <xdr:cNvPr id="2" name="3 Imagen" descr="Logo de SDG.jpg">
          <a:extLst>
            <a:ext uri="{FF2B5EF4-FFF2-40B4-BE49-F238E27FC236}">
              <a16:creationId xmlns:a16="http://schemas.microsoft.com/office/drawing/2014/main" id="{A5E5CE91-F8FB-46C2-87E9-FCF9F03CA025}"/>
            </a:ext>
          </a:extLst>
        </xdr:cNvPr>
        <xdr:cNvPicPr>
          <a:picLocks noChangeAspect="1"/>
        </xdr:cNvPicPr>
      </xdr:nvPicPr>
      <xdr:blipFill>
        <a:blip xmlns:r="http://schemas.openxmlformats.org/officeDocument/2006/relationships" r:embed="rId1" cstate="print"/>
        <a:srcRect/>
        <a:stretch>
          <a:fillRect/>
        </a:stretch>
      </xdr:blipFill>
      <xdr:spPr bwMode="auto">
        <a:xfrm>
          <a:off x="2250621" y="95250"/>
          <a:ext cx="2282184" cy="8572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gobiernobogota-my.sharepoint.com/personal/maribel_gomez_gobiernobogota_gov_co/Documents/1-2024-TUNJUELITO/Evaluaciones%20financieras/FDLT-CMA-281-2024/CONTRATO%20DE%20OBRA%202/FINAL%20-EVALUACION%20FINANCIERA%20PRELIMINAR%20%20Completo.xlsx?B0062F97" TargetMode="External"/><Relationship Id="rId1" Type="http://schemas.openxmlformats.org/officeDocument/2006/relationships/externalLinkPath" Target="file:///\\B0062F97\FINAL%20-EVALUACION%20FINANCIERA%20PRELIMINAR%20%20Comple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Consolidado 1-5"/>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NO HABILITADO"/>
      <sheetName val="45 NO HABILITADO"/>
      <sheetName val="46"/>
    </sheetNames>
    <sheetDataSet>
      <sheetData sheetId="0" refreshError="1">
        <row r="50">
          <cell r="B50" t="str">
            <v>Fecha de elaboración (preliminar):</v>
          </cell>
        </row>
        <row r="52">
          <cell r="D52" t="str">
            <v>Maribel Gómez Rodriguez</v>
          </cell>
        </row>
        <row r="53">
          <cell r="B53" t="str">
            <v>Fecha de verificación defiitiva:</v>
          </cell>
          <cell r="D53" t="str">
            <v>Profesional Área de Presupuesto (E) - FDL Tunjuelito</v>
          </cell>
        </row>
        <row r="54">
          <cell r="D54" t="str">
            <v>Comité Evaluador Financiero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205C-6A36-417A-B4D7-C542524E6C0D}">
  <dimension ref="A1:M90"/>
  <sheetViews>
    <sheetView tabSelected="1" workbookViewId="0">
      <selection activeCell="C10" sqref="C10"/>
    </sheetView>
  </sheetViews>
  <sheetFormatPr baseColWidth="10" defaultColWidth="8.7109375" defaultRowHeight="15.75" x14ac:dyDescent="0.25"/>
  <cols>
    <col min="2" max="2" width="46.140625" customWidth="1"/>
    <col min="3" max="3" width="51.42578125" customWidth="1"/>
    <col min="4" max="5" width="26.28515625" customWidth="1"/>
    <col min="6" max="6" width="26.28515625" style="52" customWidth="1"/>
    <col min="8" max="8" width="35.7109375" customWidth="1"/>
    <col min="9" max="9" width="27.28515625" customWidth="1"/>
  </cols>
  <sheetData>
    <row r="1" spans="1:11" x14ac:dyDescent="0.25">
      <c r="A1" s="1"/>
      <c r="B1" s="199"/>
      <c r="C1" s="2"/>
      <c r="D1" s="2"/>
      <c r="E1" s="2"/>
      <c r="F1" s="3"/>
      <c r="G1" s="1"/>
      <c r="H1" s="1"/>
      <c r="I1" s="1"/>
      <c r="J1" s="1"/>
      <c r="K1" s="1"/>
    </row>
    <row r="2" spans="1:11" x14ac:dyDescent="0.25">
      <c r="A2" s="1"/>
      <c r="B2" s="199"/>
      <c r="C2" s="4"/>
      <c r="D2" s="4"/>
      <c r="E2" s="4"/>
      <c r="F2" s="5"/>
      <c r="G2" s="1"/>
      <c r="H2" s="1"/>
      <c r="I2" s="1"/>
      <c r="J2" s="1"/>
      <c r="K2" s="1"/>
    </row>
    <row r="3" spans="1:11" x14ac:dyDescent="0.25">
      <c r="A3" s="1"/>
      <c r="B3" s="199"/>
      <c r="C3" s="6"/>
      <c r="D3" s="6"/>
      <c r="E3" s="6"/>
      <c r="F3" s="7"/>
      <c r="G3" s="1"/>
      <c r="H3" s="1"/>
      <c r="I3" s="1"/>
      <c r="J3" s="1"/>
      <c r="K3" s="1"/>
    </row>
    <row r="4" spans="1:11" x14ac:dyDescent="0.25">
      <c r="A4" s="1"/>
      <c r="B4" s="199"/>
      <c r="C4" s="4"/>
      <c r="D4" s="4"/>
      <c r="E4" s="4"/>
      <c r="F4" s="5"/>
      <c r="G4" s="1"/>
      <c r="H4" s="1"/>
      <c r="I4" s="1"/>
      <c r="J4" s="1"/>
      <c r="K4" s="1"/>
    </row>
    <row r="5" spans="1:11" x14ac:dyDescent="0.25">
      <c r="A5" s="1"/>
      <c r="B5" s="199"/>
      <c r="C5" s="8"/>
      <c r="D5" s="8"/>
      <c r="E5" s="8"/>
      <c r="F5" s="9"/>
      <c r="G5" s="1"/>
      <c r="H5" s="1"/>
      <c r="I5" s="1"/>
      <c r="J5" s="1"/>
      <c r="K5" s="1"/>
    </row>
    <row r="6" spans="1:11" x14ac:dyDescent="0.25">
      <c r="A6" s="1"/>
      <c r="B6" s="10"/>
      <c r="C6" s="11"/>
      <c r="D6" s="11" t="s">
        <v>0</v>
      </c>
      <c r="E6" s="12"/>
      <c r="F6" s="13"/>
      <c r="G6" s="1"/>
      <c r="H6" s="14"/>
      <c r="I6" s="14"/>
      <c r="J6" s="1"/>
      <c r="K6" s="1"/>
    </row>
    <row r="7" spans="1:11" ht="66" customHeight="1" thickBot="1" x14ac:dyDescent="0.3">
      <c r="A7" s="1"/>
      <c r="B7" s="200" t="s">
        <v>55</v>
      </c>
      <c r="C7" s="201"/>
      <c r="D7" s="201"/>
      <c r="E7" s="201"/>
      <c r="F7" s="202"/>
      <c r="G7" s="1"/>
      <c r="H7" s="16"/>
      <c r="I7" s="1"/>
      <c r="J7" s="1"/>
      <c r="K7" s="1"/>
    </row>
    <row r="8" spans="1:11" ht="25.5" customHeight="1" thickBot="1" x14ac:dyDescent="0.3">
      <c r="A8" s="1"/>
      <c r="B8" s="15"/>
      <c r="C8" s="128" t="s">
        <v>81</v>
      </c>
      <c r="D8" s="221" t="s">
        <v>80</v>
      </c>
      <c r="E8" s="222"/>
      <c r="F8" s="223"/>
      <c r="G8" s="1"/>
      <c r="H8" s="1"/>
      <c r="I8" s="1"/>
      <c r="J8" s="1"/>
      <c r="K8" s="1"/>
    </row>
    <row r="9" spans="1:11" ht="30" customHeight="1" x14ac:dyDescent="0.25">
      <c r="A9" s="1"/>
      <c r="B9" s="15" t="s">
        <v>2</v>
      </c>
      <c r="C9" s="129" t="s">
        <v>50</v>
      </c>
      <c r="D9" s="153" t="s">
        <v>53</v>
      </c>
      <c r="E9" s="119" t="s">
        <v>54</v>
      </c>
      <c r="F9" s="154" t="s">
        <v>56</v>
      </c>
      <c r="G9" s="1"/>
      <c r="H9" s="18"/>
      <c r="I9" s="1"/>
      <c r="J9" s="1"/>
      <c r="K9" s="1"/>
    </row>
    <row r="10" spans="1:11" ht="45.75" customHeight="1" x14ac:dyDescent="0.25">
      <c r="A10" s="19"/>
      <c r="B10" s="120"/>
      <c r="C10" s="130">
        <v>1</v>
      </c>
      <c r="D10" s="155" t="s">
        <v>52</v>
      </c>
      <c r="E10" s="21" t="s">
        <v>42</v>
      </c>
      <c r="F10" s="156">
        <v>2</v>
      </c>
      <c r="G10" s="22"/>
      <c r="H10" s="18"/>
      <c r="I10" s="1"/>
      <c r="J10" s="22"/>
      <c r="K10" s="22"/>
    </row>
    <row r="11" spans="1:11" ht="25.5" x14ac:dyDescent="0.25">
      <c r="A11" s="22"/>
      <c r="B11" s="121" t="s">
        <v>3</v>
      </c>
      <c r="C11" s="131" t="s">
        <v>4</v>
      </c>
      <c r="D11" s="157" t="s">
        <v>4</v>
      </c>
      <c r="E11" s="23" t="s">
        <v>4</v>
      </c>
      <c r="F11" s="158" t="s">
        <v>4</v>
      </c>
      <c r="G11" s="22"/>
      <c r="H11" s="22"/>
      <c r="I11" s="1"/>
      <c r="J11" s="22"/>
      <c r="K11" s="22"/>
    </row>
    <row r="12" spans="1:11" ht="15" x14ac:dyDescent="0.25">
      <c r="A12" s="22"/>
      <c r="B12" s="120" t="s">
        <v>5</v>
      </c>
      <c r="C12" s="132" t="str">
        <f>IF(C74&lt;=$B$75,"CUMPLE","NO CUMPLE")</f>
        <v>CUMPLE</v>
      </c>
      <c r="D12" s="159" t="str">
        <f t="shared" ref="D12:E12" si="0">IF(D74&lt;=$B$75,"CUMPLE","NO CUMPLE")</f>
        <v>CUMPLE</v>
      </c>
      <c r="E12" s="17" t="str">
        <f t="shared" si="0"/>
        <v>CUMPLE</v>
      </c>
      <c r="F12" s="160" t="str">
        <f>+IF(COUNTIF(D12:E12,"NO VIGENTE")&gt;=1,"NO CUMPLE","CUMPLE")</f>
        <v>CUMPLE</v>
      </c>
      <c r="G12" s="22"/>
      <c r="H12" s="22"/>
      <c r="I12" s="1"/>
      <c r="J12" s="22"/>
      <c r="K12" s="22"/>
    </row>
    <row r="13" spans="1:11" x14ac:dyDescent="0.25">
      <c r="A13" s="22"/>
      <c r="B13" s="120" t="s">
        <v>6</v>
      </c>
      <c r="C13" s="133">
        <v>1</v>
      </c>
      <c r="D13" s="161">
        <v>1</v>
      </c>
      <c r="E13" s="24">
        <v>1</v>
      </c>
      <c r="F13" s="162">
        <v>1</v>
      </c>
      <c r="G13" s="22"/>
      <c r="H13" s="22"/>
      <c r="I13" s="1"/>
      <c r="J13" s="22"/>
      <c r="K13" s="22"/>
    </row>
    <row r="14" spans="1:11" ht="15" x14ac:dyDescent="0.25">
      <c r="A14" s="22"/>
      <c r="B14" s="120" t="s">
        <v>7</v>
      </c>
      <c r="C14" s="134">
        <v>9006466154</v>
      </c>
      <c r="D14" s="163">
        <v>3531285161</v>
      </c>
      <c r="E14" s="25">
        <v>1290744328</v>
      </c>
      <c r="F14" s="164">
        <f>SUM(D14:E14)</f>
        <v>4822029489</v>
      </c>
      <c r="G14" s="22"/>
      <c r="H14" s="22"/>
      <c r="I14" s="1"/>
      <c r="J14" s="22"/>
      <c r="K14" s="22"/>
    </row>
    <row r="15" spans="1:11" ht="15" x14ac:dyDescent="0.25">
      <c r="A15" s="22"/>
      <c r="B15" s="120" t="s">
        <v>8</v>
      </c>
      <c r="C15" s="134">
        <v>2686056039</v>
      </c>
      <c r="D15" s="163">
        <v>633268213</v>
      </c>
      <c r="E15" s="25">
        <v>458427401</v>
      </c>
      <c r="F15" s="164">
        <f t="shared" ref="F15:F18" si="1">SUM(D15:E15)</f>
        <v>1091695614</v>
      </c>
      <c r="G15" s="22"/>
      <c r="H15" s="22"/>
      <c r="I15" s="1"/>
      <c r="J15" s="22"/>
      <c r="K15" s="22"/>
    </row>
    <row r="16" spans="1:11" ht="15" x14ac:dyDescent="0.25">
      <c r="A16" s="22"/>
      <c r="B16" s="120" t="s">
        <v>9</v>
      </c>
      <c r="C16" s="134">
        <v>9068940234</v>
      </c>
      <c r="D16" s="163">
        <v>3997964293</v>
      </c>
      <c r="E16" s="25">
        <v>1303117137</v>
      </c>
      <c r="F16" s="164">
        <f t="shared" si="1"/>
        <v>5301081430</v>
      </c>
      <c r="G16" s="22"/>
      <c r="H16" s="22"/>
      <c r="I16" s="1"/>
      <c r="J16" s="22"/>
      <c r="K16" s="22"/>
    </row>
    <row r="17" spans="1:11" ht="15" x14ac:dyDescent="0.25">
      <c r="A17" s="22"/>
      <c r="B17" s="120" t="s">
        <v>10</v>
      </c>
      <c r="C17" s="134">
        <v>2686056039</v>
      </c>
      <c r="D17" s="163">
        <v>633268213</v>
      </c>
      <c r="E17" s="25">
        <v>478427401</v>
      </c>
      <c r="F17" s="164">
        <f t="shared" si="1"/>
        <v>1111695614</v>
      </c>
      <c r="G17" s="22"/>
      <c r="H17" s="22"/>
      <c r="I17" s="1"/>
      <c r="J17" s="22"/>
      <c r="K17" s="22"/>
    </row>
    <row r="18" spans="1:11" ht="15" x14ac:dyDescent="0.25">
      <c r="A18" s="22"/>
      <c r="B18" s="120" t="s">
        <v>11</v>
      </c>
      <c r="C18" s="134">
        <v>6382884195</v>
      </c>
      <c r="D18" s="163">
        <v>3364696080</v>
      </c>
      <c r="E18" s="25">
        <v>824689736</v>
      </c>
      <c r="F18" s="164">
        <f t="shared" si="1"/>
        <v>4189385816</v>
      </c>
      <c r="G18" s="22"/>
      <c r="H18" s="22"/>
      <c r="I18" s="1"/>
      <c r="J18" s="22"/>
      <c r="K18" s="22"/>
    </row>
    <row r="19" spans="1:11" ht="15" x14ac:dyDescent="0.25">
      <c r="A19" s="22"/>
      <c r="B19" s="120" t="s">
        <v>12</v>
      </c>
      <c r="C19" s="135">
        <f>+C16-C17-C18</f>
        <v>0</v>
      </c>
      <c r="D19" s="165">
        <f>+D16-D17-D18</f>
        <v>0</v>
      </c>
      <c r="E19" s="26">
        <f t="shared" ref="E19:F19" si="2">+E16-E17-E18</f>
        <v>0</v>
      </c>
      <c r="F19" s="166">
        <f t="shared" si="2"/>
        <v>0</v>
      </c>
      <c r="G19" s="22"/>
      <c r="H19" s="22"/>
      <c r="I19" s="1"/>
      <c r="J19" s="22"/>
      <c r="K19" s="22"/>
    </row>
    <row r="20" spans="1:11" ht="15" x14ac:dyDescent="0.25">
      <c r="A20" s="22"/>
      <c r="B20" s="120" t="s">
        <v>13</v>
      </c>
      <c r="C20" s="136">
        <v>729985832</v>
      </c>
      <c r="D20" s="167">
        <v>385920908</v>
      </c>
      <c r="E20" s="27">
        <v>249616895</v>
      </c>
      <c r="F20" s="164">
        <f>SUM(D20:E20)</f>
        <v>635537803</v>
      </c>
      <c r="G20" s="22"/>
      <c r="H20" s="22"/>
      <c r="I20" s="1"/>
      <c r="J20" s="22"/>
      <c r="K20" s="22"/>
    </row>
    <row r="21" spans="1:11" ht="15" x14ac:dyDescent="0.25">
      <c r="A21" s="22"/>
      <c r="B21" s="120" t="s">
        <v>14</v>
      </c>
      <c r="C21" s="136">
        <v>37302801</v>
      </c>
      <c r="D21" s="167">
        <v>0</v>
      </c>
      <c r="E21" s="27">
        <v>3414912</v>
      </c>
      <c r="F21" s="164">
        <f>SUM(D21:E21)</f>
        <v>3414912</v>
      </c>
      <c r="G21" s="22"/>
      <c r="H21" s="22"/>
      <c r="I21" s="1"/>
      <c r="J21" s="22"/>
      <c r="K21" s="22"/>
    </row>
    <row r="22" spans="1:11" ht="25.5" x14ac:dyDescent="0.25">
      <c r="A22" s="22"/>
      <c r="B22" s="120" t="s">
        <v>15</v>
      </c>
      <c r="C22" s="137">
        <f>+C20/C18</f>
        <v>0.11436614071297592</v>
      </c>
      <c r="D22" s="168">
        <f t="shared" ref="D22:F22" si="3">+D20/D18</f>
        <v>0.11469710750220269</v>
      </c>
      <c r="E22" s="28">
        <f t="shared" si="3"/>
        <v>0.30267976440536176</v>
      </c>
      <c r="F22" s="169">
        <f t="shared" si="3"/>
        <v>0.15170190355177351</v>
      </c>
      <c r="G22" s="22"/>
      <c r="H22" s="29" t="s">
        <v>16</v>
      </c>
      <c r="I22" s="29" t="s">
        <v>16</v>
      </c>
      <c r="J22" s="22"/>
      <c r="K22" s="22"/>
    </row>
    <row r="23" spans="1:11" ht="30" customHeight="1" x14ac:dyDescent="0.25">
      <c r="A23" s="22"/>
      <c r="B23" s="120" t="s">
        <v>17</v>
      </c>
      <c r="C23" s="137">
        <f t="shared" ref="C23:F23" si="4">+C20/C16</f>
        <v>8.0492958732183442E-2</v>
      </c>
      <c r="D23" s="168">
        <f t="shared" si="4"/>
        <v>9.6529353370090248E-2</v>
      </c>
      <c r="E23" s="28">
        <f t="shared" si="4"/>
        <v>0.19155368916002521</v>
      </c>
      <c r="F23" s="169">
        <f t="shared" si="4"/>
        <v>0.11988833059672506</v>
      </c>
      <c r="G23" s="22"/>
      <c r="H23" s="22" t="s">
        <v>18</v>
      </c>
      <c r="I23" s="22" t="s">
        <v>19</v>
      </c>
      <c r="J23" s="30"/>
      <c r="K23" s="22"/>
    </row>
    <row r="24" spans="1:11" ht="20.25" customHeight="1" x14ac:dyDescent="0.25">
      <c r="A24" s="22"/>
      <c r="B24" s="122" t="s">
        <v>20</v>
      </c>
      <c r="C24" s="138">
        <f>IF(C13=1,$H$24,"")</f>
        <v>513845286</v>
      </c>
      <c r="D24" s="170">
        <f t="shared" ref="D24:F24" si="5">IF(D13=1,$H$24,"")</f>
        <v>513845286</v>
      </c>
      <c r="E24" s="31">
        <f t="shared" si="5"/>
        <v>513845286</v>
      </c>
      <c r="F24" s="171">
        <f t="shared" si="5"/>
        <v>513845286</v>
      </c>
      <c r="G24" s="22"/>
      <c r="H24" s="32">
        <v>513845286</v>
      </c>
      <c r="I24" s="32">
        <f>+H24</f>
        <v>513845286</v>
      </c>
      <c r="J24" s="22"/>
      <c r="K24" s="22"/>
    </row>
    <row r="25" spans="1:11" hidden="1" x14ac:dyDescent="0.25">
      <c r="A25" s="22"/>
      <c r="B25" s="33" t="s">
        <v>21</v>
      </c>
      <c r="C25" s="139"/>
      <c r="D25" s="172"/>
      <c r="E25" s="34"/>
      <c r="F25" s="173"/>
      <c r="G25" s="22"/>
      <c r="H25" s="22"/>
      <c r="I25" s="22"/>
      <c r="J25" s="22"/>
      <c r="K25" s="22"/>
    </row>
    <row r="26" spans="1:11" hidden="1" x14ac:dyDescent="0.25">
      <c r="A26" s="22"/>
      <c r="B26" s="123" t="s">
        <v>22</v>
      </c>
      <c r="C26" s="140"/>
      <c r="D26" s="174"/>
      <c r="E26" s="35"/>
      <c r="F26" s="175"/>
      <c r="G26" s="22"/>
      <c r="H26" s="22"/>
      <c r="I26" s="22"/>
      <c r="J26" s="22"/>
      <c r="K26" s="22"/>
    </row>
    <row r="27" spans="1:11" hidden="1" x14ac:dyDescent="0.25">
      <c r="A27" s="22"/>
      <c r="B27" s="36" t="s">
        <v>23</v>
      </c>
      <c r="C27" s="141"/>
      <c r="D27" s="176"/>
      <c r="E27" s="37"/>
      <c r="F27" s="177"/>
      <c r="G27" s="22"/>
      <c r="H27" s="22"/>
      <c r="I27" s="22"/>
      <c r="J27" s="22"/>
      <c r="K27" s="22"/>
    </row>
    <row r="28" spans="1:11" x14ac:dyDescent="0.25">
      <c r="A28" s="22"/>
      <c r="B28" s="33" t="s">
        <v>21</v>
      </c>
      <c r="C28" s="139"/>
      <c r="D28" s="172"/>
      <c r="E28" s="34"/>
      <c r="F28" s="173"/>
      <c r="G28" s="22"/>
      <c r="H28" s="22"/>
      <c r="I28" s="22"/>
      <c r="J28" s="22"/>
      <c r="K28" s="22"/>
    </row>
    <row r="29" spans="1:11" ht="34.5" customHeight="1" x14ac:dyDescent="0.25">
      <c r="A29" s="22"/>
      <c r="B29" s="121" t="str">
        <f>IF(F76="MiPyme",CONCATENATE("Índice de Liquidez: Mayor o Igual a ",H29),CONCATENATE("Índice de Liquidez: Mayor o Igual a ",I29))</f>
        <v>Índice de Liquidez: Mayor o Igual a 1,4</v>
      </c>
      <c r="C29" s="142" t="str">
        <f>IF(C76="MiPyME",IF(C30&gt;=$H$29,$B$26,$B$27),IF(C30&gt;=$I$29,$B$26,$B$27))</f>
        <v>CUMPLE</v>
      </c>
      <c r="D29" s="178" t="str">
        <f t="shared" ref="D29:E29" si="6">IF(D76="MiPyME",IF(D30&gt;=$H$29,$B$26,$B$27),IF(D30&gt;=$I$29,$B$26,$B$27))</f>
        <v>CUMPLE</v>
      </c>
      <c r="E29" s="38" t="str">
        <f t="shared" si="6"/>
        <v>CUMPLE</v>
      </c>
      <c r="F29" s="179" t="str">
        <f>IF(F76="MiPyME",IF(F30&gt;=$H$29,$B$26,$B$27),IF(F30&gt;=$I$29,$B$26,$B$27))</f>
        <v>CUMPLE</v>
      </c>
      <c r="G29" s="22"/>
      <c r="H29" s="39">
        <v>1.4</v>
      </c>
      <c r="I29" s="39">
        <v>1.4</v>
      </c>
      <c r="J29" s="22"/>
      <c r="K29" s="22"/>
    </row>
    <row r="30" spans="1:11" ht="34.5" customHeight="1" x14ac:dyDescent="0.25">
      <c r="A30" s="22"/>
      <c r="B30" s="124" t="s">
        <v>24</v>
      </c>
      <c r="C30" s="143">
        <f>IFERROR(C14/C15,"indeterminado")</f>
        <v>3.3530447701876858</v>
      </c>
      <c r="D30" s="180">
        <f t="shared" ref="D30:E30" si="7">IFERROR(D14/D15,"indeterminado")</f>
        <v>5.5762867747161025</v>
      </c>
      <c r="E30" s="40">
        <f t="shared" si="7"/>
        <v>2.8155915749896461</v>
      </c>
      <c r="F30" s="181">
        <f>IFERROR(F14/F15,"indeterminado")</f>
        <v>4.4170091252194039</v>
      </c>
      <c r="G30" s="22"/>
      <c r="H30" s="22"/>
      <c r="I30" s="22"/>
      <c r="J30" s="22"/>
      <c r="K30" s="22"/>
    </row>
    <row r="31" spans="1:11" ht="34.5" customHeight="1" x14ac:dyDescent="0.25">
      <c r="A31" s="22"/>
      <c r="B31" s="121" t="str">
        <f>IF(F76="MiPyme",(CONCATENATE("Endeudamiento total: Menor o Igual a ",H31)),CONCATENATE("Endeudamiento total: Menor o Igual a ",I31))</f>
        <v>Endeudamiento total: Menor o Igual a 0,65</v>
      </c>
      <c r="C31" s="144" t="str">
        <f>IF(C76="MiPyME",IF(C32&lt;=$H$31,$B$26,$B$27),IF(C32&lt;=$I$31,$B$26,$B$27))</f>
        <v>CUMPLE</v>
      </c>
      <c r="D31" s="182" t="str">
        <f t="shared" ref="D31:F31" si="8">IF(D76="MiPyME",IF(D32&lt;=$H$31,$B$26,$B$27),IF(D32&lt;=$I$31,$B$26,$B$27))</f>
        <v>CUMPLE</v>
      </c>
      <c r="E31" s="41" t="str">
        <f t="shared" si="8"/>
        <v>CUMPLE</v>
      </c>
      <c r="F31" s="183" t="str">
        <f t="shared" si="8"/>
        <v>CUMPLE</v>
      </c>
      <c r="G31" s="22"/>
      <c r="H31" s="42">
        <v>0.65</v>
      </c>
      <c r="I31" s="42">
        <v>0.65</v>
      </c>
      <c r="J31" s="22"/>
      <c r="K31" s="22"/>
    </row>
    <row r="32" spans="1:11" ht="34.5" customHeight="1" x14ac:dyDescent="0.25">
      <c r="A32" s="22"/>
      <c r="B32" s="124" t="s">
        <v>25</v>
      </c>
      <c r="C32" s="145">
        <f>C17/C16</f>
        <v>0.29618190986966869</v>
      </c>
      <c r="D32" s="184">
        <f t="shared" ref="D32:F32" si="9">D17/D16</f>
        <v>0.1583976660593952</v>
      </c>
      <c r="E32" s="43">
        <f t="shared" si="9"/>
        <v>0.36714074845291517</v>
      </c>
      <c r="F32" s="185">
        <f t="shared" si="9"/>
        <v>0.20971109926904102</v>
      </c>
      <c r="G32" s="22"/>
      <c r="H32" s="22"/>
      <c r="I32" s="22"/>
      <c r="J32" s="22"/>
      <c r="K32" s="22"/>
    </row>
    <row r="33" spans="1:11" ht="34.5" customHeight="1" x14ac:dyDescent="0.25">
      <c r="A33" s="22"/>
      <c r="B33" s="121" t="str">
        <f>IF(F76="MiPyme",CONCATENATE("Razón de Cobertura de Intereses Mayor o Igual a ",H33," o Indeterminado"),CONCATENATE("Razón de Cobertura de Intereses Mayor o Igual a ",I33," o Indeterminado"))</f>
        <v>Razón de Cobertura de Intereses Mayor o Igual a 1,5 o Indeterminado</v>
      </c>
      <c r="C33" s="144" t="str">
        <f>IF(C76="MiPyME",IF(AND(C34="Indeterminado",C20&lt;0),$B$27,IF(C34&gt;=$H$33,$B$26,$B$27)),IF(AND(C34="Indeterminado",C20&gt;=0),$B$26,IF(C34&gt;=$I$33,$B$26,$B$27)))</f>
        <v>CUMPLE</v>
      </c>
      <c r="D33" s="182" t="str">
        <f t="shared" ref="D33:E33" si="10">IF(D76="MiPyME",IF(AND(D34="Indeterminado",D20&lt;0),$B$27,IF(D34&gt;=$H$33,$B$26,$B$27)),IF(AND(D34="Indeterminado",D20&gt;=0),$B$26,IF(D34&gt;=$I$33,$B$26,$B$27)))</f>
        <v>CUMPLE</v>
      </c>
      <c r="E33" s="41" t="str">
        <f t="shared" si="10"/>
        <v>CUMPLE</v>
      </c>
      <c r="F33" s="183" t="str">
        <f>IF(F76="MiPyME",IF(AND(F34="Indeterminado",F20&lt;0),$B$27,IF(F34&gt;=$H$33,$B$26,$B$27)),IF(AND(F34="Indeterminado",F20&gt;=0),$B$26,IF(F34&gt;=$I$33,$B$26,$B$27)))</f>
        <v>CUMPLE</v>
      </c>
      <c r="G33" s="22"/>
      <c r="H33" s="44">
        <v>1.5</v>
      </c>
      <c r="I33" s="44">
        <v>1.5</v>
      </c>
      <c r="J33" s="22"/>
      <c r="K33" s="22"/>
    </row>
    <row r="34" spans="1:11" ht="34.5" customHeight="1" x14ac:dyDescent="0.25">
      <c r="A34" s="22"/>
      <c r="B34" s="124" t="s">
        <v>26</v>
      </c>
      <c r="C34" s="146">
        <f>IFERROR(C20/C21,"Indeterminado")</f>
        <v>19.569196211297914</v>
      </c>
      <c r="D34" s="186" t="str">
        <f t="shared" ref="D34:E34" si="11">IFERROR(D20/D21,"Indeterminado")</f>
        <v>Indeterminado</v>
      </c>
      <c r="E34" s="45">
        <f t="shared" si="11"/>
        <v>73.096142741013537</v>
      </c>
      <c r="F34" s="187">
        <f>IFERROR(F20/F21,"Indeterminado")</f>
        <v>186.10664140100829</v>
      </c>
      <c r="G34" s="22"/>
      <c r="H34" s="22"/>
      <c r="I34" s="22"/>
      <c r="J34" s="22"/>
      <c r="K34" s="22"/>
    </row>
    <row r="35" spans="1:11" ht="34.5" customHeight="1" x14ac:dyDescent="0.25">
      <c r="A35" s="22"/>
      <c r="B35" s="120" t="str">
        <f>CONCATENATE("CAPITAL DE TRABAJO ≥  A ",TEXT(H35,"#,0#%")," DEL PPTO OFICIAL")</f>
        <v>CAPITAL DE TRABAJO ≥  A 10,0% DEL PPTO OFICIAL</v>
      </c>
      <c r="C35" s="144" t="str">
        <f>IF(C76="MiPyME",IF(C36&gt;(C24*$H$35),$B$26,$B$27),IF(C36&gt;(C24*$I$35),$B$26,$B$27))</f>
        <v>CUMPLE</v>
      </c>
      <c r="D35" s="182" t="str">
        <f t="shared" ref="D35:F35" si="12">IF(D76="MiPyME",IF(D36&gt;(D24*$H$35),$B$26,$B$27),IF(D36&gt;(D24*$I$35),$B$26,$B$27))</f>
        <v>CUMPLE</v>
      </c>
      <c r="E35" s="41" t="str">
        <f t="shared" si="12"/>
        <v>CUMPLE</v>
      </c>
      <c r="F35" s="183" t="str">
        <f t="shared" si="12"/>
        <v>CUMPLE</v>
      </c>
      <c r="G35" s="22"/>
      <c r="H35" s="46">
        <v>0.1</v>
      </c>
      <c r="I35" s="46">
        <v>0.1</v>
      </c>
      <c r="J35" s="22"/>
      <c r="K35" s="22"/>
    </row>
    <row r="36" spans="1:11" ht="34.5" customHeight="1" x14ac:dyDescent="0.25">
      <c r="A36" s="47"/>
      <c r="B36" s="125" t="str">
        <f>CONCATENATE("CT = Activo Corriente - Pasivo Corriente ≥ ",TEXT((H24*H35),"$###.###.###.###"))</f>
        <v>CT = Activo Corriente - Pasivo Corriente ≥ $51.384.529</v>
      </c>
      <c r="C36" s="147">
        <f>C14-C15</f>
        <v>6320410115</v>
      </c>
      <c r="D36" s="188">
        <f t="shared" ref="D36:F36" si="13">D14-D15</f>
        <v>2898016948</v>
      </c>
      <c r="E36" s="48">
        <f t="shared" si="13"/>
        <v>832316927</v>
      </c>
      <c r="F36" s="189">
        <f t="shared" si="13"/>
        <v>3730333875</v>
      </c>
      <c r="G36" s="22"/>
      <c r="H36" s="219" t="s">
        <v>49</v>
      </c>
      <c r="I36" s="219" t="s">
        <v>79</v>
      </c>
      <c r="J36" s="22"/>
      <c r="K36" s="22"/>
    </row>
    <row r="37" spans="1:11" ht="15" x14ac:dyDescent="0.25">
      <c r="A37" s="22"/>
      <c r="B37" s="33" t="s">
        <v>27</v>
      </c>
      <c r="C37" s="139"/>
      <c r="D37" s="190"/>
      <c r="E37" s="49"/>
      <c r="F37" s="191"/>
      <c r="G37" s="22"/>
      <c r="H37" s="220"/>
      <c r="I37" s="220"/>
      <c r="J37" s="50" t="s">
        <v>28</v>
      </c>
      <c r="K37" s="22"/>
    </row>
    <row r="38" spans="1:11" ht="16.5" customHeight="1" x14ac:dyDescent="0.25">
      <c r="A38" s="22"/>
      <c r="B38" s="126"/>
      <c r="C38" s="148"/>
      <c r="D38" s="192"/>
      <c r="E38" s="51"/>
      <c r="F38" s="193"/>
      <c r="G38" s="22"/>
      <c r="H38" s="22"/>
      <c r="I38" s="22"/>
      <c r="J38" s="22"/>
      <c r="K38" s="22"/>
    </row>
    <row r="39" spans="1:11" ht="41.25" customHeight="1" x14ac:dyDescent="0.25">
      <c r="A39" s="22"/>
      <c r="B39" s="121" t="str">
        <f>IF(F76="MiPyme",CONCATENATE("Indicador  Rentabilidad del Patrimonio",CHAR(10),"Mayor o Igual a ",H39),CONCATENATE("Indicador  Rentabilidad del Patrimonio",CHAR(10),"Mayor o Igual a ",I39))</f>
        <v>Indicador  Rentabilidad del Patrimonio
Mayor o Igual a 0,03</v>
      </c>
      <c r="C39" s="144" t="str">
        <f>IF(C76="MiPyME",IF(C40&gt;=$H$39,$B$26,$B$27),IF(C40&gt;=$I$39,$B$26,$B$27))</f>
        <v>CUMPLE</v>
      </c>
      <c r="D39" s="182" t="str">
        <f t="shared" ref="D39:F39" si="14">IF(D76="MiPyME",IF(D40&gt;=$H$39,$B$26,$B$27),IF(D40&gt;=$I$39,$B$26,$B$27))</f>
        <v>CUMPLE</v>
      </c>
      <c r="E39" s="41" t="str">
        <f t="shared" si="14"/>
        <v>CUMPLE</v>
      </c>
      <c r="F39" s="183" t="str">
        <f t="shared" si="14"/>
        <v>CUMPLE</v>
      </c>
      <c r="G39" s="22"/>
      <c r="H39" s="42">
        <v>0.03</v>
      </c>
      <c r="I39" s="42">
        <v>0.04</v>
      </c>
      <c r="J39" s="22"/>
      <c r="K39" s="22"/>
    </row>
    <row r="40" spans="1:11" ht="41.25" customHeight="1" x14ac:dyDescent="0.25">
      <c r="A40" s="22"/>
      <c r="B40" s="124" t="s">
        <v>29</v>
      </c>
      <c r="C40" s="149">
        <f>C20/C18</f>
        <v>0.11436614071297592</v>
      </c>
      <c r="D40" s="194">
        <f t="shared" ref="D40:F40" si="15">D20/D18</f>
        <v>0.11469710750220269</v>
      </c>
      <c r="E40" s="53">
        <f t="shared" si="15"/>
        <v>0.30267976440536176</v>
      </c>
      <c r="F40" s="195">
        <f t="shared" si="15"/>
        <v>0.15170190355177351</v>
      </c>
      <c r="G40" s="22"/>
      <c r="H40" s="22"/>
      <c r="I40" s="22"/>
      <c r="J40" s="22"/>
      <c r="K40" s="22"/>
    </row>
    <row r="41" spans="1:11" ht="41.25" customHeight="1" x14ac:dyDescent="0.25">
      <c r="A41" s="22"/>
      <c r="B41" s="121" t="str">
        <f>IF(F76="MiPyme",CONCATENATE("Indicador Rentabilidad del Activo",CHAR(10),"Mayor o Igual a ",H41),CONCATENATE("Indicador Rentabilidad del Activo",CHAR(10),"Mayor o Igual a ",I41))</f>
        <v>Indicador Rentabilidad del Activo
Mayor o Igual a 0,02</v>
      </c>
      <c r="C41" s="142" t="str">
        <f>IF(C76="MiPyME",IF(C42&gt;=$H$41,$B$26,$B$27),IF(C42&gt;=$I$41,$B$26,$B$27))</f>
        <v>CUMPLE</v>
      </c>
      <c r="D41" s="178" t="str">
        <f t="shared" ref="D41:F41" si="16">IF(D76="MiPyME",IF(D42&gt;=$H$41,$B$26,$B$27),IF(D42&gt;=$I$41,$B$26,$B$27))</f>
        <v>CUMPLE</v>
      </c>
      <c r="E41" s="38" t="str">
        <f t="shared" si="16"/>
        <v>CUMPLE</v>
      </c>
      <c r="F41" s="179" t="str">
        <f t="shared" si="16"/>
        <v>CUMPLE</v>
      </c>
      <c r="G41" s="22"/>
      <c r="H41" s="42">
        <v>0.02</v>
      </c>
      <c r="I41" s="42">
        <v>0.03</v>
      </c>
      <c r="J41" s="22"/>
      <c r="K41" s="22"/>
    </row>
    <row r="42" spans="1:11" ht="41.25" customHeight="1" x14ac:dyDescent="0.25">
      <c r="A42" s="22"/>
      <c r="B42" s="124" t="s">
        <v>30</v>
      </c>
      <c r="C42" s="149">
        <f t="shared" ref="C42:F42" si="17">C20/C16</f>
        <v>8.0492958732183442E-2</v>
      </c>
      <c r="D42" s="194">
        <f t="shared" si="17"/>
        <v>9.6529353370090248E-2</v>
      </c>
      <c r="E42" s="53">
        <f t="shared" si="17"/>
        <v>0.19155368916002521</v>
      </c>
      <c r="F42" s="195">
        <f t="shared" si="17"/>
        <v>0.11988833059672506</v>
      </c>
      <c r="G42" s="22"/>
      <c r="I42" s="22"/>
      <c r="J42" s="22"/>
      <c r="K42" s="22"/>
    </row>
    <row r="43" spans="1:11" ht="41.25" customHeight="1" thickBot="1" x14ac:dyDescent="0.3">
      <c r="A43" s="22"/>
      <c r="B43" s="120" t="s">
        <v>31</v>
      </c>
      <c r="C43" s="150" t="str">
        <f t="shared" ref="C43:E43" si="18">+IF(COUNTIF(C29:C42,"NO CUMPLE")&gt;=1,"NO HABILITADO","HABILITADO")</f>
        <v>HABILITADO</v>
      </c>
      <c r="D43" s="196" t="str">
        <f t="shared" si="18"/>
        <v>HABILITADO</v>
      </c>
      <c r="E43" s="197" t="str">
        <f t="shared" si="18"/>
        <v>HABILITADO</v>
      </c>
      <c r="F43" s="198" t="str">
        <f>+IF(COUNTIF(F12:F42,"NO CUMPLE")&gt;=1,"NO HABILITADO","HABILITADO")</f>
        <v>HABILITADO</v>
      </c>
      <c r="G43" s="22"/>
      <c r="H43" s="30" t="s">
        <v>18</v>
      </c>
      <c r="I43" s="1"/>
      <c r="J43" s="22"/>
      <c r="K43" s="22"/>
    </row>
    <row r="44" spans="1:11" ht="33.75" hidden="1" customHeight="1" x14ac:dyDescent="0.25">
      <c r="A44" s="22"/>
      <c r="B44" s="20" t="s">
        <v>32</v>
      </c>
      <c r="C44" s="127" t="str">
        <f>+C9</f>
        <v>CONSULTORIAS, INVERSIONES Y PROYECTOS SOCIEDAD POR ACCIONES SIMPLIFICADA</v>
      </c>
      <c r="D44" s="151"/>
      <c r="F44" s="152" t="str">
        <f>+F9</f>
        <v>CONSORCIO ARQINGCO</v>
      </c>
      <c r="G44" s="22"/>
      <c r="H44" s="22"/>
      <c r="I44" s="1"/>
      <c r="J44" s="22"/>
      <c r="K44" s="22"/>
    </row>
    <row r="45" spans="1:11" ht="15" x14ac:dyDescent="0.25">
      <c r="A45" s="22"/>
      <c r="B45" s="203" t="str">
        <f>CONCATENATE("NOTA: Una vez verificada la Información Financiera presentada por cada uno de los proponentes, ","se informa que las sociedades arriba descritas, que cumplen con lo solicitado en los pliegos de condiciones definitivos en cuanto a los Indicadores Financieros requeridos, se encuentran  ",F43)</f>
        <v>NOTA: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HABILITADO</v>
      </c>
      <c r="C45" s="204"/>
      <c r="D45" s="204"/>
      <c r="E45" s="204"/>
      <c r="F45" s="205"/>
      <c r="G45" s="22"/>
      <c r="H45" s="22"/>
      <c r="I45" s="1"/>
      <c r="J45" s="22"/>
      <c r="K45" s="22"/>
    </row>
    <row r="46" spans="1:11" ht="36" customHeight="1" x14ac:dyDescent="0.25">
      <c r="A46" s="22"/>
      <c r="B46" s="206"/>
      <c r="C46" s="207"/>
      <c r="D46" s="207"/>
      <c r="E46" s="207"/>
      <c r="F46" s="208"/>
      <c r="G46" s="22"/>
      <c r="H46" s="22"/>
      <c r="I46" s="1"/>
      <c r="J46" s="22"/>
      <c r="K46" s="22"/>
    </row>
    <row r="47" spans="1:11" x14ac:dyDescent="0.25">
      <c r="A47" s="22"/>
      <c r="B47" s="54"/>
      <c r="C47" s="55"/>
      <c r="D47" s="55"/>
      <c r="E47" s="55"/>
      <c r="F47" s="56"/>
      <c r="G47" s="22"/>
      <c r="H47" s="22"/>
      <c r="I47" s="1"/>
      <c r="J47" s="22"/>
      <c r="K47" s="22"/>
    </row>
    <row r="48" spans="1:11" x14ac:dyDescent="0.25">
      <c r="A48" s="22"/>
      <c r="B48" s="18" t="str">
        <f>B73</f>
        <v>Fecha de cierre del proceso:</v>
      </c>
      <c r="C48" s="55"/>
      <c r="D48" s="55"/>
      <c r="E48" s="18" t="s">
        <v>33</v>
      </c>
      <c r="F48" s="56"/>
      <c r="G48" s="22"/>
      <c r="H48" s="22"/>
      <c r="I48" s="1"/>
      <c r="J48" s="22"/>
      <c r="K48" s="22"/>
    </row>
    <row r="49" spans="1:11" x14ac:dyDescent="0.25">
      <c r="A49" s="22"/>
      <c r="B49" s="57">
        <v>45635</v>
      </c>
      <c r="C49" s="55"/>
      <c r="D49" s="55"/>
      <c r="F49" s="56"/>
      <c r="G49" s="22"/>
      <c r="H49" s="22"/>
      <c r="I49" s="1"/>
      <c r="J49" s="22"/>
      <c r="K49" s="22"/>
    </row>
    <row r="50" spans="1:11" x14ac:dyDescent="0.25">
      <c r="A50" s="22"/>
      <c r="B50" s="58"/>
      <c r="C50" s="22"/>
      <c r="D50" s="22"/>
      <c r="E50" s="22"/>
      <c r="F50" s="59"/>
      <c r="G50" s="22"/>
      <c r="I50" s="1"/>
      <c r="J50" s="22"/>
      <c r="K50" s="22"/>
    </row>
    <row r="51" spans="1:11" x14ac:dyDescent="0.25">
      <c r="A51" s="22"/>
      <c r="B51" s="60" t="s">
        <v>34</v>
      </c>
      <c r="C51" s="22"/>
      <c r="D51" s="22"/>
      <c r="E51" s="22"/>
      <c r="F51" s="59"/>
      <c r="G51" s="22"/>
      <c r="H51" s="22"/>
      <c r="I51" s="1"/>
      <c r="J51" s="22"/>
      <c r="K51" s="22"/>
    </row>
    <row r="52" spans="1:11" x14ac:dyDescent="0.25">
      <c r="A52" s="4"/>
      <c r="B52" s="61">
        <v>45637</v>
      </c>
      <c r="C52" s="22"/>
      <c r="D52" s="22"/>
      <c r="F52" s="59"/>
      <c r="G52" s="22"/>
      <c r="H52" s="22"/>
      <c r="I52" s="1"/>
      <c r="J52" s="22"/>
      <c r="K52" s="22"/>
    </row>
    <row r="53" spans="1:11" x14ac:dyDescent="0.25">
      <c r="A53" s="4"/>
      <c r="B53" s="62"/>
      <c r="C53" s="22"/>
      <c r="D53" s="22"/>
      <c r="E53" s="63" t="s">
        <v>35</v>
      </c>
      <c r="F53" s="64"/>
      <c r="G53" s="22"/>
      <c r="H53" s="22"/>
      <c r="I53" s="1"/>
      <c r="J53" s="22"/>
      <c r="K53" s="22"/>
    </row>
    <row r="54" spans="1:11" x14ac:dyDescent="0.25">
      <c r="A54" s="65"/>
      <c r="B54" s="60" t="s">
        <v>36</v>
      </c>
      <c r="C54" s="1"/>
      <c r="D54" s="1"/>
      <c r="E54" s="66" t="s">
        <v>37</v>
      </c>
      <c r="F54" s="67"/>
      <c r="G54" s="1"/>
      <c r="H54" s="1"/>
      <c r="I54" s="1"/>
      <c r="J54" s="1"/>
      <c r="K54" s="1"/>
    </row>
    <row r="55" spans="1:11" x14ac:dyDescent="0.25">
      <c r="A55" s="65"/>
      <c r="B55" s="61">
        <v>45637</v>
      </c>
      <c r="C55" s="1"/>
      <c r="D55" s="1"/>
      <c r="E55" s="66" t="s">
        <v>38</v>
      </c>
      <c r="F55" s="68"/>
      <c r="G55" s="1"/>
      <c r="H55" s="1"/>
      <c r="I55" s="1"/>
      <c r="J55" s="1"/>
      <c r="K55" s="1"/>
    </row>
    <row r="56" spans="1:11" x14ac:dyDescent="0.25">
      <c r="A56" s="65"/>
      <c r="B56" s="62"/>
      <c r="C56" s="69"/>
      <c r="D56" s="69"/>
      <c r="E56" s="69"/>
      <c r="F56" s="70"/>
      <c r="G56" s="1"/>
      <c r="H56" s="1"/>
      <c r="I56" s="1"/>
      <c r="J56" s="1"/>
      <c r="K56" s="1"/>
    </row>
    <row r="57" spans="1:11" ht="38.25" customHeight="1" x14ac:dyDescent="0.25">
      <c r="A57" s="65"/>
      <c r="B57" s="209" t="s">
        <v>51</v>
      </c>
      <c r="C57" s="210"/>
      <c r="D57" s="210"/>
      <c r="E57" s="210"/>
      <c r="F57" s="211"/>
      <c r="G57" s="1"/>
      <c r="H57" s="71" t="s">
        <v>19</v>
      </c>
      <c r="I57" s="1"/>
      <c r="J57" s="1"/>
      <c r="K57" s="1"/>
    </row>
    <row r="58" spans="1:11" ht="15" x14ac:dyDescent="0.25">
      <c r="A58" s="72"/>
      <c r="B58" s="212"/>
      <c r="C58" s="213"/>
      <c r="D58" s="213"/>
      <c r="E58" s="213"/>
      <c r="F58" s="214"/>
      <c r="G58" s="1"/>
      <c r="H58" s="1"/>
      <c r="I58" s="1"/>
      <c r="J58" s="1"/>
      <c r="K58" s="1"/>
    </row>
    <row r="59" spans="1:11" ht="15" x14ac:dyDescent="0.25">
      <c r="A59" s="1"/>
      <c r="B59" s="215"/>
      <c r="C59" s="216"/>
      <c r="D59" s="216"/>
      <c r="E59" s="216"/>
      <c r="F59" s="217"/>
      <c r="G59" s="1"/>
      <c r="H59" s="1"/>
      <c r="I59" s="1"/>
      <c r="J59" s="1"/>
      <c r="K59" s="1"/>
    </row>
    <row r="60" spans="1:11" ht="31.5" hidden="1" customHeight="1" x14ac:dyDescent="0.25">
      <c r="A60" s="1"/>
      <c r="B60" s="20" t="s">
        <v>39</v>
      </c>
      <c r="C60" s="73" t="e">
        <f>IF(C12="NO VIGENTE",CONCATENATE(#REF!," PRESENTA RUP CON VIGENCIA MAYOR A 30 DIAS CALENDARIO"),CONCATENATE(#REF!," SIN OBSERVACIÓN"))</f>
        <v>#REF!</v>
      </c>
      <c r="D60" s="73" t="str">
        <f t="shared" ref="D60:E60" si="19">IF(D12="NO VIGENTE",CONCATENATE(D9," PRESENTA RUP CON VIGENCIA MAYOR A 30 DIAS CALENDARIO"),CONCATENATE(D9," SIN OBSERVACIÓN"))</f>
        <v>GUSTAVO PALACIOS RUBIANO SIN OBSERVACIÓN</v>
      </c>
      <c r="E60" s="73" t="str">
        <f t="shared" si="19"/>
        <v>PROYECTOS DE INGENIERIA PBS S.A.S SIN OBSERVACIÓN</v>
      </c>
      <c r="F60" s="74" t="e">
        <f>IF(AND(C60="NO",D60="NO",E60="NO")," ",CONCATENATE(C60," ; ",D60," ; ",E60))</f>
        <v>#REF!</v>
      </c>
      <c r="G60" s="1"/>
      <c r="H60" s="1"/>
      <c r="I60" s="1"/>
      <c r="J60" s="1"/>
      <c r="K60" s="1"/>
    </row>
    <row r="61" spans="1:11" x14ac:dyDescent="0.25">
      <c r="A61" s="1"/>
      <c r="B61" s="75"/>
      <c r="C61" s="76"/>
      <c r="D61" s="76"/>
      <c r="E61" s="76"/>
      <c r="F61" s="77"/>
      <c r="G61" s="1"/>
      <c r="H61" s="1"/>
      <c r="I61" s="1"/>
      <c r="J61" s="1"/>
      <c r="K61" s="1"/>
    </row>
    <row r="62" spans="1:11" x14ac:dyDescent="0.25">
      <c r="A62" s="1"/>
      <c r="B62" s="78"/>
      <c r="C62" s="1"/>
      <c r="D62" s="1"/>
      <c r="E62" s="1"/>
      <c r="F62" s="79"/>
      <c r="G62" s="1"/>
      <c r="H62" s="1"/>
      <c r="I62" s="1"/>
      <c r="J62" s="1"/>
      <c r="K62" s="1"/>
    </row>
    <row r="63" spans="1:11" x14ac:dyDescent="0.25">
      <c r="A63" s="1"/>
      <c r="B63" s="78"/>
      <c r="C63" s="1"/>
      <c r="D63" s="1"/>
      <c r="E63" s="1"/>
      <c r="F63" s="79"/>
      <c r="G63" s="1"/>
      <c r="H63" s="1"/>
      <c r="I63" s="1"/>
      <c r="J63" s="1"/>
      <c r="K63" s="1"/>
    </row>
    <row r="64" spans="1:11" x14ac:dyDescent="0.25">
      <c r="A64" s="1"/>
      <c r="B64" s="78"/>
      <c r="C64" s="1"/>
      <c r="D64" s="1"/>
      <c r="E64" s="1"/>
      <c r="F64" s="79"/>
      <c r="G64" s="1"/>
      <c r="H64" s="1"/>
      <c r="I64" s="1"/>
      <c r="J64" s="1"/>
      <c r="K64" s="1"/>
    </row>
    <row r="65" spans="1:13" x14ac:dyDescent="0.25">
      <c r="A65" s="1"/>
      <c r="B65" s="80" t="s">
        <v>40</v>
      </c>
      <c r="C65" s="81"/>
      <c r="D65" s="81"/>
      <c r="E65" s="81"/>
      <c r="F65" s="82"/>
      <c r="G65" s="1"/>
      <c r="H65" s="1"/>
      <c r="I65" s="1"/>
      <c r="J65" s="1"/>
      <c r="K65" s="1"/>
    </row>
    <row r="66" spans="1:13" x14ac:dyDescent="0.25">
      <c r="A66" s="1"/>
      <c r="B66" s="78"/>
      <c r="C66" s="1"/>
      <c r="D66" s="1"/>
      <c r="E66" s="1"/>
      <c r="F66" s="79"/>
      <c r="G66" s="1"/>
      <c r="H66" s="1"/>
      <c r="I66" s="1"/>
      <c r="J66" s="1"/>
      <c r="K66" s="1"/>
    </row>
    <row r="67" spans="1:13" x14ac:dyDescent="0.25">
      <c r="A67" s="1"/>
      <c r="B67" s="78" t="s">
        <v>41</v>
      </c>
      <c r="C67" s="83">
        <f>+B52</f>
        <v>45637</v>
      </c>
      <c r="D67" s="83"/>
      <c r="E67" s="83"/>
      <c r="G67" s="1"/>
      <c r="H67" s="1"/>
      <c r="I67" s="1"/>
      <c r="J67" s="1"/>
      <c r="K67" s="1"/>
    </row>
    <row r="68" spans="1:13" ht="17.25" customHeight="1" x14ac:dyDescent="0.25">
      <c r="A68" s="1"/>
      <c r="B68" s="78"/>
      <c r="C68" s="1"/>
      <c r="D68" s="1"/>
      <c r="E68" s="1"/>
      <c r="G68" s="1"/>
      <c r="H68" s="1"/>
      <c r="I68" s="1"/>
      <c r="J68" s="1"/>
      <c r="K68" s="1"/>
    </row>
    <row r="69" spans="1:13" ht="15" customHeight="1" x14ac:dyDescent="0.25">
      <c r="A69" s="1"/>
      <c r="B69" s="84"/>
      <c r="C69" s="85">
        <v>1</v>
      </c>
      <c r="D69" s="85" t="s">
        <v>52</v>
      </c>
      <c r="E69" s="85" t="str">
        <f>+E10</f>
        <v>B</v>
      </c>
      <c r="F69" s="85">
        <f>F10</f>
        <v>2</v>
      </c>
      <c r="G69" s="1"/>
      <c r="H69" s="1"/>
      <c r="I69" s="1"/>
      <c r="J69" s="1"/>
      <c r="K69" s="1"/>
    </row>
    <row r="70" spans="1:13" ht="15" customHeight="1" x14ac:dyDescent="0.25">
      <c r="A70" s="1"/>
      <c r="B70" s="86" t="s">
        <v>43</v>
      </c>
      <c r="C70" s="87">
        <v>45609</v>
      </c>
      <c r="D70" s="87">
        <v>45622</v>
      </c>
      <c r="E70" s="87">
        <v>45622</v>
      </c>
      <c r="F70" s="87"/>
      <c r="G70" s="1"/>
      <c r="H70" s="1"/>
      <c r="I70" s="1"/>
      <c r="J70" s="1"/>
      <c r="K70" s="1"/>
    </row>
    <row r="71" spans="1:13" ht="15" customHeight="1" x14ac:dyDescent="0.25">
      <c r="A71" s="1"/>
      <c r="B71" s="86" t="s">
        <v>44</v>
      </c>
      <c r="C71" s="87">
        <v>45373</v>
      </c>
      <c r="D71" s="87">
        <v>45385</v>
      </c>
      <c r="E71" s="87">
        <v>45386</v>
      </c>
      <c r="F71" s="87"/>
      <c r="G71" s="1"/>
      <c r="H71" s="1"/>
      <c r="I71" s="1"/>
      <c r="J71" s="1"/>
      <c r="K71" s="1"/>
    </row>
    <row r="72" spans="1:13" ht="15" customHeight="1" x14ac:dyDescent="0.25">
      <c r="A72" s="1"/>
      <c r="B72" s="78"/>
      <c r="C72" s="88"/>
      <c r="D72" s="88"/>
      <c r="E72" s="88"/>
      <c r="F72" s="88"/>
      <c r="G72" s="1"/>
      <c r="H72" s="1"/>
      <c r="I72" s="1"/>
      <c r="J72" s="1"/>
      <c r="K72" s="1"/>
    </row>
    <row r="73" spans="1:13" ht="15" customHeight="1" x14ac:dyDescent="0.25">
      <c r="A73" s="1"/>
      <c r="B73" s="78" t="s">
        <v>45</v>
      </c>
      <c r="C73" s="89">
        <f>$B$49</f>
        <v>45635</v>
      </c>
      <c r="D73" s="89">
        <f>$B$49</f>
        <v>45635</v>
      </c>
      <c r="E73" s="89">
        <f>$B$49</f>
        <v>45635</v>
      </c>
      <c r="F73" s="89"/>
      <c r="H73" s="1"/>
      <c r="I73" s="1"/>
      <c r="J73" s="1"/>
      <c r="K73" s="1"/>
    </row>
    <row r="74" spans="1:13" ht="15" customHeight="1" x14ac:dyDescent="0.25">
      <c r="A74" s="1"/>
      <c r="B74" s="86" t="s">
        <v>46</v>
      </c>
      <c r="C74" s="90">
        <f t="shared" ref="C74:E74" si="20">C73-C70</f>
        <v>26</v>
      </c>
      <c r="D74" s="90">
        <f t="shared" si="20"/>
        <v>13</v>
      </c>
      <c r="E74" s="90">
        <f t="shared" si="20"/>
        <v>13</v>
      </c>
      <c r="F74" s="90"/>
      <c r="G74" s="1"/>
      <c r="I74" s="1"/>
      <c r="J74" s="1"/>
      <c r="K74" s="1"/>
    </row>
    <row r="75" spans="1:13" x14ac:dyDescent="0.25">
      <c r="A75" s="1"/>
      <c r="B75" s="91">
        <v>30</v>
      </c>
      <c r="C75" s="92"/>
      <c r="D75" s="92"/>
      <c r="E75" s="92"/>
      <c r="G75" s="1"/>
      <c r="H75" s="93"/>
      <c r="I75" s="1"/>
      <c r="J75" s="1"/>
      <c r="K75" s="1"/>
    </row>
    <row r="76" spans="1:13" ht="30" customHeight="1" x14ac:dyDescent="0.25">
      <c r="A76" s="1"/>
      <c r="B76" s="94" t="s">
        <v>47</v>
      </c>
      <c r="C76" s="95" t="s">
        <v>18</v>
      </c>
      <c r="D76" s="95" t="s">
        <v>18</v>
      </c>
      <c r="E76" s="95" t="s">
        <v>18</v>
      </c>
      <c r="F76" s="96" t="s">
        <v>18</v>
      </c>
      <c r="G76" s="1"/>
      <c r="H76" s="218" t="s">
        <v>48</v>
      </c>
      <c r="I76" s="218"/>
      <c r="J76" s="218"/>
      <c r="K76" s="218"/>
      <c r="L76" s="218"/>
      <c r="M76" s="218"/>
    </row>
    <row r="77" spans="1:13" x14ac:dyDescent="0.25">
      <c r="A77" s="1"/>
      <c r="B77" s="97"/>
      <c r="C77" s="98"/>
      <c r="D77" s="98"/>
      <c r="E77" s="98"/>
      <c r="F77" s="99"/>
      <c r="G77" s="1"/>
      <c r="H77" s="218"/>
      <c r="I77" s="218"/>
      <c r="J77" s="218"/>
      <c r="K77" s="218"/>
      <c r="L77" s="218"/>
      <c r="M77" s="218"/>
    </row>
    <row r="78" spans="1:13" x14ac:dyDescent="0.25">
      <c r="A78" s="1"/>
      <c r="B78" s="100"/>
      <c r="C78" s="101"/>
      <c r="D78" s="101"/>
      <c r="E78" s="101"/>
      <c r="F78" s="102"/>
      <c r="G78" s="1"/>
      <c r="H78" s="218"/>
      <c r="I78" s="218"/>
      <c r="J78" s="218"/>
      <c r="K78" s="218"/>
      <c r="L78" s="218"/>
      <c r="M78" s="218"/>
    </row>
    <row r="79" spans="1:13" x14ac:dyDescent="0.25">
      <c r="A79" s="1"/>
      <c r="B79" s="103"/>
      <c r="C79" s="103"/>
      <c r="D79" s="103"/>
      <c r="E79" s="103"/>
      <c r="F79" s="104"/>
      <c r="G79" s="1"/>
      <c r="H79" s="218"/>
      <c r="I79" s="218"/>
      <c r="J79" s="218"/>
      <c r="K79" s="218"/>
      <c r="L79" s="218"/>
      <c r="M79" s="218"/>
    </row>
    <row r="80" spans="1:13" x14ac:dyDescent="0.25">
      <c r="A80" s="1"/>
      <c r="B80" s="103"/>
      <c r="C80" s="103"/>
      <c r="D80" s="103"/>
      <c r="E80" s="103"/>
      <c r="F80" s="104"/>
      <c r="G80" s="1"/>
      <c r="H80" s="218"/>
      <c r="I80" s="218"/>
      <c r="J80" s="218"/>
      <c r="K80" s="218"/>
      <c r="L80" s="218"/>
      <c r="M80" s="218"/>
    </row>
    <row r="81" spans="1:11" x14ac:dyDescent="0.25">
      <c r="A81" s="1"/>
      <c r="B81" s="103"/>
      <c r="C81" s="103"/>
      <c r="D81" s="103"/>
      <c r="E81" s="103"/>
      <c r="F81" s="104"/>
      <c r="G81" s="1"/>
      <c r="H81" s="1"/>
      <c r="I81" s="1"/>
      <c r="J81" s="1"/>
      <c r="K81" s="1"/>
    </row>
    <row r="82" spans="1:11" x14ac:dyDescent="0.25">
      <c r="A82" s="1"/>
      <c r="B82" s="103"/>
      <c r="C82" s="103"/>
      <c r="D82" s="103"/>
      <c r="E82" s="103"/>
      <c r="F82" s="104"/>
      <c r="G82" s="1"/>
      <c r="H82" s="1"/>
      <c r="I82" s="1"/>
      <c r="J82" s="1"/>
      <c r="K82" s="1"/>
    </row>
    <row r="83" spans="1:11" x14ac:dyDescent="0.25">
      <c r="A83" s="1"/>
      <c r="B83" s="103"/>
      <c r="C83" s="103"/>
      <c r="D83" s="103"/>
      <c r="E83" s="103"/>
      <c r="F83" s="104"/>
      <c r="G83" s="1"/>
      <c r="H83" s="1"/>
      <c r="I83" s="1"/>
      <c r="J83" s="1"/>
      <c r="K83" s="1"/>
    </row>
    <row r="84" spans="1:11" x14ac:dyDescent="0.25">
      <c r="A84" s="1"/>
      <c r="B84" s="103"/>
      <c r="C84" s="103"/>
      <c r="D84" s="103"/>
      <c r="E84" s="103"/>
      <c r="F84" s="104"/>
      <c r="G84" s="1"/>
      <c r="H84" s="1"/>
      <c r="I84" s="1"/>
      <c r="J84" s="1"/>
      <c r="K84" s="1"/>
    </row>
    <row r="85" spans="1:11" x14ac:dyDescent="0.25">
      <c r="A85" s="1"/>
      <c r="B85" s="103"/>
      <c r="C85" s="103"/>
      <c r="D85" s="103"/>
      <c r="E85" s="103"/>
      <c r="F85" s="104"/>
      <c r="G85" s="1"/>
      <c r="H85" s="1"/>
      <c r="I85" s="1"/>
      <c r="J85" s="1"/>
      <c r="K85" s="1"/>
    </row>
    <row r="86" spans="1:11" x14ac:dyDescent="0.25">
      <c r="A86" s="1"/>
      <c r="B86" s="103"/>
      <c r="C86" s="103"/>
      <c r="D86" s="103"/>
      <c r="E86" s="103"/>
      <c r="F86" s="104"/>
      <c r="G86" s="1"/>
      <c r="H86" s="1"/>
      <c r="I86" s="1"/>
      <c r="J86" s="1"/>
      <c r="K86" s="1"/>
    </row>
    <row r="87" spans="1:11" x14ac:dyDescent="0.25">
      <c r="A87" s="1"/>
      <c r="B87" s="103"/>
      <c r="C87" s="103"/>
      <c r="D87" s="103"/>
      <c r="E87" s="103"/>
      <c r="F87" s="104"/>
      <c r="G87" s="1"/>
      <c r="H87" s="1"/>
      <c r="I87" s="1"/>
      <c r="J87" s="1"/>
      <c r="K87" s="1"/>
    </row>
    <row r="88" spans="1:11" x14ac:dyDescent="0.25">
      <c r="A88" s="1"/>
      <c r="B88" s="103"/>
      <c r="C88" s="103"/>
      <c r="D88" s="103"/>
      <c r="E88" s="103"/>
      <c r="F88" s="104"/>
      <c r="G88" s="1"/>
      <c r="H88" s="1"/>
      <c r="I88" s="1"/>
      <c r="J88" s="1"/>
      <c r="K88" s="1"/>
    </row>
    <row r="89" spans="1:11" x14ac:dyDescent="0.25">
      <c r="A89" s="1"/>
      <c r="B89" s="103"/>
      <c r="C89" s="103"/>
      <c r="D89" s="103"/>
      <c r="E89" s="103"/>
      <c r="F89" s="104"/>
      <c r="G89" s="1"/>
      <c r="H89" s="1"/>
      <c r="I89" s="1"/>
      <c r="J89" s="1"/>
      <c r="K89" s="1"/>
    </row>
    <row r="90" spans="1:11" x14ac:dyDescent="0.25">
      <c r="A90" s="1"/>
      <c r="B90" s="103"/>
      <c r="C90" s="103"/>
      <c r="D90" s="103"/>
      <c r="E90" s="103"/>
      <c r="F90" s="104"/>
      <c r="G90" s="1"/>
      <c r="H90" s="1"/>
      <c r="I90" s="1"/>
      <c r="J90" s="1"/>
      <c r="K90" s="1"/>
    </row>
  </sheetData>
  <mergeCells count="8">
    <mergeCell ref="B1:B5"/>
    <mergeCell ref="B7:F7"/>
    <mergeCell ref="B45:F46"/>
    <mergeCell ref="B57:F59"/>
    <mergeCell ref="H76:M80"/>
    <mergeCell ref="H36:H37"/>
    <mergeCell ref="I36:I37"/>
    <mergeCell ref="D8:F8"/>
  </mergeCells>
  <conditionalFormatting sqref="B75">
    <cfRule type="cellIs" dxfId="19" priority="12" operator="greaterThan">
      <formula>60</formula>
    </cfRule>
  </conditionalFormatting>
  <conditionalFormatting sqref="B45:F46">
    <cfRule type="containsText" dxfId="18" priority="7" operator="containsText" text="NO HABILITADO">
      <formula>NOT(ISERROR(SEARCH("NO HABILITADO",B45)))</formula>
    </cfRule>
  </conditionalFormatting>
  <conditionalFormatting sqref="C43">
    <cfRule type="cellIs" dxfId="17" priority="3" operator="equal">
      <formula>"habilitado"</formula>
    </cfRule>
    <cfRule type="containsText" dxfId="16" priority="4" operator="containsText" text="NO">
      <formula>NOT(ISERROR(SEARCH("NO",C43)))</formula>
    </cfRule>
  </conditionalFormatting>
  <conditionalFormatting sqref="C12:E12">
    <cfRule type="cellIs" dxfId="15" priority="8" operator="equal">
      <formula>"no vigente"</formula>
    </cfRule>
  </conditionalFormatting>
  <conditionalFormatting sqref="C12:F12">
    <cfRule type="cellIs" dxfId="14" priority="1" operator="equal">
      <formula>"NO CUMPLE"</formula>
    </cfRule>
    <cfRule type="cellIs" dxfId="13" priority="2" operator="equal">
      <formula>"CUMPLE"</formula>
    </cfRule>
    <cfRule type="cellIs" dxfId="12" priority="11" operator="equal">
      <formula>"NO VIGENTE"</formula>
    </cfRule>
  </conditionalFormatting>
  <conditionalFormatting sqref="C71:F71">
    <cfRule type="expression" dxfId="11" priority="10">
      <formula>YEAR(C71)=2022</formula>
    </cfRule>
  </conditionalFormatting>
  <conditionalFormatting sqref="C74:F74">
    <cfRule type="cellIs" dxfId="10" priority="9" operator="greaterThan">
      <formula>$B$75</formula>
    </cfRule>
  </conditionalFormatting>
  <conditionalFormatting sqref="F43 F12 F39 F41">
    <cfRule type="containsText" dxfId="9" priority="6" operator="containsText" text="NO">
      <formula>NOT(ISERROR(SEARCH("NO",F12)))</formula>
    </cfRule>
  </conditionalFormatting>
  <conditionalFormatting sqref="F43">
    <cfRule type="cellIs" dxfId="8" priority="5" operator="equal">
      <formula>"habilitado"</formula>
    </cfRule>
  </conditionalFormatting>
  <dataValidations count="1">
    <dataValidation type="list" allowBlank="1" showInputMessage="1" showErrorMessage="1" sqref="C76:F76" xr:uid="{5ECC531B-9FEE-458C-AC4B-34961B480AF9}">
      <formula1>$H$23:$I$23</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6E2F-88FF-462E-A8FF-695EEDD8D900}">
  <dimension ref="A1:N34"/>
  <sheetViews>
    <sheetView topLeftCell="A4" workbookViewId="0">
      <selection activeCell="I13" sqref="I13"/>
    </sheetView>
  </sheetViews>
  <sheetFormatPr baseColWidth="10" defaultColWidth="11.42578125" defaultRowHeight="15" x14ac:dyDescent="0.25"/>
  <cols>
    <col min="1" max="1" width="7.42578125" customWidth="1"/>
    <col min="2" max="2" width="50.5703125" customWidth="1"/>
    <col min="3" max="10" width="14.28515625" customWidth="1"/>
    <col min="11" max="11" width="54" customWidth="1"/>
  </cols>
  <sheetData>
    <row r="1" spans="1:14" ht="18" x14ac:dyDescent="0.25">
      <c r="A1" s="105"/>
      <c r="B1" s="236" t="s">
        <v>57</v>
      </c>
      <c r="C1" s="236"/>
      <c r="D1" s="236"/>
      <c r="E1" s="236"/>
      <c r="F1" s="236"/>
      <c r="G1" s="236"/>
      <c r="H1" s="236"/>
      <c r="I1" s="236"/>
      <c r="J1" s="236"/>
      <c r="K1" s="236"/>
    </row>
    <row r="2" spans="1:14" ht="18" x14ac:dyDescent="0.25">
      <c r="A2" s="105"/>
      <c r="B2" s="236" t="s">
        <v>58</v>
      </c>
      <c r="C2" s="236"/>
      <c r="D2" s="236"/>
      <c r="E2" s="236"/>
      <c r="F2" s="236"/>
      <c r="G2" s="236"/>
      <c r="H2" s="236"/>
      <c r="I2" s="236"/>
      <c r="J2" s="236"/>
      <c r="K2" s="236"/>
    </row>
    <row r="3" spans="1:14" ht="18" x14ac:dyDescent="0.25">
      <c r="A3" s="105"/>
      <c r="B3" s="236" t="s">
        <v>59</v>
      </c>
      <c r="C3" s="236"/>
      <c r="D3" s="236"/>
      <c r="E3" s="236"/>
      <c r="F3" s="236"/>
      <c r="G3" s="236"/>
      <c r="H3" s="236"/>
      <c r="I3" s="236"/>
      <c r="J3" s="236"/>
      <c r="K3" s="236"/>
    </row>
    <row r="4" spans="1:14" ht="18" x14ac:dyDescent="0.25">
      <c r="A4" s="105"/>
      <c r="B4" s="237"/>
      <c r="C4" s="237"/>
      <c r="D4" s="237"/>
      <c r="E4" s="237"/>
      <c r="F4" s="237"/>
      <c r="G4" s="237"/>
      <c r="H4" s="237"/>
      <c r="I4" s="237"/>
      <c r="J4" s="237"/>
      <c r="K4" s="237"/>
    </row>
    <row r="5" spans="1:14" x14ac:dyDescent="0.25">
      <c r="A5" s="105"/>
      <c r="B5" s="238"/>
      <c r="C5" s="239"/>
      <c r="D5" s="239"/>
      <c r="E5" s="105"/>
      <c r="F5" s="105"/>
      <c r="G5" s="105"/>
      <c r="H5" s="105"/>
      <c r="I5" s="105"/>
      <c r="J5" s="105"/>
      <c r="K5" s="105"/>
    </row>
    <row r="6" spans="1:14" ht="18" x14ac:dyDescent="0.25">
      <c r="A6" s="240" t="s">
        <v>1</v>
      </c>
      <c r="B6" s="240"/>
      <c r="C6" s="240"/>
      <c r="D6" s="240"/>
      <c r="E6" s="241"/>
      <c r="F6" s="241"/>
      <c r="G6" s="241"/>
      <c r="H6" s="241"/>
      <c r="I6" s="241"/>
      <c r="J6" s="241"/>
      <c r="K6" s="241"/>
    </row>
    <row r="7" spans="1:14" ht="15.75" x14ac:dyDescent="0.25">
      <c r="A7" s="230" t="s">
        <v>60</v>
      </c>
      <c r="B7" s="230"/>
      <c r="C7" s="231">
        <f>+Hoja1!H24</f>
        <v>513845286</v>
      </c>
      <c r="D7" s="232"/>
      <c r="E7" s="105"/>
      <c r="F7" s="105"/>
      <c r="G7" s="105"/>
      <c r="H7" s="105"/>
      <c r="I7" s="105"/>
      <c r="J7" s="105"/>
      <c r="K7" s="105"/>
      <c r="N7" t="s">
        <v>61</v>
      </c>
    </row>
    <row r="8" spans="1:14" ht="15.75" x14ac:dyDescent="0.25">
      <c r="A8" s="233" t="s">
        <v>62</v>
      </c>
      <c r="B8" s="233"/>
      <c r="C8" s="234">
        <v>45291</v>
      </c>
      <c r="D8" s="235"/>
      <c r="E8" s="105"/>
      <c r="F8" s="105"/>
      <c r="G8" s="105"/>
      <c r="H8" s="105"/>
      <c r="I8" s="105"/>
      <c r="J8" s="105"/>
      <c r="K8" s="105"/>
    </row>
    <row r="9" spans="1:14" ht="15.75" x14ac:dyDescent="0.25">
      <c r="A9" s="233" t="s">
        <v>63</v>
      </c>
      <c r="B9" s="233"/>
      <c r="C9" s="234">
        <f>+Hoja1!B49</f>
        <v>45635</v>
      </c>
      <c r="D9" s="235"/>
      <c r="E9" s="105"/>
      <c r="F9" s="106"/>
      <c r="G9" s="105"/>
      <c r="H9" s="105"/>
      <c r="I9" s="105"/>
      <c r="J9" s="105"/>
      <c r="K9" s="105"/>
    </row>
    <row r="10" spans="1:14" ht="15" customHeight="1" x14ac:dyDescent="0.25">
      <c r="A10" s="224" t="s">
        <v>64</v>
      </c>
      <c r="B10" s="225"/>
      <c r="C10" s="225"/>
      <c r="D10" s="225"/>
      <c r="E10" s="225"/>
      <c r="F10" s="225"/>
      <c r="G10" s="225"/>
      <c r="H10" s="226"/>
      <c r="I10" s="107" t="s">
        <v>65</v>
      </c>
      <c r="J10" s="227" t="s">
        <v>66</v>
      </c>
      <c r="K10" s="228" t="s">
        <v>67</v>
      </c>
    </row>
    <row r="11" spans="1:14" ht="52.5" customHeight="1" x14ac:dyDescent="0.25">
      <c r="A11" s="108" t="s">
        <v>68</v>
      </c>
      <c r="B11" s="108" t="s">
        <v>69</v>
      </c>
      <c r="C11" s="108" t="s">
        <v>70</v>
      </c>
      <c r="D11" s="108" t="s">
        <v>71</v>
      </c>
      <c r="E11" s="108" t="s">
        <v>72</v>
      </c>
      <c r="F11" s="108" t="s">
        <v>73</v>
      </c>
      <c r="G11" s="108" t="s">
        <v>74</v>
      </c>
      <c r="H11" s="108" t="s">
        <v>75</v>
      </c>
      <c r="I11" s="109" t="s">
        <v>76</v>
      </c>
      <c r="J11" s="228"/>
      <c r="K11" s="229"/>
    </row>
    <row r="12" spans="1:14" ht="30.75" hidden="1" customHeight="1" x14ac:dyDescent="0.25">
      <c r="A12" s="110" t="s">
        <v>77</v>
      </c>
      <c r="B12">
        <v>35</v>
      </c>
      <c r="C12" s="111">
        <v>20</v>
      </c>
      <c r="D12" s="111">
        <v>22</v>
      </c>
      <c r="E12" s="111">
        <v>24</v>
      </c>
      <c r="F12" s="111">
        <v>26</v>
      </c>
      <c r="G12" s="111">
        <v>30</v>
      </c>
      <c r="H12" s="111">
        <v>32</v>
      </c>
      <c r="I12" s="112">
        <v>3</v>
      </c>
      <c r="J12" s="111">
        <v>34</v>
      </c>
      <c r="K12" s="113">
        <v>51</v>
      </c>
    </row>
    <row r="13" spans="1:14" ht="30.75" customHeight="1" x14ac:dyDescent="0.25">
      <c r="A13" s="110">
        <v>1</v>
      </c>
      <c r="B13" s="114" t="str">
        <f>HLOOKUP($A13,Hoja1!$C$10:$F$44,B$12,FALSE)</f>
        <v>CONSULTORIAS, INVERSIONES Y PROYECTOS SOCIEDAD POR ACCIONES SIMPLIFICADA</v>
      </c>
      <c r="C13" s="114" t="str">
        <f>HLOOKUP($A13,Hoja1!$C$10:$F$44,C$12,FALSE)</f>
        <v>CUMPLE</v>
      </c>
      <c r="D13" s="114" t="str">
        <f>HLOOKUP($A13,Hoja1!$C$10:$F$44,D$12,FALSE)</f>
        <v>CUMPLE</v>
      </c>
      <c r="E13" s="114" t="str">
        <f>HLOOKUP($A13,Hoja1!$C$10:$F$44,E$12,FALSE)</f>
        <v>CUMPLE</v>
      </c>
      <c r="F13" s="114" t="str">
        <f>HLOOKUP($A13,Hoja1!$C$10:$F$44,F$12,FALSE)</f>
        <v>CUMPLE</v>
      </c>
      <c r="G13" s="114" t="str">
        <f>HLOOKUP($A13,Hoja1!$C$10:$F$44,G$12,FALSE)</f>
        <v>CUMPLE</v>
      </c>
      <c r="H13" s="114" t="str">
        <f>HLOOKUP($A13,Hoja1!$C$10:$F$44,H$12,FALSE)</f>
        <v>CUMPLE</v>
      </c>
      <c r="I13" s="114" t="str">
        <f>HLOOKUP($A13,Hoja1!$C$10:$F$44,I$12,FALSE)</f>
        <v>CUMPLE</v>
      </c>
      <c r="J13" s="114" t="str">
        <f>HLOOKUP($A13,Hoja1!$C$10:$F$44,J$12,FALSE)</f>
        <v>HABILITADO</v>
      </c>
      <c r="K13" s="114"/>
    </row>
    <row r="14" spans="1:14" ht="35.25" customHeight="1" x14ac:dyDescent="0.25">
      <c r="A14" s="110">
        <v>2</v>
      </c>
      <c r="B14" s="114" t="str">
        <f>HLOOKUP($A14,Hoja1!$C$10:$F$44,B$12,FALSE)</f>
        <v>CONSORCIO ARQINGCO</v>
      </c>
      <c r="C14" s="114" t="str">
        <f>HLOOKUP($A14,Hoja1!$C$10:$F$44,C$12,FALSE)</f>
        <v>CUMPLE</v>
      </c>
      <c r="D14" s="114" t="str">
        <f>HLOOKUP($A14,Hoja1!$C$10:$F$44,D$12,FALSE)</f>
        <v>CUMPLE</v>
      </c>
      <c r="E14" s="114" t="str">
        <f>HLOOKUP($A14,Hoja1!$C$10:$F$44,E$12,FALSE)</f>
        <v>CUMPLE</v>
      </c>
      <c r="F14" s="114" t="str">
        <f>HLOOKUP($A14,Hoja1!$C$10:$F$44,F$12,FALSE)</f>
        <v>CUMPLE</v>
      </c>
      <c r="G14" s="114" t="str">
        <f>HLOOKUP($A14,Hoja1!$C$10:$F$44,G$12,FALSE)</f>
        <v>CUMPLE</v>
      </c>
      <c r="H14" s="114" t="str">
        <f>HLOOKUP($A14,Hoja1!$C$10:$F$44,H$12,FALSE)</f>
        <v>CUMPLE</v>
      </c>
      <c r="I14" s="114" t="str">
        <f>HLOOKUP($A14,Hoja1!$C$10:$F$44,I$12,FALSE)</f>
        <v>CUMPLE</v>
      </c>
      <c r="J14" s="114" t="str">
        <f>HLOOKUP($A14,Hoja1!$C$10:$F$44,J$12,FALSE)</f>
        <v>HABILITADO</v>
      </c>
      <c r="K14" s="113"/>
    </row>
    <row r="15" spans="1:14" x14ac:dyDescent="0.25">
      <c r="A15" s="115"/>
      <c r="B15" s="115" t="s">
        <v>78</v>
      </c>
      <c r="C15" s="115"/>
      <c r="D15" s="115"/>
      <c r="E15" s="115"/>
      <c r="F15" s="115"/>
      <c r="G15" s="115"/>
      <c r="H15" s="115"/>
      <c r="I15" s="115"/>
      <c r="J15" s="115"/>
      <c r="K15" s="115"/>
    </row>
    <row r="16" spans="1:14" x14ac:dyDescent="0.25">
      <c r="A16" s="115"/>
      <c r="B16" s="115"/>
      <c r="C16" s="115"/>
      <c r="D16" s="115"/>
      <c r="E16" s="115"/>
      <c r="F16" s="115"/>
      <c r="G16" s="115"/>
      <c r="H16" s="115"/>
      <c r="I16" s="115"/>
      <c r="J16" s="115"/>
      <c r="K16" s="115"/>
    </row>
    <row r="17" spans="1:11" x14ac:dyDescent="0.25">
      <c r="A17" s="115"/>
      <c r="B17" s="18" t="str">
        <f>'[1]1'!B50</f>
        <v>Fecha de elaboración (preliminar):</v>
      </c>
      <c r="C17" s="115"/>
      <c r="D17" s="115"/>
      <c r="E17" s="115"/>
      <c r="F17" s="115"/>
      <c r="G17" s="115"/>
      <c r="H17" s="115"/>
      <c r="I17" s="115"/>
      <c r="J17" s="115"/>
      <c r="K17" s="115"/>
    </row>
    <row r="18" spans="1:11" ht="15.75" x14ac:dyDescent="0.25">
      <c r="A18" s="115"/>
      <c r="B18" s="57">
        <f>+Hoja1!B52</f>
        <v>45637</v>
      </c>
      <c r="C18" s="115"/>
      <c r="D18" s="115"/>
      <c r="E18" s="115"/>
      <c r="F18" s="115"/>
      <c r="G18" s="115"/>
      <c r="H18" s="115"/>
      <c r="I18" s="115"/>
      <c r="J18" s="115"/>
      <c r="K18" s="115"/>
    </row>
    <row r="19" spans="1:11" x14ac:dyDescent="0.25">
      <c r="A19" s="115"/>
      <c r="B19" s="115"/>
      <c r="C19" s="115"/>
      <c r="D19" s="115"/>
      <c r="E19" s="115"/>
      <c r="F19" s="115"/>
      <c r="G19" s="115"/>
      <c r="H19" s="115"/>
      <c r="I19" s="115"/>
      <c r="J19" s="115"/>
      <c r="K19" s="115"/>
    </row>
    <row r="20" spans="1:11" x14ac:dyDescent="0.25">
      <c r="A20" s="115"/>
      <c r="B20" s="18" t="str">
        <f>'[1]1'!B53</f>
        <v>Fecha de verificación defiitiva:</v>
      </c>
      <c r="C20" s="115"/>
      <c r="D20" s="115"/>
      <c r="E20" s="115"/>
      <c r="F20" s="115"/>
      <c r="G20" s="115"/>
      <c r="H20" s="115"/>
      <c r="I20" s="115"/>
      <c r="J20" s="115"/>
      <c r="K20" s="115"/>
    </row>
    <row r="21" spans="1:11" ht="15.75" x14ac:dyDescent="0.25">
      <c r="A21" s="115"/>
      <c r="B21" s="57">
        <f>+Hoja1!B55</f>
        <v>45637</v>
      </c>
      <c r="C21" s="115"/>
      <c r="D21" s="115"/>
      <c r="E21" s="63" t="str">
        <f>+'[1]1'!D52</f>
        <v>Maribel Gómez Rodriguez</v>
      </c>
      <c r="F21" s="115"/>
      <c r="G21" s="115"/>
      <c r="H21" s="116"/>
      <c r="I21" s="115"/>
      <c r="J21" s="115"/>
      <c r="K21" s="115"/>
    </row>
    <row r="22" spans="1:11" x14ac:dyDescent="0.25">
      <c r="A22" s="115"/>
      <c r="B22" s="117"/>
      <c r="C22" s="117"/>
      <c r="D22" s="117"/>
      <c r="E22" s="63" t="str">
        <f>+'[1]1'!D53</f>
        <v>Profesional Área de Presupuesto (E) - FDL Tunjuelito</v>
      </c>
      <c r="F22" s="117"/>
      <c r="G22" s="115"/>
      <c r="H22" s="118"/>
      <c r="I22" s="115"/>
      <c r="J22" s="115"/>
      <c r="K22" s="115"/>
    </row>
    <row r="23" spans="1:11" x14ac:dyDescent="0.25">
      <c r="A23" s="115"/>
      <c r="B23" s="117"/>
      <c r="C23" s="117"/>
      <c r="D23" s="117"/>
      <c r="E23" s="63" t="str">
        <f>+'[1]1'!D54</f>
        <v>Comité Evaluador Financiero</v>
      </c>
      <c r="F23" s="117"/>
      <c r="G23" s="115"/>
      <c r="H23" s="66"/>
      <c r="I23" s="115"/>
      <c r="J23" s="115"/>
      <c r="K23" s="115"/>
    </row>
    <row r="24" spans="1:11" x14ac:dyDescent="0.25">
      <c r="A24" s="115"/>
      <c r="B24" s="115"/>
      <c r="C24" s="115"/>
      <c r="D24" s="115"/>
      <c r="E24" s="115"/>
      <c r="F24" s="115"/>
      <c r="G24" s="115"/>
      <c r="H24" s="115"/>
      <c r="I24" s="115"/>
      <c r="J24" s="115"/>
      <c r="K24" s="115"/>
    </row>
    <row r="25" spans="1:11" x14ac:dyDescent="0.25">
      <c r="A25" s="115"/>
      <c r="B25" s="115"/>
      <c r="C25" s="115"/>
      <c r="D25" s="115"/>
      <c r="E25" s="115"/>
      <c r="F25" s="115"/>
      <c r="G25" s="115"/>
      <c r="H25" s="115"/>
      <c r="I25" s="115"/>
      <c r="J25" s="115"/>
      <c r="K25" s="115"/>
    </row>
    <row r="26" spans="1:11" x14ac:dyDescent="0.25">
      <c r="A26" s="115"/>
      <c r="B26" s="115"/>
      <c r="C26" s="115"/>
      <c r="D26" s="115"/>
      <c r="E26" s="115"/>
      <c r="F26" s="115"/>
      <c r="G26" s="115"/>
      <c r="H26" s="115"/>
      <c r="I26" s="115"/>
      <c r="J26" s="115"/>
      <c r="K26" s="115"/>
    </row>
    <row r="27" spans="1:11" x14ac:dyDescent="0.25">
      <c r="A27" s="115"/>
      <c r="B27" s="115"/>
      <c r="C27" s="115"/>
      <c r="D27" s="115"/>
      <c r="E27" s="115"/>
      <c r="F27" s="115"/>
      <c r="G27" s="115"/>
      <c r="H27" s="115"/>
      <c r="I27" s="115"/>
      <c r="J27" s="115"/>
      <c r="K27" s="115"/>
    </row>
    <row r="28" spans="1:11" x14ac:dyDescent="0.25">
      <c r="A28" s="115"/>
      <c r="B28" s="115"/>
      <c r="C28" s="115"/>
      <c r="D28" s="115"/>
      <c r="E28" s="115"/>
      <c r="F28" s="115"/>
      <c r="G28" s="115"/>
      <c r="H28" s="115"/>
      <c r="I28" s="115"/>
      <c r="J28" s="115"/>
      <c r="K28" s="115"/>
    </row>
    <row r="29" spans="1:11" x14ac:dyDescent="0.25">
      <c r="A29" s="115"/>
      <c r="B29" s="115"/>
      <c r="C29" s="115"/>
      <c r="D29" s="115"/>
      <c r="E29" s="115"/>
      <c r="F29" s="115"/>
      <c r="G29" s="115"/>
      <c r="H29" s="115"/>
      <c r="I29" s="115"/>
      <c r="J29" s="115"/>
      <c r="K29" s="115"/>
    </row>
    <row r="30" spans="1:11" x14ac:dyDescent="0.25">
      <c r="A30" s="115"/>
      <c r="B30" s="115"/>
      <c r="C30" s="115"/>
      <c r="D30" s="115"/>
      <c r="E30" s="115"/>
      <c r="F30" s="115"/>
      <c r="G30" s="115"/>
      <c r="H30" s="115"/>
      <c r="I30" s="115"/>
      <c r="J30" s="115"/>
      <c r="K30" s="115"/>
    </row>
    <row r="31" spans="1:11" x14ac:dyDescent="0.25">
      <c r="A31" s="115"/>
      <c r="B31" s="115"/>
      <c r="C31" s="115"/>
      <c r="D31" s="115"/>
      <c r="E31" s="115"/>
      <c r="F31" s="115"/>
      <c r="G31" s="115"/>
      <c r="H31" s="115"/>
      <c r="I31" s="115"/>
      <c r="J31" s="115"/>
      <c r="K31" s="115"/>
    </row>
    <row r="32" spans="1:11" x14ac:dyDescent="0.25">
      <c r="A32" s="115"/>
      <c r="B32" s="115"/>
      <c r="C32" s="115"/>
      <c r="D32" s="115"/>
      <c r="E32" s="115"/>
      <c r="F32" s="115"/>
      <c r="G32" s="115"/>
      <c r="H32" s="115"/>
      <c r="I32" s="115"/>
      <c r="J32" s="115"/>
      <c r="K32" s="115"/>
    </row>
    <row r="33" spans="1:11" x14ac:dyDescent="0.25">
      <c r="A33" s="115"/>
      <c r="B33" s="115"/>
      <c r="C33" s="115"/>
      <c r="D33" s="115"/>
      <c r="E33" s="115"/>
      <c r="F33" s="115"/>
      <c r="G33" s="115"/>
      <c r="H33" s="115"/>
      <c r="I33" s="115"/>
      <c r="J33" s="115"/>
      <c r="K33" s="115"/>
    </row>
    <row r="34" spans="1:11" x14ac:dyDescent="0.25">
      <c r="I34" s="115"/>
    </row>
  </sheetData>
  <mergeCells count="15">
    <mergeCell ref="A6:K6"/>
    <mergeCell ref="B1:K1"/>
    <mergeCell ref="B2:K2"/>
    <mergeCell ref="B3:K3"/>
    <mergeCell ref="B4:K4"/>
    <mergeCell ref="B5:D5"/>
    <mergeCell ref="A10:H10"/>
    <mergeCell ref="J10:J11"/>
    <mergeCell ref="K10:K11"/>
    <mergeCell ref="A7:B7"/>
    <mergeCell ref="C7:D7"/>
    <mergeCell ref="A8:B8"/>
    <mergeCell ref="C8:D8"/>
    <mergeCell ref="A9:B9"/>
    <mergeCell ref="C9:D9"/>
  </mergeCells>
  <conditionalFormatting sqref="C13:I14">
    <cfRule type="cellIs" dxfId="7" priority="3" operator="equal">
      <formula>"NO CUMPLE"</formula>
    </cfRule>
    <cfRule type="cellIs" dxfId="6" priority="4" operator="equal">
      <formula>"CUMPLE"</formula>
    </cfRule>
  </conditionalFormatting>
  <conditionalFormatting sqref="I1:I4">
    <cfRule type="cellIs" dxfId="5" priority="15" operator="notEqual">
      <formula>"CUMPLE"</formula>
    </cfRule>
    <cfRule type="cellIs" dxfId="4" priority="16" operator="equal">
      <formula>"CUMPLE"</formula>
    </cfRule>
  </conditionalFormatting>
  <conditionalFormatting sqref="J1:J5">
    <cfRule type="cellIs" dxfId="3" priority="13" operator="equal">
      <formula>"HABILITADO"</formula>
    </cfRule>
    <cfRule type="cellIs" dxfId="2" priority="14" operator="equal">
      <formula>"NO HABILITADO"</formula>
    </cfRule>
  </conditionalFormatting>
  <conditionalFormatting sqref="J7:J1048576">
    <cfRule type="cellIs" dxfId="1" priority="1" operator="equal">
      <formula>"HABILITADO"</formula>
    </cfRule>
    <cfRule type="cellIs" dxfId="0" priority="2" operator="equal">
      <formula>"NO HABILITADO"</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f14719b-853d-4c47-81e3-9dfc8511e55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341B0E50C096344A21BBA39A6773126" ma:contentTypeVersion="18" ma:contentTypeDescription="Crear nuevo documento." ma:contentTypeScope="" ma:versionID="99c798057e4ea960a69af4d9b71c9aac">
  <xsd:schema xmlns:xsd="http://www.w3.org/2001/XMLSchema" xmlns:xs="http://www.w3.org/2001/XMLSchema" xmlns:p="http://schemas.microsoft.com/office/2006/metadata/properties" xmlns:ns3="9f14719b-853d-4c47-81e3-9dfc8511e555" xmlns:ns4="ad3001d2-8e62-4c9e-af4c-7a4cd9f94986" targetNamespace="http://schemas.microsoft.com/office/2006/metadata/properties" ma:root="true" ma:fieldsID="ff51eedf1c10467b086b8210cc6a1ac1" ns3:_="" ns4:_="">
    <xsd:import namespace="9f14719b-853d-4c47-81e3-9dfc8511e555"/>
    <xsd:import namespace="ad3001d2-8e62-4c9e-af4c-7a4cd9f9498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Location" minOccurs="0"/>
                <xsd:element ref="ns3:MediaServiceOCR" minOccurs="0"/>
                <xsd:element ref="ns3:MediaServiceAutoKeyPoints" minOccurs="0"/>
                <xsd:element ref="ns3:MediaServiceKeyPoint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14719b-853d-4c47-81e3-9dfc8511e5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3001d2-8e62-4c9e-af4c-7a4cd9f9498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D60BC68-F768-487F-A48F-F0FD180AE93F}">
  <ds:schemaRefs>
    <ds:schemaRef ds:uri="http://purl.org/dc/terms/"/>
    <ds:schemaRef ds:uri="http://schemas.microsoft.com/office/2006/documentManagement/types"/>
    <ds:schemaRef ds:uri="ad3001d2-8e62-4c9e-af4c-7a4cd9f94986"/>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f14719b-853d-4c47-81e3-9dfc8511e555"/>
    <ds:schemaRef ds:uri="http://www.w3.org/XML/1998/namespace"/>
    <ds:schemaRef ds:uri="http://purl.org/dc/dcmitype/"/>
  </ds:schemaRefs>
</ds:datastoreItem>
</file>

<file path=customXml/itemProps2.xml><?xml version="1.0" encoding="utf-8"?>
<ds:datastoreItem xmlns:ds="http://schemas.openxmlformats.org/officeDocument/2006/customXml" ds:itemID="{E0480D11-DAB6-40A3-AB48-5D7F19D50D23}">
  <ds:schemaRefs>
    <ds:schemaRef ds:uri="http://schemas.microsoft.com/sharepoint/v3/contenttype/forms"/>
  </ds:schemaRefs>
</ds:datastoreItem>
</file>

<file path=customXml/itemProps3.xml><?xml version="1.0" encoding="utf-8"?>
<ds:datastoreItem xmlns:ds="http://schemas.openxmlformats.org/officeDocument/2006/customXml" ds:itemID="{B6D41DEF-8785-44D6-9A46-59BE94AADF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14719b-853d-4c47-81e3-9dfc8511e555"/>
    <ds:schemaRef ds:uri="ad3001d2-8e62-4c9e-af4c-7a4cd9f94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Maribel Gomez Rodriguez</dc:creator>
  <cp:lastModifiedBy>Astrid Angelica Vela Martinez</cp:lastModifiedBy>
  <dcterms:created xsi:type="dcterms:W3CDTF">2024-12-11T09:23:22Z</dcterms:created>
  <dcterms:modified xsi:type="dcterms:W3CDTF">2024-12-11T15:32:57Z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0x0101007341B0E50C096344A21BBA39A6773126</vt:lpwstr>
  </property>
</Properties>
</file>