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57314\Desktop\MARTIN\MARTIN\escritorio\ALCALDIA\ALCADIA VILLAVO DOT 2024\PRODUCTOS\EN PROCESO\AVALUO PLUSVALIA Y A CESION EL BUQUE\"/>
    </mc:Choice>
  </mc:AlternateContent>
  <xr:revisionPtr revIDLastSave="0" documentId="13_ncr:1_{823A199C-FBA2-4562-BBC7-AC0035C159F0}" xr6:coauthVersionLast="47" xr6:coauthVersionMax="47" xr10:uidLastSave="{00000000-0000-0000-0000-000000000000}"/>
  <bookViews>
    <workbookView xWindow="14505" yWindow="0" windowWidth="14715" windowHeight="15465" xr2:uid="{00000000-000D-0000-FFFF-FFFF00000000}"/>
  </bookViews>
  <sheets>
    <sheet name="EST MDO VENTA" sheetId="2" r:id="rId1"/>
    <sheet name="AREAS PLUSVALIA" sheetId="5" r:id="rId2"/>
    <sheet name="SERIES IPC" sheetId="7" r:id="rId3"/>
    <sheet name="IC ANTES" sheetId="6" r:id="rId4"/>
    <sheet name="CALCUL PLUSV" sheetId="8" r:id="rId5"/>
    <sheet name="CESIONES" sheetId="9" r:id="rId6"/>
    <sheet name="DOTACION ESPACIO P" sheetId="10" r:id="rId7"/>
    <sheet name="TOTAL AREAS CESION" sheetId="11" r:id="rId8"/>
  </sheets>
  <externalReferences>
    <externalReference r:id="rId9"/>
  </externalReferences>
  <definedNames>
    <definedName name="UND">[1]DATOS!$B$3:$B$37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8" l="1"/>
  <c r="E14" i="8"/>
  <c r="D21" i="8"/>
  <c r="F21" i="8" s="1"/>
  <c r="B21" i="8"/>
  <c r="G12" i="11"/>
  <c r="G11" i="11"/>
  <c r="E11" i="11"/>
  <c r="C11" i="11"/>
  <c r="G9" i="11"/>
  <c r="E9" i="11"/>
  <c r="L7" i="10"/>
  <c r="L5" i="10"/>
  <c r="H15" i="9"/>
  <c r="F15" i="9"/>
  <c r="E13" i="8"/>
  <c r="F9" i="8"/>
  <c r="E9" i="8"/>
  <c r="E11" i="8" s="1"/>
  <c r="E7" i="8"/>
  <c r="AA11" i="7"/>
  <c r="AA12" i="7"/>
  <c r="AA10" i="7"/>
  <c r="AA9" i="7"/>
  <c r="AA13" i="7" l="1"/>
  <c r="N8" i="2" l="1"/>
  <c r="N10" i="2"/>
  <c r="M10" i="2"/>
  <c r="D9" i="5"/>
  <c r="D6" i="5"/>
  <c r="D5" i="5"/>
  <c r="U9" i="6"/>
  <c r="T9" i="6"/>
  <c r="V10" i="6" s="1"/>
  <c r="U7" i="6"/>
  <c r="P6" i="6"/>
  <c r="E5" i="6"/>
  <c r="E4" i="6"/>
  <c r="E3" i="6"/>
  <c r="M8" i="2"/>
  <c r="O8" i="2" s="1"/>
  <c r="M9" i="2"/>
  <c r="N9" i="2" s="1"/>
  <c r="O9" i="2" s="1"/>
  <c r="O10" i="2" l="1"/>
  <c r="E6" i="6"/>
  <c r="E8" i="6" s="1"/>
  <c r="E9" i="6" s="1"/>
  <c r="Z6" i="6" s="1"/>
  <c r="Z7" i="6" s="1"/>
  <c r="H14" i="2" l="1"/>
  <c r="H13" i="2"/>
  <c r="H12" i="2"/>
  <c r="H17" i="2"/>
  <c r="H16" i="2"/>
  <c r="H15" i="2"/>
  <c r="H18" i="2"/>
</calcChain>
</file>

<file path=xl/sharedStrings.xml><?xml version="1.0" encoding="utf-8"?>
<sst xmlns="http://schemas.openxmlformats.org/spreadsheetml/2006/main" count="147" uniqueCount="129">
  <si>
    <t>No</t>
  </si>
  <si>
    <t>TIPO</t>
  </si>
  <si>
    <t>N.P.H.</t>
  </si>
  <si>
    <t>SECTOR</t>
  </si>
  <si>
    <t>UBICACIÓN</t>
  </si>
  <si>
    <t>FUENTE</t>
  </si>
  <si>
    <t>ÁREA TERRENO</t>
  </si>
  <si>
    <t>ÁREA CONSTRUIDA</t>
  </si>
  <si>
    <t>Vlr M2 CONSTRUIDO</t>
  </si>
  <si>
    <t>VlR OFERTA</t>
  </si>
  <si>
    <t>VLR M2 HOMOGENIZADO</t>
  </si>
  <si>
    <t>OBSERVACIONES</t>
  </si>
  <si>
    <t>MEDIA ARITMETICA</t>
  </si>
  <si>
    <t xml:space="preserve">DESVIACION ESTÁNDAR </t>
  </si>
  <si>
    <t>COEFICIENTE DE VARIACION</t>
  </si>
  <si>
    <t>Maximo</t>
  </si>
  <si>
    <t>Minimo</t>
  </si>
  <si>
    <t>VALOR ADOPTADO</t>
  </si>
  <si>
    <t>VALOR TOTAL</t>
  </si>
  <si>
    <t>COEFICIENTE DE ASIMETRIA</t>
  </si>
  <si>
    <t>IMAGEN</t>
  </si>
  <si>
    <t>BUQUE</t>
  </si>
  <si>
    <t xml:space="preserve">Frente de 10 por 11 fondo, lote, sin construcciones, medianero, </t>
  </si>
  <si>
    <t>Frente de 8 por 22 fondo, lote, sin construcciones, medianero.</t>
  </si>
  <si>
    <t>CALCULO INDICE DE CONSTRUCCION</t>
  </si>
  <si>
    <t>LOTE OBJETO</t>
  </si>
  <si>
    <t>LOTE BASE</t>
  </si>
  <si>
    <t>USADOS</t>
  </si>
  <si>
    <t>MATEMATICA</t>
  </si>
  <si>
    <t>Modificar siguientes datos</t>
  </si>
  <si>
    <t>Cantidad</t>
  </si>
  <si>
    <t>Unidad</t>
  </si>
  <si>
    <t>Area lote en bruto (m2)</t>
  </si>
  <si>
    <t>x</t>
  </si>
  <si>
    <t>Frente</t>
  </si>
  <si>
    <t>m</t>
  </si>
  <si>
    <t>(Via Principal)</t>
  </si>
  <si>
    <t>Area lote con cesiones primer piso (m2)</t>
  </si>
  <si>
    <t>Fondo</t>
  </si>
  <si>
    <t>Antejardin 40 % (m2)</t>
  </si>
  <si>
    <t>Antejardin Frontal</t>
  </si>
  <si>
    <t>Area total 2 piso + Antejardin (m2)</t>
  </si>
  <si>
    <t>+</t>
  </si>
  <si>
    <t>Aislamiento posterior</t>
  </si>
  <si>
    <t>Frente (m)</t>
  </si>
  <si>
    <t>Area total 3 al 5 piso + Antejardin (m2)</t>
  </si>
  <si>
    <t>Area total construida (m2)</t>
  </si>
  <si>
    <t>Antejardin (m)</t>
  </si>
  <si>
    <t>I.C</t>
  </si>
  <si>
    <t>/</t>
  </si>
  <si>
    <t>Fondo (m)</t>
  </si>
  <si>
    <t>Lote Tipo</t>
  </si>
  <si>
    <t>Fondo con Cesiones (m2)</t>
  </si>
  <si>
    <t>Aislamiento posterior (m)</t>
  </si>
  <si>
    <t>N°</t>
  </si>
  <si>
    <t>NOTAS</t>
  </si>
  <si>
    <t>CANTIDAD</t>
  </si>
  <si>
    <t>UNIDAD</t>
  </si>
  <si>
    <t>Antejardin vias Principales  (Doble Calzada)</t>
  </si>
  <si>
    <t>metros</t>
  </si>
  <si>
    <t>Antejardin vias Internas Barrios ( Una Calzada)</t>
  </si>
  <si>
    <t>Los metros lineales son de acuerdo al frente del lote y  la via principal</t>
  </si>
  <si>
    <t>Antejardin posterior es de acuerdo a los metros lineales del frente usado</t>
  </si>
  <si>
    <t>La altura minima por piso es de 3 metros</t>
  </si>
  <si>
    <t>Cuando se tenga que calcular el aislamiento posterior mayor a 33 metros lineales de frente , se calculara de la siguiente manera = 3x12 =36 /3 = 12 metros de antejardin</t>
  </si>
  <si>
    <r>
      <rPr>
        <b/>
        <sz val="11"/>
        <color theme="1"/>
        <rFont val="Calibri"/>
        <family val="2"/>
        <scheme val="minor"/>
      </rPr>
      <t xml:space="preserve">De acuerdo al Decreto 235 de 2011 - Articulo 16 </t>
    </r>
    <r>
      <rPr>
        <sz val="11"/>
        <color theme="1"/>
        <rFont val="Calibri"/>
        <family val="2"/>
        <scheme val="minor"/>
      </rPr>
      <t xml:space="preserve">identificar en que tipo de suelo y subcategoria se encuentra para usar la </t>
    </r>
    <r>
      <rPr>
        <b/>
        <sz val="11"/>
        <color theme="1"/>
        <rFont val="Calibri"/>
        <family val="2"/>
        <scheme val="minor"/>
      </rPr>
      <t>Tabla 1:</t>
    </r>
    <r>
      <rPr>
        <sz val="11"/>
        <color theme="1"/>
        <rFont val="Calibri"/>
        <family val="2"/>
        <scheme val="minor"/>
      </rPr>
      <t xml:space="preserve"> Residencial , Comercial grupo 1 y 2  y dotacional grupo 1 y 2 ó </t>
    </r>
    <r>
      <rPr>
        <b/>
        <sz val="11"/>
        <color theme="1"/>
        <rFont val="Calibri"/>
        <family val="2"/>
        <scheme val="minor"/>
      </rPr>
      <t xml:space="preserve">Tabla 2 : </t>
    </r>
    <r>
      <rPr>
        <sz val="11"/>
        <color theme="1"/>
        <rFont val="Calibri"/>
        <family val="2"/>
        <scheme val="minor"/>
      </rPr>
      <t>Comercial grupo 3 y 4 y dotacional grupo 3 y 4.</t>
    </r>
  </si>
  <si>
    <t>I.C. PROYECTO</t>
  </si>
  <si>
    <t>MAYOR APROVECHAMIENTO EN AREA M2</t>
  </si>
  <si>
    <t>AREA CONSTRUIDA M2 APROBADA CURADURIA</t>
  </si>
  <si>
    <t>I.C ANTES DEL HECHO GENERADOR</t>
  </si>
  <si>
    <t>AREA DE TERRENO TOTAL</t>
  </si>
  <si>
    <t>AREA CONSTRUIDA ANTES HECHO GENERADOR</t>
  </si>
  <si>
    <t>Cra 43 A con Cll 47:   4°08'23.3"N 73°38'28.1"W</t>
  </si>
  <si>
    <t>Calle 27 con Cra 43 B:    4°08'23.5"N 73°38'31.1"W</t>
  </si>
  <si>
    <t>CRA 45 A CON CLL 15:   4°08'16.2"N 73°38'50.7"W</t>
  </si>
  <si>
    <t>ESTUDIO DE MERCADO DE INMUEBLES EN EL SECTOR BUQUE DE VILLAVICENCIO META.</t>
  </si>
  <si>
    <t>Frente de 9 por 18 fondo, lote, sin construcciones, medianero.</t>
  </si>
  <si>
    <t>NEGOCIACIÓN</t>
  </si>
  <si>
    <t>Total, Indice de Precios al Consumidor (IPC)</t>
  </si>
  <si>
    <t>Índices - Serie de empalme
2003 - 2024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</si>
  <si>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</si>
  <si>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</si>
  <si>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</si>
  <si>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</si>
  <si>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</si>
  <si>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</si>
  <si>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</si>
  <si>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</si>
  <si>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</si>
  <si>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</si>
  <si>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</si>
  <si>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</si>
  <si>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</si>
  <si>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</si>
  <si>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</si>
  <si>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</si>
  <si>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6 de diciembre de 2024</t>
  </si>
  <si>
    <t>VLR A DEFLACTAR</t>
  </si>
  <si>
    <t>=</t>
  </si>
  <si>
    <t>IPC ACTUAL</t>
  </si>
  <si>
    <t>IPC INICIAL</t>
  </si>
  <si>
    <t>INDICE</t>
  </si>
  <si>
    <t>VLR DEFLACTADO</t>
  </si>
  <si>
    <t>INDICE DE CONSTRUCCION</t>
  </si>
  <si>
    <t>IC1</t>
  </si>
  <si>
    <t>IC2</t>
  </si>
  <si>
    <t>AREA DE TERRENO</t>
  </si>
  <si>
    <t>AREA CONSTRUIDA INDICE ANTERIOR</t>
  </si>
  <si>
    <t>AREA CONSTRUIDA NUEVO INDICE</t>
  </si>
  <si>
    <t>POTENCIAL ADICIONAL DE EDIFICACION</t>
  </si>
  <si>
    <t>MONTO TOTAL DEL MAYOR VALOR</t>
  </si>
  <si>
    <t>EFECTO PLUSVALIA POR M2</t>
  </si>
  <si>
    <t>PRECIO DE REFERENCIA POR M2</t>
  </si>
  <si>
    <t>M2 DE CESIONES A COMPENSAR</t>
  </si>
  <si>
    <t>VALOR COMERCIAL DEL TERRENO</t>
  </si>
  <si>
    <t>VALOR DE LAS AREAS A COMPENSAR</t>
  </si>
  <si>
    <t>AREA TOTAL M2</t>
  </si>
  <si>
    <t>VLR UNITARIO M2</t>
  </si>
  <si>
    <t>AREA A DOTAR</t>
  </si>
  <si>
    <t>AREA A DOTAR M2</t>
  </si>
  <si>
    <t>VALOR DOTACION</t>
  </si>
  <si>
    <t xml:space="preserve">AREA TERRENO CESION </t>
  </si>
  <si>
    <t>VALOR COMERCIAL TERRENO</t>
  </si>
  <si>
    <t>VALOR M2 DOTACION</t>
  </si>
  <si>
    <t>VALOR TOTAL DE LAS AREAS DE CESION</t>
  </si>
  <si>
    <t>VALOR TOTAL DOTACION</t>
  </si>
  <si>
    <t>VALOR TOTAL DEL TERRENO Y SU DOTACION</t>
  </si>
  <si>
    <t>EFECTO PLUSVALIA POR METRO CUADRADO</t>
  </si>
  <si>
    <t>AREA OBJETO DE PARTICIPACION EN PLUSVALIA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</si>
</sst>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$&quot;* #,##0_-;\-&quot;$&quot;* #,##0_-;_-&quot;$&quot;* &quot;-&quot;_-;_-@_-"/>
    <numFmt numFmtId="165" formatCode="[$$-240A]\ #,##0"/>
    <numFmt numFmtId="166" formatCode="[$-C0A]dd\-mmm\-yy;@"/>
    <numFmt numFmtId="167" formatCode="_(* #,##0.00_);_(* \(#,##0.00\);_(* &quot;-&quot;??_);_(@_)"/>
    <numFmt numFmtId="168" formatCode="&quot;$&quot;\ #,##0"/>
    <numFmt numFmtId="169" formatCode="&quot;$&quot;\ #,##0.00"/>
    <numFmt numFmtId="170" formatCode="0.0"/>
    <numFmt numFmtId="171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12"/>
      <name val="Segoe UI"/>
      <family val="2"/>
      <charset val="204"/>
    </font>
    <font>
      <b/>
      <sz val="9"/>
      <name val="Segoe UI"/>
      <family val="2"/>
      <charset val="204"/>
    </font>
    <font>
      <sz val="9"/>
      <name val="Segoe UI"/>
      <family val="2"/>
    </font>
    <font>
      <b/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sz val="10"/>
      <name val="Segoe U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4">
    <xf numFmtId="0" fontId="0" fillId="0" borderId="0" xfId="0"/>
    <xf numFmtId="3" fontId="7" fillId="0" borderId="6" xfId="1" applyNumberFormat="1" applyFont="1" applyFill="1" applyBorder="1"/>
    <xf numFmtId="167" fontId="7" fillId="0" borderId="0" xfId="1" applyNumberFormat="1" applyFont="1" applyFill="1" applyBorder="1"/>
    <xf numFmtId="10" fontId="7" fillId="0" borderId="12" xfId="2" applyNumberFormat="1" applyFont="1" applyFill="1" applyBorder="1"/>
    <xf numFmtId="10" fontId="7" fillId="0" borderId="0" xfId="2" applyNumberFormat="1" applyFont="1" applyFill="1" applyBorder="1"/>
    <xf numFmtId="167" fontId="7" fillId="0" borderId="0" xfId="1" applyNumberFormat="1" applyFont="1" applyFill="1" applyBorder="1" applyAlignment="1">
      <alignment horizontal="center"/>
    </xf>
    <xf numFmtId="4" fontId="7" fillId="0" borderId="12" xfId="1" applyNumberFormat="1" applyFont="1" applyFill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165" fontId="0" fillId="0" borderId="0" xfId="0" applyNumberFormat="1" applyAlignment="1">
      <alignment horizontal="center" vertical="center"/>
    </xf>
    <xf numFmtId="0" fontId="7" fillId="0" borderId="0" xfId="0" applyFont="1"/>
    <xf numFmtId="168" fontId="7" fillId="0" borderId="3" xfId="0" applyNumberFormat="1" applyFont="1" applyBorder="1"/>
    <xf numFmtId="169" fontId="7" fillId="0" borderId="0" xfId="0" applyNumberFormat="1" applyFont="1"/>
    <xf numFmtId="0" fontId="7" fillId="0" borderId="0" xfId="0" applyFont="1" applyAlignment="1">
      <alignment horizontal="right"/>
    </xf>
    <xf numFmtId="167" fontId="7" fillId="0" borderId="0" xfId="0" applyNumberFormat="1" applyFont="1"/>
    <xf numFmtId="168" fontId="7" fillId="0" borderId="6" xfId="0" applyNumberFormat="1" applyFont="1" applyBorder="1"/>
    <xf numFmtId="0" fontId="7" fillId="0" borderId="0" xfId="0" applyFont="1" applyAlignment="1">
      <alignment horizontal="center"/>
    </xf>
    <xf numFmtId="168" fontId="7" fillId="0" borderId="13" xfId="0" applyNumberFormat="1" applyFont="1" applyBorder="1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4" borderId="4" xfId="0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66" fontId="6" fillId="3" borderId="2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167" fontId="6" fillId="3" borderId="2" xfId="1" applyNumberFormat="1" applyFont="1" applyFill="1" applyBorder="1" applyAlignment="1">
      <alignment horizontal="center" vertical="center" wrapText="1"/>
    </xf>
    <xf numFmtId="167" fontId="6" fillId="3" borderId="3" xfId="1" applyNumberFormat="1" applyFont="1" applyFill="1" applyBorder="1" applyAlignment="1">
      <alignment horizontal="center" vertical="center" wrapText="1"/>
    </xf>
    <xf numFmtId="168" fontId="2" fillId="4" borderId="14" xfId="0" applyNumberFormat="1" applyFont="1" applyFill="1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0" borderId="5" xfId="0" applyNumberForma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0" xfId="0" applyFill="1"/>
    <xf numFmtId="2" fontId="0" fillId="5" borderId="5" xfId="0" applyNumberForma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2" fillId="4" borderId="5" xfId="0" applyFont="1" applyFill="1" applyBorder="1" applyAlignment="1">
      <alignment horizontal="center"/>
    </xf>
    <xf numFmtId="2" fontId="0" fillId="8" borderId="42" xfId="0" applyNumberFormat="1" applyFill="1" applyBorder="1" applyAlignment="1">
      <alignment horizontal="center"/>
    </xf>
    <xf numFmtId="0" fontId="0" fillId="0" borderId="0" xfId="0" applyAlignment="1">
      <alignment vertical="center" textRotation="90"/>
    </xf>
    <xf numFmtId="2" fontId="0" fillId="0" borderId="0" xfId="0" applyNumberFormat="1" applyAlignment="1">
      <alignment vertical="center" textRotation="90"/>
    </xf>
    <xf numFmtId="2" fontId="0" fillId="0" borderId="0" xfId="0" applyNumberFormat="1" applyAlignment="1">
      <alignment horizontal="center"/>
    </xf>
    <xf numFmtId="2" fontId="0" fillId="9" borderId="47" xfId="0" applyNumberFormat="1" applyFill="1" applyBorder="1" applyAlignment="1">
      <alignment horizontal="center"/>
    </xf>
    <xf numFmtId="0" fontId="0" fillId="9" borderId="0" xfId="0" applyFill="1"/>
    <xf numFmtId="0" fontId="2" fillId="0" borderId="5" xfId="0" applyFont="1" applyBorder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0" fontId="9" fillId="2" borderId="0" xfId="0" applyFont="1" applyFill="1"/>
    <xf numFmtId="0" fontId="12" fillId="12" borderId="38" xfId="0" applyFont="1" applyFill="1" applyBorder="1"/>
    <xf numFmtId="0" fontId="12" fillId="12" borderId="0" xfId="0" applyFont="1" applyFill="1"/>
    <xf numFmtId="0" fontId="12" fillId="12" borderId="33" xfId="0" applyFont="1" applyFill="1" applyBorder="1"/>
    <xf numFmtId="0" fontId="12" fillId="2" borderId="34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vertical="center"/>
    </xf>
    <xf numFmtId="0" fontId="9" fillId="2" borderId="21" xfId="0" applyFont="1" applyFill="1" applyBorder="1"/>
    <xf numFmtId="0" fontId="9" fillId="2" borderId="36" xfId="0" applyFont="1" applyFill="1" applyBorder="1"/>
    <xf numFmtId="0" fontId="12" fillId="2" borderId="37" xfId="0" applyFont="1" applyFill="1" applyBorder="1" applyAlignment="1">
      <alignment horizontal="right" vertical="center"/>
    </xf>
    <xf numFmtId="0" fontId="12" fillId="0" borderId="40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170" fontId="9" fillId="0" borderId="48" xfId="0" applyNumberFormat="1" applyFont="1" applyBorder="1" applyAlignment="1">
      <alignment horizontal="left" indent="1"/>
    </xf>
    <xf numFmtId="2" fontId="9" fillId="0" borderId="0" xfId="2" applyNumberFormat="1" applyFont="1" applyFill="1" applyBorder="1" applyAlignment="1">
      <alignment horizontal="center"/>
    </xf>
    <xf numFmtId="2" fontId="9" fillId="0" borderId="0" xfId="2" quotePrefix="1" applyNumberFormat="1" applyFont="1" applyFill="1" applyBorder="1" applyAlignment="1">
      <alignment horizontal="center"/>
    </xf>
    <xf numFmtId="0" fontId="9" fillId="0" borderId="36" xfId="2" quotePrefix="1" applyNumberFormat="1" applyFont="1" applyFill="1" applyBorder="1" applyAlignment="1">
      <alignment horizontal="center"/>
    </xf>
    <xf numFmtId="0" fontId="13" fillId="0" borderId="39" xfId="2" quotePrefix="1" applyNumberFormat="1" applyFont="1" applyFill="1" applyBorder="1" applyAlignment="1">
      <alignment horizontal="center"/>
    </xf>
    <xf numFmtId="170" fontId="9" fillId="11" borderId="48" xfId="0" applyNumberFormat="1" applyFont="1" applyFill="1" applyBorder="1" applyAlignment="1">
      <alignment horizontal="left" indent="1"/>
    </xf>
    <xf numFmtId="2" fontId="9" fillId="11" borderId="0" xfId="2" applyNumberFormat="1" applyFont="1" applyFill="1" applyBorder="1" applyAlignment="1">
      <alignment horizontal="center"/>
    </xf>
    <xf numFmtId="4" fontId="9" fillId="11" borderId="0" xfId="2" applyNumberFormat="1" applyFont="1" applyFill="1" applyBorder="1" applyAlignment="1">
      <alignment horizontal="center"/>
    </xf>
    <xf numFmtId="4" fontId="9" fillId="11" borderId="39" xfId="2" applyNumberFormat="1" applyFont="1" applyFill="1" applyBorder="1" applyAlignment="1">
      <alignment horizontal="center"/>
    </xf>
    <xf numFmtId="2" fontId="9" fillId="11" borderId="39" xfId="2" applyNumberFormat="1" applyFont="1" applyFill="1" applyBorder="1" applyAlignment="1">
      <alignment horizontal="center"/>
    </xf>
    <xf numFmtId="2" fontId="9" fillId="0" borderId="39" xfId="2" applyNumberFormat="1" applyFont="1" applyFill="1" applyBorder="1" applyAlignment="1">
      <alignment horizontal="center"/>
    </xf>
    <xf numFmtId="2" fontId="13" fillId="0" borderId="39" xfId="2" applyNumberFormat="1" applyFont="1" applyFill="1" applyBorder="1" applyAlignment="1">
      <alignment horizontal="center"/>
    </xf>
    <xf numFmtId="2" fontId="13" fillId="11" borderId="39" xfId="2" applyNumberFormat="1" applyFont="1" applyFill="1" applyBorder="1" applyAlignment="1">
      <alignment horizontal="center"/>
    </xf>
    <xf numFmtId="170" fontId="9" fillId="11" borderId="49" xfId="0" applyNumberFormat="1" applyFont="1" applyFill="1" applyBorder="1" applyAlignment="1">
      <alignment horizontal="left" indent="1"/>
    </xf>
    <xf numFmtId="2" fontId="9" fillId="11" borderId="33" xfId="2" applyNumberFormat="1" applyFont="1" applyFill="1" applyBorder="1" applyAlignment="1">
      <alignment horizontal="center"/>
    </xf>
    <xf numFmtId="2" fontId="13" fillId="11" borderId="33" xfId="2" applyNumberFormat="1" applyFont="1" applyFill="1" applyBorder="1" applyAlignment="1">
      <alignment horizontal="center"/>
    </xf>
    <xf numFmtId="2" fontId="14" fillId="11" borderId="41" xfId="2" applyNumberFormat="1" applyFont="1" applyFill="1" applyBorder="1" applyAlignment="1">
      <alignment horizontal="center"/>
    </xf>
    <xf numFmtId="0" fontId="15" fillId="2" borderId="36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0" fontId="9" fillId="2" borderId="37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/>
    </xf>
    <xf numFmtId="0" fontId="9" fillId="2" borderId="39" xfId="0" applyFont="1" applyFill="1" applyBorder="1" applyAlignment="1">
      <alignment vertical="center"/>
    </xf>
    <xf numFmtId="3" fontId="16" fillId="2" borderId="40" xfId="0" applyNumberFormat="1" applyFont="1" applyFill="1" applyBorder="1" applyAlignment="1">
      <alignment vertical="center"/>
    </xf>
    <xf numFmtId="3" fontId="16" fillId="2" borderId="33" xfId="0" applyNumberFormat="1" applyFont="1" applyFill="1" applyBorder="1" applyAlignment="1">
      <alignment vertical="center"/>
    </xf>
    <xf numFmtId="3" fontId="16" fillId="2" borderId="33" xfId="0" applyNumberFormat="1" applyFont="1" applyFill="1" applyBorder="1" applyAlignment="1">
      <alignment horizontal="left" vertical="center"/>
    </xf>
    <xf numFmtId="0" fontId="9" fillId="2" borderId="33" xfId="0" applyFont="1" applyFill="1" applyBorder="1" applyAlignment="1">
      <alignment vertical="center"/>
    </xf>
    <xf numFmtId="0" fontId="9" fillId="2" borderId="41" xfId="0" applyFont="1" applyFill="1" applyBorder="1" applyAlignment="1">
      <alignment vertical="center"/>
    </xf>
    <xf numFmtId="0" fontId="17" fillId="2" borderId="0" xfId="0" applyFont="1" applyFill="1"/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168" fontId="0" fillId="3" borderId="5" xfId="0" applyNumberFormat="1" applyFill="1" applyBorder="1"/>
    <xf numFmtId="0" fontId="0" fillId="4" borderId="5" xfId="0" applyFill="1" applyBorder="1"/>
    <xf numFmtId="2" fontId="0" fillId="0" borderId="5" xfId="0" applyNumberFormat="1" applyBorder="1"/>
    <xf numFmtId="0" fontId="0" fillId="0" borderId="5" xfId="0" applyBorder="1"/>
    <xf numFmtId="168" fontId="0" fillId="4" borderId="5" xfId="0" applyNumberFormat="1" applyFill="1" applyBorder="1"/>
    <xf numFmtId="0" fontId="8" fillId="4" borderId="20" xfId="0" applyFont="1" applyFill="1" applyBorder="1" applyAlignment="1">
      <alignment horizontal="center"/>
    </xf>
    <xf numFmtId="0" fontId="8" fillId="4" borderId="21" xfId="0" applyFont="1" applyFill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30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10" borderId="0" xfId="0" applyFont="1" applyFill="1" applyAlignment="1">
      <alignment horizontal="center" vertical="center"/>
    </xf>
    <xf numFmtId="0" fontId="11" fillId="11" borderId="38" xfId="0" applyFont="1" applyFill="1" applyBorder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5" fillId="2" borderId="35" xfId="0" applyFont="1" applyFill="1" applyBorder="1" applyAlignment="1">
      <alignment horizontal="left" vertical="center"/>
    </xf>
    <xf numFmtId="0" fontId="15" fillId="2" borderId="36" xfId="0" applyFont="1" applyFill="1" applyBorder="1" applyAlignment="1">
      <alignment horizontal="left" vertical="center"/>
    </xf>
    <xf numFmtId="0" fontId="15" fillId="2" borderId="38" xfId="0" applyFont="1" applyFill="1" applyBorder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3" borderId="39" xfId="0" applyFill="1" applyBorder="1" applyAlignment="1">
      <alignment horizontal="center" vertical="center" textRotation="90"/>
    </xf>
    <xf numFmtId="2" fontId="0" fillId="3" borderId="12" xfId="0" applyNumberFormat="1" applyFill="1" applyBorder="1" applyAlignment="1">
      <alignment horizontal="center" vertical="center" textRotation="90"/>
    </xf>
    <xf numFmtId="2" fontId="0" fillId="3" borderId="13" xfId="0" applyNumberFormat="1" applyFill="1" applyBorder="1" applyAlignment="1">
      <alignment horizontal="center" vertical="center" textRotation="90"/>
    </xf>
    <xf numFmtId="2" fontId="0" fillId="3" borderId="46" xfId="0" applyNumberFormat="1" applyFill="1" applyBorder="1" applyAlignment="1">
      <alignment horizontal="center" vertical="center" textRotation="90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2" fontId="0" fillId="7" borderId="22" xfId="0" applyNumberFormat="1" applyFill="1" applyBorder="1" applyAlignment="1">
      <alignment horizontal="center" vertical="center" textRotation="90"/>
    </xf>
    <xf numFmtId="2" fontId="0" fillId="7" borderId="38" xfId="0" applyNumberFormat="1" applyFill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9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3" borderId="5" xfId="0" applyFill="1" applyBorder="1" applyAlignment="1">
      <alignment horizontal="left"/>
    </xf>
    <xf numFmtId="0" fontId="0" fillId="8" borderId="34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5" xfId="0" applyFill="1" applyBorder="1" applyAlignment="1">
      <alignment horizontal="left"/>
    </xf>
    <xf numFmtId="0" fontId="2" fillId="0" borderId="3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3" borderId="34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0" borderId="0" xfId="0" applyAlignment="1"/>
    <xf numFmtId="168" fontId="0" fillId="0" borderId="5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3" borderId="5" xfId="0" applyFill="1" applyBorder="1" applyAlignment="1">
      <alignment horizontal="center"/>
    </xf>
    <xf numFmtId="168" fontId="0" fillId="3" borderId="5" xfId="0" applyNumberForma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2" xfId="0" applyBorder="1" applyAlignment="1">
      <alignment horizontal="center"/>
    </xf>
    <xf numFmtId="168" fontId="0" fillId="0" borderId="3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168" fontId="2" fillId="0" borderId="31" xfId="0" applyNumberFormat="1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168" fontId="0" fillId="0" borderId="6" xfId="0" applyNumberFormat="1" applyBorder="1"/>
    <xf numFmtId="0" fontId="0" fillId="0" borderId="6" xfId="0" applyBorder="1"/>
    <xf numFmtId="168" fontId="0" fillId="0" borderId="32" xfId="0" applyNumberFormat="1" applyBorder="1"/>
    <xf numFmtId="0" fontId="0" fillId="3" borderId="1" xfId="0" applyFill="1" applyBorder="1"/>
    <xf numFmtId="0" fontId="0" fillId="3" borderId="3" xfId="0" applyFill="1" applyBorder="1"/>
    <xf numFmtId="0" fontId="0" fillId="4" borderId="4" xfId="0" applyFill="1" applyBorder="1"/>
    <xf numFmtId="0" fontId="0" fillId="4" borderId="30" xfId="0" applyFill="1" applyBorder="1"/>
    <xf numFmtId="0" fontId="0" fillId="3" borderId="5" xfId="0" applyFill="1" applyBorder="1" applyAlignment="1">
      <alignment horizontal="center" vertical="center" wrapText="1"/>
    </xf>
    <xf numFmtId="168" fontId="2" fillId="0" borderId="5" xfId="0" applyNumberFormat="1" applyFont="1" applyBorder="1" applyAlignment="1">
      <alignment horizontal="center"/>
    </xf>
    <xf numFmtId="2" fontId="0" fillId="4" borderId="50" xfId="0" applyNumberFormat="1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168" fontId="0" fillId="0" borderId="51" xfId="0" applyNumberForma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3" borderId="53" xfId="0" applyFill="1" applyBorder="1" applyAlignment="1">
      <alignment horizontal="center" vertical="center" wrapText="1"/>
    </xf>
    <xf numFmtId="0" fontId="0" fillId="3" borderId="54" xfId="0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31752</xdr:colOff>
      <xdr:row>9</xdr:row>
      <xdr:rowOff>21167</xdr:rowOff>
    </xdr:from>
    <xdr:to>
      <xdr:col>4</xdr:col>
      <xdr:colOff>0</xdr:colOff>
      <xdr:row>9</xdr:row>
      <xdr:rowOff>1449916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A1C9CA2-6FE3-52F8-38EF-91EA0A1292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110" t="31148" r="31318" b="38864"/>
        <a:stretch/>
      </xdr:blipFill>
      <xdr:spPr>
        <a:xfrm>
          <a:off x="2550585" y="4508500"/>
          <a:ext cx="1227665" cy="1428749"/>
        </a:xfrm>
        <a:prstGeom prst="rect">
          <a:avLst/>
        </a:prstGeom>
      </xdr:spPr>
    </xdr:pic>
    <xdr:clientData/>
  </xdr:twoCellAnchor>
  <xdr:twoCellAnchor editAs="oneCell">
    <xdr:from>
      <xdr:col>3</xdr:col>
      <xdr:colOff>21166</xdr:colOff>
      <xdr:row>8</xdr:row>
      <xdr:rowOff>0</xdr:rowOff>
    </xdr:from>
    <xdr:to>
      <xdr:col>4</xdr:col>
      <xdr:colOff>10583</xdr:colOff>
      <xdr:row>9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4D2E7B-3B97-AE86-2EC8-D83AB0947B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7521" t="16924" r="29632" b="31435"/>
        <a:stretch/>
      </xdr:blipFill>
      <xdr:spPr>
        <a:xfrm>
          <a:off x="2539999" y="3026833"/>
          <a:ext cx="1248834" cy="1460500"/>
        </a:xfrm>
        <a:prstGeom prst="rect">
          <a:avLst/>
        </a:prstGeom>
      </xdr:spPr>
    </xdr:pic>
    <xdr:clientData/>
  </xdr:twoCellAnchor>
  <xdr:twoCellAnchor editAs="oneCell">
    <xdr:from>
      <xdr:col>3</xdr:col>
      <xdr:colOff>31750</xdr:colOff>
      <xdr:row>7</xdr:row>
      <xdr:rowOff>42334</xdr:rowOff>
    </xdr:from>
    <xdr:to>
      <xdr:col>3</xdr:col>
      <xdr:colOff>1227667</xdr:colOff>
      <xdr:row>7</xdr:row>
      <xdr:rowOff>1428750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481EE1-9A3B-1CF8-5F30-248DFB04F7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6548" t="24681" r="37907" b="38133"/>
        <a:stretch/>
      </xdr:blipFill>
      <xdr:spPr>
        <a:xfrm>
          <a:off x="2550583" y="1608667"/>
          <a:ext cx="1195917" cy="13864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118535</xdr:colOff>
      <xdr:row>3</xdr:row>
      <xdr:rowOff>104774</xdr:rowOff>
    </xdr:from>
    <xdr:to>
      <xdr:col>12</xdr:col>
      <xdr:colOff>38101</xdr:colOff>
      <xdr:row>6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DF3F73-690E-44E1-B348-1404A0F72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535" y="561974"/>
          <a:ext cx="1672166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9</xdr:row>
      <xdr:rowOff>76200</xdr:rowOff>
    </xdr:from>
    <xdr:to>
      <xdr:col>17</xdr:col>
      <xdr:colOff>0</xdr:colOff>
      <xdr:row>25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FCB093-5B3A-4AAD-9B4C-6F978F2EA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790700"/>
          <a:ext cx="7858124" cy="3076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262613</xdr:colOff>
      <xdr:row>31</xdr:row>
      <xdr:rowOff>63748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17805D-6237-D2ED-83BC-24B1610A51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5596613" cy="57977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ORGE%20MARIO%20GANTIVA\IGAC\INSUMOS\FORMATOS\APUS,PRES,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APU'S"/>
      <sheetName val="MOD. PRES. VIVIENDAS"/>
      <sheetName val="MOD. PRES. ANEXOS"/>
      <sheetName val="DATOS"/>
    </sheetNames>
    <sheetDataSet>
      <sheetData sheetId="0"/>
      <sheetData sheetId="1"/>
      <sheetData sheetId="2"/>
      <sheetData sheetId="3"/>
      <sheetData sheetId="4">
        <row r="3">
          <cell r="B3" t="str">
            <v>ML</v>
          </cell>
        </row>
        <row r="4">
          <cell r="B4" t="str">
            <v>M2</v>
          </cell>
        </row>
        <row r="5">
          <cell r="B5" t="str">
            <v>M3</v>
          </cell>
        </row>
        <row r="6">
          <cell r="B6" t="str">
            <v>UND</v>
          </cell>
        </row>
        <row r="7">
          <cell r="B7" t="str">
            <v>VIV</v>
          </cell>
        </row>
        <row r="8">
          <cell r="B8" t="str">
            <v>KG</v>
          </cell>
        </row>
        <row r="9">
          <cell r="B9" t="str">
            <v>GLB</v>
          </cell>
        </row>
        <row r="10">
          <cell r="B10" t="str">
            <v>%</v>
          </cell>
        </row>
        <row r="11">
          <cell r="B11" t="str">
            <v>DÍA</v>
          </cell>
        </row>
        <row r="12">
          <cell r="B12" t="str">
            <v>LB</v>
          </cell>
        </row>
        <row r="13">
          <cell r="B13" t="str">
            <v>HR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35C0-ACD4-4497-AEF0-93D54E576980}">
  <dimension ref="B5:Q19"/>
  <sheetViews>
    <sheetView tabSelected="1" topLeftCell="A4" zoomScale="90" zoomScaleNormal="90" workbookViewId="0">
      <selection activeCell="N8" sqref="N8"/>
    </sheetView>
  </sheetViews>
  <sheetFormatPr baseColWidth="10" defaultRowHeight="15" x14ac:dyDescent="0.25"/>
  <cols>
    <col min="1" max="1" width="23.7109375" customWidth="1"/>
    <col min="2" max="2" width="4.42578125" customWidth="1"/>
    <col min="3" max="3" width="5.85546875" customWidth="1"/>
    <col min="4" max="4" width="18.85546875" customWidth="1"/>
    <col min="5" max="5" width="10.28515625" customWidth="1"/>
    <col min="6" max="6" width="20.140625" customWidth="1"/>
    <col min="7" max="7" width="13.85546875" customWidth="1"/>
    <col min="8" max="8" width="12" customWidth="1"/>
    <col min="9" max="9" width="13.5703125" customWidth="1"/>
    <col min="10" max="10" width="12" customWidth="1"/>
    <col min="11" max="11" width="13" style="37" customWidth="1"/>
    <col min="12" max="12" width="18.28515625" customWidth="1"/>
    <col min="13" max="14" width="19.5703125" customWidth="1"/>
    <col min="15" max="15" width="17" customWidth="1"/>
    <col min="16" max="16" width="19.5703125" customWidth="1"/>
    <col min="17" max="17" width="3.7109375" customWidth="1"/>
    <col min="19" max="19" width="14" customWidth="1"/>
    <col min="20" max="21" width="13.5703125" bestFit="1" customWidth="1"/>
    <col min="22" max="23" width="13.28515625" customWidth="1"/>
    <col min="24" max="24" width="16.28515625" customWidth="1"/>
    <col min="27" max="27" width="15" customWidth="1"/>
    <col min="28" max="28" width="15.28515625" customWidth="1"/>
    <col min="29" max="29" width="18.5703125" customWidth="1"/>
    <col min="30" max="30" width="35.7109375" customWidth="1"/>
  </cols>
  <sheetData>
    <row r="5" spans="2:17" ht="15.75" thickBot="1" x14ac:dyDescent="0.3"/>
    <row r="6" spans="2:17" ht="16.5" thickBot="1" x14ac:dyDescent="0.3">
      <c r="B6" s="128" t="s">
        <v>75</v>
      </c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30"/>
    </row>
    <row r="7" spans="2:17" ht="30.75" customHeight="1" x14ac:dyDescent="0.25">
      <c r="B7" s="13"/>
      <c r="C7" s="30" t="s">
        <v>0</v>
      </c>
      <c r="D7" s="31" t="s">
        <v>20</v>
      </c>
      <c r="E7" s="32" t="s">
        <v>3</v>
      </c>
      <c r="F7" s="32" t="s">
        <v>4</v>
      </c>
      <c r="G7" s="32" t="s">
        <v>5</v>
      </c>
      <c r="H7" s="33" t="s">
        <v>1</v>
      </c>
      <c r="I7" s="33" t="s">
        <v>6</v>
      </c>
      <c r="J7" s="33" t="s">
        <v>7</v>
      </c>
      <c r="K7" s="33" t="s">
        <v>8</v>
      </c>
      <c r="L7" s="33" t="s">
        <v>9</v>
      </c>
      <c r="M7" s="34" t="s">
        <v>77</v>
      </c>
      <c r="N7" s="34" t="s">
        <v>4</v>
      </c>
      <c r="O7" s="34" t="s">
        <v>10</v>
      </c>
      <c r="P7" s="35" t="s">
        <v>11</v>
      </c>
      <c r="Q7" s="14"/>
    </row>
    <row r="8" spans="2:17" ht="114.75" customHeight="1" x14ac:dyDescent="0.25">
      <c r="B8" s="13"/>
      <c r="C8" s="29">
        <v>1</v>
      </c>
      <c r="D8" s="7"/>
      <c r="E8" s="8" t="s">
        <v>21</v>
      </c>
      <c r="F8" s="8" t="s">
        <v>72</v>
      </c>
      <c r="G8" s="9">
        <v>3107857653</v>
      </c>
      <c r="H8" s="9" t="s">
        <v>2</v>
      </c>
      <c r="I8" s="9">
        <v>144</v>
      </c>
      <c r="J8" s="9">
        <v>0</v>
      </c>
      <c r="K8" s="9">
        <v>0</v>
      </c>
      <c r="L8" s="10">
        <v>460800000</v>
      </c>
      <c r="M8" s="10">
        <f>+L8*0.9</f>
        <v>414720000</v>
      </c>
      <c r="N8" s="10">
        <f>+M8*0.9</f>
        <v>373248000</v>
      </c>
      <c r="O8" s="11">
        <f>+(N8-(J8*K8))/I8</f>
        <v>2592000</v>
      </c>
      <c r="P8" s="12" t="s">
        <v>22</v>
      </c>
      <c r="Q8" s="14"/>
    </row>
    <row r="9" spans="2:17" ht="114.75" customHeight="1" x14ac:dyDescent="0.25">
      <c r="B9" s="13"/>
      <c r="C9" s="29">
        <v>2</v>
      </c>
      <c r="D9" s="7"/>
      <c r="E9" s="8" t="s">
        <v>21</v>
      </c>
      <c r="F9" s="8" t="s">
        <v>73</v>
      </c>
      <c r="G9" s="9">
        <v>3138073353</v>
      </c>
      <c r="H9" s="9" t="s">
        <v>2</v>
      </c>
      <c r="I9" s="9">
        <v>162</v>
      </c>
      <c r="J9" s="9">
        <v>0</v>
      </c>
      <c r="K9" s="9">
        <v>0</v>
      </c>
      <c r="L9" s="10">
        <v>430000000</v>
      </c>
      <c r="M9" s="10">
        <f t="shared" ref="M9" si="0">+L9*0.9</f>
        <v>387000000</v>
      </c>
      <c r="N9" s="10">
        <f>+M9*1</f>
        <v>387000000</v>
      </c>
      <c r="O9" s="11">
        <f>+(N9-(J9*K9))/I9</f>
        <v>2388888.888888889</v>
      </c>
      <c r="P9" s="12" t="s">
        <v>76</v>
      </c>
      <c r="Q9" s="14"/>
    </row>
    <row r="10" spans="2:17" ht="114.75" customHeight="1" x14ac:dyDescent="0.25">
      <c r="B10" s="13"/>
      <c r="C10" s="29">
        <v>3</v>
      </c>
      <c r="D10" s="7"/>
      <c r="E10" s="8" t="s">
        <v>21</v>
      </c>
      <c r="F10" s="8" t="s">
        <v>74</v>
      </c>
      <c r="G10" s="9">
        <v>3213276559</v>
      </c>
      <c r="H10" s="9" t="s">
        <v>2</v>
      </c>
      <c r="I10" s="9">
        <v>176</v>
      </c>
      <c r="J10" s="9">
        <v>0</v>
      </c>
      <c r="K10" s="9">
        <v>0</v>
      </c>
      <c r="L10" s="10">
        <v>460000000</v>
      </c>
      <c r="M10" s="10">
        <f>+L10*1</f>
        <v>460000000</v>
      </c>
      <c r="N10" s="10">
        <f>+M10*0.9</f>
        <v>414000000</v>
      </c>
      <c r="O10" s="11">
        <f>+(N10-(J10*K10))/I10</f>
        <v>2352272.7272727271</v>
      </c>
      <c r="P10" s="12" t="s">
        <v>23</v>
      </c>
      <c r="Q10" s="14"/>
    </row>
    <row r="11" spans="2:17" ht="15.75" thickBot="1" x14ac:dyDescent="0.3">
      <c r="B11" s="13"/>
      <c r="M11" s="15"/>
      <c r="N11" s="15"/>
      <c r="O11" s="16"/>
      <c r="P11" s="16"/>
      <c r="Q11" s="14"/>
    </row>
    <row r="12" spans="2:17" ht="15" customHeight="1" x14ac:dyDescent="0.25">
      <c r="B12" s="13"/>
      <c r="C12" s="131" t="s">
        <v>12</v>
      </c>
      <c r="D12" s="132"/>
      <c r="E12" s="132"/>
      <c r="F12" s="132"/>
      <c r="G12" s="133"/>
      <c r="H12" s="17">
        <f>SUM(O8:O10)/3</f>
        <v>2444387.2053872054</v>
      </c>
      <c r="I12" s="18"/>
      <c r="J12" s="18"/>
      <c r="M12" s="16"/>
      <c r="N12" s="16"/>
      <c r="O12" s="16"/>
      <c r="P12" s="16"/>
      <c r="Q12" s="14"/>
    </row>
    <row r="13" spans="2:17" ht="15" customHeight="1" x14ac:dyDescent="0.25">
      <c r="B13" s="13"/>
      <c r="C13" s="134" t="s">
        <v>13</v>
      </c>
      <c r="D13" s="135"/>
      <c r="E13" s="135"/>
      <c r="F13" s="135"/>
      <c r="G13" s="136"/>
      <c r="H13" s="1">
        <f>STDEV(O8:O10)</f>
        <v>129140.77076169457</v>
      </c>
      <c r="I13" s="2"/>
      <c r="J13" s="2"/>
      <c r="M13" s="19"/>
      <c r="N13" s="19"/>
      <c r="O13" s="16"/>
      <c r="P13" s="20"/>
      <c r="Q13" s="14"/>
    </row>
    <row r="14" spans="2:17" ht="15" customHeight="1" x14ac:dyDescent="0.25">
      <c r="B14" s="13"/>
      <c r="C14" s="134" t="s">
        <v>19</v>
      </c>
      <c r="D14" s="135"/>
      <c r="E14" s="135"/>
      <c r="F14" s="135"/>
      <c r="G14" s="136"/>
      <c r="H14" s="6">
        <f>_xlfn.SKEW.P(O8:O10)</f>
        <v>0.64369253688192429</v>
      </c>
      <c r="I14" s="2"/>
      <c r="J14" s="2"/>
      <c r="M14" s="19"/>
      <c r="N14" s="19"/>
      <c r="O14" s="16"/>
      <c r="P14" s="20"/>
      <c r="Q14" s="14"/>
    </row>
    <row r="15" spans="2:17" ht="15" customHeight="1" x14ac:dyDescent="0.25">
      <c r="B15" s="13"/>
      <c r="C15" s="134" t="s">
        <v>14</v>
      </c>
      <c r="D15" s="135"/>
      <c r="E15" s="135"/>
      <c r="F15" s="135"/>
      <c r="G15" s="136"/>
      <c r="H15" s="3">
        <f>SUM(H13/H12)</f>
        <v>5.2831552414069324E-2</v>
      </c>
      <c r="I15" s="4"/>
      <c r="J15" s="4"/>
      <c r="M15" s="19"/>
      <c r="N15" s="19"/>
      <c r="O15" s="16"/>
      <c r="P15" s="16"/>
      <c r="Q15" s="14"/>
    </row>
    <row r="16" spans="2:17" x14ac:dyDescent="0.25">
      <c r="B16" s="13"/>
      <c r="C16" s="119" t="s">
        <v>15</v>
      </c>
      <c r="D16" s="120"/>
      <c r="E16" s="120"/>
      <c r="F16" s="120"/>
      <c r="G16" s="121"/>
      <c r="H16" s="21">
        <f>+H12+H13</f>
        <v>2573527.9761489001</v>
      </c>
      <c r="I16" s="5"/>
      <c r="J16" s="5"/>
      <c r="K16" s="38"/>
      <c r="L16" s="22"/>
      <c r="M16" s="16"/>
      <c r="N16" s="16"/>
      <c r="O16" s="16"/>
      <c r="P16" s="16"/>
      <c r="Q16" s="14"/>
    </row>
    <row r="17" spans="2:17" ht="15.75" thickBot="1" x14ac:dyDescent="0.3">
      <c r="B17" s="13"/>
      <c r="C17" s="122" t="s">
        <v>16</v>
      </c>
      <c r="D17" s="123"/>
      <c r="E17" s="123"/>
      <c r="F17" s="123"/>
      <c r="G17" s="124"/>
      <c r="H17" s="23">
        <f>+H12-H13</f>
        <v>2315246.4346255106</v>
      </c>
      <c r="I17" s="5"/>
      <c r="J17" s="5"/>
      <c r="K17" s="39"/>
      <c r="L17" s="22"/>
      <c r="M17" s="24"/>
      <c r="N17" s="24"/>
      <c r="O17" s="24"/>
      <c r="P17" s="24"/>
      <c r="Q17" s="14"/>
    </row>
    <row r="18" spans="2:17" ht="15.75" thickBot="1" x14ac:dyDescent="0.3">
      <c r="B18" s="13"/>
      <c r="C18" s="125" t="s">
        <v>17</v>
      </c>
      <c r="D18" s="126"/>
      <c r="E18" s="126"/>
      <c r="F18" s="126"/>
      <c r="G18" s="127"/>
      <c r="H18" s="36">
        <f>+H12</f>
        <v>2444387.2053872054</v>
      </c>
      <c r="P18" s="25"/>
      <c r="Q18" s="14"/>
    </row>
    <row r="19" spans="2:17" ht="15.75" thickBot="1" x14ac:dyDescent="0.3">
      <c r="B19" s="26"/>
      <c r="C19" s="27"/>
      <c r="D19" s="27"/>
      <c r="E19" s="27"/>
      <c r="F19" s="27"/>
      <c r="G19" s="27"/>
      <c r="H19" s="27"/>
      <c r="I19" s="27"/>
      <c r="J19" s="27"/>
      <c r="K19" s="40"/>
      <c r="L19" s="27"/>
      <c r="M19" s="27"/>
      <c r="N19" s="27"/>
      <c r="O19" s="27"/>
      <c r="P19" s="27"/>
      <c r="Q19" s="28"/>
    </row>
  </sheetData>
  <mergeCells count="8">
    <mergeCell ref="C16:G16"/>
    <mergeCell ref="C17:G17"/>
    <mergeCell ref="C18:G18"/>
    <mergeCell ref="B6:Q6"/>
    <mergeCell ref="C12:G12"/>
    <mergeCell ref="C13:G13"/>
    <mergeCell ref="C14:G14"/>
    <mergeCell ref="C15:G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47BC4-5783-4A38-AA94-9A5F4DDCB185}">
  <dimension ref="B3:D9"/>
  <sheetViews>
    <sheetView workbookViewId="0">
      <selection activeCell="C12" sqref="C12"/>
    </sheetView>
  </sheetViews>
  <sheetFormatPr baseColWidth="10" defaultRowHeight="15" x14ac:dyDescent="0.25"/>
  <sheetData>
    <row r="3" spans="2:4" ht="15.75" thickBot="1" x14ac:dyDescent="0.3"/>
    <row r="4" spans="2:4" x14ac:dyDescent="0.25">
      <c r="B4" s="137" t="s">
        <v>70</v>
      </c>
      <c r="C4" s="138"/>
      <c r="D4" s="65">
        <v>734.05</v>
      </c>
    </row>
    <row r="5" spans="2:4" ht="33.75" customHeight="1" x14ac:dyDescent="0.25">
      <c r="B5" s="139" t="s">
        <v>69</v>
      </c>
      <c r="C5" s="140"/>
      <c r="D5" s="66">
        <f>+'IC ANTES'!$E$9</f>
        <v>1.6146788990825691</v>
      </c>
    </row>
    <row r="6" spans="2:4" ht="45.75" customHeight="1" x14ac:dyDescent="0.25">
      <c r="B6" s="139" t="s">
        <v>71</v>
      </c>
      <c r="C6" s="140"/>
      <c r="D6" s="67">
        <f>+D4*D5</f>
        <v>1185.2550458715598</v>
      </c>
    </row>
    <row r="7" spans="2:4" x14ac:dyDescent="0.25">
      <c r="B7" s="141" t="s">
        <v>66</v>
      </c>
      <c r="C7" s="142"/>
      <c r="D7" s="66">
        <v>2.3479999999999999</v>
      </c>
    </row>
    <row r="8" spans="2:4" ht="36" customHeight="1" x14ac:dyDescent="0.25">
      <c r="B8" s="139" t="s">
        <v>68</v>
      </c>
      <c r="C8" s="140"/>
      <c r="D8" s="67">
        <v>1723.85</v>
      </c>
    </row>
    <row r="9" spans="2:4" ht="49.5" customHeight="1" thickBot="1" x14ac:dyDescent="0.3">
      <c r="B9" s="143" t="s">
        <v>67</v>
      </c>
      <c r="C9" s="144"/>
      <c r="D9" s="68">
        <f>+D8-D6</f>
        <v>538.59495412844012</v>
      </c>
    </row>
  </sheetData>
  <mergeCells count="6">
    <mergeCell ref="B9:C9"/>
    <mergeCell ref="B4:C4"/>
    <mergeCell ref="B5:C5"/>
    <mergeCell ref="B6:C6"/>
    <mergeCell ref="B7:C7"/>
    <mergeCell ref="B8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AF1D-5B56-442D-B04F-40D7B4D197DC}">
  <dimension ref="A1:AA26"/>
  <sheetViews>
    <sheetView topLeftCell="O1" workbookViewId="0">
      <selection activeCell="Y27" sqref="Y27"/>
    </sheetView>
  </sheetViews>
  <sheetFormatPr baseColWidth="10" defaultColWidth="11.42578125" defaultRowHeight="14.25" x14ac:dyDescent="0.25"/>
  <cols>
    <col min="1" max="1" width="26.28515625" style="111" customWidth="1"/>
    <col min="2" max="12" width="7.7109375" style="111" hidden="1" customWidth="1"/>
    <col min="13" max="18" width="7.7109375" style="111" customWidth="1"/>
    <col min="19" max="23" width="8" style="111" customWidth="1"/>
    <col min="24" max="24" width="11.42578125" style="111"/>
    <col min="25" max="25" width="16" style="111" customWidth="1"/>
    <col min="26" max="26" width="11.42578125" style="111"/>
    <col min="27" max="27" width="12.5703125" style="111" bestFit="1" customWidth="1"/>
    <col min="28" max="16384" width="11.42578125" style="111"/>
  </cols>
  <sheetData>
    <row r="1" spans="1:27" s="69" customFormat="1" ht="12" x14ac:dyDescent="0.2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27" s="69" customFormat="1" ht="12" x14ac:dyDescent="0.2"/>
    <row r="3" spans="1:27" s="69" customFormat="1" ht="12" x14ac:dyDescent="0.2">
      <c r="A3" s="146" t="s">
        <v>78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</row>
    <row r="4" spans="1:27" s="69" customFormat="1" ht="12" x14ac:dyDescent="0.2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</row>
    <row r="5" spans="1:27" s="69" customFormat="1" ht="17.25" x14ac:dyDescent="0.2">
      <c r="A5" s="147" t="s">
        <v>79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</row>
    <row r="6" spans="1:27" s="69" customFormat="1" ht="12" x14ac:dyDescent="0.2"/>
    <row r="7" spans="1:27" s="69" customFormat="1" ht="12" x14ac:dyDescent="0.2">
      <c r="A7" s="7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2"/>
      <c r="T7" s="71"/>
      <c r="U7" s="71"/>
      <c r="V7" s="71"/>
      <c r="W7" s="71"/>
    </row>
    <row r="8" spans="1:27" s="69" customFormat="1" ht="12" x14ac:dyDescent="0.2">
      <c r="A8" s="73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5"/>
      <c r="U8" s="76"/>
      <c r="V8" s="75"/>
      <c r="W8" s="77" t="s">
        <v>80</v>
      </c>
    </row>
    <row r="9" spans="1:27" s="69" customFormat="1" ht="15" x14ac:dyDescent="0.25">
      <c r="A9" s="78" t="s">
        <v>81</v>
      </c>
      <c r="B9" s="78">
        <v>2003</v>
      </c>
      <c r="C9" s="79">
        <v>2004</v>
      </c>
      <c r="D9" s="79">
        <v>2005</v>
      </c>
      <c r="E9" s="79">
        <v>2006</v>
      </c>
      <c r="F9" s="79">
        <v>2007</v>
      </c>
      <c r="G9" s="79">
        <v>2008</v>
      </c>
      <c r="H9" s="79">
        <v>2009</v>
      </c>
      <c r="I9" s="79">
        <v>2010</v>
      </c>
      <c r="J9" s="79">
        <v>2011</v>
      </c>
      <c r="K9" s="79">
        <v>2012</v>
      </c>
      <c r="L9" s="79">
        <v>2013</v>
      </c>
      <c r="M9" s="79">
        <v>2014</v>
      </c>
      <c r="N9" s="79">
        <v>2015</v>
      </c>
      <c r="O9" s="79">
        <v>2016</v>
      </c>
      <c r="P9" s="79">
        <v>2017</v>
      </c>
      <c r="Q9" s="79">
        <v>2018</v>
      </c>
      <c r="R9" s="79">
        <v>2019</v>
      </c>
      <c r="S9" s="80">
        <v>2020</v>
      </c>
      <c r="T9" s="80">
        <v>2021</v>
      </c>
      <c r="U9" s="80">
        <v>2022</v>
      </c>
      <c r="V9" s="81">
        <v>2023</v>
      </c>
      <c r="W9" s="82">
        <v>2024</v>
      </c>
      <c r="Y9" s="112" t="s">
        <v>97</v>
      </c>
      <c r="Z9" s="113" t="s">
        <v>98</v>
      </c>
      <c r="AA9" s="114">
        <f>+'EST MDO VENTA'!H18</f>
        <v>2444387.2053872054</v>
      </c>
    </row>
    <row r="10" spans="1:27" s="69" customFormat="1" ht="15" x14ac:dyDescent="0.25">
      <c r="A10" s="83" t="s">
        <v>82</v>
      </c>
      <c r="B10" s="84">
        <v>50.42</v>
      </c>
      <c r="C10" s="84">
        <v>53.54</v>
      </c>
      <c r="D10" s="84">
        <v>56.45</v>
      </c>
      <c r="E10" s="84">
        <v>59.02</v>
      </c>
      <c r="F10" s="84">
        <v>61.8</v>
      </c>
      <c r="G10" s="84">
        <v>65.510000000000005</v>
      </c>
      <c r="H10" s="84">
        <v>70.209999999999994</v>
      </c>
      <c r="I10" s="84">
        <v>71.69</v>
      </c>
      <c r="J10" s="84">
        <v>74.12</v>
      </c>
      <c r="K10" s="84">
        <v>76.75</v>
      </c>
      <c r="L10" s="84">
        <v>78.28</v>
      </c>
      <c r="M10" s="84">
        <v>79.95</v>
      </c>
      <c r="N10" s="84">
        <v>83</v>
      </c>
      <c r="O10" s="84">
        <v>89.19</v>
      </c>
      <c r="P10" s="84">
        <v>94.07</v>
      </c>
      <c r="Q10" s="84">
        <v>97.53</v>
      </c>
      <c r="R10" s="85">
        <v>100.6</v>
      </c>
      <c r="S10" s="85">
        <v>104.24</v>
      </c>
      <c r="T10" s="85">
        <v>105.91</v>
      </c>
      <c r="U10" s="85">
        <v>113.26</v>
      </c>
      <c r="V10" s="86">
        <v>128.27000000000001</v>
      </c>
      <c r="W10" s="87">
        <v>138.97999999999999</v>
      </c>
      <c r="Y10" s="115" t="s">
        <v>99</v>
      </c>
      <c r="Z10" s="48" t="s">
        <v>98</v>
      </c>
      <c r="AA10" s="116">
        <f>+W20</f>
        <v>144.22</v>
      </c>
    </row>
    <row r="11" spans="1:27" s="69" customFormat="1" ht="15" x14ac:dyDescent="0.25">
      <c r="A11" s="88" t="s">
        <v>83</v>
      </c>
      <c r="B11" s="89">
        <v>50.98</v>
      </c>
      <c r="C11" s="89">
        <v>54.18</v>
      </c>
      <c r="D11" s="89">
        <v>57.02</v>
      </c>
      <c r="E11" s="89">
        <v>59.41</v>
      </c>
      <c r="F11" s="89">
        <v>62.53</v>
      </c>
      <c r="G11" s="89">
        <v>66.5</v>
      </c>
      <c r="H11" s="89">
        <v>70.8</v>
      </c>
      <c r="I11" s="89">
        <v>72.28</v>
      </c>
      <c r="J11" s="89">
        <v>74.569999999999993</v>
      </c>
      <c r="K11" s="89">
        <v>77.22</v>
      </c>
      <c r="L11" s="89">
        <v>78.63</v>
      </c>
      <c r="M11" s="89">
        <v>80.45</v>
      </c>
      <c r="N11" s="89">
        <v>83.96</v>
      </c>
      <c r="O11" s="89">
        <v>90.33</v>
      </c>
      <c r="P11" s="89">
        <v>95.01</v>
      </c>
      <c r="Q11" s="89">
        <v>98.22</v>
      </c>
      <c r="R11" s="89">
        <v>101.18</v>
      </c>
      <c r="S11" s="89">
        <v>104.94</v>
      </c>
      <c r="T11" s="89">
        <v>106.58</v>
      </c>
      <c r="U11" s="89">
        <v>115.11</v>
      </c>
      <c r="V11" s="90">
        <v>130.4</v>
      </c>
      <c r="W11" s="91">
        <v>140.49</v>
      </c>
      <c r="Y11" s="115" t="s">
        <v>100</v>
      </c>
      <c r="Z11" s="48" t="s">
        <v>98</v>
      </c>
      <c r="AA11" s="116">
        <f>+N20</f>
        <v>87.51</v>
      </c>
    </row>
    <row r="12" spans="1:27" s="69" customFormat="1" ht="15" x14ac:dyDescent="0.25">
      <c r="A12" s="83" t="s">
        <v>84</v>
      </c>
      <c r="B12" s="84">
        <v>51.51</v>
      </c>
      <c r="C12" s="84">
        <v>54.71</v>
      </c>
      <c r="D12" s="84">
        <v>57.46</v>
      </c>
      <c r="E12" s="84">
        <v>59.83</v>
      </c>
      <c r="F12" s="84">
        <v>63.29</v>
      </c>
      <c r="G12" s="84">
        <v>67.040000000000006</v>
      </c>
      <c r="H12" s="84">
        <v>71.150000000000006</v>
      </c>
      <c r="I12" s="84">
        <v>72.459999999999994</v>
      </c>
      <c r="J12" s="84">
        <v>74.77</v>
      </c>
      <c r="K12" s="84">
        <v>77.31</v>
      </c>
      <c r="L12" s="84">
        <v>78.790000000000006</v>
      </c>
      <c r="M12" s="84">
        <v>80.77</v>
      </c>
      <c r="N12" s="84">
        <v>84.45</v>
      </c>
      <c r="O12" s="84">
        <v>91.18</v>
      </c>
      <c r="P12" s="84">
        <v>95.46</v>
      </c>
      <c r="Q12" s="84">
        <v>98.45</v>
      </c>
      <c r="R12" s="84">
        <v>101.62</v>
      </c>
      <c r="S12" s="84">
        <v>105.53</v>
      </c>
      <c r="T12" s="84">
        <v>107.12</v>
      </c>
      <c r="U12" s="84">
        <v>116.26</v>
      </c>
      <c r="V12" s="84">
        <v>131.77000000000001</v>
      </c>
      <c r="W12" s="87">
        <v>141.47999999999999</v>
      </c>
      <c r="Y12" s="115" t="s">
        <v>101</v>
      </c>
      <c r="Z12" s="48" t="s">
        <v>98</v>
      </c>
      <c r="AA12" s="117">
        <f>+AA11/AA10</f>
        <v>0.60678130633753991</v>
      </c>
    </row>
    <row r="13" spans="1:27" s="69" customFormat="1" ht="15" x14ac:dyDescent="0.25">
      <c r="A13" s="88" t="s">
        <v>85</v>
      </c>
      <c r="B13" s="89">
        <v>52.1</v>
      </c>
      <c r="C13" s="89">
        <v>54.96</v>
      </c>
      <c r="D13" s="89">
        <v>57.72</v>
      </c>
      <c r="E13" s="89">
        <v>60.09</v>
      </c>
      <c r="F13" s="89">
        <v>63.85</v>
      </c>
      <c r="G13" s="89">
        <v>67.510000000000005</v>
      </c>
      <c r="H13" s="89">
        <v>71.38</v>
      </c>
      <c r="I13" s="89">
        <v>72.790000000000006</v>
      </c>
      <c r="J13" s="89">
        <v>74.86</v>
      </c>
      <c r="K13" s="89">
        <v>77.42</v>
      </c>
      <c r="L13" s="89">
        <v>78.989999999999995</v>
      </c>
      <c r="M13" s="89">
        <v>81.14</v>
      </c>
      <c r="N13" s="89">
        <v>84.9</v>
      </c>
      <c r="O13" s="89">
        <v>91.63</v>
      </c>
      <c r="P13" s="89">
        <v>95.91</v>
      </c>
      <c r="Q13" s="89">
        <v>98.91</v>
      </c>
      <c r="R13" s="89">
        <v>102.12</v>
      </c>
      <c r="S13" s="89">
        <v>105.7</v>
      </c>
      <c r="T13" s="89">
        <v>107.76</v>
      </c>
      <c r="U13" s="89">
        <v>117.71</v>
      </c>
      <c r="V13" s="89">
        <v>132.80000000000001</v>
      </c>
      <c r="W13" s="92">
        <v>142.32</v>
      </c>
      <c r="Y13" s="115" t="s">
        <v>102</v>
      </c>
      <c r="Z13" s="48" t="s">
        <v>98</v>
      </c>
      <c r="AA13" s="118">
        <f>+AA9*AA12</f>
        <v>1483208.4616796169</v>
      </c>
    </row>
    <row r="14" spans="1:27" s="69" customFormat="1" ht="12" x14ac:dyDescent="0.2">
      <c r="A14" s="83" t="s">
        <v>86</v>
      </c>
      <c r="B14" s="84">
        <v>52.36</v>
      </c>
      <c r="C14" s="84">
        <v>55.17</v>
      </c>
      <c r="D14" s="84">
        <v>57.95</v>
      </c>
      <c r="E14" s="84">
        <v>60.29</v>
      </c>
      <c r="F14" s="84">
        <v>64.05</v>
      </c>
      <c r="G14" s="84">
        <v>68.14</v>
      </c>
      <c r="H14" s="84">
        <v>71.39</v>
      </c>
      <c r="I14" s="84">
        <v>72.87</v>
      </c>
      <c r="J14" s="84">
        <v>75.069999999999993</v>
      </c>
      <c r="K14" s="84">
        <v>77.66</v>
      </c>
      <c r="L14" s="84">
        <v>79.209999999999994</v>
      </c>
      <c r="M14" s="84">
        <v>81.53</v>
      </c>
      <c r="N14" s="84">
        <v>85.12</v>
      </c>
      <c r="O14" s="84">
        <v>92.1</v>
      </c>
      <c r="P14" s="84">
        <v>96.12</v>
      </c>
      <c r="Q14" s="84">
        <v>99.16</v>
      </c>
      <c r="R14" s="84">
        <v>102.44</v>
      </c>
      <c r="S14" s="84">
        <v>105.36</v>
      </c>
      <c r="T14" s="84">
        <v>108.84</v>
      </c>
      <c r="U14" s="84">
        <v>118.7</v>
      </c>
      <c r="V14" s="84">
        <v>133.38</v>
      </c>
      <c r="W14" s="93">
        <v>142.91999999999999</v>
      </c>
    </row>
    <row r="15" spans="1:27" s="69" customFormat="1" ht="12" x14ac:dyDescent="0.2">
      <c r="A15" s="88" t="s">
        <v>87</v>
      </c>
      <c r="B15" s="89">
        <v>52.33</v>
      </c>
      <c r="C15" s="89">
        <v>55.51</v>
      </c>
      <c r="D15" s="89">
        <v>58.18</v>
      </c>
      <c r="E15" s="89">
        <v>60.48</v>
      </c>
      <c r="F15" s="89">
        <v>64.12</v>
      </c>
      <c r="G15" s="89">
        <v>68.73</v>
      </c>
      <c r="H15" s="89">
        <v>71.349999999999994</v>
      </c>
      <c r="I15" s="89">
        <v>72.95</v>
      </c>
      <c r="J15" s="89">
        <v>75.31</v>
      </c>
      <c r="K15" s="89">
        <v>77.72</v>
      </c>
      <c r="L15" s="89">
        <v>79.39</v>
      </c>
      <c r="M15" s="89">
        <v>81.61</v>
      </c>
      <c r="N15" s="89">
        <v>85.21</v>
      </c>
      <c r="O15" s="89">
        <v>92.54</v>
      </c>
      <c r="P15" s="89">
        <v>96.23</v>
      </c>
      <c r="Q15" s="89">
        <v>99.31</v>
      </c>
      <c r="R15" s="89">
        <v>102.71</v>
      </c>
      <c r="S15" s="89">
        <v>104.97</v>
      </c>
      <c r="T15" s="89">
        <v>108.78</v>
      </c>
      <c r="U15" s="89">
        <v>119.31</v>
      </c>
      <c r="V15" s="89">
        <v>133.78</v>
      </c>
      <c r="W15" s="92">
        <v>143.38</v>
      </c>
    </row>
    <row r="16" spans="1:27" s="69" customFormat="1" ht="12" x14ac:dyDescent="0.2">
      <c r="A16" s="83" t="s">
        <v>88</v>
      </c>
      <c r="B16" s="84">
        <v>52.26</v>
      </c>
      <c r="C16" s="84">
        <v>55.49</v>
      </c>
      <c r="D16" s="84">
        <v>58.21</v>
      </c>
      <c r="E16" s="84">
        <v>60.73</v>
      </c>
      <c r="F16" s="84">
        <v>64.23</v>
      </c>
      <c r="G16" s="84">
        <v>69.06</v>
      </c>
      <c r="H16" s="84">
        <v>71.319999999999993</v>
      </c>
      <c r="I16" s="84">
        <v>72.92</v>
      </c>
      <c r="J16" s="84">
        <v>75.42</v>
      </c>
      <c r="K16" s="84">
        <v>77.7</v>
      </c>
      <c r="L16" s="84">
        <v>79.430000000000007</v>
      </c>
      <c r="M16" s="84">
        <v>81.73</v>
      </c>
      <c r="N16" s="84">
        <v>85.37</v>
      </c>
      <c r="O16" s="84">
        <v>93.02</v>
      </c>
      <c r="P16" s="84">
        <v>96.18</v>
      </c>
      <c r="Q16" s="84">
        <v>99.18</v>
      </c>
      <c r="R16" s="84">
        <v>102.94</v>
      </c>
      <c r="S16" s="84">
        <v>104.97</v>
      </c>
      <c r="T16" s="84">
        <v>109.14</v>
      </c>
      <c r="U16" s="84">
        <v>120.27</v>
      </c>
      <c r="V16" s="84">
        <v>134.44999999999999</v>
      </c>
      <c r="W16" s="94">
        <v>143.66999999999999</v>
      </c>
    </row>
    <row r="17" spans="1:23" s="69" customFormat="1" ht="12" x14ac:dyDescent="0.2">
      <c r="A17" s="88" t="s">
        <v>89</v>
      </c>
      <c r="B17" s="89">
        <v>52.42</v>
      </c>
      <c r="C17" s="89">
        <v>55.51</v>
      </c>
      <c r="D17" s="89">
        <v>58.21</v>
      </c>
      <c r="E17" s="89">
        <v>60.96</v>
      </c>
      <c r="F17" s="89">
        <v>64.14</v>
      </c>
      <c r="G17" s="89">
        <v>69.19</v>
      </c>
      <c r="H17" s="89">
        <v>71.349999999999994</v>
      </c>
      <c r="I17" s="89">
        <v>73</v>
      </c>
      <c r="J17" s="89">
        <v>75.39</v>
      </c>
      <c r="K17" s="89">
        <v>77.73</v>
      </c>
      <c r="L17" s="89">
        <v>79.5</v>
      </c>
      <c r="M17" s="89">
        <v>81.900000000000006</v>
      </c>
      <c r="N17" s="89">
        <v>85.78</v>
      </c>
      <c r="O17" s="89">
        <v>92.73</v>
      </c>
      <c r="P17" s="89">
        <v>96.32</v>
      </c>
      <c r="Q17" s="89">
        <v>99.3</v>
      </c>
      <c r="R17" s="89">
        <v>103.03</v>
      </c>
      <c r="S17" s="89">
        <v>104.96</v>
      </c>
      <c r="T17" s="89">
        <v>109.62</v>
      </c>
      <c r="U17" s="89">
        <v>121.5</v>
      </c>
      <c r="V17" s="89">
        <v>135.38999999999999</v>
      </c>
      <c r="W17" s="95">
        <v>143.66999999999999</v>
      </c>
    </row>
    <row r="18" spans="1:23" s="69" customFormat="1" ht="12" x14ac:dyDescent="0.2">
      <c r="A18" s="83" t="s">
        <v>90</v>
      </c>
      <c r="B18" s="84">
        <v>52.53</v>
      </c>
      <c r="C18" s="84">
        <v>55.67</v>
      </c>
      <c r="D18" s="84">
        <v>58.46</v>
      </c>
      <c r="E18" s="84">
        <v>61.14</v>
      </c>
      <c r="F18" s="84">
        <v>64.2</v>
      </c>
      <c r="G18" s="84">
        <v>69.06</v>
      </c>
      <c r="H18" s="84">
        <v>71.28</v>
      </c>
      <c r="I18" s="84">
        <v>72.900000000000006</v>
      </c>
      <c r="J18" s="84">
        <v>75.62</v>
      </c>
      <c r="K18" s="84">
        <v>77.959999999999994</v>
      </c>
      <c r="L18" s="84">
        <v>79.73</v>
      </c>
      <c r="M18" s="84">
        <v>82.01</v>
      </c>
      <c r="N18" s="84">
        <v>86.39</v>
      </c>
      <c r="O18" s="84">
        <v>92.68</v>
      </c>
      <c r="P18" s="84">
        <v>96.36</v>
      </c>
      <c r="Q18" s="84">
        <v>99.47</v>
      </c>
      <c r="R18" s="84">
        <v>103.26</v>
      </c>
      <c r="S18" s="84">
        <v>105.29</v>
      </c>
      <c r="T18" s="84">
        <v>110.04</v>
      </c>
      <c r="U18" s="84">
        <v>122.63</v>
      </c>
      <c r="V18" s="84">
        <v>136.11000000000001</v>
      </c>
      <c r="W18" s="93">
        <v>144.02000000000001</v>
      </c>
    </row>
    <row r="19" spans="1:23" s="69" customFormat="1" ht="12" x14ac:dyDescent="0.2">
      <c r="A19" s="88" t="s">
        <v>91</v>
      </c>
      <c r="B19" s="89">
        <v>52.56</v>
      </c>
      <c r="C19" s="89">
        <v>55.66</v>
      </c>
      <c r="D19" s="89">
        <v>58.6</v>
      </c>
      <c r="E19" s="89">
        <v>61.05</v>
      </c>
      <c r="F19" s="89">
        <v>64.2</v>
      </c>
      <c r="G19" s="89">
        <v>69.3</v>
      </c>
      <c r="H19" s="89">
        <v>71.19</v>
      </c>
      <c r="I19" s="89">
        <v>72.84</v>
      </c>
      <c r="J19" s="89">
        <v>75.77</v>
      </c>
      <c r="K19" s="89">
        <v>78.08</v>
      </c>
      <c r="L19" s="89">
        <v>79.52</v>
      </c>
      <c r="M19" s="89">
        <v>82.14</v>
      </c>
      <c r="N19" s="89">
        <v>86.98</v>
      </c>
      <c r="O19" s="89">
        <v>92.62</v>
      </c>
      <c r="P19" s="89">
        <v>96.37</v>
      </c>
      <c r="Q19" s="89">
        <v>99.59</v>
      </c>
      <c r="R19" s="89">
        <v>103.43</v>
      </c>
      <c r="S19" s="89">
        <v>105.23</v>
      </c>
      <c r="T19" s="89">
        <v>110.06</v>
      </c>
      <c r="U19" s="89">
        <v>123.51</v>
      </c>
      <c r="V19" s="89">
        <v>136.44999999999999</v>
      </c>
      <c r="W19" s="92">
        <v>143.83000000000001</v>
      </c>
    </row>
    <row r="20" spans="1:23" s="69" customFormat="1" ht="12" x14ac:dyDescent="0.2">
      <c r="A20" s="83" t="s">
        <v>92</v>
      </c>
      <c r="B20" s="84">
        <v>52.75</v>
      </c>
      <c r="C20" s="84">
        <v>55.82</v>
      </c>
      <c r="D20" s="84">
        <v>58.66</v>
      </c>
      <c r="E20" s="84">
        <v>61.19</v>
      </c>
      <c r="F20" s="84">
        <v>64.510000000000005</v>
      </c>
      <c r="G20" s="84">
        <v>69.489999999999995</v>
      </c>
      <c r="H20" s="84">
        <v>71.14</v>
      </c>
      <c r="I20" s="84">
        <v>72.98</v>
      </c>
      <c r="J20" s="84">
        <v>75.87</v>
      </c>
      <c r="K20" s="84">
        <v>77.98</v>
      </c>
      <c r="L20" s="84">
        <v>79.349999999999994</v>
      </c>
      <c r="M20" s="84">
        <v>82.25</v>
      </c>
      <c r="N20" s="84">
        <v>87.51</v>
      </c>
      <c r="O20" s="84">
        <v>92.73</v>
      </c>
      <c r="P20" s="84">
        <v>96.55</v>
      </c>
      <c r="Q20" s="84">
        <v>99.7</v>
      </c>
      <c r="R20" s="84">
        <v>103.54</v>
      </c>
      <c r="S20" s="84">
        <v>105.08</v>
      </c>
      <c r="T20" s="84">
        <v>110.6</v>
      </c>
      <c r="U20" s="84">
        <v>124.46</v>
      </c>
      <c r="V20" s="84">
        <v>137.09</v>
      </c>
      <c r="W20" s="93">
        <v>144.22</v>
      </c>
    </row>
    <row r="21" spans="1:23" s="69" customFormat="1" ht="12" x14ac:dyDescent="0.2">
      <c r="A21" s="96" t="s">
        <v>93</v>
      </c>
      <c r="B21" s="97">
        <v>53.07</v>
      </c>
      <c r="C21" s="97">
        <v>55.99</v>
      </c>
      <c r="D21" s="97">
        <v>58.7</v>
      </c>
      <c r="E21" s="97">
        <v>61.33</v>
      </c>
      <c r="F21" s="97">
        <v>64.819999999999993</v>
      </c>
      <c r="G21" s="97">
        <v>69.8</v>
      </c>
      <c r="H21" s="97">
        <v>71.2</v>
      </c>
      <c r="I21" s="97">
        <v>73.45</v>
      </c>
      <c r="J21" s="97">
        <v>76.19</v>
      </c>
      <c r="K21" s="97">
        <v>78.05</v>
      </c>
      <c r="L21" s="97">
        <v>79.56</v>
      </c>
      <c r="M21" s="97">
        <v>82.47</v>
      </c>
      <c r="N21" s="97">
        <v>88.05</v>
      </c>
      <c r="O21" s="97">
        <v>93.11</v>
      </c>
      <c r="P21" s="97">
        <v>96.92</v>
      </c>
      <c r="Q21" s="97">
        <v>100</v>
      </c>
      <c r="R21" s="97">
        <v>103.8</v>
      </c>
      <c r="S21" s="97">
        <v>105.48</v>
      </c>
      <c r="T21" s="97">
        <v>111.41</v>
      </c>
      <c r="U21" s="97">
        <v>126.03</v>
      </c>
      <c r="V21" s="98">
        <v>137.72</v>
      </c>
      <c r="W21" s="99"/>
    </row>
    <row r="22" spans="1:23" s="69" customFormat="1" ht="12" x14ac:dyDescent="0.2"/>
    <row r="23" spans="1:23" s="69" customFormat="1" ht="12" x14ac:dyDescent="0.2"/>
    <row r="24" spans="1:23" s="103" customFormat="1" ht="12" x14ac:dyDescent="0.25">
      <c r="A24" s="149" t="s">
        <v>94</v>
      </c>
      <c r="B24" s="150"/>
      <c r="C24" s="150"/>
      <c r="D24" s="150"/>
      <c r="E24" s="150"/>
      <c r="F24" s="150"/>
      <c r="G24" s="150"/>
      <c r="H24" s="15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1"/>
      <c r="U24" s="101"/>
      <c r="V24" s="101"/>
      <c r="W24" s="102"/>
    </row>
    <row r="25" spans="1:23" s="103" customFormat="1" ht="21" customHeight="1" x14ac:dyDescent="0.25">
      <c r="A25" s="151" t="s">
        <v>95</v>
      </c>
      <c r="B25" s="152"/>
      <c r="C25" s="152"/>
      <c r="D25" s="152"/>
      <c r="E25" s="152"/>
      <c r="F25" s="152"/>
      <c r="G25" s="152"/>
      <c r="H25" s="152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W25" s="105"/>
    </row>
    <row r="26" spans="1:23" s="103" customFormat="1" ht="22.5" customHeight="1" x14ac:dyDescent="0.25">
      <c r="A26" s="106" t="s">
        <v>96</v>
      </c>
      <c r="B26" s="107"/>
      <c r="C26" s="107"/>
      <c r="D26" s="107"/>
      <c r="E26" s="107"/>
      <c r="F26" s="107"/>
      <c r="G26" s="107"/>
      <c r="H26" s="108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9"/>
      <c r="U26" s="109"/>
      <c r="V26" s="109"/>
      <c r="W26" s="110"/>
    </row>
  </sheetData>
  <mergeCells count="5">
    <mergeCell ref="A1:W1"/>
    <mergeCell ref="A3:W4"/>
    <mergeCell ref="A5:W5"/>
    <mergeCell ref="A24:H24"/>
    <mergeCell ref="A25:H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2CCCF-5EBC-41BA-B273-C6B8C6735C73}">
  <dimension ref="A1:Z31"/>
  <sheetViews>
    <sheetView topLeftCell="D1" workbookViewId="0">
      <selection activeCell="T27" sqref="T27"/>
    </sheetView>
  </sheetViews>
  <sheetFormatPr baseColWidth="10" defaultRowHeight="15" x14ac:dyDescent="0.25"/>
  <cols>
    <col min="1" max="1" width="1.85546875" customWidth="1"/>
    <col min="2" max="2" width="3.140625" customWidth="1"/>
    <col min="3" max="3" width="3.28515625" customWidth="1"/>
    <col min="4" max="4" width="27.7109375" customWidth="1"/>
    <col min="5" max="5" width="8.5703125" customWidth="1"/>
    <col min="6" max="8" width="2" customWidth="1"/>
    <col min="9" max="11" width="2.140625" customWidth="1"/>
    <col min="12" max="12" width="13.5703125" customWidth="1"/>
    <col min="13" max="13" width="3.7109375" customWidth="1"/>
    <col min="14" max="15" width="13" customWidth="1"/>
    <col min="16" max="16" width="8.7109375" customWidth="1"/>
    <col min="17" max="17" width="8.85546875" customWidth="1"/>
    <col min="18" max="18" width="3.85546875" customWidth="1"/>
    <col min="19" max="19" width="3.140625" customWidth="1"/>
    <col min="20" max="20" width="3.28515625" customWidth="1"/>
    <col min="21" max="21" width="22.5703125" customWidth="1"/>
    <col min="22" max="22" width="3.140625" customWidth="1"/>
    <col min="23" max="23" width="3.7109375" customWidth="1"/>
  </cols>
  <sheetData>
    <row r="1" spans="1:26" x14ac:dyDescent="0.25">
      <c r="A1" s="190" t="s">
        <v>24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N1" s="191" t="s">
        <v>25</v>
      </c>
      <c r="O1" s="191"/>
      <c r="P1" s="191"/>
      <c r="Q1" s="191"/>
    </row>
    <row r="2" spans="1:26" ht="30" x14ac:dyDescent="0.25">
      <c r="A2" s="192" t="s">
        <v>26</v>
      </c>
      <c r="B2" s="192"/>
      <c r="C2" s="192"/>
      <c r="D2" s="192"/>
      <c r="E2" s="192"/>
      <c r="F2" s="193" t="s">
        <v>27</v>
      </c>
      <c r="G2" s="194"/>
      <c r="H2" s="194"/>
      <c r="I2" s="194"/>
      <c r="J2" s="194"/>
      <c r="K2" s="195"/>
      <c r="L2" s="41" t="s">
        <v>28</v>
      </c>
      <c r="M2" s="42"/>
      <c r="N2" s="196" t="s">
        <v>29</v>
      </c>
      <c r="O2" s="196"/>
      <c r="P2" s="44" t="s">
        <v>30</v>
      </c>
      <c r="Q2" s="43" t="s">
        <v>31</v>
      </c>
      <c r="R2" s="45"/>
    </row>
    <row r="3" spans="1:26" ht="15.75" thickBot="1" x14ac:dyDescent="0.3">
      <c r="A3" s="170" t="s">
        <v>32</v>
      </c>
      <c r="B3" s="170"/>
      <c r="C3" s="170"/>
      <c r="D3" s="170"/>
      <c r="E3" s="46">
        <f>U7*T9</f>
        <v>597.31999999999994</v>
      </c>
      <c r="F3" s="181"/>
      <c r="G3" s="181"/>
      <c r="H3" s="181"/>
      <c r="I3" s="197"/>
      <c r="J3" s="198"/>
      <c r="K3" s="199"/>
      <c r="L3" s="48" t="s">
        <v>33</v>
      </c>
      <c r="N3" s="200" t="s">
        <v>34</v>
      </c>
      <c r="O3" s="200"/>
      <c r="P3" s="46">
        <v>27.4</v>
      </c>
      <c r="Q3" s="48" t="s">
        <v>35</v>
      </c>
      <c r="R3" s="25"/>
      <c r="U3" s="49" t="s">
        <v>36</v>
      </c>
    </row>
    <row r="4" spans="1:26" ht="15" customHeight="1" x14ac:dyDescent="0.25">
      <c r="A4" s="170" t="s">
        <v>37</v>
      </c>
      <c r="B4" s="170"/>
      <c r="C4" s="170"/>
      <c r="D4" s="170"/>
      <c r="E4" s="46">
        <f>U7*V10</f>
        <v>474.02</v>
      </c>
      <c r="F4" s="181"/>
      <c r="G4" s="181"/>
      <c r="H4" s="181"/>
      <c r="I4" s="182"/>
      <c r="J4" s="183"/>
      <c r="K4" s="184"/>
      <c r="L4" s="48" t="s">
        <v>33</v>
      </c>
      <c r="N4" s="185" t="s">
        <v>38</v>
      </c>
      <c r="O4" s="185"/>
      <c r="P4" s="46">
        <v>21.8</v>
      </c>
      <c r="Q4" s="48" t="s">
        <v>35</v>
      </c>
      <c r="R4" s="25"/>
      <c r="U4" s="50"/>
    </row>
    <row r="5" spans="1:26" ht="15" customHeight="1" x14ac:dyDescent="0.25">
      <c r="A5" s="170" t="s">
        <v>39</v>
      </c>
      <c r="B5" s="170"/>
      <c r="C5" s="170"/>
      <c r="D5" s="170"/>
      <c r="E5" s="46">
        <f>(U9*U7)*40%</f>
        <v>16.439999999999998</v>
      </c>
      <c r="F5" s="181"/>
      <c r="G5" s="181"/>
      <c r="H5" s="181"/>
      <c r="I5" s="186"/>
      <c r="J5" s="187"/>
      <c r="K5" s="188"/>
      <c r="L5" s="48" t="s">
        <v>33</v>
      </c>
      <c r="N5" s="189" t="s">
        <v>40</v>
      </c>
      <c r="O5" s="189"/>
      <c r="P5" s="46">
        <v>1.5</v>
      </c>
      <c r="Q5" s="48" t="s">
        <v>35</v>
      </c>
      <c r="R5" s="25"/>
      <c r="Z5">
        <v>2.3479999999999999</v>
      </c>
    </row>
    <row r="6" spans="1:26" ht="15" customHeight="1" x14ac:dyDescent="0.25">
      <c r="A6" s="170" t="s">
        <v>41</v>
      </c>
      <c r="B6" s="170"/>
      <c r="C6" s="170"/>
      <c r="D6" s="170"/>
      <c r="E6" s="46">
        <f>E4+E5</f>
        <v>490.46</v>
      </c>
      <c r="F6" s="171"/>
      <c r="G6" s="172"/>
      <c r="H6" s="172"/>
      <c r="I6" s="172"/>
      <c r="J6" s="172"/>
      <c r="K6" s="173"/>
      <c r="L6" s="48" t="s">
        <v>42</v>
      </c>
      <c r="N6" s="180" t="s">
        <v>43</v>
      </c>
      <c r="O6" s="180"/>
      <c r="P6" s="46">
        <f>U15</f>
        <v>3</v>
      </c>
      <c r="Q6" s="48" t="s">
        <v>35</v>
      </c>
      <c r="R6" s="25"/>
      <c r="U6" s="47" t="s">
        <v>44</v>
      </c>
      <c r="V6" s="25"/>
      <c r="W6" s="25"/>
      <c r="Z6">
        <f>+E9</f>
        <v>1.6146788990825691</v>
      </c>
    </row>
    <row r="7" spans="1:26" ht="15" customHeight="1" x14ac:dyDescent="0.25">
      <c r="A7" s="170" t="s">
        <v>45</v>
      </c>
      <c r="B7" s="170"/>
      <c r="C7" s="170"/>
      <c r="D7" s="170"/>
      <c r="E7" s="46">
        <v>0</v>
      </c>
      <c r="F7" s="174"/>
      <c r="G7" s="175"/>
      <c r="H7" s="175"/>
      <c r="I7" s="175"/>
      <c r="J7" s="175"/>
      <c r="K7" s="176"/>
      <c r="L7" s="48" t="s">
        <v>42</v>
      </c>
      <c r="U7" s="51">
        <f>P3</f>
        <v>27.4</v>
      </c>
      <c r="V7" s="25"/>
      <c r="W7" s="25"/>
      <c r="Z7">
        <f>+Z5-Z6</f>
        <v>0.73332110091743075</v>
      </c>
    </row>
    <row r="8" spans="1:26" ht="15.75" thickBot="1" x14ac:dyDescent="0.3">
      <c r="A8" s="170" t="s">
        <v>46</v>
      </c>
      <c r="B8" s="170"/>
      <c r="C8" s="170"/>
      <c r="D8" s="170"/>
      <c r="E8" s="46">
        <f>E4+E6+E7</f>
        <v>964.48</v>
      </c>
      <c r="F8" s="174"/>
      <c r="G8" s="175"/>
      <c r="H8" s="175"/>
      <c r="I8" s="175"/>
      <c r="J8" s="175"/>
      <c r="K8" s="176"/>
      <c r="L8" s="48" t="s">
        <v>42</v>
      </c>
      <c r="U8" s="52" t="s">
        <v>47</v>
      </c>
      <c r="V8" s="25"/>
      <c r="W8" s="25"/>
    </row>
    <row r="9" spans="1:26" ht="15" customHeight="1" x14ac:dyDescent="0.25">
      <c r="A9" s="170" t="s">
        <v>48</v>
      </c>
      <c r="B9" s="170"/>
      <c r="C9" s="170"/>
      <c r="D9" s="170"/>
      <c r="E9" s="53">
        <f>E8/E3</f>
        <v>1.6146788990825691</v>
      </c>
      <c r="F9" s="177"/>
      <c r="G9" s="178"/>
      <c r="H9" s="178"/>
      <c r="I9" s="178"/>
      <c r="J9" s="178"/>
      <c r="K9" s="179"/>
      <c r="L9" s="48" t="s">
        <v>49</v>
      </c>
      <c r="S9" s="160" t="s">
        <v>50</v>
      </c>
      <c r="T9" s="161">
        <f>P4</f>
        <v>21.8</v>
      </c>
      <c r="U9" s="54">
        <f>P5</f>
        <v>1.5</v>
      </c>
    </row>
    <row r="10" spans="1:26" ht="24.75" customHeight="1" x14ac:dyDescent="0.25">
      <c r="B10" s="55"/>
      <c r="C10" s="56"/>
      <c r="D10" s="25"/>
      <c r="E10" s="56"/>
      <c r="F10" s="56"/>
      <c r="G10" s="56"/>
      <c r="S10" s="160"/>
      <c r="T10" s="162"/>
      <c r="U10" s="164" t="s">
        <v>51</v>
      </c>
      <c r="V10" s="167">
        <f>T9-U9-U15</f>
        <v>17.3</v>
      </c>
      <c r="W10" s="168" t="s">
        <v>52</v>
      </c>
    </row>
    <row r="11" spans="1:26" ht="24.75" customHeight="1" x14ac:dyDescent="0.25">
      <c r="B11" s="55"/>
      <c r="C11" s="56"/>
      <c r="E11" s="56"/>
      <c r="F11" s="56"/>
      <c r="G11" s="56"/>
      <c r="S11" s="160"/>
      <c r="T11" s="162"/>
      <c r="U11" s="165"/>
      <c r="V11" s="167"/>
      <c r="W11" s="168"/>
    </row>
    <row r="12" spans="1:26" ht="24.75" customHeight="1" x14ac:dyDescent="0.25">
      <c r="B12" s="55"/>
      <c r="C12" s="56"/>
      <c r="E12" s="56"/>
      <c r="F12" s="56"/>
      <c r="G12" s="56"/>
      <c r="S12" s="160"/>
      <c r="T12" s="162"/>
      <c r="U12" s="165"/>
      <c r="V12" s="167"/>
      <c r="W12" s="168"/>
    </row>
    <row r="13" spans="1:26" ht="24.75" customHeight="1" x14ac:dyDescent="0.25">
      <c r="B13" s="55"/>
      <c r="C13" s="56"/>
      <c r="E13" s="56"/>
      <c r="F13" s="56"/>
      <c r="G13" s="56"/>
      <c r="S13" s="160"/>
      <c r="T13" s="162"/>
      <c r="U13" s="165"/>
      <c r="V13" s="167"/>
      <c r="W13" s="168"/>
    </row>
    <row r="14" spans="1:26" ht="24.75" customHeight="1" x14ac:dyDescent="0.25">
      <c r="B14" s="55"/>
      <c r="C14" s="56"/>
      <c r="E14" s="56"/>
      <c r="F14" s="56"/>
      <c r="G14" s="56"/>
      <c r="S14" s="160"/>
      <c r="T14" s="162"/>
      <c r="U14" s="166"/>
      <c r="V14" s="167"/>
      <c r="W14" s="168"/>
    </row>
    <row r="15" spans="1:26" ht="15.75" thickBot="1" x14ac:dyDescent="0.3">
      <c r="B15" s="55"/>
      <c r="C15" s="56"/>
      <c r="D15" s="57"/>
      <c r="S15" s="160"/>
      <c r="T15" s="163"/>
      <c r="U15" s="58">
        <v>3</v>
      </c>
    </row>
    <row r="16" spans="1:26" ht="15" customHeight="1" x14ac:dyDescent="0.25">
      <c r="U16" s="59" t="s">
        <v>53</v>
      </c>
    </row>
    <row r="17" spans="1:18" ht="15" customHeight="1" x14ac:dyDescent="0.25"/>
    <row r="23" spans="1:18" ht="4.5" customHeight="1" x14ac:dyDescent="0.25"/>
    <row r="24" spans="1:18" x14ac:dyDescent="0.25">
      <c r="A24" s="153" t="s">
        <v>54</v>
      </c>
      <c r="B24" s="154"/>
      <c r="C24" s="155"/>
      <c r="D24" s="169" t="s">
        <v>55</v>
      </c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60" t="s">
        <v>56</v>
      </c>
      <c r="P24" s="169" t="s">
        <v>57</v>
      </c>
      <c r="Q24" s="169"/>
      <c r="R24" s="61"/>
    </row>
    <row r="25" spans="1:18" x14ac:dyDescent="0.25">
      <c r="A25" s="153">
        <v>1</v>
      </c>
      <c r="B25" s="154"/>
      <c r="C25" s="155"/>
      <c r="D25" s="158" t="s">
        <v>58</v>
      </c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62">
        <v>3</v>
      </c>
      <c r="P25" s="159" t="s">
        <v>59</v>
      </c>
      <c r="Q25" s="159"/>
      <c r="R25" s="25"/>
    </row>
    <row r="26" spans="1:18" x14ac:dyDescent="0.25">
      <c r="A26" s="153">
        <v>2</v>
      </c>
      <c r="B26" s="154"/>
      <c r="C26" s="155"/>
      <c r="D26" s="158" t="s">
        <v>60</v>
      </c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62">
        <v>1.5</v>
      </c>
      <c r="P26" s="159" t="s">
        <v>59</v>
      </c>
      <c r="Q26" s="159"/>
      <c r="R26" s="25"/>
    </row>
    <row r="27" spans="1:18" x14ac:dyDescent="0.25">
      <c r="A27" s="153">
        <v>3</v>
      </c>
      <c r="B27" s="154"/>
      <c r="C27" s="155"/>
      <c r="D27" s="158" t="s">
        <v>61</v>
      </c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63"/>
    </row>
    <row r="28" spans="1:18" x14ac:dyDescent="0.25">
      <c r="A28" s="153">
        <v>4</v>
      </c>
      <c r="B28" s="154"/>
      <c r="C28" s="155"/>
      <c r="D28" s="158" t="s">
        <v>62</v>
      </c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63"/>
    </row>
    <row r="29" spans="1:18" x14ac:dyDescent="0.25">
      <c r="A29" s="153">
        <v>5</v>
      </c>
      <c r="B29" s="154"/>
      <c r="C29" s="155"/>
      <c r="D29" s="158" t="s">
        <v>63</v>
      </c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63"/>
    </row>
    <row r="30" spans="1:18" ht="27" customHeight="1" x14ac:dyDescent="0.25">
      <c r="A30" s="153">
        <v>6</v>
      </c>
      <c r="B30" s="154"/>
      <c r="C30" s="155"/>
      <c r="D30" s="156" t="s">
        <v>64</v>
      </c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64"/>
    </row>
    <row r="31" spans="1:18" ht="31.5" customHeight="1" x14ac:dyDescent="0.25">
      <c r="A31" s="157">
        <v>7</v>
      </c>
      <c r="B31" s="157"/>
      <c r="C31" s="157"/>
      <c r="D31" s="156" t="s">
        <v>65</v>
      </c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</row>
  </sheetData>
  <mergeCells count="47">
    <mergeCell ref="A3:D3"/>
    <mergeCell ref="F3:H3"/>
    <mergeCell ref="I3:K3"/>
    <mergeCell ref="N3:O3"/>
    <mergeCell ref="A1:L1"/>
    <mergeCell ref="N1:Q1"/>
    <mergeCell ref="A2:E2"/>
    <mergeCell ref="F2:K2"/>
    <mergeCell ref="N2:O2"/>
    <mergeCell ref="A4:D4"/>
    <mergeCell ref="F4:H4"/>
    <mergeCell ref="I4:K4"/>
    <mergeCell ref="N4:O4"/>
    <mergeCell ref="A5:D5"/>
    <mergeCell ref="F5:H5"/>
    <mergeCell ref="I5:K5"/>
    <mergeCell ref="N5:O5"/>
    <mergeCell ref="A24:C24"/>
    <mergeCell ref="D24:N24"/>
    <mergeCell ref="P24:Q24"/>
    <mergeCell ref="A6:D6"/>
    <mergeCell ref="F6:K9"/>
    <mergeCell ref="N6:O6"/>
    <mergeCell ref="A7:D7"/>
    <mergeCell ref="A8:D8"/>
    <mergeCell ref="A9:D9"/>
    <mergeCell ref="S9:S15"/>
    <mergeCell ref="T9:T15"/>
    <mergeCell ref="U10:U14"/>
    <mergeCell ref="V10:V14"/>
    <mergeCell ref="W10:W14"/>
    <mergeCell ref="A25:C25"/>
    <mergeCell ref="D25:N25"/>
    <mergeCell ref="P25:Q25"/>
    <mergeCell ref="A26:C26"/>
    <mergeCell ref="D26:N26"/>
    <mergeCell ref="P26:Q26"/>
    <mergeCell ref="A30:C30"/>
    <mergeCell ref="D30:Q30"/>
    <mergeCell ref="A31:C31"/>
    <mergeCell ref="D31:Q31"/>
    <mergeCell ref="A27:C27"/>
    <mergeCell ref="D27:Q27"/>
    <mergeCell ref="A28:C28"/>
    <mergeCell ref="D28:Q28"/>
    <mergeCell ref="A29:C29"/>
    <mergeCell ref="D29:Q2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9B97-8447-4B5F-83A6-DF91663D2945}">
  <dimension ref="B7:G21"/>
  <sheetViews>
    <sheetView topLeftCell="A7" workbookViewId="0">
      <selection activeCell="C29" sqref="C29"/>
    </sheetView>
  </sheetViews>
  <sheetFormatPr baseColWidth="10" defaultRowHeight="15" x14ac:dyDescent="0.25"/>
  <cols>
    <col min="4" max="4" width="13.5703125" customWidth="1"/>
  </cols>
  <sheetData>
    <row r="7" spans="2:7" x14ac:dyDescent="0.25">
      <c r="B7" s="205" t="s">
        <v>112</v>
      </c>
      <c r="C7" s="205"/>
      <c r="D7" s="205"/>
      <c r="E7" s="206">
        <f>+'SERIES IPC'!AA13</f>
        <v>1483208.4616796169</v>
      </c>
      <c r="F7" s="206"/>
      <c r="G7" s="201"/>
    </row>
    <row r="8" spans="2:7" x14ac:dyDescent="0.25">
      <c r="B8" s="142"/>
      <c r="C8" s="142"/>
      <c r="D8" s="142"/>
      <c r="E8" s="48" t="s">
        <v>104</v>
      </c>
      <c r="F8" s="48" t="s">
        <v>105</v>
      </c>
    </row>
    <row r="9" spans="2:7" x14ac:dyDescent="0.25">
      <c r="B9" s="142" t="s">
        <v>103</v>
      </c>
      <c r="C9" s="142"/>
      <c r="D9" s="142"/>
      <c r="E9" s="203">
        <f>+'IC ANTES'!E9</f>
        <v>1.6146788990825691</v>
      </c>
      <c r="F9" s="48">
        <f>+'AREAS PLUSVALIA'!D7</f>
        <v>2.3479999999999999</v>
      </c>
    </row>
    <row r="10" spans="2:7" x14ac:dyDescent="0.25">
      <c r="B10" s="142" t="s">
        <v>106</v>
      </c>
      <c r="C10" s="142"/>
      <c r="D10" s="142"/>
      <c r="E10" s="207">
        <v>734.05</v>
      </c>
      <c r="F10" s="208"/>
    </row>
    <row r="11" spans="2:7" x14ac:dyDescent="0.25">
      <c r="B11" s="142" t="s">
        <v>107</v>
      </c>
      <c r="C11" s="142"/>
      <c r="D11" s="142"/>
      <c r="E11" s="46">
        <f>+E10*E9</f>
        <v>1185.2550458715598</v>
      </c>
      <c r="F11" s="117"/>
    </row>
    <row r="12" spans="2:7" x14ac:dyDescent="0.25">
      <c r="B12" s="142" t="s">
        <v>108</v>
      </c>
      <c r="C12" s="142"/>
      <c r="D12" s="142"/>
      <c r="E12" s="48"/>
      <c r="F12" s="117">
        <v>1723.85</v>
      </c>
    </row>
    <row r="13" spans="2:7" x14ac:dyDescent="0.25">
      <c r="B13" s="142" t="s">
        <v>109</v>
      </c>
      <c r="C13" s="142"/>
      <c r="D13" s="142"/>
      <c r="E13" s="204">
        <f>+F12-E11</f>
        <v>538.59495412844012</v>
      </c>
      <c r="F13" s="204"/>
    </row>
    <row r="14" spans="2:7" x14ac:dyDescent="0.25">
      <c r="B14" s="142" t="s">
        <v>110</v>
      </c>
      <c r="C14" s="142"/>
      <c r="D14" s="142"/>
      <c r="E14" s="202">
        <f>+E7*E13</f>
        <v>798848593.38124752</v>
      </c>
      <c r="F14" s="202"/>
    </row>
    <row r="15" spans="2:7" x14ac:dyDescent="0.25">
      <c r="B15" s="142" t="s">
        <v>111</v>
      </c>
      <c r="C15" s="142"/>
      <c r="D15" s="142"/>
      <c r="E15" s="202">
        <f>+E14/E13</f>
        <v>1483208.4616796169</v>
      </c>
      <c r="F15" s="202"/>
    </row>
    <row r="19" spans="2:7" ht="15.75" thickBot="1" x14ac:dyDescent="0.3"/>
    <row r="20" spans="2:7" ht="42.75" customHeight="1" thickBot="1" x14ac:dyDescent="0.3">
      <c r="B20" s="231" t="s">
        <v>128</v>
      </c>
      <c r="C20" s="232"/>
      <c r="D20" s="232" t="s">
        <v>127</v>
      </c>
      <c r="E20" s="232"/>
      <c r="F20" s="232" t="s">
        <v>110</v>
      </c>
      <c r="G20" s="233"/>
    </row>
    <row r="21" spans="2:7" ht="15.75" thickBot="1" x14ac:dyDescent="0.3">
      <c r="B21" s="226">
        <f>+E13</f>
        <v>538.59495412844012</v>
      </c>
      <c r="C21" s="227"/>
      <c r="D21" s="228">
        <f>+E15</f>
        <v>1483208.4616796169</v>
      </c>
      <c r="E21" s="229"/>
      <c r="F21" s="228">
        <f>+B21*D21</f>
        <v>798848593.38124752</v>
      </c>
      <c r="G21" s="230"/>
    </row>
  </sheetData>
  <mergeCells count="20">
    <mergeCell ref="B20:C20"/>
    <mergeCell ref="B21:C21"/>
    <mergeCell ref="D20:E20"/>
    <mergeCell ref="D21:E21"/>
    <mergeCell ref="F20:G20"/>
    <mergeCell ref="F21:G21"/>
    <mergeCell ref="B14:D14"/>
    <mergeCell ref="E14:F14"/>
    <mergeCell ref="B15:D15"/>
    <mergeCell ref="E15:F15"/>
    <mergeCell ref="B8:D8"/>
    <mergeCell ref="E10:F10"/>
    <mergeCell ref="B10:D10"/>
    <mergeCell ref="B11:D11"/>
    <mergeCell ref="B12:D12"/>
    <mergeCell ref="B13:D13"/>
    <mergeCell ref="E13:F13"/>
    <mergeCell ref="B7:D7"/>
    <mergeCell ref="E7:F7"/>
    <mergeCell ref="B9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11ACA-D8CE-4D83-8FFB-8BFEF02A309A}">
  <dimension ref="D12:I15"/>
  <sheetViews>
    <sheetView workbookViewId="0">
      <selection activeCell="F25" sqref="F25"/>
    </sheetView>
  </sheetViews>
  <sheetFormatPr baseColWidth="10" defaultRowHeight="15" x14ac:dyDescent="0.25"/>
  <cols>
    <col min="6" max="6" width="17.5703125" customWidth="1"/>
  </cols>
  <sheetData>
    <row r="12" spans="4:9" ht="15.75" thickBot="1" x14ac:dyDescent="0.3"/>
    <row r="13" spans="4:9" hidden="1" x14ac:dyDescent="0.25"/>
    <row r="14" spans="4:9" ht="42" customHeight="1" x14ac:dyDescent="0.25">
      <c r="D14" s="210" t="s">
        <v>113</v>
      </c>
      <c r="E14" s="211"/>
      <c r="F14" s="211" t="s">
        <v>114</v>
      </c>
      <c r="G14" s="211"/>
      <c r="H14" s="211" t="s">
        <v>115</v>
      </c>
      <c r="I14" s="212"/>
    </row>
    <row r="15" spans="4:9" ht="15.75" thickBot="1" x14ac:dyDescent="0.3">
      <c r="D15" s="213">
        <v>155.61799999999999</v>
      </c>
      <c r="E15" s="214"/>
      <c r="F15" s="209">
        <f>+'EST MDO VENTA'!H18</f>
        <v>2444387.2053872054</v>
      </c>
      <c r="G15" s="209"/>
      <c r="H15" s="215">
        <f>+D15*F15</f>
        <v>380390648.12794614</v>
      </c>
      <c r="I15" s="216"/>
    </row>
  </sheetData>
  <mergeCells count="6">
    <mergeCell ref="D14:E14"/>
    <mergeCell ref="D15:E15"/>
    <mergeCell ref="F14:G14"/>
    <mergeCell ref="F15:G15"/>
    <mergeCell ref="H14:I14"/>
    <mergeCell ref="H15:I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702E0-5602-4F18-A709-A7D4AC7283EC}">
  <dimension ref="K2:L7"/>
  <sheetViews>
    <sheetView topLeftCell="C1" workbookViewId="0">
      <selection activeCell="J26" sqref="J26"/>
    </sheetView>
  </sheetViews>
  <sheetFormatPr baseColWidth="10" defaultRowHeight="15" x14ac:dyDescent="0.25"/>
  <cols>
    <col min="11" max="11" width="17.7109375" customWidth="1"/>
    <col min="12" max="12" width="14.140625" customWidth="1"/>
  </cols>
  <sheetData>
    <row r="2" spans="11:12" ht="15.75" thickBot="1" x14ac:dyDescent="0.3"/>
    <row r="3" spans="11:12" x14ac:dyDescent="0.25">
      <c r="K3" s="220" t="s">
        <v>116</v>
      </c>
      <c r="L3" s="221">
        <v>1444.75</v>
      </c>
    </row>
    <row r="4" spans="11:12" x14ac:dyDescent="0.25">
      <c r="K4" s="222" t="s">
        <v>18</v>
      </c>
      <c r="L4" s="217">
        <v>160638594</v>
      </c>
    </row>
    <row r="5" spans="11:12" x14ac:dyDescent="0.25">
      <c r="K5" s="222" t="s">
        <v>117</v>
      </c>
      <c r="L5" s="217">
        <f>+L4/L3</f>
        <v>111187.81380861741</v>
      </c>
    </row>
    <row r="6" spans="11:12" x14ac:dyDescent="0.25">
      <c r="K6" s="222" t="s">
        <v>119</v>
      </c>
      <c r="L6" s="218">
        <v>155.61799999999999</v>
      </c>
    </row>
    <row r="7" spans="11:12" ht="15.75" thickBot="1" x14ac:dyDescent="0.3">
      <c r="K7" s="223" t="s">
        <v>120</v>
      </c>
      <c r="L7" s="219">
        <f>+L5*L6</f>
        <v>17302825.209269423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DF8B7-96DC-4F9A-85EF-E839800846D6}">
  <dimension ref="C8:H12"/>
  <sheetViews>
    <sheetView topLeftCell="A4" workbookViewId="0">
      <selection activeCell="F25" sqref="F25"/>
    </sheetView>
  </sheetViews>
  <sheetFormatPr baseColWidth="10" defaultRowHeight="15" x14ac:dyDescent="0.25"/>
  <sheetData>
    <row r="8" spans="3:8" ht="30.75" customHeight="1" x14ac:dyDescent="0.25">
      <c r="C8" s="224" t="s">
        <v>121</v>
      </c>
      <c r="D8" s="224"/>
      <c r="E8" s="224" t="s">
        <v>122</v>
      </c>
      <c r="F8" s="224"/>
      <c r="G8" s="224" t="s">
        <v>124</v>
      </c>
      <c r="H8" s="224"/>
    </row>
    <row r="9" spans="3:8" x14ac:dyDescent="0.25">
      <c r="C9" s="142">
        <v>155.61799999999999</v>
      </c>
      <c r="D9" s="142"/>
      <c r="E9" s="202">
        <f>+CESIONES!F15</f>
        <v>2444387.2053872054</v>
      </c>
      <c r="F9" s="202"/>
      <c r="G9" s="202">
        <f>+C9*E9</f>
        <v>380390648.12794614</v>
      </c>
      <c r="H9" s="159"/>
    </row>
    <row r="10" spans="3:8" x14ac:dyDescent="0.25">
      <c r="C10" s="142" t="s">
        <v>118</v>
      </c>
      <c r="D10" s="142"/>
      <c r="E10" s="159" t="s">
        <v>123</v>
      </c>
      <c r="F10" s="159"/>
      <c r="G10" s="159" t="s">
        <v>125</v>
      </c>
      <c r="H10" s="159"/>
    </row>
    <row r="11" spans="3:8" x14ac:dyDescent="0.25">
      <c r="C11" s="142">
        <f>+C9</f>
        <v>155.61799999999999</v>
      </c>
      <c r="D11" s="142"/>
      <c r="E11" s="202">
        <f>+'DOTACION ESPACIO P'!L5</f>
        <v>111187.81380861741</v>
      </c>
      <c r="F11" s="202"/>
      <c r="G11" s="202">
        <f>+C11*E11</f>
        <v>17302825.209269423</v>
      </c>
      <c r="H11" s="159"/>
    </row>
    <row r="12" spans="3:8" x14ac:dyDescent="0.25">
      <c r="C12" s="159" t="s">
        <v>126</v>
      </c>
      <c r="D12" s="159"/>
      <c r="E12" s="159"/>
      <c r="F12" s="159"/>
      <c r="G12" s="225">
        <f>+G9+G11</f>
        <v>397693473.33721554</v>
      </c>
      <c r="H12" s="191"/>
    </row>
  </sheetData>
  <mergeCells count="14">
    <mergeCell ref="C12:F12"/>
    <mergeCell ref="G12:H12"/>
    <mergeCell ref="C10:D10"/>
    <mergeCell ref="C11:D11"/>
    <mergeCell ref="E10:F10"/>
    <mergeCell ref="E11:F11"/>
    <mergeCell ref="G10:H10"/>
    <mergeCell ref="G11:H11"/>
    <mergeCell ref="C8:D8"/>
    <mergeCell ref="C9:D9"/>
    <mergeCell ref="E8:F8"/>
    <mergeCell ref="E9:F9"/>
    <mergeCell ref="G8:H8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EST MDO VENTA</vt:lpstr>
      <vt:lpstr>AREAS PLUSVALIA</vt:lpstr>
      <vt:lpstr>SERIES IPC</vt:lpstr>
      <vt:lpstr>IC ANTES</vt:lpstr>
      <vt:lpstr>CALCUL PLUSV</vt:lpstr>
      <vt:lpstr>CESIONES</vt:lpstr>
      <vt:lpstr>DOTACION ESPACIO P</vt:lpstr>
      <vt:lpstr>TOTAL AREAS CESION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ramirez ruiz</dc:creator>
  <cp:lastModifiedBy>Andres Ramirez</cp:lastModifiedBy>
  <dcterms:created xsi:type="dcterms:W3CDTF">2015-06-05T18:19:34Z</dcterms:created>
  <dcterms:modified xsi:type="dcterms:W3CDTF">2024-12-20T00:05:42Z</dcterms:modified>
</cp:coreProperties>
</file>