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57314\Desktop\MARTIN\MARTIN\escritorio\ALCALDIA\ALCADIA VILLAVO DOT 2024\PRODUCTOS\AVALUO PP JUANANBU\INFORME\"/>
    </mc:Choice>
  </mc:AlternateContent>
  <xr:revisionPtr revIDLastSave="0" documentId="13_ncr:1_{78A7D20D-F9F4-4739-BC18-6507BE51A9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FERTAS RURALES" sheetId="22" r:id="rId1"/>
    <sheet name="P1 RURAL" sheetId="21" r:id="rId2"/>
    <sheet name="IPC DANE" sheetId="23" r:id="rId3"/>
    <sheet name="POTENCIAL DESARROLLO" sheetId="19" r:id="rId4"/>
    <sheet name="EST MDO APTOS NO VIS" sheetId="15" r:id="rId5"/>
    <sheet name="EST MDO LOCALES" sheetId="16" r:id="rId6"/>
    <sheet name="VIP" sheetId="17" r:id="rId7"/>
    <sheet name="VIS" sheetId="20" r:id="rId8"/>
    <sheet name="RESULTADO" sheetId="18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8" i="18" l="1"/>
  <c r="K17" i="18"/>
  <c r="K16" i="18"/>
  <c r="G30" i="19"/>
  <c r="E10" i="18"/>
  <c r="AB21" i="23"/>
  <c r="AB22" i="23"/>
  <c r="AB20" i="23"/>
  <c r="AB19" i="23"/>
  <c r="AB18" i="23"/>
  <c r="I16" i="18"/>
  <c r="G19" i="21"/>
  <c r="H109" i="19" l="1"/>
  <c r="G65" i="19" l="1"/>
  <c r="I10" i="15"/>
  <c r="G95" i="19"/>
  <c r="J8" i="16"/>
  <c r="J7" i="16"/>
  <c r="J6" i="16"/>
  <c r="G76" i="19"/>
  <c r="G50" i="19"/>
  <c r="G39" i="19"/>
  <c r="G38" i="19"/>
  <c r="G20" i="15"/>
  <c r="I15" i="15"/>
  <c r="I14" i="15"/>
  <c r="I13" i="15"/>
  <c r="I12" i="15"/>
  <c r="I11" i="15"/>
  <c r="G27" i="19"/>
  <c r="G26" i="19"/>
  <c r="G25" i="19"/>
  <c r="G24" i="19"/>
  <c r="G21" i="19"/>
  <c r="G22" i="19"/>
  <c r="G18" i="19"/>
  <c r="N7" i="21"/>
  <c r="O7" i="21" s="1"/>
  <c r="N6" i="21"/>
  <c r="O6" i="21" s="1"/>
  <c r="N5" i="21"/>
  <c r="O5" i="21" s="1"/>
  <c r="N16" i="22"/>
  <c r="O16" i="22" s="1"/>
  <c r="N15" i="22"/>
  <c r="O15" i="22" s="1"/>
  <c r="N14" i="22"/>
  <c r="N13" i="22"/>
  <c r="O13" i="22" s="1"/>
  <c r="J12" i="22"/>
  <c r="N12" i="22" s="1"/>
  <c r="O12" i="22" s="1"/>
  <c r="N11" i="22"/>
  <c r="J10" i="22"/>
  <c r="N10" i="22" s="1"/>
  <c r="O10" i="22" s="1"/>
  <c r="N9" i="22"/>
  <c r="O9" i="22" s="1"/>
  <c r="N8" i="22"/>
  <c r="N7" i="22"/>
  <c r="J6" i="22"/>
  <c r="N6" i="22" s="1"/>
  <c r="O6" i="22" s="1"/>
  <c r="N5" i="22"/>
  <c r="O5" i="22" s="1"/>
  <c r="G11" i="21" l="1"/>
  <c r="G10" i="21"/>
  <c r="G9" i="21"/>
  <c r="G14" i="21" l="1"/>
  <c r="G13" i="21"/>
  <c r="G12" i="21"/>
  <c r="D6" i="18" l="1"/>
  <c r="D10" i="18" s="1"/>
  <c r="F10" i="18" s="1"/>
  <c r="F11" i="18" s="1"/>
  <c r="M33" i="20"/>
  <c r="Q30" i="19"/>
  <c r="P31" i="19"/>
  <c r="P30" i="19"/>
  <c r="O31" i="19"/>
  <c r="N31" i="19"/>
  <c r="M31" i="19"/>
  <c r="N30" i="19"/>
  <c r="M30" i="19"/>
  <c r="G83" i="19" l="1"/>
  <c r="G72" i="19"/>
  <c r="G64" i="19"/>
  <c r="G45" i="19"/>
  <c r="G34" i="19"/>
  <c r="O30" i="19"/>
  <c r="M28" i="19"/>
  <c r="M27" i="19"/>
  <c r="M24" i="19"/>
  <c r="Q24" i="19"/>
  <c r="N14" i="19"/>
  <c r="P12" i="19"/>
  <c r="P14" i="19" s="1"/>
  <c r="O12" i="19"/>
  <c r="O14" i="19" s="1"/>
  <c r="N12" i="19"/>
  <c r="M14" i="19" s="1"/>
  <c r="P5" i="19"/>
  <c r="P7" i="19" s="1"/>
  <c r="O5" i="19"/>
  <c r="O7" i="19" s="1"/>
  <c r="N5" i="19"/>
  <c r="N7" i="19" s="1"/>
  <c r="M7" i="19" s="1"/>
  <c r="L45" i="19"/>
  <c r="G71" i="19"/>
  <c r="G93" i="19"/>
  <c r="G84" i="19"/>
  <c r="G73" i="19"/>
  <c r="G63" i="19"/>
  <c r="G57" i="19"/>
  <c r="G55" i="19"/>
  <c r="L44" i="19" s="1"/>
  <c r="G44" i="19"/>
  <c r="G41" i="19"/>
  <c r="G33" i="19"/>
  <c r="G82" i="19"/>
  <c r="M52" i="19"/>
  <c r="L52" i="19"/>
  <c r="M53" i="19" s="1"/>
  <c r="G19" i="19"/>
  <c r="G35" i="19" l="1"/>
  <c r="K45" i="19"/>
  <c r="M45" i="19" s="1"/>
  <c r="K44" i="19"/>
  <c r="M44" i="19" s="1"/>
  <c r="G46" i="19"/>
  <c r="G40" i="19"/>
  <c r="G42" i="19"/>
  <c r="G98" i="19"/>
  <c r="G99" i="19" s="1"/>
  <c r="G96" i="19"/>
  <c r="G97" i="19" s="1"/>
  <c r="G100" i="19" s="1"/>
  <c r="G90" i="19"/>
  <c r="G91" i="19" s="1"/>
  <c r="G79" i="19"/>
  <c r="G80" i="19" s="1"/>
  <c r="G69" i="19"/>
  <c r="G66" i="19"/>
  <c r="G67" i="19" s="1"/>
  <c r="G70" i="19" s="1"/>
  <c r="G60" i="19"/>
  <c r="G61" i="19" s="1"/>
  <c r="G58" i="19"/>
  <c r="G59" i="19" s="1"/>
  <c r="G52" i="19"/>
  <c r="G53" i="19" s="1"/>
  <c r="G28" i="19"/>
  <c r="G20" i="20"/>
  <c r="I8" i="20"/>
  <c r="I7" i="20"/>
  <c r="I6" i="20"/>
  <c r="G62" i="19" l="1"/>
  <c r="G101" i="19"/>
  <c r="I13" i="20"/>
  <c r="I11" i="20"/>
  <c r="I10" i="20"/>
  <c r="G86" i="19"/>
  <c r="G85" i="19"/>
  <c r="G77" i="19"/>
  <c r="G78" i="19" s="1"/>
  <c r="G81" i="19" s="1"/>
  <c r="G49" i="19"/>
  <c r="G51" i="19" s="1"/>
  <c r="G54" i="19" s="1"/>
  <c r="E32" i="19"/>
  <c r="E33" i="19" s="1"/>
  <c r="E34" i="19" s="1"/>
  <c r="E35" i="19" s="1"/>
  <c r="E36" i="19" s="1"/>
  <c r="E37" i="19" s="1"/>
  <c r="E38" i="19" s="1"/>
  <c r="E39" i="19" s="1"/>
  <c r="E40" i="19" s="1"/>
  <c r="E41" i="19" s="1"/>
  <c r="E42" i="19" s="1"/>
  <c r="E43" i="19" s="1"/>
  <c r="E44" i="19" s="1"/>
  <c r="E45" i="19" s="1"/>
  <c r="E46" i="19" s="1"/>
  <c r="E47" i="19" s="1"/>
  <c r="E48" i="19" s="1"/>
  <c r="E49" i="19" s="1"/>
  <c r="E50" i="19" s="1"/>
  <c r="E51" i="19" s="1"/>
  <c r="E52" i="19" s="1"/>
  <c r="E53" i="19" s="1"/>
  <c r="E54" i="19" s="1"/>
  <c r="E55" i="19" s="1"/>
  <c r="E56" i="19" s="1"/>
  <c r="E57" i="19" s="1"/>
  <c r="E58" i="19" s="1"/>
  <c r="E59" i="19" s="1"/>
  <c r="E60" i="19" s="1"/>
  <c r="E61" i="19" s="1"/>
  <c r="E62" i="19" s="1"/>
  <c r="E63" i="19" s="1"/>
  <c r="E64" i="19" s="1"/>
  <c r="E65" i="19" s="1"/>
  <c r="E66" i="19" s="1"/>
  <c r="E67" i="19" s="1"/>
  <c r="E68" i="19" s="1"/>
  <c r="E69" i="19" s="1"/>
  <c r="E70" i="19" s="1"/>
  <c r="E71" i="19" s="1"/>
  <c r="E72" i="19" s="1"/>
  <c r="E73" i="19" s="1"/>
  <c r="E74" i="19" s="1"/>
  <c r="E75" i="19" s="1"/>
  <c r="E76" i="19" s="1"/>
  <c r="E77" i="19" s="1"/>
  <c r="E78" i="19" s="1"/>
  <c r="E79" i="19" s="1"/>
  <c r="E80" i="19" s="1"/>
  <c r="E81" i="19" s="1"/>
  <c r="E82" i="19" s="1"/>
  <c r="E83" i="19" s="1"/>
  <c r="E84" i="19" s="1"/>
  <c r="E85" i="19" s="1"/>
  <c r="E86" i="19" s="1"/>
  <c r="E87" i="19" s="1"/>
  <c r="E88" i="19" s="1"/>
  <c r="E89" i="19" s="1"/>
  <c r="E90" i="19" s="1"/>
  <c r="E91" i="19" s="1"/>
  <c r="E92" i="19" s="1"/>
  <c r="E93" i="19" s="1"/>
  <c r="E94" i="19" s="1"/>
  <c r="E95" i="19" s="1"/>
  <c r="E96" i="19" s="1"/>
  <c r="E97" i="19" s="1"/>
  <c r="E98" i="19" s="1"/>
  <c r="E99" i="19" s="1"/>
  <c r="E100" i="19" s="1"/>
  <c r="E101" i="19" s="1"/>
  <c r="E102" i="19" s="1"/>
  <c r="E103" i="19" s="1"/>
  <c r="E104" i="19" s="1"/>
  <c r="E105" i="19" s="1"/>
  <c r="E106" i="19" s="1"/>
  <c r="E107" i="19" s="1"/>
  <c r="E108" i="19" s="1"/>
  <c r="E109" i="19" s="1"/>
  <c r="E110" i="19" s="1"/>
  <c r="E111" i="19" s="1"/>
  <c r="O25" i="19"/>
  <c r="O28" i="19" s="1"/>
  <c r="N25" i="19"/>
  <c r="N28" i="19" s="1"/>
  <c r="M25" i="19"/>
  <c r="O24" i="19"/>
  <c r="O27" i="19" s="1"/>
  <c r="N24" i="19"/>
  <c r="G29" i="19"/>
  <c r="G106" i="19" s="1"/>
  <c r="G31" i="19"/>
  <c r="J101" i="19" s="1"/>
  <c r="L101" i="19" s="1"/>
  <c r="I15" i="20" l="1"/>
  <c r="I14" i="20"/>
  <c r="I12" i="20"/>
  <c r="N27" i="19"/>
  <c r="P24" i="19"/>
  <c r="G87" i="19"/>
  <c r="G88" i="19" s="1"/>
  <c r="G89" i="19" s="1"/>
  <c r="G32" i="19"/>
  <c r="P27" i="19"/>
  <c r="P28" i="19"/>
  <c r="P25" i="19"/>
  <c r="G43" i="19"/>
  <c r="G92" i="19" l="1"/>
  <c r="Q28" i="19"/>
  <c r="G105" i="19" l="1"/>
  <c r="G104" i="19"/>
  <c r="G103" i="19"/>
  <c r="G102" i="19"/>
  <c r="G107" i="19" s="1"/>
  <c r="G108" i="19" s="1"/>
  <c r="G110" i="19" s="1"/>
  <c r="G111" i="19" l="1"/>
  <c r="E6" i="18" s="1"/>
  <c r="J16" i="18" s="1"/>
  <c r="F6" i="18" l="1"/>
  <c r="F7" i="18" s="1"/>
  <c r="G62" i="17" l="1"/>
  <c r="H8" i="16"/>
  <c r="H7" i="16"/>
  <c r="H6" i="16"/>
  <c r="I8" i="15"/>
  <c r="I7" i="15"/>
  <c r="I6" i="15"/>
  <c r="I5" i="15"/>
  <c r="J13" i="16" l="1"/>
  <c r="J11" i="16"/>
  <c r="J10" i="16"/>
  <c r="J15" i="16" l="1"/>
  <c r="J14" i="16"/>
  <c r="J12" i="16"/>
</calcChain>
</file>

<file path=xl/sharedStrings.xml><?xml version="1.0" encoding="utf-8"?>
<sst xmlns="http://schemas.openxmlformats.org/spreadsheetml/2006/main" count="376" uniqueCount="228">
  <si>
    <t>Afectaciones viales</t>
  </si>
  <si>
    <t>VALOR DE VENTA/M2 CONSTRUIDO</t>
  </si>
  <si>
    <t>costos construccion/m2</t>
  </si>
  <si>
    <t xml:space="preserve">Costos  de construcción totales </t>
  </si>
  <si>
    <t>costos de construccion /m2</t>
  </si>
  <si>
    <t>Valor Total ventas menos costos de construcción</t>
  </si>
  <si>
    <t>Costos de construcción totales</t>
  </si>
  <si>
    <t>VALOR VENTA TOTAL AAR</t>
  </si>
  <si>
    <t xml:space="preserve">Area vendible  calculada en el 90% del area construida </t>
  </si>
  <si>
    <t xml:space="preserve">VALOR TOTAL VENTAS </t>
  </si>
  <si>
    <t>ÁREA NETA URBANIZABLE</t>
  </si>
  <si>
    <t xml:space="preserve">Valor Unidad Vivienda </t>
  </si>
  <si>
    <t>AREA UTIL FINAL</t>
  </si>
  <si>
    <t>Total área plan parcial</t>
  </si>
  <si>
    <t>Vía existente Av Maracos</t>
  </si>
  <si>
    <t>TOTAL ÁREA BRUTA</t>
  </si>
  <si>
    <t>afectaciones ambientales</t>
  </si>
  <si>
    <t>TOTAL AFECTACIONES</t>
  </si>
  <si>
    <t>Cesión pública propuesta</t>
  </si>
  <si>
    <t>VIVIENDAS</t>
  </si>
  <si>
    <t>No de viviendas (básicas) AAM</t>
  </si>
  <si>
    <t>No de viviendas (básicas) AAR</t>
  </si>
  <si>
    <t>VIS</t>
  </si>
  <si>
    <t>VIP</t>
  </si>
  <si>
    <t>NO VIS</t>
  </si>
  <si>
    <t>TOTALES</t>
  </si>
  <si>
    <t>M2 Vivienda promedio (vendible)</t>
  </si>
  <si>
    <t>M2</t>
  </si>
  <si>
    <t>M2 de Const vivienda AAM</t>
  </si>
  <si>
    <t>M2 de Const vivienda AAR</t>
  </si>
  <si>
    <t>TOTAL VIVIENDAS</t>
  </si>
  <si>
    <t>TOTAL M2 VIVIENDAS</t>
  </si>
  <si>
    <t>AAM VIVIENDA 175 Viv/ha</t>
  </si>
  <si>
    <t>ESTUDIO DE MERCADO APARTAMENTOS</t>
  </si>
  <si>
    <t>OFERTAS PROYECTOS APARTAMENTOS NUEVOS</t>
  </si>
  <si>
    <t>No. Oferta</t>
  </si>
  <si>
    <t>PROYECTO</t>
  </si>
  <si>
    <t>FUENTE</t>
  </si>
  <si>
    <t>CONTACTO</t>
  </si>
  <si>
    <t>SECTOR</t>
  </si>
  <si>
    <t>AREA PRIVADA M2</t>
  </si>
  <si>
    <t>VALOR VENTA</t>
  </si>
  <si>
    <t xml:space="preserve">VALOR M2 ÁREA PRIVADA </t>
  </si>
  <si>
    <t>ROSA BLANCA, CARRETERA DEL AMOR</t>
  </si>
  <si>
    <t>ECO INVERSIONES SAS</t>
  </si>
  <si>
    <t>3134186858 3112805165</t>
  </si>
  <si>
    <t>ANILLO VIAL ENTRE MARACOS Y VIA PTO LOPEZ</t>
  </si>
  <si>
    <t>Media Aritmetica</t>
  </si>
  <si>
    <t>Desviación Estandar</t>
  </si>
  <si>
    <t>Coeficiente de Variación</t>
  </si>
  <si>
    <t>Coeficiente de asimetria</t>
  </si>
  <si>
    <t>Maximo</t>
  </si>
  <si>
    <t>Minimo</t>
  </si>
  <si>
    <t>Valor Adoptado</t>
  </si>
  <si>
    <t>Promedio area aptos</t>
  </si>
  <si>
    <t>ESTUDIO DE MERCADO LOCALES COMERCIALES</t>
  </si>
  <si>
    <t>TIPO</t>
  </si>
  <si>
    <t>VLR PEDIDO M2</t>
  </si>
  <si>
    <t>HOMOGENIZACIÓN</t>
  </si>
  <si>
    <t>LOCAL COMERCIAL</t>
  </si>
  <si>
    <t>CENTRO VILLAVICENCIO</t>
  </si>
  <si>
    <t>Valos Adoptado</t>
  </si>
  <si>
    <t>Bodega 100 m2</t>
  </si>
  <si>
    <t>Bodega 1000 m2</t>
  </si>
  <si>
    <t>OFERTAS PROYECTOS APARTAMENTOS VIS</t>
  </si>
  <si>
    <t>https://www.estrenarvivienda.com/vivienda-interes-social/villavicencio</t>
  </si>
  <si>
    <t>LLANO ALTO 3</t>
  </si>
  <si>
    <t>VLR MAX VIP</t>
  </si>
  <si>
    <t>UVT</t>
  </si>
  <si>
    <t>VLR VIVI VIP</t>
  </si>
  <si>
    <t>ARTICULO 238 PLAN NACIONAL DE DESARROLLO</t>
  </si>
  <si>
    <t>Costos Indirectos (7%)</t>
  </si>
  <si>
    <t>DESCRIPCION</t>
  </si>
  <si>
    <t>AREA HA</t>
  </si>
  <si>
    <t>VALOR HA</t>
  </si>
  <si>
    <t>VALOR TOTAL</t>
  </si>
  <si>
    <t>TOTAL M2</t>
  </si>
  <si>
    <t>Ocupación lote AAM</t>
  </si>
  <si>
    <t>Ocupación lote AAR</t>
  </si>
  <si>
    <t>Área total construida AAM ESTRATO 3</t>
  </si>
  <si>
    <t xml:space="preserve">VALOR DE VENTA/M2 </t>
  </si>
  <si>
    <t xml:space="preserve"> AAM VIS</t>
  </si>
  <si>
    <t>Área total construida AAM VIS</t>
  </si>
  <si>
    <t>VALOR VENTA TOTAL AAM VIS</t>
  </si>
  <si>
    <t>Costos de construcción / M2</t>
  </si>
  <si>
    <t>Costos de construccion totales</t>
  </si>
  <si>
    <t>AAM VIP</t>
  </si>
  <si>
    <t xml:space="preserve">Área Total Construida AAM VIP </t>
  </si>
  <si>
    <t>VALOR VENTA TOTAL AAR VIP</t>
  </si>
  <si>
    <t>AAM COMERCIO</t>
  </si>
  <si>
    <t>Área total construida AAM COMERCIO</t>
  </si>
  <si>
    <t xml:space="preserve">Area vendible  calculada en el 65% del area construida </t>
  </si>
  <si>
    <t>AAR VIVIENDA 120 Viv/ha</t>
  </si>
  <si>
    <t xml:space="preserve"> AAR VIS</t>
  </si>
  <si>
    <t>AAR VIP</t>
  </si>
  <si>
    <t>AAR COMERCIO</t>
  </si>
  <si>
    <t>VALOR VENTA TOTAL AAR COMERCIO</t>
  </si>
  <si>
    <t>Valor residual sobre área bruta (valor del M2 de lote)</t>
  </si>
  <si>
    <t xml:space="preserve">Area vendible calculada en el 80% del area construida </t>
  </si>
  <si>
    <t>Valor de máximo Vivienda VIS 3552 UVT</t>
  </si>
  <si>
    <t>VALOR DE VENTA / M2 calculado $150,647,424 / 55 M2 Área</t>
  </si>
  <si>
    <t>Valor de Maximo Vivienda  VIP 2368 UVT.</t>
  </si>
  <si>
    <t xml:space="preserve">VALOR DE VENTA/M2 calculado  $100431616/45m2  </t>
  </si>
  <si>
    <t>Valor de máximo Vivienda VIS 3.552 UVT</t>
  </si>
  <si>
    <t>Valor unidad de valor tributario UVT</t>
  </si>
  <si>
    <t>Valor de Maximo Vivienda  VIP 2.368 UVT.</t>
  </si>
  <si>
    <t>Valor UVT 2023</t>
  </si>
  <si>
    <t>Costos de Urbanismo (3%)</t>
  </si>
  <si>
    <t>Costos Totales</t>
  </si>
  <si>
    <t>VALOR VENTA TOTAL AAM COMERCIO</t>
  </si>
  <si>
    <t>VALOR VENTA TOTAL AAR VIS</t>
  </si>
  <si>
    <t>Valor residual sobre área bruta (valor del Ha de lote)</t>
  </si>
  <si>
    <t>VIVIENDA</t>
  </si>
  <si>
    <t>AAR</t>
  </si>
  <si>
    <t>AAM</t>
  </si>
  <si>
    <t>OTROS USOS</t>
  </si>
  <si>
    <t>OCUPACION</t>
  </si>
  <si>
    <t>EDIFICACION</t>
  </si>
  <si>
    <t>SUB TOTALES</t>
  </si>
  <si>
    <t>TOTAL VIVIENDA + OTROS USOS</t>
  </si>
  <si>
    <t>COMERCIO</t>
  </si>
  <si>
    <t>TOTAL</t>
  </si>
  <si>
    <t>OCUPACION Y EDIFICACION</t>
  </si>
  <si>
    <t>VALOR RESIDUAL (10%)</t>
  </si>
  <si>
    <t>POTENCIAL DE DESARROLLO PLAN PARCIAL JUANANBU</t>
  </si>
  <si>
    <t>No de Viviendas (basicas)</t>
  </si>
  <si>
    <t>M2 de construccion Vivienda</t>
  </si>
  <si>
    <t>VLR MAX VIS</t>
  </si>
  <si>
    <t>PLAN PARCIAL JUANAMBU</t>
  </si>
  <si>
    <t>No</t>
  </si>
  <si>
    <t>FOTO</t>
  </si>
  <si>
    <t>MUNICIPIO</t>
  </si>
  <si>
    <t>VEREDA</t>
  </si>
  <si>
    <t>Vlr Oferta</t>
  </si>
  <si>
    <t>CONSTRUCCIONES</t>
  </si>
  <si>
    <t>FACTOR NEGOCIACION</t>
  </si>
  <si>
    <t>FACTOR UBICACIÓN</t>
  </si>
  <si>
    <t>FACTOR TAMAÑO</t>
  </si>
  <si>
    <t>HOMOGENIZACION</t>
  </si>
  <si>
    <t>VLR HA</t>
  </si>
  <si>
    <t>OBSERVACIONES</t>
  </si>
  <si>
    <t>VILLAVICENCIO</t>
  </si>
  <si>
    <t>LA CONCEPCION</t>
  </si>
  <si>
    <t>PREDIO QUE POSE TRES FRENTES, SE COMPONE DE DOS GLOBOS QUE DIVIDIERON LA DOBLE CALZADA, USO INDUSTRIAL DE ALTO MEDIO Y  BAJO IMPACTO. 4°03'00.0"N 73°45'17.7"W</t>
  </si>
  <si>
    <t>SE ACCEDE POR PISCINAS LA CRISTALINA RURAL, UBICADO SOBRE LA VIA ANTIGUA, USO RURAL, TERRENO INCLINADO, CASA 3 HAB COCINA BAÑO Y TERRAZA EDAD 5 AÑOS, CASA DE 80 M2</t>
  </si>
  <si>
    <t>LAS MERCEDES</t>
  </si>
  <si>
    <t>NO CONTESTAN 4°02'49.1"N 73°42'37.6"W</t>
  </si>
  <si>
    <t>CELULAR NO DISPONIBLE 4°03'49.5"N 73°42'41.1"W</t>
  </si>
  <si>
    <t>SECTOR LA UNIÓN, VDA LAS MERCEDES, LOTE DE 2 HECTAREAS, TIENE AGUA, ENERGIA ELECTRICA AL FRENTE, LOTE SIN MEJORAS, RURAL 4.0637067,-73.7123133</t>
  </si>
  <si>
    <t>LA UNION LAS MERCEDES</t>
  </si>
  <si>
    <t>CASA DE DOS PISOS DE 15 POR 15 QUISCO DE 10 DIAMETRO CASA DE EMPLEADOS DE 3 HAB 12 X 6 Y CABALLERIZA 3 ANIMALES. 10 CONSTRUIDO, EN SECTOR SE VENDE PARA PARCELAR. 4.064016, -73.710152</t>
  </si>
  <si>
    <t>NUMERO TEMPORALMENTE SUSPENDIDO</t>
  </si>
  <si>
    <t>LA UNION</t>
  </si>
  <si>
    <t>LOTE CON CASA 4 HABITACIONES 2 BAÑOS, SALA COMEDOR Y COCINA, EDAD 45, 200 MT2, SUBURBANO, FRENTE SOBRE LA VIA SECUNDARIA DE 95 M2, ENERGIA TRIFASICA, ACUEDUCTO VEREDAL, TANQUE SEPTICO. 4°03'39.4"N 73°42'51.8"W</t>
  </si>
  <si>
    <t>3182011080 3204745449</t>
  </si>
  <si>
    <t>SECTOR RURAL, CASA DE CAMPO EN REMODELACION, POTREROS DE GANADERIA, A 4,7 KM DE LA VIA ACACIAS O 3 KM A LA MADRID.  -5% POR COMERCIALIZACIÓN, 5% POR UBICACIÓN Y -40% FACTOR TAMAÑO. 4°02'29.0"N 73°41'55.8"W</t>
  </si>
  <si>
    <t>3125607778 3107617368</t>
  </si>
  <si>
    <t>NO CONTESTAN 4°02'20.9"N 73°41'31.4"W</t>
  </si>
  <si>
    <t>RIO NEGRITO</t>
  </si>
  <si>
    <t>TERRENO RURAL, CERCANO AL CASCO URBANO (1 KM) POR LA MADRID Y A 6,6 KM DE LA VIA A ACACIAS, CASA DE CAMPO, AGUA DE JAGUEY, HABITABLE 30 AÑOS, ENERGIA ELECTRICA.  -5% POR COMERCIALIZACIÓN, 5% POR UBICACIÓN Y -40% FACTOR TAMAÑO 4°02'02.5"N 73°40'30.9"W</t>
  </si>
  <si>
    <t>SANTA ROSA</t>
  </si>
  <si>
    <t>3005604734 Vibo modular inmobiliaria</t>
  </si>
  <si>
    <t>LOTE DE 320,000 M2 CON FRENTE SOBRE LA VIA A PTO LÓPEZ, A 16 KM DE VILLAVICENCIO, SUBURBANO SOBRE LA VIA, GANADERIA, POSIBILIDADES TURISTICAS, ANTES DEL PEAJE. -5% POR COMERCIALIZACIÓN, 5% POR UBICACIÓN Y -10% FACTOR TAMAÑO. 4.056326, -73.480610</t>
  </si>
  <si>
    <t xml:space="preserve">OFERTAS RURALES MAS CERCANAS AL AREA DE EXPANSION Y SUB URBANA DEL MUNICIPIO DE VILLAVICENCIO </t>
  </si>
  <si>
    <t>MEDIA ARITMETICA</t>
  </si>
  <si>
    <t xml:space="preserve">DESVIACION ESTÁNDAR </t>
  </si>
  <si>
    <t>COEFICIENTE DE ASIMETRIA</t>
  </si>
  <si>
    <t>COEFICIENTE DE VARIACION</t>
  </si>
  <si>
    <t>VALOR ADOPTADO Ha</t>
  </si>
  <si>
    <t>OFERTAS RURALES MAS CERCANAS AL AREA DE EXPANSION Y SUB URBANA DEL MUNICIPIO DE VILLAVICENCIO - META</t>
  </si>
  <si>
    <t>TERRAVERDE PARK</t>
  </si>
  <si>
    <t>AMARILLO TUPARRO</t>
  </si>
  <si>
    <t>CONSTRUCTORA AMARILLO</t>
  </si>
  <si>
    <t>(601) 6340000, 01-8000-122442</t>
  </si>
  <si>
    <t>Unidad de valor tributario UVT 2024</t>
  </si>
  <si>
    <t>Valor de la Unidad de Valor Tributario 2024</t>
  </si>
  <si>
    <t>VALOR DE VENTA / M2 calculado $167,647,880 / 55 M2 Área</t>
  </si>
  <si>
    <t xml:space="preserve">VALOR DE VENTA/M2 calculado  $111`449,920 / 45m2  </t>
  </si>
  <si>
    <t>$UVT 2024</t>
  </si>
  <si>
    <t>https://www.fincaraiz.com.co/inmueble/local-en-venta/centro/villavicencio/10846934?_gl=1*x2pgvx*_up*MQ..&amp;gclid=Cj0KCQjwjLGyBhCYARIsAPqTz19N6Dn8ZZdzKhp1aHvCbgaWmLm_QasjJyYJB_4TRSvq4ApPdUMxgTYaAl82EALw_wcB</t>
  </si>
  <si>
    <t>https://www.fincaraiz.com.co/inmueble/local-en-venta/la-isla/villavicencio/10893822?_gl=1*149ia61*_up*MQ..&amp;gclid=Cj0KCQjwjLGyBhCYARIsAPqTz19N6Dn8ZZdzKhp1aHvCbgaWmLm_QasjJyYJB_4TRSvq4ApPdUMxgTYaAl82EALw_wcB</t>
  </si>
  <si>
    <t>CIUDAD MILENIO</t>
  </si>
  <si>
    <t>https://www.fincaraiz.com.co/inmueble/local-en-venta/antonio-villavicencio/villavicencio/8000435?_gl=1*146iuh7*_up*MQ..&amp;gclid=Cj0KCQjwjLGyBhCYARIsAPqTz19N6Dn8ZZdzKhp1aHvCbgaWmLm_QasjJyYJB_4TRSvq4ApPdUMxgTYaAl82EALw_wcB</t>
  </si>
  <si>
    <t>IKA</t>
  </si>
  <si>
    <t>3183600919 3188165831</t>
  </si>
  <si>
    <t>AVENIDA CATAMA CON CAMINO GANADERO</t>
  </si>
  <si>
    <t>IKEBANA</t>
  </si>
  <si>
    <t>Sala de ventas</t>
  </si>
  <si>
    <t>3152742458 3227283617</t>
  </si>
  <si>
    <t>3158837195 3182153721</t>
  </si>
  <si>
    <t>AVENIDA COLOMBIA</t>
  </si>
  <si>
    <t>Se homogeneiza -5% por negociacion y 15% por ubicación</t>
  </si>
  <si>
    <t xml:space="preserve">Area vendible  calculada en el 85% del area construida </t>
  </si>
  <si>
    <t xml:space="preserve">Area vendible  calculada en el 70% del area construida </t>
  </si>
  <si>
    <t>Utilidad del Proyecto (11%)</t>
  </si>
  <si>
    <t>Costo Directo de Construccion total, incluye zonas comunes (59%)</t>
  </si>
  <si>
    <t>Costos Financieros del Proyecto (10%)</t>
  </si>
  <si>
    <t>P1 RURAL</t>
  </si>
  <si>
    <t>P2 PLAN PARCIAL</t>
  </si>
  <si>
    <t>DIF P2 - P1</t>
  </si>
  <si>
    <t xml:space="preserve">DIFERENCIA P2 - P1 POR AREA UTIL FINAL </t>
  </si>
  <si>
    <t>Base Diciembre de 2018 = 100,00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</si>
  <si>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</si>
  <si>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</si>
  <si>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</si>
  <si>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</si>
  <si>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</si>
  <si>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</si>
  <si>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</si>
  <si>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</si>
  <si>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</si>
  <si>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</si>
  <si>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</si>
  <si>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</si>
  <si>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</si>
  <si>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r>
      <rPr>
        <b/>
        <sz val="8"/>
        <rFont val="Segoe UI"/>
        <family val="2"/>
        <charset val="204"/>
      </rPr>
      <t>Fuente:</t>
    </r>
    <r>
      <rPr>
        <sz val="8"/>
        <rFont val="Segoe UI"/>
        <family val="2"/>
        <charset val="204"/>
      </rPr>
      <t xml:space="preserve"> DANE.</t>
    </r>
  </si>
  <si>
    <r>
      <rPr>
        <b/>
        <sz val="8"/>
        <rFont val="Segoe UI"/>
        <family val="2"/>
        <charset val="204"/>
      </rPr>
      <t>Nota:</t>
    </r>
    <r>
      <rPr>
        <sz val="8"/>
        <rFont val="Segoe UI"/>
        <family val="2"/>
        <charset val="204"/>
      </rPr>
      <t xml:space="preserve"> La diferencia en la suma de las variables, obedece al sistema de aproximación y redondeo.</t>
    </r>
  </si>
  <si>
    <t>Actualizado el 8 de noviembre de 2024</t>
  </si>
  <si>
    <t>Total, Indice de Precios al Consumidor (IPC)</t>
  </si>
  <si>
    <t>Índices - Serie de empalme
2003 - 2024</t>
  </si>
  <si>
    <t>=</t>
  </si>
  <si>
    <t>IPC ACTUAL</t>
  </si>
  <si>
    <t>IPC INICIAL</t>
  </si>
  <si>
    <t>INDICE</t>
  </si>
  <si>
    <t>VLR DEFLACTADO</t>
  </si>
  <si>
    <t>VLR A DEFLACTAR</t>
  </si>
  <si>
    <t xml:space="preserve">Construdata 212 año 2024 </t>
  </si>
  <si>
    <t>Construdata 212 año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</si>
</sst>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&quot;$&quot;\ #,##0.0"/>
    <numFmt numFmtId="166" formatCode="&quot;$&quot;\ #,##0"/>
    <numFmt numFmtId="167" formatCode="[$$-240A]\ #,##0.00"/>
    <numFmt numFmtId="168" formatCode="[$$-240A]\ #,##0"/>
    <numFmt numFmtId="169" formatCode="[$$-240A]\ #,##0.0"/>
    <numFmt numFmtId="170" formatCode="_(&quot;$&quot;\ * #,##0_);_(&quot;$&quot;\ * \(#,##0\);_(&quot;$&quot;\ * &quot;-&quot;??_);_(@_)"/>
    <numFmt numFmtId="171" formatCode="&quot;$&quot;\ #,##0.00"/>
    <numFmt numFmtId="172" formatCode="[$-C0A]dd\-mmm\-yy;@"/>
    <numFmt numFmtId="173" formatCode="_(* #,##0.00_);_(* \(#,##0.00\);_(* &quot;-&quot;??_);_(@_)"/>
    <numFmt numFmtId="174" formatCode="_-* #,##0.00_-;\-* #,##0.00_-;_-* &quot;-&quot;_-;_-@_-"/>
    <numFmt numFmtId="175" formatCode="_-[$$-240A]* #,##0_-;\-[$$-240A]* #,##0_-;_-[$$-240A]* &quot;-&quot;??_-;_-@_-"/>
    <numFmt numFmtId="176" formatCode="&quot;$&quot;\ #,##0;[Red]&quot;$&quot;\ \-#,##0"/>
    <numFmt numFmtId="177" formatCode="#,##0.00_ ;\-#,##0.00\ "/>
    <numFmt numFmtId="178" formatCode="#,##0.0"/>
    <numFmt numFmtId="179" formatCode="&quot;$&quot;#,##0"/>
    <numFmt numFmtId="180" formatCode="0.0"/>
  </numFmts>
  <fonts count="3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4"/>
      <name val="Eurostile"/>
    </font>
    <font>
      <b/>
      <sz val="11"/>
      <name val="Eurostile"/>
    </font>
    <font>
      <sz val="11"/>
      <name val="Eurostile"/>
    </font>
    <font>
      <sz val="12"/>
      <name val="Eurostile"/>
    </font>
    <font>
      <sz val="11"/>
      <color theme="1"/>
      <name val="Eurostile"/>
    </font>
    <font>
      <b/>
      <sz val="12"/>
      <name val="Eurostile"/>
    </font>
    <font>
      <u/>
      <sz val="11"/>
      <color theme="10"/>
      <name val="Calibri"/>
      <family val="2"/>
      <scheme val="minor"/>
    </font>
    <font>
      <b/>
      <sz val="12"/>
      <color theme="1"/>
      <name val="Eurostile"/>
    </font>
    <font>
      <sz val="12"/>
      <color theme="1"/>
      <name val="Eurostile"/>
    </font>
    <font>
      <sz val="18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</font>
    <font>
      <b/>
      <sz val="14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rgb="FF000000"/>
      <name val="Calibri"/>
      <family val="2"/>
    </font>
    <font>
      <b/>
      <sz val="11"/>
      <color rgb="FF000000"/>
      <name val="Calibri"/>
      <family val="2"/>
    </font>
    <font>
      <b/>
      <sz val="9"/>
      <color rgb="FF000000"/>
      <name val="Arial-BoldMT"/>
    </font>
    <font>
      <b/>
      <sz val="16"/>
      <color theme="1"/>
      <name val="Calibri"/>
      <family val="2"/>
      <scheme val="minor"/>
    </font>
    <font>
      <sz val="9"/>
      <name val="Segoe UI"/>
      <family val="2"/>
      <charset val="204"/>
    </font>
    <font>
      <b/>
      <sz val="9"/>
      <name val="Segoe UI"/>
      <family val="2"/>
      <charset val="204"/>
    </font>
    <font>
      <sz val="9"/>
      <name val="Segoe UI"/>
      <family val="2"/>
    </font>
    <font>
      <b/>
      <sz val="9"/>
      <name val="Segoe UI"/>
      <family val="2"/>
    </font>
    <font>
      <sz val="8"/>
      <name val="Segoe UI"/>
      <family val="2"/>
      <charset val="204"/>
    </font>
    <font>
      <b/>
      <sz val="8"/>
      <name val="Segoe UI"/>
      <family val="2"/>
      <charset val="204"/>
    </font>
    <font>
      <b/>
      <sz val="14"/>
      <color theme="0"/>
      <name val="Segoe UI"/>
      <family val="2"/>
      <charset val="204"/>
    </font>
    <font>
      <b/>
      <sz val="12"/>
      <name val="Segoe UI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CC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6004B"/>
        <bgColor indexed="64"/>
      </patternFill>
    </fill>
  </fills>
  <borders count="67">
    <border>
      <left/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double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1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386">
    <xf numFmtId="0" fontId="0" fillId="0" borderId="0" xfId="0"/>
    <xf numFmtId="0" fontId="3" fillId="2" borderId="1" xfId="1" applyFont="1" applyFill="1" applyBorder="1" applyAlignment="1">
      <alignment horizontal="left" vertical="center"/>
    </xf>
    <xf numFmtId="165" fontId="2" fillId="0" borderId="2" xfId="1" applyNumberFormat="1" applyFont="1" applyBorder="1"/>
    <xf numFmtId="4" fontId="0" fillId="0" borderId="0" xfId="0" applyNumberFormat="1"/>
    <xf numFmtId="0" fontId="0" fillId="0" borderId="5" xfId="0" applyBorder="1"/>
    <xf numFmtId="4" fontId="2" fillId="2" borderId="2" xfId="1" applyNumberFormat="1" applyFont="1" applyFill="1" applyBorder="1"/>
    <xf numFmtId="0" fontId="3" fillId="2" borderId="1" xfId="1" applyFont="1" applyFill="1" applyBorder="1" applyAlignment="1">
      <alignment horizontal="left" vertical="center" wrapText="1"/>
    </xf>
    <xf numFmtId="0" fontId="2" fillId="0" borderId="1" xfId="1" applyFont="1" applyBorder="1"/>
    <xf numFmtId="0" fontId="2" fillId="3" borderId="3" xfId="1" applyFont="1" applyFill="1" applyBorder="1"/>
    <xf numFmtId="0" fontId="6" fillId="0" borderId="5" xfId="0" applyFont="1" applyBorder="1"/>
    <xf numFmtId="167" fontId="0" fillId="0" borderId="0" xfId="0" applyNumberFormat="1"/>
    <xf numFmtId="170" fontId="0" fillId="0" borderId="0" xfId="3" applyNumberFormat="1" applyFont="1"/>
    <xf numFmtId="165" fontId="0" fillId="0" borderId="0" xfId="0" applyNumberFormat="1"/>
    <xf numFmtId="0" fontId="6" fillId="0" borderId="0" xfId="0" applyFont="1"/>
    <xf numFmtId="0" fontId="6" fillId="2" borderId="0" xfId="0" applyFont="1" applyFill="1"/>
    <xf numFmtId="167" fontId="6" fillId="2" borderId="0" xfId="0" applyNumberFormat="1" applyFont="1" applyFill="1"/>
    <xf numFmtId="0" fontId="6" fillId="2" borderId="0" xfId="0" applyFont="1" applyFill="1" applyAlignment="1">
      <alignment horizontal="center" wrapText="1"/>
    </xf>
    <xf numFmtId="169" fontId="6" fillId="2" borderId="0" xfId="0" applyNumberFormat="1" applyFont="1" applyFill="1"/>
    <xf numFmtId="2" fontId="6" fillId="2" borderId="0" xfId="0" applyNumberFormat="1" applyFont="1" applyFill="1"/>
    <xf numFmtId="0" fontId="1" fillId="0" borderId="3" xfId="1" applyBorder="1"/>
    <xf numFmtId="4" fontId="2" fillId="3" borderId="4" xfId="1" applyNumberFormat="1" applyFont="1" applyFill="1" applyBorder="1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/>
    <xf numFmtId="3" fontId="0" fillId="0" borderId="15" xfId="0" applyNumberForma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6" fontId="0" fillId="0" borderId="0" xfId="0" applyNumberFormat="1"/>
    <xf numFmtId="172" fontId="9" fillId="4" borderId="23" xfId="0" applyNumberFormat="1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 wrapText="1"/>
    </xf>
    <xf numFmtId="173" fontId="9" fillId="4" borderId="24" xfId="4" applyNumberFormat="1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1" fontId="10" fillId="3" borderId="26" xfId="0" applyNumberFormat="1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 wrapText="1"/>
    </xf>
    <xf numFmtId="174" fontId="10" fillId="2" borderId="27" xfId="5" applyNumberFormat="1" applyFont="1" applyFill="1" applyBorder="1" applyAlignment="1">
      <alignment horizontal="center" vertical="center" wrapText="1"/>
    </xf>
    <xf numFmtId="175" fontId="10" fillId="2" borderId="27" xfId="0" applyNumberFormat="1" applyFont="1" applyFill="1" applyBorder="1" applyAlignment="1">
      <alignment horizontal="center" vertical="center" wrapText="1"/>
    </xf>
    <xf numFmtId="175" fontId="10" fillId="2" borderId="12" xfId="4" applyNumberFormat="1" applyFont="1" applyFill="1" applyBorder="1" applyAlignment="1">
      <alignment horizontal="center" vertical="center"/>
    </xf>
    <xf numFmtId="1" fontId="10" fillId="3" borderId="10" xfId="0" applyNumberFormat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174" fontId="10" fillId="2" borderId="5" xfId="5" applyNumberFormat="1" applyFont="1" applyFill="1" applyBorder="1" applyAlignment="1">
      <alignment horizontal="center" vertical="center" wrapText="1"/>
    </xf>
    <xf numFmtId="175" fontId="10" fillId="2" borderId="5" xfId="0" applyNumberFormat="1" applyFont="1" applyFill="1" applyBorder="1" applyAlignment="1">
      <alignment horizontal="center" vertical="center" wrapText="1"/>
    </xf>
    <xf numFmtId="175" fontId="10" fillId="2" borderId="13" xfId="4" applyNumberFormat="1" applyFont="1" applyFill="1" applyBorder="1" applyAlignment="1">
      <alignment horizontal="center" vertical="center"/>
    </xf>
    <xf numFmtId="1" fontId="10" fillId="3" borderId="14" xfId="0" applyNumberFormat="1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 wrapText="1"/>
    </xf>
    <xf numFmtId="174" fontId="10" fillId="2" borderId="15" xfId="5" applyNumberFormat="1" applyFont="1" applyFill="1" applyBorder="1" applyAlignment="1">
      <alignment horizontal="center" vertical="center" wrapText="1"/>
    </xf>
    <xf numFmtId="175" fontId="10" fillId="2" borderId="15" xfId="0" applyNumberFormat="1" applyFont="1" applyFill="1" applyBorder="1" applyAlignment="1">
      <alignment horizontal="center" vertical="center" wrapText="1"/>
    </xf>
    <xf numFmtId="175" fontId="10" fillId="2" borderId="16" xfId="4" applyNumberFormat="1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1" fontId="10" fillId="2" borderId="0" xfId="0" applyNumberFormat="1" applyFont="1" applyFill="1" applyAlignment="1">
      <alignment horizontal="center" vertical="center" wrapText="1"/>
    </xf>
    <xf numFmtId="176" fontId="10" fillId="2" borderId="0" xfId="0" applyNumberFormat="1" applyFont="1" applyFill="1" applyAlignment="1">
      <alignment horizontal="center" vertical="center" wrapText="1"/>
    </xf>
    <xf numFmtId="171" fontId="10" fillId="2" borderId="22" xfId="4" applyNumberFormat="1" applyFont="1" applyFill="1" applyBorder="1" applyAlignment="1">
      <alignment horizontal="center" vertical="center"/>
    </xf>
    <xf numFmtId="172" fontId="9" fillId="2" borderId="21" xfId="0" applyNumberFormat="1" applyFont="1" applyFill="1" applyBorder="1" applyAlignment="1">
      <alignment vertical="center" wrapText="1"/>
    </xf>
    <xf numFmtId="172" fontId="10" fillId="2" borderId="0" xfId="0" applyNumberFormat="1" applyFont="1" applyFill="1" applyAlignment="1">
      <alignment vertical="center" wrapText="1"/>
    </xf>
    <xf numFmtId="166" fontId="10" fillId="2" borderId="28" xfId="0" applyNumberFormat="1" applyFont="1" applyFill="1" applyBorder="1"/>
    <xf numFmtId="0" fontId="12" fillId="2" borderId="21" xfId="0" applyFont="1" applyFill="1" applyBorder="1"/>
    <xf numFmtId="0" fontId="9" fillId="2" borderId="0" xfId="0" applyFont="1" applyFill="1" applyAlignment="1">
      <alignment horizontal="center" vertical="center" wrapText="1"/>
    </xf>
    <xf numFmtId="0" fontId="12" fillId="2" borderId="0" xfId="0" applyFont="1" applyFill="1"/>
    <xf numFmtId="166" fontId="10" fillId="2" borderId="29" xfId="0" applyNumberFormat="1" applyFont="1" applyFill="1" applyBorder="1"/>
    <xf numFmtId="10" fontId="10" fillId="0" borderId="29" xfId="2" applyNumberFormat="1" applyFont="1" applyFill="1" applyBorder="1"/>
    <xf numFmtId="2" fontId="10" fillId="2" borderId="29" xfId="2" applyNumberFormat="1" applyFont="1" applyFill="1" applyBorder="1"/>
    <xf numFmtId="0" fontId="9" fillId="2" borderId="0" xfId="0" applyFont="1" applyFill="1" applyAlignment="1">
      <alignment horizontal="center"/>
    </xf>
    <xf numFmtId="166" fontId="10" fillId="2" borderId="30" xfId="0" applyNumberFormat="1" applyFont="1" applyFill="1" applyBorder="1"/>
    <xf numFmtId="0" fontId="11" fillId="2" borderId="0" xfId="0" applyFont="1" applyFill="1" applyAlignment="1">
      <alignment horizontal="center"/>
    </xf>
    <xf numFmtId="4" fontId="11" fillId="2" borderId="0" xfId="0" applyNumberFormat="1" applyFont="1" applyFill="1" applyAlignment="1">
      <alignment horizontal="center"/>
    </xf>
    <xf numFmtId="0" fontId="10" fillId="2" borderId="22" xfId="0" applyFont="1" applyFill="1" applyBorder="1" applyAlignment="1">
      <alignment horizontal="center"/>
    </xf>
    <xf numFmtId="172" fontId="10" fillId="2" borderId="31" xfId="0" applyNumberFormat="1" applyFont="1" applyFill="1" applyBorder="1" applyAlignment="1">
      <alignment horizontal="center"/>
    </xf>
    <xf numFmtId="0" fontId="10" fillId="2" borderId="32" xfId="0" applyFont="1" applyFill="1" applyBorder="1" applyAlignment="1">
      <alignment horizontal="center"/>
    </xf>
    <xf numFmtId="0" fontId="11" fillId="2" borderId="32" xfId="0" applyFont="1" applyFill="1" applyBorder="1" applyAlignment="1">
      <alignment horizontal="center"/>
    </xf>
    <xf numFmtId="0" fontId="13" fillId="2" borderId="32" xfId="0" applyFont="1" applyFill="1" applyBorder="1" applyAlignment="1">
      <alignment horizontal="center"/>
    </xf>
    <xf numFmtId="175" fontId="10" fillId="2" borderId="5" xfId="4" applyNumberFormat="1" applyFont="1" applyFill="1" applyBorder="1" applyAlignment="1">
      <alignment horizontal="center" vertical="center"/>
    </xf>
    <xf numFmtId="177" fontId="10" fillId="2" borderId="5" xfId="4" applyNumberFormat="1" applyFont="1" applyFill="1" applyBorder="1" applyAlignment="1">
      <alignment horizontal="center" vertical="center"/>
    </xf>
    <xf numFmtId="175" fontId="10" fillId="2" borderId="15" xfId="4" applyNumberFormat="1" applyFont="1" applyFill="1" applyBorder="1" applyAlignment="1">
      <alignment horizontal="center" vertical="center"/>
    </xf>
    <xf numFmtId="177" fontId="10" fillId="2" borderId="15" xfId="4" applyNumberFormat="1" applyFont="1" applyFill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10" fontId="10" fillId="2" borderId="29" xfId="2" applyNumberFormat="1" applyFont="1" applyFill="1" applyBorder="1"/>
    <xf numFmtId="0" fontId="0" fillId="0" borderId="31" xfId="0" applyBorder="1"/>
    <xf numFmtId="0" fontId="0" fillId="0" borderId="32" xfId="0" applyBorder="1"/>
    <xf numFmtId="166" fontId="13" fillId="3" borderId="16" xfId="0" applyNumberFormat="1" applyFont="1" applyFill="1" applyBorder="1" applyAlignment="1">
      <alignment horizontal="center"/>
    </xf>
    <xf numFmtId="1" fontId="10" fillId="3" borderId="17" xfId="0" applyNumberFormat="1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74" fontId="10" fillId="2" borderId="8" xfId="5" applyNumberFormat="1" applyFont="1" applyFill="1" applyBorder="1" applyAlignment="1">
      <alignment horizontal="center" vertical="center" wrapText="1"/>
    </xf>
    <xf numFmtId="175" fontId="10" fillId="2" borderId="8" xfId="0" applyNumberFormat="1" applyFont="1" applyFill="1" applyBorder="1" applyAlignment="1">
      <alignment horizontal="center" vertical="center" wrapText="1"/>
    </xf>
    <xf numFmtId="175" fontId="10" fillId="2" borderId="9" xfId="4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4" fillId="2" borderId="5" xfId="6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4" fillId="2" borderId="15" xfId="6" applyFill="1" applyBorder="1" applyAlignment="1">
      <alignment horizontal="center" vertical="center" wrapText="1"/>
    </xf>
    <xf numFmtId="174" fontId="0" fillId="0" borderId="0" xfId="0" applyNumberFormat="1"/>
    <xf numFmtId="0" fontId="14" fillId="0" borderId="0" xfId="6"/>
    <xf numFmtId="0" fontId="0" fillId="0" borderId="5" xfId="0" applyBorder="1" applyAlignment="1">
      <alignment horizontal="center"/>
    </xf>
    <xf numFmtId="0" fontId="2" fillId="3" borderId="1" xfId="1" applyFont="1" applyFill="1" applyBorder="1"/>
    <xf numFmtId="165" fontId="2" fillId="3" borderId="2" xfId="1" applyNumberFormat="1" applyFont="1" applyFill="1" applyBorder="1"/>
    <xf numFmtId="0" fontId="0" fillId="3" borderId="5" xfId="0" applyFill="1" applyBorder="1"/>
    <xf numFmtId="0" fontId="0" fillId="4" borderId="30" xfId="0" applyFill="1" applyBorder="1"/>
    <xf numFmtId="0" fontId="15" fillId="4" borderId="23" xfId="0" applyFont="1" applyFill="1" applyBorder="1" applyAlignment="1">
      <alignment horizontal="center" vertical="center"/>
    </xf>
    <xf numFmtId="0" fontId="15" fillId="4" borderId="24" xfId="0" applyFont="1" applyFill="1" applyBorder="1" applyAlignment="1">
      <alignment horizontal="center" vertical="center"/>
    </xf>
    <xf numFmtId="0" fontId="15" fillId="4" borderId="25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/>
    </xf>
    <xf numFmtId="177" fontId="16" fillId="0" borderId="24" xfId="5" applyNumberFormat="1" applyFont="1" applyFill="1" applyBorder="1" applyAlignment="1">
      <alignment horizontal="center" vertical="center"/>
    </xf>
    <xf numFmtId="166" fontId="16" fillId="0" borderId="24" xfId="0" applyNumberFormat="1" applyFont="1" applyBorder="1" applyAlignment="1">
      <alignment horizontal="center" vertical="center"/>
    </xf>
    <xf numFmtId="166" fontId="16" fillId="0" borderId="25" xfId="0" applyNumberFormat="1" applyFont="1" applyBorder="1" applyAlignment="1">
      <alignment horizontal="center" vertical="center"/>
    </xf>
    <xf numFmtId="166" fontId="15" fillId="3" borderId="38" xfId="0" applyNumberFormat="1" applyFont="1" applyFill="1" applyBorder="1" applyAlignment="1">
      <alignment horizontal="center" vertical="center"/>
    </xf>
    <xf numFmtId="4" fontId="1" fillId="0" borderId="4" xfId="1" applyNumberFormat="1" applyBorder="1"/>
    <xf numFmtId="3" fontId="1" fillId="0" borderId="2" xfId="1" applyNumberFormat="1" applyBorder="1"/>
    <xf numFmtId="0" fontId="18" fillId="2" borderId="1" xfId="1" applyFont="1" applyFill="1" applyBorder="1" applyAlignment="1">
      <alignment horizontal="left" vertical="center"/>
    </xf>
    <xf numFmtId="0" fontId="1" fillId="0" borderId="1" xfId="1" applyBorder="1"/>
    <xf numFmtId="165" fontId="1" fillId="2" borderId="2" xfId="1" applyNumberFormat="1" applyFill="1" applyBorder="1"/>
    <xf numFmtId="4" fontId="0" fillId="2" borderId="0" xfId="0" applyNumberFormat="1" applyFill="1"/>
    <xf numFmtId="165" fontId="1" fillId="0" borderId="2" xfId="1" applyNumberFormat="1" applyBorder="1"/>
    <xf numFmtId="0" fontId="0" fillId="2" borderId="0" xfId="0" applyFill="1"/>
    <xf numFmtId="3" fontId="0" fillId="0" borderId="0" xfId="0" applyNumberFormat="1"/>
    <xf numFmtId="4" fontId="1" fillId="2" borderId="2" xfId="1" applyNumberFormat="1" applyFill="1" applyBorder="1"/>
    <xf numFmtId="0" fontId="6" fillId="0" borderId="11" xfId="0" applyFont="1" applyBorder="1" applyAlignment="1">
      <alignment horizontal="center" vertical="center"/>
    </xf>
    <xf numFmtId="166" fontId="1" fillId="0" borderId="2" xfId="1" applyNumberFormat="1" applyBorder="1"/>
    <xf numFmtId="0" fontId="1" fillId="0" borderId="1" xfId="1" applyBorder="1" applyAlignment="1">
      <alignment wrapText="1"/>
    </xf>
    <xf numFmtId="165" fontId="2" fillId="2" borderId="2" xfId="1" applyNumberFormat="1" applyFont="1" applyFill="1" applyBorder="1"/>
    <xf numFmtId="9" fontId="0" fillId="2" borderId="0" xfId="0" applyNumberFormat="1" applyFill="1"/>
    <xf numFmtId="0" fontId="2" fillId="4" borderId="1" xfId="1" applyFont="1" applyFill="1" applyBorder="1"/>
    <xf numFmtId="4" fontId="2" fillId="4" borderId="2" xfId="1" applyNumberFormat="1" applyFont="1" applyFill="1" applyBorder="1"/>
    <xf numFmtId="4" fontId="1" fillId="4" borderId="2" xfId="1" applyNumberFormat="1" applyFill="1" applyBorder="1"/>
    <xf numFmtId="0" fontId="7" fillId="2" borderId="45" xfId="1" applyFont="1" applyFill="1" applyBorder="1"/>
    <xf numFmtId="168" fontId="0" fillId="0" borderId="39" xfId="0" applyNumberFormat="1" applyBorder="1" applyAlignment="1">
      <alignment horizontal="center"/>
    </xf>
    <xf numFmtId="168" fontId="0" fillId="3" borderId="39" xfId="0" applyNumberFormat="1" applyFill="1" applyBorder="1" applyAlignment="1">
      <alignment horizontal="center"/>
    </xf>
    <xf numFmtId="9" fontId="2" fillId="2" borderId="40" xfId="2" applyFont="1" applyFill="1" applyBorder="1" applyAlignment="1">
      <alignment horizontal="center"/>
    </xf>
    <xf numFmtId="9" fontId="1" fillId="4" borderId="28" xfId="1" applyNumberFormat="1" applyFill="1" applyBorder="1"/>
    <xf numFmtId="9" fontId="6" fillId="4" borderId="29" xfId="0" applyNumberFormat="1" applyFont="1" applyFill="1" applyBorder="1" applyAlignment="1">
      <alignment horizontal="center"/>
    </xf>
    <xf numFmtId="10" fontId="6" fillId="4" borderId="29" xfId="0" applyNumberFormat="1" applyFont="1" applyFill="1" applyBorder="1" applyAlignment="1">
      <alignment horizontal="center"/>
    </xf>
    <xf numFmtId="167" fontId="0" fillId="4" borderId="29" xfId="0" applyNumberFormat="1" applyFill="1" applyBorder="1" applyAlignment="1">
      <alignment horizontal="center"/>
    </xf>
    <xf numFmtId="0" fontId="1" fillId="3" borderId="6" xfId="1" applyFill="1" applyBorder="1" applyAlignment="1">
      <alignment horizontal="center"/>
    </xf>
    <xf numFmtId="0" fontId="1" fillId="0" borderId="46" xfId="1" applyBorder="1"/>
    <xf numFmtId="4" fontId="1" fillId="0" borderId="47" xfId="1" applyNumberFormat="1" applyBorder="1"/>
    <xf numFmtId="10" fontId="1" fillId="0" borderId="41" xfId="1" applyNumberFormat="1" applyBorder="1"/>
    <xf numFmtId="0" fontId="1" fillId="3" borderId="48" xfId="1" applyFill="1" applyBorder="1" applyAlignment="1">
      <alignment horizontal="center"/>
    </xf>
    <xf numFmtId="10" fontId="1" fillId="0" borderId="49" xfId="1" applyNumberFormat="1" applyBorder="1"/>
    <xf numFmtId="10" fontId="1" fillId="3" borderId="49" xfId="1" applyNumberFormat="1" applyFill="1" applyBorder="1"/>
    <xf numFmtId="4" fontId="4" fillId="3" borderId="49" xfId="1" applyNumberFormat="1" applyFont="1" applyFill="1" applyBorder="1"/>
    <xf numFmtId="0" fontId="1" fillId="4" borderId="48" xfId="1" applyFill="1" applyBorder="1" applyAlignment="1">
      <alignment horizontal="center"/>
    </xf>
    <xf numFmtId="0" fontId="1" fillId="4" borderId="42" xfId="1" applyFill="1" applyBorder="1"/>
    <xf numFmtId="1" fontId="1" fillId="2" borderId="42" xfId="1" applyNumberFormat="1" applyFill="1" applyBorder="1"/>
    <xf numFmtId="10" fontId="1" fillId="2" borderId="42" xfId="1" applyNumberFormat="1" applyFill="1" applyBorder="1"/>
    <xf numFmtId="9" fontId="1" fillId="2" borderId="42" xfId="1" applyNumberFormat="1" applyFill="1" applyBorder="1"/>
    <xf numFmtId="165" fontId="1" fillId="4" borderId="42" xfId="1" applyNumberFormat="1" applyFill="1" applyBorder="1"/>
    <xf numFmtId="9" fontId="1" fillId="0" borderId="42" xfId="1" applyNumberFormat="1" applyBorder="1"/>
    <xf numFmtId="9" fontId="1" fillId="4" borderId="42" xfId="1" applyNumberFormat="1" applyFill="1" applyBorder="1"/>
    <xf numFmtId="9" fontId="1" fillId="0" borderId="50" xfId="1" applyNumberFormat="1" applyBorder="1"/>
    <xf numFmtId="9" fontId="6" fillId="3" borderId="29" xfId="0" applyNumberFormat="1" applyFont="1" applyFill="1" applyBorder="1" applyAlignment="1">
      <alignment horizontal="center"/>
    </xf>
    <xf numFmtId="0" fontId="0" fillId="4" borderId="29" xfId="0" applyFill="1" applyBorder="1"/>
    <xf numFmtId="4" fontId="0" fillId="0" borderId="5" xfId="0" applyNumberFormat="1" applyBorder="1" applyAlignment="1">
      <alignment horizontal="center"/>
    </xf>
    <xf numFmtId="4" fontId="0" fillId="0" borderId="5" xfId="0" applyNumberFormat="1" applyBorder="1"/>
    <xf numFmtId="0" fontId="0" fillId="3" borderId="10" xfId="0" applyFill="1" applyBorder="1"/>
    <xf numFmtId="4" fontId="0" fillId="0" borderId="13" xfId="0" applyNumberFormat="1" applyBorder="1"/>
    <xf numFmtId="0" fontId="0" fillId="3" borderId="14" xfId="0" applyFill="1" applyBorder="1"/>
    <xf numFmtId="4" fontId="0" fillId="0" borderId="15" xfId="0" applyNumberFormat="1" applyBorder="1"/>
    <xf numFmtId="4" fontId="0" fillId="0" borderId="16" xfId="0" applyNumberFormat="1" applyBorder="1"/>
    <xf numFmtId="0" fontId="0" fillId="3" borderId="10" xfId="0" applyFill="1" applyBorder="1" applyAlignment="1">
      <alignment horizontal="center"/>
    </xf>
    <xf numFmtId="0" fontId="0" fillId="0" borderId="13" xfId="0" applyBorder="1" applyAlignment="1">
      <alignment horizontal="center"/>
    </xf>
    <xf numFmtId="4" fontId="0" fillId="3" borderId="10" xfId="0" applyNumberFormat="1" applyFill="1" applyBorder="1" applyAlignment="1">
      <alignment horizontal="center"/>
    </xf>
    <xf numFmtId="4" fontId="0" fillId="0" borderId="13" xfId="0" applyNumberFormat="1" applyBorder="1" applyAlignment="1">
      <alignment horizontal="center"/>
    </xf>
    <xf numFmtId="0" fontId="0" fillId="4" borderId="26" xfId="0" applyFill="1" applyBorder="1"/>
    <xf numFmtId="0" fontId="0" fillId="4" borderId="27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169" fontId="6" fillId="0" borderId="39" xfId="0" applyNumberFormat="1" applyFont="1" applyBorder="1" applyAlignment="1">
      <alignment horizontal="center" vertical="center"/>
    </xf>
    <xf numFmtId="0" fontId="6" fillId="0" borderId="15" xfId="0" applyFont="1" applyBorder="1"/>
    <xf numFmtId="169" fontId="6" fillId="0" borderId="51" xfId="0" applyNumberFormat="1" applyFont="1" applyBorder="1" applyAlignment="1">
      <alignment horizontal="center" vertical="center"/>
    </xf>
    <xf numFmtId="178" fontId="0" fillId="0" borderId="5" xfId="0" applyNumberFormat="1" applyBorder="1" applyAlignment="1">
      <alignment horizontal="center"/>
    </xf>
    <xf numFmtId="178" fontId="0" fillId="0" borderId="5" xfId="0" applyNumberFormat="1" applyBorder="1"/>
    <xf numFmtId="9" fontId="0" fillId="4" borderId="17" xfId="0" applyNumberFormat="1" applyFill="1" applyBorder="1" applyAlignment="1">
      <alignment horizontal="center"/>
    </xf>
    <xf numFmtId="9" fontId="0" fillId="4" borderId="8" xfId="0" applyNumberFormat="1" applyFill="1" applyBorder="1" applyAlignment="1">
      <alignment horizontal="center"/>
    </xf>
    <xf numFmtId="9" fontId="0" fillId="4" borderId="9" xfId="0" applyNumberFormat="1" applyFill="1" applyBorder="1" applyAlignment="1">
      <alignment horizontal="center"/>
    </xf>
    <xf numFmtId="0" fontId="6" fillId="4" borderId="36" xfId="0" applyFont="1" applyFill="1" applyBorder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178" fontId="0" fillId="0" borderId="8" xfId="0" applyNumberFormat="1" applyBorder="1" applyAlignment="1">
      <alignment horizontal="center"/>
    </xf>
    <xf numFmtId="178" fontId="0" fillId="0" borderId="9" xfId="0" applyNumberFormat="1" applyBorder="1" applyAlignment="1">
      <alignment horizontal="center"/>
    </xf>
    <xf numFmtId="178" fontId="0" fillId="0" borderId="13" xfId="0" applyNumberFormat="1" applyBorder="1" applyAlignment="1">
      <alignment horizontal="center"/>
    </xf>
    <xf numFmtId="178" fontId="0" fillId="0" borderId="15" xfId="0" applyNumberFormat="1" applyBorder="1"/>
    <xf numFmtId="178" fontId="0" fillId="0" borderId="15" xfId="0" applyNumberFormat="1" applyBorder="1" applyAlignment="1">
      <alignment horizontal="center"/>
    </xf>
    <xf numFmtId="178" fontId="0" fillId="0" borderId="16" xfId="0" applyNumberFormat="1" applyBorder="1" applyAlignment="1">
      <alignment horizontal="center"/>
    </xf>
    <xf numFmtId="3" fontId="0" fillId="2" borderId="5" xfId="0" applyNumberFormat="1" applyFill="1" applyBorder="1" applyAlignment="1">
      <alignment horizontal="center" vertical="center"/>
    </xf>
    <xf numFmtId="3" fontId="0" fillId="2" borderId="15" xfId="0" applyNumberFormat="1" applyFill="1" applyBorder="1" applyAlignment="1">
      <alignment horizontal="center" vertical="center"/>
    </xf>
    <xf numFmtId="9" fontId="0" fillId="4" borderId="17" xfId="0" applyNumberFormat="1" applyFill="1" applyBorder="1" applyAlignment="1">
      <alignment horizontal="center" vertical="center"/>
    </xf>
    <xf numFmtId="9" fontId="0" fillId="4" borderId="8" xfId="0" applyNumberForma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4" fontId="0" fillId="0" borderId="8" xfId="0" applyNumberFormat="1" applyBorder="1"/>
    <xf numFmtId="4" fontId="0" fillId="0" borderId="52" xfId="0" applyNumberFormat="1" applyBorder="1"/>
    <xf numFmtId="4" fontId="0" fillId="0" borderId="51" xfId="0" applyNumberFormat="1" applyBorder="1"/>
    <xf numFmtId="0" fontId="0" fillId="3" borderId="17" xfId="0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166" fontId="0" fillId="0" borderId="15" xfId="0" applyNumberFormat="1" applyBorder="1" applyAlignment="1">
      <alignment horizontal="center"/>
    </xf>
    <xf numFmtId="166" fontId="6" fillId="0" borderId="16" xfId="0" applyNumberFormat="1" applyFont="1" applyBorder="1"/>
    <xf numFmtId="0" fontId="19" fillId="0" borderId="18" xfId="0" applyFont="1" applyBorder="1"/>
    <xf numFmtId="0" fontId="19" fillId="0" borderId="21" xfId="0" applyFont="1" applyBorder="1"/>
    <xf numFmtId="0" fontId="19" fillId="0" borderId="0" xfId="0" applyFont="1"/>
    <xf numFmtId="0" fontId="19" fillId="0" borderId="22" xfId="0" applyFont="1" applyBorder="1"/>
    <xf numFmtId="172" fontId="21" fillId="5" borderId="38" xfId="0" applyNumberFormat="1" applyFont="1" applyFill="1" applyBorder="1" applyAlignment="1">
      <alignment horizontal="center" vertical="center"/>
    </xf>
    <xf numFmtId="0" fontId="21" fillId="5" borderId="38" xfId="0" applyFont="1" applyFill="1" applyBorder="1" applyAlignment="1">
      <alignment horizontal="center" vertical="center"/>
    </xf>
    <xf numFmtId="0" fontId="21" fillId="5" borderId="38" xfId="0" applyFont="1" applyFill="1" applyBorder="1" applyAlignment="1">
      <alignment horizontal="center" vertical="center" wrapText="1"/>
    </xf>
    <xf numFmtId="0" fontId="21" fillId="5" borderId="33" xfId="0" applyFont="1" applyFill="1" applyBorder="1" applyAlignment="1">
      <alignment horizontal="center" vertical="center" wrapText="1"/>
    </xf>
    <xf numFmtId="173" fontId="21" fillId="5" borderId="33" xfId="4" applyNumberFormat="1" applyFont="1" applyFill="1" applyBorder="1" applyAlignment="1">
      <alignment horizontal="center" vertical="center" wrapText="1"/>
    </xf>
    <xf numFmtId="173" fontId="21" fillId="5" borderId="38" xfId="4" applyNumberFormat="1" applyFont="1" applyFill="1" applyBorder="1" applyAlignment="1">
      <alignment horizontal="center" vertical="center" wrapText="1"/>
    </xf>
    <xf numFmtId="0" fontId="22" fillId="6" borderId="26" xfId="0" applyFont="1" applyFill="1" applyBorder="1" applyAlignment="1">
      <alignment horizontal="center" vertical="center"/>
    </xf>
    <xf numFmtId="0" fontId="22" fillId="0" borderId="53" xfId="0" applyFont="1" applyBorder="1" applyAlignment="1">
      <alignment horizontal="center" vertical="center"/>
    </xf>
    <xf numFmtId="0" fontId="1" fillId="7" borderId="27" xfId="0" applyFont="1" applyFill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/>
    </xf>
    <xf numFmtId="168" fontId="23" fillId="7" borderId="27" xfId="0" applyNumberFormat="1" applyFont="1" applyFill="1" applyBorder="1" applyAlignment="1">
      <alignment horizontal="center" vertical="center"/>
    </xf>
    <xf numFmtId="9" fontId="23" fillId="7" borderId="27" xfId="0" applyNumberFormat="1" applyFont="1" applyFill="1" applyBorder="1" applyAlignment="1">
      <alignment horizontal="center" vertical="center"/>
    </xf>
    <xf numFmtId="179" fontId="23" fillId="0" borderId="27" xfId="0" applyNumberFormat="1" applyFont="1" applyBorder="1" applyAlignment="1">
      <alignment horizontal="center" vertical="center"/>
    </xf>
    <xf numFmtId="179" fontId="1" fillId="7" borderId="12" xfId="0" applyNumberFormat="1" applyFont="1" applyFill="1" applyBorder="1" applyAlignment="1">
      <alignment horizontal="center" vertical="center" wrapText="1"/>
    </xf>
    <xf numFmtId="0" fontId="22" fillId="6" borderId="10" xfId="0" applyFont="1" applyFill="1" applyBorder="1" applyAlignment="1">
      <alignment horizontal="center" vertical="center"/>
    </xf>
    <xf numFmtId="0" fontId="22" fillId="0" borderId="54" xfId="0" applyFont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/>
    </xf>
    <xf numFmtId="168" fontId="23" fillId="7" borderId="5" xfId="0" applyNumberFormat="1" applyFont="1" applyFill="1" applyBorder="1" applyAlignment="1">
      <alignment horizontal="center" vertical="center"/>
    </xf>
    <xf numFmtId="9" fontId="23" fillId="7" borderId="5" xfId="0" applyNumberFormat="1" applyFont="1" applyFill="1" applyBorder="1" applyAlignment="1">
      <alignment horizontal="center" vertical="center"/>
    </xf>
    <xf numFmtId="179" fontId="23" fillId="0" borderId="5" xfId="0" applyNumberFormat="1" applyFont="1" applyBorder="1" applyAlignment="1">
      <alignment horizontal="center" vertical="center"/>
    </xf>
    <xf numFmtId="179" fontId="1" fillId="7" borderId="13" xfId="0" applyNumberFormat="1" applyFont="1" applyFill="1" applyBorder="1" applyAlignment="1">
      <alignment horizontal="center" vertical="center" wrapText="1"/>
    </xf>
    <xf numFmtId="0" fontId="0" fillId="0" borderId="44" xfId="0" applyBorder="1"/>
    <xf numFmtId="168" fontId="19" fillId="0" borderId="0" xfId="0" applyNumberFormat="1" applyFont="1" applyAlignment="1">
      <alignment horizontal="center" vertical="center"/>
    </xf>
    <xf numFmtId="0" fontId="1" fillId="0" borderId="0" xfId="0" applyFont="1"/>
    <xf numFmtId="0" fontId="1" fillId="0" borderId="22" xfId="0" applyFont="1" applyBorder="1"/>
    <xf numFmtId="179" fontId="1" fillId="7" borderId="9" xfId="0" applyNumberFormat="1" applyFont="1" applyFill="1" applyBorder="1"/>
    <xf numFmtId="173" fontId="1" fillId="7" borderId="13" xfId="4" applyNumberFormat="1" applyFont="1" applyFill="1" applyBorder="1"/>
    <xf numFmtId="173" fontId="1" fillId="0" borderId="0" xfId="4" applyNumberFormat="1" applyFont="1" applyFill="1" applyBorder="1"/>
    <xf numFmtId="0" fontId="1" fillId="0" borderId="0" xfId="0" applyFont="1" applyAlignment="1">
      <alignment horizontal="right"/>
    </xf>
    <xf numFmtId="173" fontId="1" fillId="0" borderId="22" xfId="0" applyNumberFormat="1" applyFont="1" applyBorder="1"/>
    <xf numFmtId="4" fontId="1" fillId="7" borderId="13" xfId="4" applyNumberFormat="1" applyFont="1" applyFill="1" applyBorder="1"/>
    <xf numFmtId="10" fontId="1" fillId="7" borderId="13" xfId="2" applyNumberFormat="1" applyFont="1" applyFill="1" applyBorder="1"/>
    <xf numFmtId="10" fontId="1" fillId="0" borderId="0" xfId="2" applyNumberFormat="1" applyFont="1" applyFill="1" applyBorder="1"/>
    <xf numFmtId="0" fontId="24" fillId="0" borderId="0" xfId="0" applyFont="1"/>
    <xf numFmtId="173" fontId="1" fillId="7" borderId="13" xfId="4" applyNumberFormat="1" applyFont="1" applyFill="1" applyBorder="1" applyAlignment="1">
      <alignment horizontal="center"/>
    </xf>
    <xf numFmtId="173" fontId="1" fillId="0" borderId="0" xfId="4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73" fontId="1" fillId="0" borderId="11" xfId="4" applyNumberFormat="1" applyFont="1" applyFill="1" applyBorder="1" applyAlignment="1">
      <alignment horizontal="center"/>
    </xf>
    <xf numFmtId="3" fontId="19" fillId="0" borderId="0" xfId="0" applyNumberFormat="1" applyFont="1"/>
    <xf numFmtId="3" fontId="19" fillId="0" borderId="22" xfId="0" applyNumberFormat="1" applyFont="1" applyBorder="1"/>
    <xf numFmtId="179" fontId="1" fillId="6" borderId="25" xfId="0" applyNumberFormat="1" applyFont="1" applyFill="1" applyBorder="1"/>
    <xf numFmtId="0" fontId="25" fillId="0" borderId="0" xfId="0" applyFont="1" applyAlignment="1">
      <alignment horizontal="center"/>
    </xf>
    <xf numFmtId="0" fontId="25" fillId="0" borderId="22" xfId="0" applyFont="1" applyBorder="1" applyAlignment="1">
      <alignment horizontal="center"/>
    </xf>
    <xf numFmtId="0" fontId="19" fillId="0" borderId="31" xfId="0" applyFont="1" applyBorder="1"/>
    <xf numFmtId="0" fontId="19" fillId="0" borderId="32" xfId="0" applyFont="1" applyBorder="1"/>
    <xf numFmtId="0" fontId="19" fillId="0" borderId="44" xfId="0" applyFont="1" applyBorder="1"/>
    <xf numFmtId="166" fontId="2" fillId="4" borderId="39" xfId="1" applyNumberFormat="1" applyFont="1" applyFill="1" applyBorder="1"/>
    <xf numFmtId="0" fontId="15" fillId="4" borderId="25" xfId="0" applyFont="1" applyFill="1" applyBorder="1" applyAlignment="1">
      <alignment horizontal="center" vertical="center"/>
    </xf>
    <xf numFmtId="166" fontId="16" fillId="3" borderId="17" xfId="0" applyNumberFormat="1" applyFont="1" applyFill="1" applyBorder="1" applyAlignment="1">
      <alignment horizontal="center" vertical="center"/>
    </xf>
    <xf numFmtId="166" fontId="16" fillId="0" borderId="8" xfId="0" applyNumberFormat="1" applyFont="1" applyBorder="1" applyAlignment="1">
      <alignment horizontal="center" vertical="center"/>
    </xf>
    <xf numFmtId="166" fontId="16" fillId="0" borderId="9" xfId="0" applyNumberFormat="1" applyFont="1" applyBorder="1" applyAlignment="1">
      <alignment horizontal="center" vertical="center"/>
    </xf>
    <xf numFmtId="166" fontId="16" fillId="0" borderId="11" xfId="0" applyNumberFormat="1" applyFont="1" applyBorder="1" applyAlignment="1">
      <alignment horizontal="center" vertical="center"/>
    </xf>
    <xf numFmtId="0" fontId="20" fillId="0" borderId="19" xfId="0" applyFont="1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57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23" xfId="0" applyFont="1" applyFill="1" applyBorder="1" applyAlignment="1">
      <alignment horizontal="center" vertical="center" wrapText="1"/>
    </xf>
    <xf numFmtId="0" fontId="2" fillId="5" borderId="58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5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55" xfId="0" applyFont="1" applyFill="1" applyBorder="1" applyAlignment="1">
      <alignment horizontal="center" vertical="center" wrapText="1"/>
    </xf>
    <xf numFmtId="0" fontId="2" fillId="5" borderId="56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/>
    </xf>
    <xf numFmtId="0" fontId="2" fillId="5" borderId="5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17" fillId="4" borderId="18" xfId="0" applyFont="1" applyFill="1" applyBorder="1" applyAlignment="1">
      <alignment horizontal="center" vertical="center"/>
    </xf>
    <xf numFmtId="0" fontId="17" fillId="4" borderId="19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17" fillId="4" borderId="31" xfId="0" applyFont="1" applyFill="1" applyBorder="1" applyAlignment="1">
      <alignment horizontal="center" vertical="center"/>
    </xf>
    <xf numFmtId="0" fontId="17" fillId="4" borderId="32" xfId="0" applyFont="1" applyFill="1" applyBorder="1" applyAlignment="1">
      <alignment horizontal="center" vertical="center"/>
    </xf>
    <xf numFmtId="0" fontId="17" fillId="4" borderId="44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4" fontId="0" fillId="0" borderId="16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" fontId="6" fillId="0" borderId="51" xfId="0" applyNumberFormat="1" applyFont="1" applyBorder="1" applyAlignment="1">
      <alignment horizontal="center"/>
    </xf>
    <xf numFmtId="4" fontId="6" fillId="0" borderId="43" xfId="0" applyNumberFormat="1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4" borderId="23" xfId="0" applyFont="1" applyFill="1" applyBorder="1" applyAlignment="1">
      <alignment horizontal="center"/>
    </xf>
    <xf numFmtId="0" fontId="6" fillId="4" borderId="24" xfId="0" applyFont="1" applyFill="1" applyBorder="1" applyAlignment="1">
      <alignment horizontal="center"/>
    </xf>
    <xf numFmtId="0" fontId="6" fillId="4" borderId="25" xfId="0" applyFon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4" fontId="0" fillId="0" borderId="39" xfId="0" applyNumberFormat="1" applyBorder="1" applyAlignment="1">
      <alignment horizontal="center"/>
    </xf>
    <xf numFmtId="4" fontId="0" fillId="0" borderId="42" xfId="0" applyNumberFormat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1" fillId="2" borderId="0" xfId="0" applyFont="1" applyFill="1" applyAlignment="1">
      <alignment horizontal="right"/>
    </xf>
    <xf numFmtId="172" fontId="8" fillId="2" borderId="18" xfId="0" applyNumberFormat="1" applyFont="1" applyFill="1" applyBorder="1" applyAlignment="1">
      <alignment horizontal="center"/>
    </xf>
    <xf numFmtId="172" fontId="8" fillId="2" borderId="19" xfId="0" applyNumberFormat="1" applyFont="1" applyFill="1" applyBorder="1" applyAlignment="1">
      <alignment horizontal="center"/>
    </xf>
    <xf numFmtId="172" fontId="8" fillId="2" borderId="20" xfId="0" applyNumberFormat="1" applyFont="1" applyFill="1" applyBorder="1" applyAlignment="1">
      <alignment horizontal="center"/>
    </xf>
    <xf numFmtId="172" fontId="8" fillId="2" borderId="21" xfId="0" applyNumberFormat="1" applyFont="1" applyFill="1" applyBorder="1" applyAlignment="1">
      <alignment horizontal="center"/>
    </xf>
    <xf numFmtId="172" fontId="8" fillId="2" borderId="0" xfId="0" applyNumberFormat="1" applyFont="1" applyFill="1" applyAlignment="1">
      <alignment horizontal="center"/>
    </xf>
    <xf numFmtId="172" fontId="8" fillId="2" borderId="22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right" vertical="center" wrapText="1"/>
    </xf>
    <xf numFmtId="172" fontId="8" fillId="2" borderId="33" xfId="0" applyNumberFormat="1" applyFont="1" applyFill="1" applyBorder="1" applyAlignment="1">
      <alignment horizontal="center"/>
    </xf>
    <xf numFmtId="172" fontId="8" fillId="2" borderId="34" xfId="0" applyNumberFormat="1" applyFont="1" applyFill="1" applyBorder="1" applyAlignment="1">
      <alignment horizontal="center"/>
    </xf>
    <xf numFmtId="172" fontId="8" fillId="2" borderId="35" xfId="0" applyNumberFormat="1" applyFont="1" applyFill="1" applyBorder="1" applyAlignment="1">
      <alignment horizontal="center"/>
    </xf>
    <xf numFmtId="0" fontId="10" fillId="2" borderId="33" xfId="0" applyFont="1" applyFill="1" applyBorder="1" applyAlignment="1">
      <alignment horizontal="center" vertical="center" wrapText="1"/>
    </xf>
    <xf numFmtId="0" fontId="10" fillId="2" borderId="34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9" fontId="26" fillId="0" borderId="59" xfId="0" applyNumberFormat="1" applyFont="1" applyBorder="1" applyAlignment="1">
      <alignment horizontal="center"/>
    </xf>
    <xf numFmtId="0" fontId="26" fillId="0" borderId="60" xfId="0" applyFont="1" applyBorder="1" applyAlignment="1">
      <alignment horizontal="center"/>
    </xf>
    <xf numFmtId="0" fontId="27" fillId="2" borderId="0" xfId="0" applyFont="1" applyFill="1"/>
    <xf numFmtId="0" fontId="28" fillId="8" borderId="61" xfId="0" applyFont="1" applyFill="1" applyBorder="1"/>
    <xf numFmtId="0" fontId="28" fillId="8" borderId="0" xfId="0" applyFont="1" applyFill="1"/>
    <xf numFmtId="0" fontId="28" fillId="8" borderId="62" xfId="0" applyFont="1" applyFill="1" applyBorder="1"/>
    <xf numFmtId="0" fontId="28" fillId="2" borderId="39" xfId="0" applyFont="1" applyFill="1" applyBorder="1" applyAlignment="1">
      <alignment horizontal="center" vertical="center"/>
    </xf>
    <xf numFmtId="0" fontId="28" fillId="2" borderId="56" xfId="0" applyFont="1" applyFill="1" applyBorder="1" applyAlignment="1">
      <alignment vertical="center"/>
    </xf>
    <xf numFmtId="0" fontId="27" fillId="2" borderId="56" xfId="0" applyFont="1" applyFill="1" applyBorder="1"/>
    <xf numFmtId="0" fontId="27" fillId="2" borderId="63" xfId="0" applyFont="1" applyFill="1" applyBorder="1"/>
    <xf numFmtId="0" fontId="28" fillId="2" borderId="57" xfId="0" applyFont="1" applyFill="1" applyBorder="1" applyAlignment="1">
      <alignment horizontal="right" vertical="center"/>
    </xf>
    <xf numFmtId="0" fontId="28" fillId="0" borderId="64" xfId="0" applyFont="1" applyBorder="1" applyAlignment="1">
      <alignment horizontal="center"/>
    </xf>
    <xf numFmtId="0" fontId="28" fillId="0" borderId="56" xfId="0" applyFont="1" applyBorder="1" applyAlignment="1">
      <alignment horizontal="center"/>
    </xf>
    <xf numFmtId="0" fontId="28" fillId="0" borderId="63" xfId="0" applyFont="1" applyBorder="1" applyAlignment="1">
      <alignment horizontal="center"/>
    </xf>
    <xf numFmtId="0" fontId="28" fillId="0" borderId="54" xfId="0" applyFont="1" applyBorder="1" applyAlignment="1">
      <alignment horizontal="center"/>
    </xf>
    <xf numFmtId="180" fontId="27" fillId="0" borderId="65" xfId="0" applyNumberFormat="1" applyFont="1" applyBorder="1" applyAlignment="1">
      <alignment horizontal="left" indent="1"/>
    </xf>
    <xf numFmtId="2" fontId="27" fillId="0" borderId="0" xfId="2" applyNumberFormat="1" applyFont="1" applyFill="1" applyBorder="1" applyAlignment="1">
      <alignment horizontal="center"/>
    </xf>
    <xf numFmtId="2" fontId="27" fillId="0" borderId="0" xfId="2" quotePrefix="1" applyNumberFormat="1" applyFont="1" applyFill="1" applyBorder="1" applyAlignment="1">
      <alignment horizontal="center"/>
    </xf>
    <xf numFmtId="0" fontId="27" fillId="0" borderId="63" xfId="2" quotePrefix="1" applyNumberFormat="1" applyFont="1" applyFill="1" applyBorder="1" applyAlignment="1">
      <alignment horizontal="center"/>
    </xf>
    <xf numFmtId="0" fontId="29" fillId="0" borderId="66" xfId="2" quotePrefix="1" applyNumberFormat="1" applyFont="1" applyFill="1" applyBorder="1" applyAlignment="1">
      <alignment horizontal="center"/>
    </xf>
    <xf numFmtId="180" fontId="27" fillId="9" borderId="65" xfId="0" applyNumberFormat="1" applyFont="1" applyFill="1" applyBorder="1" applyAlignment="1">
      <alignment horizontal="left" indent="1"/>
    </xf>
    <xf numFmtId="2" fontId="27" fillId="9" borderId="0" xfId="2" applyNumberFormat="1" applyFont="1" applyFill="1" applyBorder="1" applyAlignment="1">
      <alignment horizontal="center"/>
    </xf>
    <xf numFmtId="4" fontId="27" fillId="9" borderId="0" xfId="2" applyNumberFormat="1" applyFont="1" applyFill="1" applyBorder="1" applyAlignment="1">
      <alignment horizontal="center"/>
    </xf>
    <xf numFmtId="4" fontId="27" fillId="9" borderId="66" xfId="2" applyNumberFormat="1" applyFont="1" applyFill="1" applyBorder="1" applyAlignment="1">
      <alignment horizontal="center"/>
    </xf>
    <xf numFmtId="2" fontId="27" fillId="9" borderId="66" xfId="2" applyNumberFormat="1" applyFont="1" applyFill="1" applyBorder="1" applyAlignment="1">
      <alignment horizontal="center"/>
    </xf>
    <xf numFmtId="2" fontId="27" fillId="0" borderId="66" xfId="2" applyNumberFormat="1" applyFont="1" applyFill="1" applyBorder="1" applyAlignment="1">
      <alignment horizontal="center"/>
    </xf>
    <xf numFmtId="2" fontId="29" fillId="0" borderId="66" xfId="2" applyNumberFormat="1" applyFont="1" applyFill="1" applyBorder="1" applyAlignment="1">
      <alignment horizontal="center"/>
    </xf>
    <xf numFmtId="2" fontId="29" fillId="9" borderId="66" xfId="2" applyNumberFormat="1" applyFont="1" applyFill="1" applyBorder="1" applyAlignment="1">
      <alignment horizontal="center"/>
    </xf>
    <xf numFmtId="180" fontId="27" fillId="9" borderId="27" xfId="0" applyNumberFormat="1" applyFont="1" applyFill="1" applyBorder="1" applyAlignment="1">
      <alignment horizontal="left" indent="1"/>
    </xf>
    <xf numFmtId="2" fontId="27" fillId="9" borderId="62" xfId="2" applyNumberFormat="1" applyFont="1" applyFill="1" applyBorder="1" applyAlignment="1">
      <alignment horizontal="center"/>
    </xf>
    <xf numFmtId="2" fontId="29" fillId="9" borderId="62" xfId="2" applyNumberFormat="1" applyFont="1" applyFill="1" applyBorder="1" applyAlignment="1">
      <alignment horizontal="center"/>
    </xf>
    <xf numFmtId="2" fontId="30" fillId="9" borderId="53" xfId="2" applyNumberFormat="1" applyFont="1" applyFill="1" applyBorder="1" applyAlignment="1">
      <alignment horizontal="center"/>
    </xf>
    <xf numFmtId="0" fontId="31" fillId="2" borderId="63" xfId="0" applyFont="1" applyFill="1" applyBorder="1" applyAlignment="1">
      <alignment vertical="center"/>
    </xf>
    <xf numFmtId="0" fontId="27" fillId="2" borderId="63" xfId="0" applyFont="1" applyFill="1" applyBorder="1" applyAlignment="1">
      <alignment vertical="center"/>
    </xf>
    <xf numFmtId="0" fontId="27" fillId="2" borderId="57" xfId="0" applyFont="1" applyFill="1" applyBorder="1" applyAlignment="1">
      <alignment vertical="center"/>
    </xf>
    <xf numFmtId="0" fontId="31" fillId="2" borderId="0" xfId="0" applyFont="1" applyFill="1" applyAlignment="1">
      <alignment vertical="center" wrapText="1"/>
    </xf>
    <xf numFmtId="0" fontId="27" fillId="2" borderId="0" xfId="0" applyFont="1" applyFill="1" applyAlignment="1">
      <alignment vertical="center"/>
    </xf>
    <xf numFmtId="0" fontId="27" fillId="2" borderId="66" xfId="0" applyFont="1" applyFill="1" applyBorder="1" applyAlignment="1">
      <alignment vertical="center"/>
    </xf>
    <xf numFmtId="3" fontId="32" fillId="2" borderId="64" xfId="0" applyNumberFormat="1" applyFont="1" applyFill="1" applyBorder="1" applyAlignment="1">
      <alignment vertical="center"/>
    </xf>
    <xf numFmtId="3" fontId="32" fillId="2" borderId="62" xfId="0" applyNumberFormat="1" applyFont="1" applyFill="1" applyBorder="1" applyAlignment="1">
      <alignment vertical="center"/>
    </xf>
    <xf numFmtId="0" fontId="27" fillId="2" borderId="62" xfId="0" applyFont="1" applyFill="1" applyBorder="1" applyAlignment="1">
      <alignment vertical="center"/>
    </xf>
    <xf numFmtId="0" fontId="27" fillId="2" borderId="53" xfId="0" applyFont="1" applyFill="1" applyBorder="1" applyAlignment="1">
      <alignment vertical="center"/>
    </xf>
    <xf numFmtId="0" fontId="31" fillId="2" borderId="40" xfId="0" applyFont="1" applyFill="1" applyBorder="1" applyAlignment="1">
      <alignment horizontal="left" vertical="center"/>
    </xf>
    <xf numFmtId="0" fontId="31" fillId="2" borderId="61" xfId="0" applyFont="1" applyFill="1" applyBorder="1" applyAlignment="1">
      <alignment horizontal="left" vertical="center" wrapText="1"/>
    </xf>
    <xf numFmtId="0" fontId="27" fillId="0" borderId="0" xfId="0" applyFont="1" applyAlignment="1">
      <alignment horizontal="center"/>
    </xf>
    <xf numFmtId="0" fontId="33" fillId="10" borderId="0" xfId="0" applyFont="1" applyFill="1" applyAlignment="1">
      <alignment horizontal="center" vertical="center"/>
    </xf>
    <xf numFmtId="0" fontId="34" fillId="9" borderId="61" xfId="0" applyFont="1" applyFill="1" applyBorder="1" applyAlignment="1">
      <alignment horizontal="center" vertical="center" wrapText="1"/>
    </xf>
    <xf numFmtId="0" fontId="34" fillId="9" borderId="0" xfId="0" applyFont="1" applyFill="1" applyAlignment="1">
      <alignment horizontal="center" vertical="center" wrapText="1"/>
    </xf>
    <xf numFmtId="2" fontId="0" fillId="0" borderId="5" xfId="0" applyNumberFormat="1" applyBorder="1"/>
    <xf numFmtId="0" fontId="0" fillId="4" borderId="5" xfId="0" applyFill="1" applyBorder="1"/>
    <xf numFmtId="0" fontId="0" fillId="4" borderId="5" xfId="0" applyFill="1" applyBorder="1" applyAlignment="1">
      <alignment horizontal="center"/>
    </xf>
    <xf numFmtId="166" fontId="0" fillId="4" borderId="5" xfId="0" applyNumberFormat="1" applyFill="1" applyBorder="1"/>
    <xf numFmtId="166" fontId="0" fillId="3" borderId="5" xfId="0" applyNumberFormat="1" applyFill="1" applyBorder="1"/>
  </cellXfs>
  <cellStyles count="7">
    <cellStyle name="Hipervínculo" xfId="6" builtinId="8"/>
    <cellStyle name="Millares" xfId="4" builtinId="3"/>
    <cellStyle name="Millares [0]" xfId="5" builtinId="6"/>
    <cellStyle name="Moneda" xfId="3" builtinId="4"/>
    <cellStyle name="Normal" xfId="0" builtinId="0"/>
    <cellStyle name="Normal 2" xfId="1" xr:uid="{00000000-0005-0000-0000-000002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png"/><Relationship Id="rId1" Type="http://schemas.openxmlformats.org/officeDocument/2006/relationships/image" Target="../media/image2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9526</xdr:colOff>
      <xdr:row>4</xdr:row>
      <xdr:rowOff>28574</xdr:rowOff>
    </xdr:from>
    <xdr:to>
      <xdr:col>3</xdr:col>
      <xdr:colOff>1171575</xdr:colOff>
      <xdr:row>5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28A278-5734-47EA-8D75-DA0E6D23EC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4941" t="23858" r="36530" b="28809"/>
        <a:stretch/>
      </xdr:blipFill>
      <xdr:spPr>
        <a:xfrm>
          <a:off x="2295526" y="1123949"/>
          <a:ext cx="1162049" cy="781051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5</xdr:row>
      <xdr:rowOff>1</xdr:rowOff>
    </xdr:from>
    <xdr:to>
      <xdr:col>3</xdr:col>
      <xdr:colOff>1183487</xdr:colOff>
      <xdr:row>6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D88FFAB-85A4-4658-ADBA-EFB711725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05050" y="1905001"/>
          <a:ext cx="1164437" cy="819149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6</xdr:row>
      <xdr:rowOff>9525</xdr:rowOff>
    </xdr:from>
    <xdr:to>
      <xdr:col>3</xdr:col>
      <xdr:colOff>1181100</xdr:colOff>
      <xdr:row>6</xdr:row>
      <xdr:rowOff>504825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D06D06C-A95D-494D-A6C0-0AD9BC5E2D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5286" t="20106" r="41476" b="38965"/>
        <a:stretch/>
      </xdr:blipFill>
      <xdr:spPr>
        <a:xfrm>
          <a:off x="2305050" y="2724150"/>
          <a:ext cx="1162050" cy="4953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9526</xdr:colOff>
      <xdr:row>7</xdr:row>
      <xdr:rowOff>9525</xdr:rowOff>
    </xdr:from>
    <xdr:to>
      <xdr:col>3</xdr:col>
      <xdr:colOff>1171576</xdr:colOff>
      <xdr:row>8</xdr:row>
      <xdr:rowOff>9525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0CFF01D-5F8D-40B6-8FED-BD29A7AFD8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32134" t="24857" r="39522" b="30951"/>
        <a:stretch/>
      </xdr:blipFill>
      <xdr:spPr>
        <a:xfrm>
          <a:off x="2295526" y="3248025"/>
          <a:ext cx="1162050" cy="6858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19051</xdr:colOff>
      <xdr:row>8</xdr:row>
      <xdr:rowOff>47625</xdr:rowOff>
    </xdr:from>
    <xdr:to>
      <xdr:col>3</xdr:col>
      <xdr:colOff>1181100</xdr:colOff>
      <xdr:row>9</xdr:row>
      <xdr:rowOff>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D976540-7068-4F45-ACBE-82DE0F3D6D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3123" t="26176" r="36779" b="28482"/>
        <a:stretch/>
      </xdr:blipFill>
      <xdr:spPr>
        <a:xfrm>
          <a:off x="2305051" y="3971925"/>
          <a:ext cx="1162049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9</xdr:row>
      <xdr:rowOff>28577</xdr:rowOff>
    </xdr:from>
    <xdr:to>
      <xdr:col>3</xdr:col>
      <xdr:colOff>1162049</xdr:colOff>
      <xdr:row>9</xdr:row>
      <xdr:rowOff>942975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A7974C1-432B-4F09-B792-C3D9419DF4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36688" t="35137" r="43983" b="36864"/>
        <a:stretch/>
      </xdr:blipFill>
      <xdr:spPr>
        <a:xfrm>
          <a:off x="2324100" y="4762502"/>
          <a:ext cx="1123949" cy="914398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10</xdr:row>
      <xdr:rowOff>19050</xdr:rowOff>
    </xdr:from>
    <xdr:to>
      <xdr:col>3</xdr:col>
      <xdr:colOff>1152525</xdr:colOff>
      <xdr:row>10</xdr:row>
      <xdr:rowOff>714375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AD391D1-BAF6-40D1-8D7B-2396F6B8A5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19516" t="23545" r="22705" b="21545"/>
        <a:stretch/>
      </xdr:blipFill>
      <xdr:spPr>
        <a:xfrm>
          <a:off x="2305050" y="5724525"/>
          <a:ext cx="1133475" cy="695325"/>
        </a:xfrm>
        <a:prstGeom prst="rect">
          <a:avLst/>
        </a:prstGeom>
      </xdr:spPr>
    </xdr:pic>
    <xdr:clientData/>
  </xdr:twoCellAnchor>
  <xdr:twoCellAnchor editAs="oneCell">
    <xdr:from>
      <xdr:col>3</xdr:col>
      <xdr:colOff>19051</xdr:colOff>
      <xdr:row>11</xdr:row>
      <xdr:rowOff>28575</xdr:rowOff>
    </xdr:from>
    <xdr:to>
      <xdr:col>3</xdr:col>
      <xdr:colOff>1190625</xdr:colOff>
      <xdr:row>12</xdr:row>
      <xdr:rowOff>9525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B01E7C73-43FD-41A9-828D-818D1BDE9A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17425" t="25471" r="16312" b="19041"/>
        <a:stretch/>
      </xdr:blipFill>
      <xdr:spPr>
        <a:xfrm>
          <a:off x="2305051" y="6505575"/>
          <a:ext cx="1171574" cy="1114425"/>
        </a:xfrm>
        <a:prstGeom prst="rect">
          <a:avLst/>
        </a:prstGeom>
      </xdr:spPr>
    </xdr:pic>
    <xdr:clientData/>
  </xdr:twoCellAnchor>
  <xdr:twoCellAnchor editAs="oneCell">
    <xdr:from>
      <xdr:col>3</xdr:col>
      <xdr:colOff>28574</xdr:colOff>
      <xdr:row>12</xdr:row>
      <xdr:rowOff>28577</xdr:rowOff>
    </xdr:from>
    <xdr:to>
      <xdr:col>3</xdr:col>
      <xdr:colOff>1171575</xdr:colOff>
      <xdr:row>12</xdr:row>
      <xdr:rowOff>1114425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F9D8EEC3-EE1C-46E4-9A72-191E90085C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39720" t="13522" r="37462" b="29687"/>
        <a:stretch/>
      </xdr:blipFill>
      <xdr:spPr>
        <a:xfrm>
          <a:off x="2314574" y="7639052"/>
          <a:ext cx="1143001" cy="1085848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19051</xdr:rowOff>
    </xdr:from>
    <xdr:to>
      <xdr:col>3</xdr:col>
      <xdr:colOff>1181100</xdr:colOff>
      <xdr:row>13</xdr:row>
      <xdr:rowOff>647701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1050649-0A90-4299-B28C-17952D1835E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43961" t="39001" r="39824" b="33528"/>
        <a:stretch/>
      </xdr:blipFill>
      <xdr:spPr>
        <a:xfrm>
          <a:off x="2305050" y="8763001"/>
          <a:ext cx="1162050" cy="62865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14</xdr:row>
      <xdr:rowOff>28577</xdr:rowOff>
    </xdr:from>
    <xdr:to>
      <xdr:col>3</xdr:col>
      <xdr:colOff>1181100</xdr:colOff>
      <xdr:row>14</xdr:row>
      <xdr:rowOff>1285875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B6DB0D8E-FEBB-4E08-B12E-76802A093B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37156" t="31306" r="36518" b="22963"/>
        <a:stretch/>
      </xdr:blipFill>
      <xdr:spPr>
        <a:xfrm>
          <a:off x="2324100" y="9458327"/>
          <a:ext cx="1143000" cy="1257298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15</xdr:row>
      <xdr:rowOff>28576</xdr:rowOff>
    </xdr:from>
    <xdr:to>
      <xdr:col>3</xdr:col>
      <xdr:colOff>1180294</xdr:colOff>
      <xdr:row>16</xdr:row>
      <xdr:rowOff>9526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45724364-CC43-4BEA-B27E-23017E8FE5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l="23282" t="7473" r="27998" b="32934"/>
        <a:stretch/>
      </xdr:blipFill>
      <xdr:spPr>
        <a:xfrm>
          <a:off x="2324100" y="9248776"/>
          <a:ext cx="1142194" cy="1276350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19049</xdr:colOff>
      <xdr:row>4</xdr:row>
      <xdr:rowOff>19051</xdr:rowOff>
    </xdr:from>
    <xdr:to>
      <xdr:col>3</xdr:col>
      <xdr:colOff>983796</xdr:colOff>
      <xdr:row>5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7D67A7D-AFA4-4195-B3AC-87F64877BF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9720" t="13522" r="37462" b="29687"/>
        <a:stretch/>
      </xdr:blipFill>
      <xdr:spPr>
        <a:xfrm>
          <a:off x="2305049" y="962026"/>
          <a:ext cx="964747" cy="1247774"/>
        </a:xfrm>
        <a:prstGeom prst="rect">
          <a:avLst/>
        </a:prstGeom>
      </xdr:spPr>
    </xdr:pic>
    <xdr:clientData/>
  </xdr:twoCellAnchor>
  <xdr:twoCellAnchor editAs="oneCell">
    <xdr:from>
      <xdr:col>3</xdr:col>
      <xdr:colOff>19051</xdr:colOff>
      <xdr:row>5</xdr:row>
      <xdr:rowOff>9526</xdr:rowOff>
    </xdr:from>
    <xdr:to>
      <xdr:col>3</xdr:col>
      <xdr:colOff>1000125</xdr:colOff>
      <xdr:row>5</xdr:row>
      <xdr:rowOff>1581150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AEED83A-8E57-4AAF-BA04-AD52A10A9B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7156" t="31306" r="36518" b="22963"/>
        <a:stretch/>
      </xdr:blipFill>
      <xdr:spPr>
        <a:xfrm>
          <a:off x="2305051" y="2219326"/>
          <a:ext cx="981074" cy="1571624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6</xdr:row>
      <xdr:rowOff>42333</xdr:rowOff>
    </xdr:from>
    <xdr:to>
      <xdr:col>3</xdr:col>
      <xdr:colOff>982968</xdr:colOff>
      <xdr:row>6</xdr:row>
      <xdr:rowOff>1552575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38B217F-EA9C-4434-ABA8-D7A3D6699E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3282" t="7473" r="27998" b="32934"/>
        <a:stretch/>
      </xdr:blipFill>
      <xdr:spPr>
        <a:xfrm>
          <a:off x="2324100" y="3852333"/>
          <a:ext cx="944868" cy="1510242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118534</xdr:colOff>
      <xdr:row>0</xdr:row>
      <xdr:rowOff>76201</xdr:rowOff>
    </xdr:from>
    <xdr:to>
      <xdr:col>2</xdr:col>
      <xdr:colOff>100331</xdr:colOff>
      <xdr:row>1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EB350B2-DDAD-45F2-8BD0-F11C69EAE0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534" y="76201"/>
          <a:ext cx="2267797" cy="685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171450</xdr:colOff>
      <xdr:row>1</xdr:row>
      <xdr:rowOff>90487</xdr:rowOff>
    </xdr:from>
    <xdr:to>
      <xdr:col>22</xdr:col>
      <xdr:colOff>397763</xdr:colOff>
      <xdr:row>14</xdr:row>
      <xdr:rowOff>113013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7A0387-E9A2-50E3-C3B4-95CA6D1D3A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29825" y="290512"/>
          <a:ext cx="9370313" cy="5270801"/>
        </a:xfrm>
        <a:prstGeom prst="rect">
          <a:avLst/>
        </a:prstGeom>
      </xdr:spPr>
    </xdr:pic>
    <xdr:clientData/>
  </xdr:twoCellAnchor>
  <xdr:twoCellAnchor editAs="oneCell">
    <xdr:from>
      <xdr:col>10</xdr:col>
      <xdr:colOff>38100</xdr:colOff>
      <xdr:row>20</xdr:row>
      <xdr:rowOff>19049</xdr:rowOff>
    </xdr:from>
    <xdr:to>
      <xdr:col>14</xdr:col>
      <xdr:colOff>466725</xdr:colOff>
      <xdr:row>55</xdr:row>
      <xdr:rowOff>28574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C51429E-2E27-7DE2-C2B8-08CE73B6B4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9442" t="17481" r="36464" b="6771"/>
        <a:stretch/>
      </xdr:blipFill>
      <xdr:spPr>
        <a:xfrm>
          <a:off x="9896475" y="5800724"/>
          <a:ext cx="3476625" cy="667702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20</xdr:row>
      <xdr:rowOff>161924</xdr:rowOff>
    </xdr:from>
    <xdr:to>
      <xdr:col>6</xdr:col>
      <xdr:colOff>476250</xdr:colOff>
      <xdr:row>42</xdr:row>
      <xdr:rowOff>24411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BA5DCB3-AFCF-75B7-5805-F4F1EB8F58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49873" t="55961" r="28235" b="16203"/>
        <a:stretch/>
      </xdr:blipFill>
      <xdr:spPr>
        <a:xfrm>
          <a:off x="781050" y="6800849"/>
          <a:ext cx="5667375" cy="405348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219075</xdr:colOff>
      <xdr:row>1</xdr:row>
      <xdr:rowOff>157757</xdr:rowOff>
    </xdr:from>
    <xdr:to>
      <xdr:col>22</xdr:col>
      <xdr:colOff>359662</xdr:colOff>
      <xdr:row>7</xdr:row>
      <xdr:rowOff>465437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B2CD84-E9BB-AB32-9383-00C0380D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25400" y="348257"/>
          <a:ext cx="8522587" cy="479395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11</xdr:col>
      <xdr:colOff>221193</xdr:colOff>
      <xdr:row>7</xdr:row>
      <xdr:rowOff>704850</xdr:rowOff>
    </xdr:from>
    <xdr:to>
      <xdr:col>22</xdr:col>
      <xdr:colOff>407459</xdr:colOff>
      <xdr:row>27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98EBCA3-0B19-1DB5-CE57-73C00C3077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27518" y="5381625"/>
          <a:ext cx="8568266" cy="481965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11</xdr:col>
      <xdr:colOff>187325</xdr:colOff>
      <xdr:row>30</xdr:row>
      <xdr:rowOff>28575</xdr:rowOff>
    </xdr:from>
    <xdr:to>
      <xdr:col>22</xdr:col>
      <xdr:colOff>407458</xdr:colOff>
      <xdr:row>55</xdr:row>
      <xdr:rowOff>104775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563E18A-AF92-3A88-7EBC-5CF3E215A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93650" y="10525125"/>
          <a:ext cx="8602133" cy="48387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733425</xdr:colOff>
      <xdr:row>18</xdr:row>
      <xdr:rowOff>161926</xdr:rowOff>
    </xdr:from>
    <xdr:to>
      <xdr:col>10</xdr:col>
      <xdr:colOff>48171</xdr:colOff>
      <xdr:row>36</xdr:row>
      <xdr:rowOff>19050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8723DFB-7F50-3695-51B7-5ED261431C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8415" t="48061" r="28963" b="29423"/>
        <a:stretch/>
      </xdr:blipFill>
      <xdr:spPr>
        <a:xfrm>
          <a:off x="733425" y="8496301"/>
          <a:ext cx="11059071" cy="328612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20</xdr:col>
      <xdr:colOff>654939</xdr:colOff>
      <xdr:row>55</xdr:row>
      <xdr:rowOff>189214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947224D-A6F7-1989-F3BE-74E65A0E7F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381000"/>
          <a:ext cx="18285714" cy="102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752475</xdr:colOff>
      <xdr:row>63</xdr:row>
      <xdr:rowOff>180975</xdr:rowOff>
    </xdr:from>
    <xdr:to>
      <xdr:col>6</xdr:col>
      <xdr:colOff>142875</xdr:colOff>
      <xdr:row>85</xdr:row>
      <xdr:rowOff>86923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B2DA48F-9493-01B7-F2C0-F9BBFB483A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9416" t="21696" r="29130" b="53410"/>
        <a:stretch/>
      </xdr:blipFill>
      <xdr:spPr>
        <a:xfrm>
          <a:off x="752475" y="12211050"/>
          <a:ext cx="6276975" cy="40969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447674</xdr:colOff>
      <xdr:row>18</xdr:row>
      <xdr:rowOff>47624</xdr:rowOff>
    </xdr:from>
    <xdr:to>
      <xdr:col>6</xdr:col>
      <xdr:colOff>291641</xdr:colOff>
      <xdr:row>42</xdr:row>
      <xdr:rowOff>123824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D7B0661-4270-224C-CDCD-A117ACEFE7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9940" t="46091" r="29209" b="26647"/>
        <a:stretch/>
      </xdr:blipFill>
      <xdr:spPr>
        <a:xfrm>
          <a:off x="447674" y="4933949"/>
          <a:ext cx="6359067" cy="467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incaraiz.com.co/inmueble/local-en-venta/antonio-villavicencio/villavicencio/8000435?_gl=1*146iuh7*_up*MQ..&amp;gclid=Cj0KCQjwjLGyBhCYARIsAPqTz19N6Dn8ZZdzKhp1aHvCbgaWmLm_QasjJyYJB_4TRSvq4ApPdUMxgTYaAl82EALw_wcB" TargetMode="External"/><Relationship Id="rId2" Type="http://schemas.openxmlformats.org/officeDocument/2006/relationships/hyperlink" Target="https://www.fincaraiz.com.co/inmueble/local-en-venta/la-isla/villavicencio/10893822?_gl=1*149ia61*_up*MQ..&amp;gclid=Cj0KCQjwjLGyBhCYARIsAPqTz19N6Dn8ZZdzKhp1aHvCbgaWmLm_QasjJyYJB_4TRSvq4ApPdUMxgTYaAl82EALw_wcB" TargetMode="External"/><Relationship Id="rId1" Type="http://schemas.openxmlformats.org/officeDocument/2006/relationships/hyperlink" Target="https://www.fincaraiz.com.co/inmueble/local-en-venta/centro/villavicencio/10846934?_gl=1*x2pgvx*_up*MQ..&amp;gclid=Cj0KCQjwjLGyBhCYARIsAPqTz19N6Dn8ZZdzKhp1aHvCbgaWmLm_QasjJyYJB_4TRSvq4ApPdUMxgTYaAl82EALw_wcB" TargetMode="External"/><Relationship Id="rId4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hyperlink" Target="https://www.estrenarvivienda.com/vivienda-interes-social/villavicenc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476B8-31FB-4ACA-BB60-ADDC8D823013}">
  <dimension ref="B1:P17"/>
  <sheetViews>
    <sheetView tabSelected="1" topLeftCell="A11" workbookViewId="0">
      <selection activeCell="E11" sqref="E11"/>
    </sheetView>
  </sheetViews>
  <sheetFormatPr baseColWidth="10" defaultRowHeight="15"/>
  <cols>
    <col min="4" max="4" width="18" customWidth="1"/>
    <col min="5" max="5" width="16" customWidth="1"/>
    <col min="6" max="6" width="20.42578125" customWidth="1"/>
    <col min="7" max="7" width="17.7109375" customWidth="1"/>
    <col min="9" max="9" width="15.7109375" customWidth="1"/>
    <col min="10" max="10" width="18.7109375" customWidth="1"/>
    <col min="11" max="13" width="12.140625" customWidth="1"/>
    <col min="14" max="14" width="17.7109375" customWidth="1"/>
    <col min="15" max="15" width="23.140625" customWidth="1"/>
    <col min="16" max="16" width="39.5703125" customWidth="1"/>
  </cols>
  <sheetData>
    <row r="1" spans="2:16" ht="15.75" thickBot="1"/>
    <row r="2" spans="2:16" ht="18">
      <c r="B2" s="201"/>
      <c r="C2" s="258" t="s">
        <v>163</v>
      </c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9"/>
    </row>
    <row r="3" spans="2:16" ht="15.75" thickBot="1">
      <c r="B3" s="202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4"/>
    </row>
    <row r="4" spans="2:16" ht="36.75" thickBot="1">
      <c r="B4" s="202"/>
      <c r="C4" s="205" t="s">
        <v>129</v>
      </c>
      <c r="D4" s="205" t="s">
        <v>130</v>
      </c>
      <c r="E4" s="206" t="s">
        <v>131</v>
      </c>
      <c r="F4" s="206" t="s">
        <v>132</v>
      </c>
      <c r="G4" s="207" t="s">
        <v>38</v>
      </c>
      <c r="H4" s="207" t="s">
        <v>73</v>
      </c>
      <c r="I4" s="207" t="s">
        <v>133</v>
      </c>
      <c r="J4" s="208" t="s">
        <v>134</v>
      </c>
      <c r="K4" s="208" t="s">
        <v>135</v>
      </c>
      <c r="L4" s="208" t="s">
        <v>136</v>
      </c>
      <c r="M4" s="208" t="s">
        <v>137</v>
      </c>
      <c r="N4" s="209" t="s">
        <v>138</v>
      </c>
      <c r="O4" s="210" t="s">
        <v>139</v>
      </c>
      <c r="P4" s="210" t="s">
        <v>140</v>
      </c>
    </row>
    <row r="5" spans="2:16" ht="63.75">
      <c r="B5" s="202"/>
      <c r="C5" s="211">
        <v>1</v>
      </c>
      <c r="D5" s="212"/>
      <c r="E5" s="213" t="s">
        <v>141</v>
      </c>
      <c r="F5" s="214" t="s">
        <v>142</v>
      </c>
      <c r="G5" s="213">
        <v>3108193295</v>
      </c>
      <c r="H5" s="214">
        <v>6</v>
      </c>
      <c r="I5" s="215">
        <v>2100000000</v>
      </c>
      <c r="J5" s="215">
        <v>0</v>
      </c>
      <c r="K5" s="216">
        <v>-0.05</v>
      </c>
      <c r="L5" s="216">
        <v>0</v>
      </c>
      <c r="M5" s="216"/>
      <c r="N5" s="215">
        <f t="shared" ref="N5:N12" si="0">+(I5-J5)*0.95</f>
        <v>1995000000</v>
      </c>
      <c r="O5" s="217">
        <f>+N5/H5</f>
        <v>332500000</v>
      </c>
      <c r="P5" s="218" t="s">
        <v>143</v>
      </c>
    </row>
    <row r="6" spans="2:16" ht="63.75">
      <c r="B6" s="202"/>
      <c r="C6" s="211">
        <v>2</v>
      </c>
      <c r="D6" s="212"/>
      <c r="E6" s="213" t="s">
        <v>141</v>
      </c>
      <c r="F6" s="214" t="s">
        <v>142</v>
      </c>
      <c r="G6" s="213">
        <v>3108193295</v>
      </c>
      <c r="H6" s="214">
        <v>4</v>
      </c>
      <c r="I6" s="215">
        <v>350000000</v>
      </c>
      <c r="J6" s="215">
        <f>80*800000</f>
        <v>64000000</v>
      </c>
      <c r="K6" s="216">
        <v>-0.05</v>
      </c>
      <c r="L6" s="216">
        <v>0</v>
      </c>
      <c r="M6" s="216"/>
      <c r="N6" s="215">
        <f t="shared" si="0"/>
        <v>271700000</v>
      </c>
      <c r="O6" s="217">
        <f>+N6/H6</f>
        <v>67925000</v>
      </c>
      <c r="P6" s="218" t="s">
        <v>144</v>
      </c>
    </row>
    <row r="7" spans="2:16" ht="41.25" customHeight="1">
      <c r="B7" s="202"/>
      <c r="C7" s="211">
        <v>3</v>
      </c>
      <c r="D7" s="212"/>
      <c r="E7" s="213" t="s">
        <v>141</v>
      </c>
      <c r="F7" s="214" t="s">
        <v>145</v>
      </c>
      <c r="G7" s="213">
        <v>3105525093</v>
      </c>
      <c r="H7" s="214"/>
      <c r="I7" s="215"/>
      <c r="J7" s="215"/>
      <c r="K7" s="216"/>
      <c r="L7" s="216"/>
      <c r="M7" s="216"/>
      <c r="N7" s="215">
        <f t="shared" si="0"/>
        <v>0</v>
      </c>
      <c r="O7" s="217"/>
      <c r="P7" s="218" t="s">
        <v>146</v>
      </c>
    </row>
    <row r="8" spans="2:16" ht="54" customHeight="1">
      <c r="B8" s="202"/>
      <c r="C8" s="211">
        <v>4</v>
      </c>
      <c r="D8" s="212"/>
      <c r="E8" s="213" t="s">
        <v>141</v>
      </c>
      <c r="F8" s="214"/>
      <c r="G8" s="213">
        <v>3002099732</v>
      </c>
      <c r="H8" s="214"/>
      <c r="I8" s="215"/>
      <c r="J8" s="215"/>
      <c r="K8" s="216"/>
      <c r="L8" s="216"/>
      <c r="M8" s="216"/>
      <c r="N8" s="215">
        <f t="shared" si="0"/>
        <v>0</v>
      </c>
      <c r="O8" s="217"/>
      <c r="P8" s="218" t="s">
        <v>147</v>
      </c>
    </row>
    <row r="9" spans="2:16" ht="63.75">
      <c r="B9" s="202"/>
      <c r="C9" s="211">
        <v>5</v>
      </c>
      <c r="D9" s="212"/>
      <c r="E9" s="213" t="s">
        <v>141</v>
      </c>
      <c r="F9" s="214" t="s">
        <v>145</v>
      </c>
      <c r="G9" s="213">
        <v>3102860094</v>
      </c>
      <c r="H9" s="214">
        <v>2</v>
      </c>
      <c r="I9" s="215">
        <v>1100000000</v>
      </c>
      <c r="J9" s="215">
        <v>0</v>
      </c>
      <c r="K9" s="216">
        <v>-0.05</v>
      </c>
      <c r="L9" s="216">
        <v>0</v>
      </c>
      <c r="M9" s="216"/>
      <c r="N9" s="215">
        <f t="shared" si="0"/>
        <v>1045000000</v>
      </c>
      <c r="O9" s="217">
        <f>+N9/H9</f>
        <v>522500000</v>
      </c>
      <c r="P9" s="218" t="s">
        <v>148</v>
      </c>
    </row>
    <row r="10" spans="2:16" ht="76.5">
      <c r="B10" s="202"/>
      <c r="C10" s="211">
        <v>6</v>
      </c>
      <c r="D10" s="212"/>
      <c r="E10" s="213" t="s">
        <v>141</v>
      </c>
      <c r="F10" s="213" t="s">
        <v>149</v>
      </c>
      <c r="G10" s="213">
        <v>3138307774</v>
      </c>
      <c r="H10" s="214">
        <v>5.5</v>
      </c>
      <c r="I10" s="215">
        <v>5500000000</v>
      </c>
      <c r="J10" s="215">
        <f>357*500000</f>
        <v>178500000</v>
      </c>
      <c r="K10" s="216">
        <v>-0.05</v>
      </c>
      <c r="L10" s="216">
        <v>0</v>
      </c>
      <c r="M10" s="216"/>
      <c r="N10" s="215">
        <f t="shared" si="0"/>
        <v>5055425000</v>
      </c>
      <c r="O10" s="217">
        <f>+N10/H10</f>
        <v>919168181.81818187</v>
      </c>
      <c r="P10" s="218" t="s">
        <v>150</v>
      </c>
    </row>
    <row r="11" spans="2:16" ht="60.75" customHeight="1">
      <c r="B11" s="202"/>
      <c r="C11" s="211">
        <v>7</v>
      </c>
      <c r="D11" s="212"/>
      <c r="E11" s="213" t="s">
        <v>141</v>
      </c>
      <c r="F11" s="214" t="s">
        <v>145</v>
      </c>
      <c r="G11" s="213">
        <v>3508044925</v>
      </c>
      <c r="H11" s="214"/>
      <c r="I11" s="215"/>
      <c r="J11" s="215"/>
      <c r="K11" s="216"/>
      <c r="L11" s="216"/>
      <c r="M11" s="216"/>
      <c r="N11" s="215">
        <f t="shared" si="0"/>
        <v>0</v>
      </c>
      <c r="O11" s="217"/>
      <c r="P11" s="218" t="s">
        <v>151</v>
      </c>
    </row>
    <row r="12" spans="2:16" ht="89.25">
      <c r="B12" s="202"/>
      <c r="C12" s="211">
        <v>8</v>
      </c>
      <c r="D12" s="212"/>
      <c r="E12" s="213" t="s">
        <v>141</v>
      </c>
      <c r="F12" s="214" t="s">
        <v>152</v>
      </c>
      <c r="G12" s="213">
        <v>3008802557</v>
      </c>
      <c r="H12" s="214">
        <v>3.3161999999999998</v>
      </c>
      <c r="I12" s="215">
        <v>1600000000</v>
      </c>
      <c r="J12" s="215">
        <f>200*500000</f>
        <v>100000000</v>
      </c>
      <c r="K12" s="216">
        <v>-0.05</v>
      </c>
      <c r="L12" s="216">
        <v>0</v>
      </c>
      <c r="M12" s="216"/>
      <c r="N12" s="215">
        <f t="shared" si="0"/>
        <v>1425000000</v>
      </c>
      <c r="O12" s="217">
        <f>+N12/H12</f>
        <v>429708702.73204273</v>
      </c>
      <c r="P12" s="218" t="s">
        <v>153</v>
      </c>
    </row>
    <row r="13" spans="2:16" ht="89.25">
      <c r="B13" s="202"/>
      <c r="C13" s="219">
        <v>9</v>
      </c>
      <c r="D13" s="220"/>
      <c r="E13" s="213" t="s">
        <v>141</v>
      </c>
      <c r="F13" s="221" t="s">
        <v>145</v>
      </c>
      <c r="G13" s="213" t="s">
        <v>154</v>
      </c>
      <c r="H13" s="222">
        <v>5.5</v>
      </c>
      <c r="I13" s="223">
        <v>1650000000</v>
      </c>
      <c r="J13" s="223">
        <v>0</v>
      </c>
      <c r="K13" s="224">
        <v>-0.05</v>
      </c>
      <c r="L13" s="224">
        <v>0.05</v>
      </c>
      <c r="M13" s="224">
        <v>-0.4</v>
      </c>
      <c r="N13" s="223">
        <f>+(I13-J13)*0.6</f>
        <v>990000000</v>
      </c>
      <c r="O13" s="225">
        <f>+N13/H13</f>
        <v>180000000</v>
      </c>
      <c r="P13" s="226" t="s">
        <v>155</v>
      </c>
    </row>
    <row r="14" spans="2:16" ht="54" customHeight="1">
      <c r="B14" s="202"/>
      <c r="C14" s="219">
        <v>10</v>
      </c>
      <c r="D14" s="220"/>
      <c r="E14" s="213" t="s">
        <v>141</v>
      </c>
      <c r="F14" s="221"/>
      <c r="G14" s="213" t="s">
        <v>156</v>
      </c>
      <c r="H14" s="222"/>
      <c r="I14" s="223"/>
      <c r="J14" s="223"/>
      <c r="K14" s="224"/>
      <c r="L14" s="224"/>
      <c r="M14" s="224"/>
      <c r="N14" s="223">
        <f>+(I14-0)*0.95</f>
        <v>0</v>
      </c>
      <c r="O14" s="225"/>
      <c r="P14" s="226" t="s">
        <v>157</v>
      </c>
    </row>
    <row r="15" spans="2:16" ht="102">
      <c r="B15" s="202"/>
      <c r="C15" s="219">
        <v>11</v>
      </c>
      <c r="D15" s="220"/>
      <c r="E15" s="213" t="s">
        <v>141</v>
      </c>
      <c r="F15" s="221" t="s">
        <v>158</v>
      </c>
      <c r="G15" s="213">
        <v>3208393424</v>
      </c>
      <c r="H15" s="222">
        <v>2.1</v>
      </c>
      <c r="I15" s="223">
        <v>650000000</v>
      </c>
      <c r="J15" s="223">
        <v>0</v>
      </c>
      <c r="K15" s="224">
        <v>-0.05</v>
      </c>
      <c r="L15" s="224">
        <v>0.05</v>
      </c>
      <c r="M15" s="224">
        <v>-0.4</v>
      </c>
      <c r="N15" s="223">
        <f>+(I15-J15)*0.6</f>
        <v>390000000</v>
      </c>
      <c r="O15" s="225">
        <f>+N15/H15</f>
        <v>185714285.7142857</v>
      </c>
      <c r="P15" s="226" t="s">
        <v>159</v>
      </c>
    </row>
    <row r="16" spans="2:16" ht="102">
      <c r="B16" s="202"/>
      <c r="C16" s="219">
        <v>12</v>
      </c>
      <c r="D16" s="220"/>
      <c r="E16" s="213" t="s">
        <v>141</v>
      </c>
      <c r="F16" s="221" t="s">
        <v>160</v>
      </c>
      <c r="G16" s="213" t="s">
        <v>161</v>
      </c>
      <c r="H16" s="222">
        <v>32</v>
      </c>
      <c r="I16" s="223">
        <v>6400000000</v>
      </c>
      <c r="J16" s="223">
        <v>0</v>
      </c>
      <c r="K16" s="224">
        <v>-0.05</v>
      </c>
      <c r="L16" s="224">
        <v>0.05</v>
      </c>
      <c r="M16" s="224">
        <v>-0.1</v>
      </c>
      <c r="N16" s="223">
        <f>+(I16-0)*0.9</f>
        <v>5760000000</v>
      </c>
      <c r="O16" s="225">
        <f>+N16/H16</f>
        <v>180000000</v>
      </c>
      <c r="P16" s="226" t="s">
        <v>162</v>
      </c>
    </row>
    <row r="17" spans="2:16" ht="15.75" thickBot="1">
      <c r="B17" s="81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227"/>
    </row>
  </sheetData>
  <sheetProtection algorithmName="SHA-512" hashValue="67aCXC0zy3+CZM+gaMFww6r96A9iptq8qV+a9QyVkIGLSc+Uf/Tj805VI3RV9KlE8y4h7F79GVZIzzp8pVxc3w==" saltValue="UpkL+QNZUvUA/CAluZtxHA==" spinCount="100000" sheet="1" objects="1" scenarios="1"/>
  <mergeCells count="1">
    <mergeCell ref="C2:P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45E66-7EED-4156-86A1-067CDC421CF8}">
  <dimension ref="B1:P19"/>
  <sheetViews>
    <sheetView topLeftCell="A6" zoomScale="70" zoomScaleNormal="70" workbookViewId="0">
      <selection activeCell="G20" sqref="G20"/>
    </sheetView>
  </sheetViews>
  <sheetFormatPr baseColWidth="10" defaultRowHeight="15"/>
  <cols>
    <col min="4" max="4" width="15.28515625" customWidth="1"/>
    <col min="5" max="5" width="16" customWidth="1"/>
    <col min="6" max="6" width="17.42578125" customWidth="1"/>
    <col min="7" max="7" width="17.7109375" customWidth="1"/>
    <col min="9" max="9" width="15.7109375" customWidth="1"/>
    <col min="10" max="10" width="20.7109375" customWidth="1"/>
    <col min="11" max="11" width="18.7109375" customWidth="1"/>
    <col min="12" max="12" width="14.42578125" customWidth="1"/>
    <col min="13" max="13" width="12.140625" customWidth="1"/>
    <col min="14" max="14" width="20" customWidth="1"/>
    <col min="15" max="15" width="16.5703125" customWidth="1"/>
    <col min="16" max="16" width="32.7109375" customWidth="1"/>
  </cols>
  <sheetData>
    <row r="1" spans="2:16" ht="15.75" thickBot="1"/>
    <row r="2" spans="2:16" ht="18">
      <c r="B2" s="201"/>
      <c r="C2" s="258" t="s">
        <v>169</v>
      </c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9"/>
    </row>
    <row r="3" spans="2:16" ht="15.75" thickBot="1">
      <c r="B3" s="202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4"/>
    </row>
    <row r="4" spans="2:16" ht="24.75" thickBot="1">
      <c r="B4" s="202"/>
      <c r="C4" s="205" t="s">
        <v>129</v>
      </c>
      <c r="D4" s="205" t="s">
        <v>130</v>
      </c>
      <c r="E4" s="206" t="s">
        <v>131</v>
      </c>
      <c r="F4" s="206" t="s">
        <v>132</v>
      </c>
      <c r="G4" s="207" t="s">
        <v>38</v>
      </c>
      <c r="H4" s="207" t="s">
        <v>73</v>
      </c>
      <c r="I4" s="207" t="s">
        <v>133</v>
      </c>
      <c r="J4" s="208" t="s">
        <v>134</v>
      </c>
      <c r="K4" s="208" t="s">
        <v>135</v>
      </c>
      <c r="L4" s="208" t="s">
        <v>136</v>
      </c>
      <c r="M4" s="208" t="s">
        <v>137</v>
      </c>
      <c r="N4" s="209" t="s">
        <v>138</v>
      </c>
      <c r="O4" s="210" t="s">
        <v>139</v>
      </c>
      <c r="P4" s="210" t="s">
        <v>140</v>
      </c>
    </row>
    <row r="5" spans="2:16" ht="99.75" customHeight="1">
      <c r="B5" s="202"/>
      <c r="C5" s="219">
        <v>9</v>
      </c>
      <c r="D5" s="220"/>
      <c r="E5" s="213" t="s">
        <v>141</v>
      </c>
      <c r="F5" s="221" t="s">
        <v>145</v>
      </c>
      <c r="G5" s="213" t="s">
        <v>154</v>
      </c>
      <c r="H5" s="222">
        <v>5.5</v>
      </c>
      <c r="I5" s="223">
        <v>1650000000</v>
      </c>
      <c r="J5" s="223">
        <v>0</v>
      </c>
      <c r="K5" s="224">
        <v>-0.05</v>
      </c>
      <c r="L5" s="224">
        <v>0.05</v>
      </c>
      <c r="M5" s="224">
        <v>-0.4</v>
      </c>
      <c r="N5" s="223">
        <f>+(I5-J5)*0.6</f>
        <v>990000000</v>
      </c>
      <c r="O5" s="225">
        <f>+N5/H5</f>
        <v>180000000</v>
      </c>
      <c r="P5" s="226" t="s">
        <v>155</v>
      </c>
    </row>
    <row r="6" spans="2:16" ht="126" customHeight="1">
      <c r="B6" s="202"/>
      <c r="C6" s="219">
        <v>11</v>
      </c>
      <c r="D6" s="220"/>
      <c r="E6" s="213" t="s">
        <v>141</v>
      </c>
      <c r="F6" s="221" t="s">
        <v>158</v>
      </c>
      <c r="G6" s="213">
        <v>3208393424</v>
      </c>
      <c r="H6" s="222">
        <v>2.1</v>
      </c>
      <c r="I6" s="223">
        <v>650000000</v>
      </c>
      <c r="J6" s="223">
        <v>0</v>
      </c>
      <c r="K6" s="224">
        <v>-0.05</v>
      </c>
      <c r="L6" s="224">
        <v>0.05</v>
      </c>
      <c r="M6" s="224">
        <v>-0.4</v>
      </c>
      <c r="N6" s="223">
        <f>+(I6-J6)*0.6</f>
        <v>390000000</v>
      </c>
      <c r="O6" s="225">
        <f>+N6/H6</f>
        <v>185714285.7142857</v>
      </c>
      <c r="P6" s="226" t="s">
        <v>159</v>
      </c>
    </row>
    <row r="7" spans="2:16" ht="123.75" customHeight="1">
      <c r="B7" s="202"/>
      <c r="C7" s="219">
        <v>12</v>
      </c>
      <c r="D7" s="220"/>
      <c r="E7" s="213" t="s">
        <v>141</v>
      </c>
      <c r="F7" s="221" t="s">
        <v>160</v>
      </c>
      <c r="G7" s="213" t="s">
        <v>161</v>
      </c>
      <c r="H7" s="222">
        <v>32</v>
      </c>
      <c r="I7" s="223">
        <v>6400000000</v>
      </c>
      <c r="J7" s="223">
        <v>0</v>
      </c>
      <c r="K7" s="224">
        <v>-0.05</v>
      </c>
      <c r="L7" s="224">
        <v>0.05</v>
      </c>
      <c r="M7" s="224">
        <v>-0.1</v>
      </c>
      <c r="N7" s="223">
        <f>+(I7-0)*0.9</f>
        <v>5760000000</v>
      </c>
      <c r="O7" s="225">
        <f>+N7/H7</f>
        <v>180000000</v>
      </c>
      <c r="P7" s="226" t="s">
        <v>162</v>
      </c>
    </row>
    <row r="8" spans="2:16" ht="15.75" thickBot="1">
      <c r="B8" s="202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28"/>
      <c r="O8" s="229"/>
      <c r="P8" s="230"/>
    </row>
    <row r="9" spans="2:16">
      <c r="B9" s="202"/>
      <c r="C9" s="266" t="s">
        <v>164</v>
      </c>
      <c r="D9" s="267"/>
      <c r="E9" s="268"/>
      <c r="F9" s="268"/>
      <c r="G9" s="231">
        <f>SUM(O5:O7)/3</f>
        <v>181904761.90476191</v>
      </c>
      <c r="H9" s="203"/>
      <c r="I9" s="203"/>
      <c r="J9" s="203"/>
      <c r="K9" s="203"/>
      <c r="L9" s="203"/>
      <c r="M9" s="203"/>
      <c r="N9" s="229"/>
      <c r="O9" s="229"/>
      <c r="P9" s="230"/>
    </row>
    <row r="10" spans="2:16">
      <c r="B10" s="202"/>
      <c r="C10" s="269" t="s">
        <v>165</v>
      </c>
      <c r="D10" s="270"/>
      <c r="E10" s="271"/>
      <c r="F10" s="271"/>
      <c r="G10" s="232">
        <f>STDEV(O5:O7)</f>
        <v>3299144.3953692829</v>
      </c>
      <c r="H10" s="233"/>
      <c r="I10" s="203"/>
      <c r="J10" s="203"/>
      <c r="K10" s="203"/>
      <c r="L10" s="203"/>
      <c r="M10" s="203"/>
      <c r="N10" s="234"/>
      <c r="O10" s="229"/>
      <c r="P10" s="235"/>
    </row>
    <row r="11" spans="2:16">
      <c r="B11" s="202"/>
      <c r="C11" s="272" t="s">
        <v>166</v>
      </c>
      <c r="D11" s="273"/>
      <c r="E11" s="273"/>
      <c r="F11" s="270"/>
      <c r="G11" s="236">
        <f>+SKEW(O5:O7)</f>
        <v>1.7320508075688492</v>
      </c>
      <c r="H11" s="233"/>
      <c r="I11" s="203"/>
      <c r="J11" s="203"/>
      <c r="K11" s="203"/>
      <c r="L11" s="203"/>
      <c r="M11" s="203"/>
      <c r="N11" s="234"/>
      <c r="O11" s="229"/>
      <c r="P11" s="235"/>
    </row>
    <row r="12" spans="2:16">
      <c r="B12" s="202"/>
      <c r="C12" s="269" t="s">
        <v>167</v>
      </c>
      <c r="D12" s="270"/>
      <c r="E12" s="271"/>
      <c r="F12" s="271"/>
      <c r="G12" s="237">
        <f>SUM(G10/G9)</f>
        <v>1.8136657670878256E-2</v>
      </c>
      <c r="H12" s="238"/>
      <c r="I12" s="239"/>
      <c r="J12" s="239"/>
      <c r="K12" s="239"/>
      <c r="L12" s="239"/>
      <c r="M12" s="239"/>
      <c r="N12" s="234"/>
      <c r="O12" s="229"/>
      <c r="P12" s="230"/>
    </row>
    <row r="13" spans="2:16">
      <c r="B13" s="202"/>
      <c r="C13" s="274" t="s">
        <v>51</v>
      </c>
      <c r="D13" s="275"/>
      <c r="E13" s="276"/>
      <c r="F13" s="276"/>
      <c r="G13" s="240">
        <f>+G9+G10</f>
        <v>185203906.3001312</v>
      </c>
      <c r="H13" s="241"/>
      <c r="I13" s="242"/>
      <c r="J13" s="242"/>
      <c r="K13" s="242"/>
      <c r="L13" s="242"/>
      <c r="M13" s="242"/>
      <c r="N13" s="229"/>
      <c r="O13" s="229"/>
      <c r="P13" s="230"/>
    </row>
    <row r="14" spans="2:16" ht="15.75" thickBot="1">
      <c r="B14" s="202"/>
      <c r="C14" s="260" t="s">
        <v>52</v>
      </c>
      <c r="D14" s="261"/>
      <c r="E14" s="262"/>
      <c r="F14" s="262"/>
      <c r="G14" s="243">
        <f>+G9-G10</f>
        <v>178605617.50939262</v>
      </c>
      <c r="H14" s="241"/>
      <c r="I14" s="244"/>
      <c r="J14" s="244"/>
      <c r="K14" s="244"/>
      <c r="L14" s="244"/>
      <c r="M14" s="244"/>
      <c r="N14" s="244"/>
      <c r="O14" s="244"/>
      <c r="P14" s="245"/>
    </row>
    <row r="15" spans="2:16" ht="15.75" thickBot="1">
      <c r="B15" s="202"/>
      <c r="C15" s="263" t="s">
        <v>168</v>
      </c>
      <c r="D15" s="264"/>
      <c r="E15" s="265"/>
      <c r="F15" s="265"/>
      <c r="G15" s="246">
        <v>182000000</v>
      </c>
      <c r="H15" s="203"/>
      <c r="I15" s="203"/>
      <c r="J15" s="203"/>
      <c r="K15" s="203"/>
      <c r="L15" s="203"/>
      <c r="M15" s="203"/>
      <c r="N15" s="203"/>
      <c r="O15" s="203"/>
      <c r="P15" s="204"/>
    </row>
    <row r="16" spans="2:16">
      <c r="B16" s="202"/>
      <c r="C16" s="203"/>
      <c r="D16" s="203"/>
      <c r="E16" s="203"/>
      <c r="F16" s="203"/>
      <c r="G16" s="203"/>
      <c r="H16" s="247"/>
      <c r="K16" s="247"/>
      <c r="L16" s="247"/>
      <c r="M16" s="247"/>
      <c r="N16" s="203"/>
      <c r="O16" s="203"/>
      <c r="P16" s="248"/>
    </row>
    <row r="17" spans="2:16" ht="15.75" thickBot="1">
      <c r="B17" s="249"/>
      <c r="C17" s="250"/>
      <c r="D17" s="250"/>
      <c r="E17" s="250"/>
      <c r="F17" s="250"/>
      <c r="G17" s="250"/>
      <c r="H17" s="250"/>
      <c r="I17" s="250"/>
      <c r="J17" s="250"/>
      <c r="K17" s="250"/>
      <c r="L17" s="250"/>
      <c r="M17" s="250"/>
      <c r="N17" s="250"/>
      <c r="O17" s="250"/>
      <c r="P17" s="251"/>
    </row>
    <row r="19" spans="2:16">
      <c r="G19">
        <f>+G15/10000</f>
        <v>18200</v>
      </c>
    </row>
  </sheetData>
  <sheetProtection algorithmName="SHA-512" hashValue="z6jm8frZg8CMQxAUvXxdUBVc46IFM0FabER/T7AWGQp2auXJfcf0/4yhAWI7y+dC0l1D/LtYNWgax4tE/ha1FA==" saltValue="B25J6tN9hZh4CXkbvu/Www==" spinCount="100000" sheet="1" objects="1" scenarios="1"/>
  <mergeCells count="8">
    <mergeCell ref="C14:F14"/>
    <mergeCell ref="C15:F15"/>
    <mergeCell ref="C2:P2"/>
    <mergeCell ref="C9:F9"/>
    <mergeCell ref="C10:F10"/>
    <mergeCell ref="C11:F11"/>
    <mergeCell ref="C12:F12"/>
    <mergeCell ref="C13:F1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9B625-3AA7-4359-8BD2-57CDA1A71FDB}">
  <dimension ref="A1:AB26"/>
  <sheetViews>
    <sheetView workbookViewId="0">
      <selection activeCell="AD10" sqref="AD10"/>
    </sheetView>
  </sheetViews>
  <sheetFormatPr baseColWidth="10" defaultRowHeight="15"/>
  <cols>
    <col min="1" max="1" width="26.28515625" customWidth="1"/>
    <col min="2" max="6" width="8" customWidth="1"/>
    <col min="7" max="7" width="0.28515625" customWidth="1"/>
    <col min="8" max="13" width="11.42578125" hidden="1" customWidth="1"/>
    <col min="14" max="14" width="7.28515625" hidden="1" customWidth="1"/>
    <col min="15" max="23" width="11.42578125" hidden="1" customWidth="1"/>
    <col min="26" max="26" width="16" customWidth="1"/>
    <col min="28" max="28" width="12.5703125" bestFit="1" customWidth="1"/>
  </cols>
  <sheetData>
    <row r="1" spans="1:23" s="335" customFormat="1" ht="60" customHeight="1">
      <c r="A1" s="377"/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377"/>
      <c r="W1" s="377"/>
    </row>
    <row r="2" spans="1:23" s="335" customFormat="1" ht="12"/>
    <row r="3" spans="1:23" s="335" customFormat="1" ht="14.1" customHeight="1">
      <c r="A3" s="378" t="s">
        <v>218</v>
      </c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</row>
    <row r="4" spans="1:23" s="335" customFormat="1" ht="17.100000000000001" customHeight="1">
      <c r="A4" s="378"/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</row>
    <row r="5" spans="1:23" s="335" customFormat="1" ht="36" customHeight="1">
      <c r="A5" s="379" t="s">
        <v>219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</row>
    <row r="6" spans="1:23" s="335" customFormat="1" ht="12"/>
    <row r="7" spans="1:23" s="335" customFormat="1" ht="12.75" customHeight="1">
      <c r="A7" s="336"/>
      <c r="B7" s="337"/>
      <c r="C7" s="337"/>
      <c r="D7" s="337"/>
      <c r="E7" s="337"/>
      <c r="F7" s="337"/>
      <c r="G7" s="337"/>
      <c r="H7" s="337"/>
      <c r="I7" s="337"/>
      <c r="J7" s="337"/>
      <c r="K7" s="337"/>
      <c r="L7" s="337"/>
      <c r="M7" s="337"/>
      <c r="N7" s="337"/>
      <c r="O7" s="337"/>
      <c r="P7" s="337"/>
      <c r="Q7" s="337"/>
      <c r="R7" s="337"/>
      <c r="S7" s="338"/>
      <c r="T7" s="337"/>
      <c r="U7" s="337"/>
      <c r="V7" s="337"/>
      <c r="W7" s="337"/>
    </row>
    <row r="8" spans="1:23">
      <c r="A8" s="339"/>
      <c r="B8" s="340"/>
      <c r="C8" s="341"/>
      <c r="D8" s="342"/>
      <c r="E8" s="341"/>
      <c r="F8" s="343" t="s">
        <v>201</v>
      </c>
    </row>
    <row r="9" spans="1:23">
      <c r="A9" s="344" t="s">
        <v>202</v>
      </c>
      <c r="B9" s="345">
        <v>2020</v>
      </c>
      <c r="C9" s="345">
        <v>2021</v>
      </c>
      <c r="D9" s="345">
        <v>2022</v>
      </c>
      <c r="E9" s="346">
        <v>2023</v>
      </c>
      <c r="F9" s="347">
        <v>2024</v>
      </c>
    </row>
    <row r="10" spans="1:23">
      <c r="A10" s="348" t="s">
        <v>203</v>
      </c>
      <c r="B10" s="350">
        <v>104.24</v>
      </c>
      <c r="C10" s="350">
        <v>105.91</v>
      </c>
      <c r="D10" s="350">
        <v>113.26</v>
      </c>
      <c r="E10" s="351">
        <v>128.27000000000001</v>
      </c>
      <c r="F10" s="352">
        <v>138.97999999999999</v>
      </c>
    </row>
    <row r="11" spans="1:23">
      <c r="A11" s="353" t="s">
        <v>204</v>
      </c>
      <c r="B11" s="354">
        <v>104.94</v>
      </c>
      <c r="C11" s="354">
        <v>106.58</v>
      </c>
      <c r="D11" s="354">
        <v>115.11</v>
      </c>
      <c r="E11" s="355">
        <v>130.4</v>
      </c>
      <c r="F11" s="356">
        <v>140.49</v>
      </c>
    </row>
    <row r="12" spans="1:23">
      <c r="A12" s="348" t="s">
        <v>205</v>
      </c>
      <c r="B12" s="349">
        <v>105.53</v>
      </c>
      <c r="C12" s="349">
        <v>107.12</v>
      </c>
      <c r="D12" s="349">
        <v>116.26</v>
      </c>
      <c r="E12" s="349">
        <v>131.77000000000001</v>
      </c>
      <c r="F12" s="352">
        <v>141.47999999999999</v>
      </c>
    </row>
    <row r="13" spans="1:23">
      <c r="A13" s="353" t="s">
        <v>206</v>
      </c>
      <c r="B13" s="354">
        <v>105.7</v>
      </c>
      <c r="C13" s="354">
        <v>107.76</v>
      </c>
      <c r="D13" s="354">
        <v>117.71</v>
      </c>
      <c r="E13" s="354">
        <v>132.80000000000001</v>
      </c>
      <c r="F13" s="357">
        <v>142.32</v>
      </c>
    </row>
    <row r="14" spans="1:23">
      <c r="A14" s="348" t="s">
        <v>207</v>
      </c>
      <c r="B14" s="349">
        <v>105.36</v>
      </c>
      <c r="C14" s="349">
        <v>108.84</v>
      </c>
      <c r="D14" s="349">
        <v>118.7</v>
      </c>
      <c r="E14" s="349">
        <v>133.38</v>
      </c>
      <c r="F14" s="358">
        <v>142.91999999999999</v>
      </c>
    </row>
    <row r="15" spans="1:23">
      <c r="A15" s="353" t="s">
        <v>208</v>
      </c>
      <c r="B15" s="354">
        <v>104.97</v>
      </c>
      <c r="C15" s="354">
        <v>108.78</v>
      </c>
      <c r="D15" s="354">
        <v>119.31</v>
      </c>
      <c r="E15" s="354">
        <v>133.78</v>
      </c>
      <c r="F15" s="357">
        <v>143.38</v>
      </c>
    </row>
    <row r="16" spans="1:23">
      <c r="A16" s="348" t="s">
        <v>209</v>
      </c>
      <c r="B16" s="349">
        <v>104.97</v>
      </c>
      <c r="C16" s="349">
        <v>109.14</v>
      </c>
      <c r="D16" s="349">
        <v>120.27</v>
      </c>
      <c r="E16" s="349">
        <v>134.44999999999999</v>
      </c>
      <c r="F16" s="359">
        <v>143.66999999999999</v>
      </c>
    </row>
    <row r="17" spans="1:28">
      <c r="A17" s="353" t="s">
        <v>210</v>
      </c>
      <c r="B17" s="354">
        <v>104.96</v>
      </c>
      <c r="C17" s="354">
        <v>109.62</v>
      </c>
      <c r="D17" s="354">
        <v>121.5</v>
      </c>
      <c r="E17" s="354">
        <v>135.38999999999999</v>
      </c>
      <c r="F17" s="360">
        <v>143.66999999999999</v>
      </c>
    </row>
    <row r="18" spans="1:28">
      <c r="A18" s="348" t="s">
        <v>211</v>
      </c>
      <c r="B18" s="349">
        <v>105.29</v>
      </c>
      <c r="C18" s="349">
        <v>110.04</v>
      </c>
      <c r="D18" s="349">
        <v>122.63</v>
      </c>
      <c r="E18" s="349">
        <v>136.11000000000001</v>
      </c>
      <c r="F18" s="358">
        <v>144.02000000000001</v>
      </c>
      <c r="Z18" s="382" t="s">
        <v>225</v>
      </c>
      <c r="AA18" s="383" t="s">
        <v>220</v>
      </c>
      <c r="AB18" s="384">
        <f>+'P1 RURAL'!G15</f>
        <v>182000000</v>
      </c>
    </row>
    <row r="19" spans="1:28">
      <c r="A19" s="353" t="s">
        <v>212</v>
      </c>
      <c r="B19" s="354">
        <v>105.23</v>
      </c>
      <c r="C19" s="354">
        <v>110.06</v>
      </c>
      <c r="D19" s="354">
        <v>123.51</v>
      </c>
      <c r="E19" s="354">
        <v>136.44999999999999</v>
      </c>
      <c r="F19" s="357">
        <v>143.83000000000001</v>
      </c>
      <c r="Z19" s="99" t="s">
        <v>221</v>
      </c>
      <c r="AA19" s="96" t="s">
        <v>220</v>
      </c>
      <c r="AB19" s="381">
        <f>+F19</f>
        <v>143.83000000000001</v>
      </c>
    </row>
    <row r="20" spans="1:28">
      <c r="A20" s="348" t="s">
        <v>213</v>
      </c>
      <c r="B20" s="349">
        <v>105.08</v>
      </c>
      <c r="C20" s="349">
        <v>110.6</v>
      </c>
      <c r="D20" s="349">
        <v>124.46</v>
      </c>
      <c r="E20" s="349">
        <v>137.09</v>
      </c>
      <c r="F20" s="358"/>
      <c r="Z20" s="99" t="s">
        <v>222</v>
      </c>
      <c r="AA20" s="96" t="s">
        <v>220</v>
      </c>
      <c r="AB20" s="381">
        <f>+E18</f>
        <v>136.11000000000001</v>
      </c>
    </row>
    <row r="21" spans="1:28">
      <c r="A21" s="361" t="s">
        <v>214</v>
      </c>
      <c r="B21" s="362">
        <v>105.48</v>
      </c>
      <c r="C21" s="362">
        <v>111.41</v>
      </c>
      <c r="D21" s="362">
        <v>126.03</v>
      </c>
      <c r="E21" s="363">
        <v>137.72</v>
      </c>
      <c r="F21" s="364"/>
      <c r="Z21" s="99" t="s">
        <v>223</v>
      </c>
      <c r="AA21" s="96" t="s">
        <v>220</v>
      </c>
      <c r="AB21" s="4">
        <f>+AB20/AB19</f>
        <v>0.94632552318709584</v>
      </c>
    </row>
    <row r="22" spans="1:28">
      <c r="A22" s="335"/>
      <c r="B22" s="335"/>
      <c r="C22" s="335"/>
      <c r="D22" s="335"/>
      <c r="E22" s="335"/>
      <c r="F22" s="335"/>
      <c r="Z22" s="99" t="s">
        <v>224</v>
      </c>
      <c r="AA22" s="96" t="s">
        <v>220</v>
      </c>
      <c r="AB22" s="385">
        <f>+AB18*AB21</f>
        <v>172231245.22005144</v>
      </c>
    </row>
    <row r="23" spans="1:28">
      <c r="A23" s="335"/>
      <c r="B23" s="335"/>
      <c r="C23" s="335"/>
      <c r="D23" s="335"/>
      <c r="E23" s="335"/>
      <c r="F23" s="335"/>
    </row>
    <row r="24" spans="1:28">
      <c r="A24" s="375" t="s">
        <v>215</v>
      </c>
      <c r="B24" s="365"/>
      <c r="C24" s="366"/>
      <c r="D24" s="366"/>
      <c r="E24" s="366"/>
      <c r="F24" s="367"/>
    </row>
    <row r="25" spans="1:28" ht="32.25" customHeight="1">
      <c r="A25" s="376" t="s">
        <v>216</v>
      </c>
      <c r="B25" s="368"/>
      <c r="C25" s="369"/>
      <c r="D25" s="369"/>
      <c r="E25" s="369"/>
      <c r="F25" s="370"/>
    </row>
    <row r="26" spans="1:28" ht="30.75" customHeight="1">
      <c r="A26" s="371" t="s">
        <v>217</v>
      </c>
      <c r="B26" s="372"/>
      <c r="C26" s="373"/>
      <c r="D26" s="373"/>
      <c r="E26" s="373"/>
      <c r="F26" s="374"/>
    </row>
  </sheetData>
  <sheetProtection algorithmName="SHA-512" hashValue="R7p0bdfau0M2XJ5UgmsGGQ1INh7wWP8diOPI9RyNT9aZu+l0+mvCYbDyoIwz9Z0aTRudbg68RF0adzpgt/iwsA==" saltValue="YRo0fyJMdRCUONk+o9YPpQ==" spinCount="100000" sheet="1" objects="1" scenarios="1"/>
  <mergeCells count="3">
    <mergeCell ref="A1:W1"/>
    <mergeCell ref="A3:W4"/>
    <mergeCell ref="A5:W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21EFC-0BB8-4378-A730-D708D6BA6F95}">
  <dimension ref="E2:T112"/>
  <sheetViews>
    <sheetView topLeftCell="D69" zoomScale="110" zoomScaleNormal="110" workbookViewId="0">
      <selection activeCell="J77" sqref="J77"/>
    </sheetView>
  </sheetViews>
  <sheetFormatPr baseColWidth="10" defaultRowHeight="15"/>
  <cols>
    <col min="4" max="4" width="17.28515625" customWidth="1"/>
    <col min="5" max="5" width="4.42578125" customWidth="1"/>
    <col min="6" max="6" width="70.7109375" customWidth="1"/>
    <col min="7" max="7" width="22" customWidth="1"/>
    <col min="8" max="8" width="10.7109375" customWidth="1"/>
    <col min="9" max="9" width="19.140625" bestFit="1" customWidth="1"/>
    <col min="10" max="10" width="19.140625" customWidth="1"/>
    <col min="11" max="11" width="17.42578125" customWidth="1"/>
    <col min="12" max="12" width="19.85546875" customWidth="1"/>
    <col min="13" max="13" width="12.85546875" customWidth="1"/>
    <col min="15" max="16" width="20.28515625" customWidth="1"/>
    <col min="17" max="17" width="19.140625" customWidth="1"/>
    <col min="18" max="18" width="21.7109375" customWidth="1"/>
  </cols>
  <sheetData>
    <row r="2" spans="5:16" ht="15.75" thickBot="1"/>
    <row r="3" spans="5:16">
      <c r="N3" s="173">
        <v>0.3</v>
      </c>
      <c r="O3" s="174">
        <v>0.2</v>
      </c>
      <c r="P3" s="175">
        <v>0.5</v>
      </c>
    </row>
    <row r="4" spans="5:16" ht="15.75" thickBot="1">
      <c r="N4" s="176" t="s">
        <v>22</v>
      </c>
      <c r="O4" s="177" t="s">
        <v>23</v>
      </c>
      <c r="P4" s="178" t="s">
        <v>24</v>
      </c>
    </row>
    <row r="5" spans="5:16">
      <c r="K5" s="301" t="s">
        <v>125</v>
      </c>
      <c r="L5" s="302"/>
      <c r="M5" s="179">
        <v>4273</v>
      </c>
      <c r="N5" s="179">
        <f>+M5*N3</f>
        <v>1281.8999999999999</v>
      </c>
      <c r="O5" s="179">
        <f>+M5*O3</f>
        <v>854.6</v>
      </c>
      <c r="P5" s="180">
        <f>+M5*P3</f>
        <v>2136.5</v>
      </c>
    </row>
    <row r="6" spans="5:16">
      <c r="K6" s="303" t="s">
        <v>26</v>
      </c>
      <c r="L6" s="304"/>
      <c r="M6" s="172"/>
      <c r="N6" s="171">
        <v>80.5</v>
      </c>
      <c r="O6" s="171">
        <v>80.5</v>
      </c>
      <c r="P6" s="181">
        <v>80.5</v>
      </c>
    </row>
    <row r="7" spans="5:16" ht="15.75" thickBot="1">
      <c r="K7" s="305" t="s">
        <v>126</v>
      </c>
      <c r="L7" s="306"/>
      <c r="M7" s="182">
        <f>+N7+O7+P7</f>
        <v>343976.5</v>
      </c>
      <c r="N7" s="183">
        <f>+N5*N6</f>
        <v>103192.94999999998</v>
      </c>
      <c r="O7" s="183">
        <f t="shared" ref="O7:P7" si="0">+O5*O6</f>
        <v>68795.3</v>
      </c>
      <c r="P7" s="184">
        <f t="shared" si="0"/>
        <v>171988.25</v>
      </c>
    </row>
    <row r="9" spans="5:16" ht="15.75" thickBot="1"/>
    <row r="10" spans="5:16">
      <c r="N10" s="173">
        <v>0.3</v>
      </c>
      <c r="O10" s="174">
        <v>0.2</v>
      </c>
      <c r="P10" s="175">
        <v>0.5</v>
      </c>
    </row>
    <row r="11" spans="5:16" ht="15.75" thickBot="1">
      <c r="N11" s="176" t="s">
        <v>22</v>
      </c>
      <c r="O11" s="177" t="s">
        <v>23</v>
      </c>
      <c r="P11" s="178" t="s">
        <v>24</v>
      </c>
    </row>
    <row r="12" spans="5:16">
      <c r="K12" s="301" t="s">
        <v>125</v>
      </c>
      <c r="L12" s="302"/>
      <c r="M12" s="179">
        <v>4273</v>
      </c>
      <c r="N12" s="179">
        <f>+M12*N10</f>
        <v>1281.8999999999999</v>
      </c>
      <c r="O12" s="179">
        <f>+M12*O10</f>
        <v>854.6</v>
      </c>
      <c r="P12" s="180">
        <f>+M12*P10</f>
        <v>2136.5</v>
      </c>
    </row>
    <row r="13" spans="5:16" ht="15.75" thickBot="1">
      <c r="K13" s="303" t="s">
        <v>26</v>
      </c>
      <c r="L13" s="304"/>
      <c r="M13" s="172"/>
      <c r="N13" s="171">
        <v>55</v>
      </c>
      <c r="O13" s="171">
        <v>45</v>
      </c>
      <c r="P13" s="181">
        <v>80.5</v>
      </c>
    </row>
    <row r="14" spans="5:16" ht="15" customHeight="1" thickBot="1">
      <c r="E14" s="277" t="s">
        <v>124</v>
      </c>
      <c r="F14" s="278"/>
      <c r="G14" s="278"/>
      <c r="H14" s="279"/>
      <c r="K14" s="305" t="s">
        <v>126</v>
      </c>
      <c r="L14" s="306"/>
      <c r="M14" s="182">
        <f>+N14+O14+P14</f>
        <v>280949.75</v>
      </c>
      <c r="N14" s="183">
        <f>+N12*N13</f>
        <v>70504.499999999985</v>
      </c>
      <c r="O14" s="183">
        <f t="shared" ref="O14" si="1">+O12*O13</f>
        <v>38457</v>
      </c>
      <c r="P14" s="184">
        <f t="shared" ref="P14" si="2">+P12*P13</f>
        <v>171988.25</v>
      </c>
    </row>
    <row r="15" spans="5:16" ht="15.75" thickBot="1">
      <c r="E15" s="280"/>
      <c r="F15" s="281"/>
      <c r="G15" s="281"/>
      <c r="H15" s="282"/>
    </row>
    <row r="16" spans="5:16" ht="15.75" thickBot="1">
      <c r="E16" s="135">
        <v>1</v>
      </c>
      <c r="F16" s="136" t="s">
        <v>13</v>
      </c>
      <c r="G16" s="137">
        <v>1037516.64</v>
      </c>
      <c r="H16" s="138">
        <v>1</v>
      </c>
    </row>
    <row r="17" spans="5:17" ht="16.5" thickTop="1" thickBot="1">
      <c r="E17" s="139">
        <v>2</v>
      </c>
      <c r="F17" s="19" t="s">
        <v>14</v>
      </c>
      <c r="G17" s="110">
        <v>13742.4</v>
      </c>
      <c r="H17" s="140"/>
    </row>
    <row r="18" spans="5:17" ht="16.5" thickTop="1" thickBot="1">
      <c r="E18" s="139">
        <v>3</v>
      </c>
      <c r="F18" s="19" t="s">
        <v>15</v>
      </c>
      <c r="G18" s="109">
        <f>+G16-G17</f>
        <v>1023774.24</v>
      </c>
      <c r="H18" s="140"/>
    </row>
    <row r="19" spans="5:17" ht="16.5" thickTop="1" thickBot="1">
      <c r="E19" s="139">
        <v>4</v>
      </c>
      <c r="F19" s="19" t="s">
        <v>0</v>
      </c>
      <c r="G19" s="109">
        <f>11711.43+52037.24+2221.74</f>
        <v>65970.41</v>
      </c>
      <c r="H19" s="140"/>
    </row>
    <row r="20" spans="5:17" ht="16.5" thickTop="1" thickBot="1">
      <c r="E20" s="139">
        <v>5</v>
      </c>
      <c r="F20" s="19" t="s">
        <v>16</v>
      </c>
      <c r="G20" s="109">
        <v>618475.96</v>
      </c>
      <c r="H20" s="140"/>
    </row>
    <row r="21" spans="5:17" ht="16.5" thickTop="1" thickBot="1">
      <c r="E21" s="139">
        <v>6</v>
      </c>
      <c r="F21" s="19" t="s">
        <v>17</v>
      </c>
      <c r="G21" s="109">
        <f>+G19+G20</f>
        <v>684446.37</v>
      </c>
      <c r="H21" s="140"/>
      <c r="J21" s="21"/>
      <c r="K21" s="21"/>
      <c r="L21" s="21"/>
      <c r="M21" s="187">
        <v>0.3</v>
      </c>
      <c r="N21" s="188">
        <v>0.2</v>
      </c>
      <c r="O21" s="188">
        <v>0.5</v>
      </c>
      <c r="P21" s="189" t="s">
        <v>25</v>
      </c>
    </row>
    <row r="22" spans="5:17" ht="16.5" thickTop="1" thickBot="1">
      <c r="E22" s="139">
        <v>5</v>
      </c>
      <c r="F22" s="8" t="s">
        <v>10</v>
      </c>
      <c r="G22" s="20">
        <f>+G18-G21</f>
        <v>339327.87</v>
      </c>
      <c r="H22" s="141"/>
      <c r="J22" s="21"/>
      <c r="K22" s="21"/>
      <c r="L22" s="21"/>
      <c r="M22" s="190" t="s">
        <v>22</v>
      </c>
      <c r="N22" s="191" t="s">
        <v>23</v>
      </c>
      <c r="O22" s="191" t="s">
        <v>24</v>
      </c>
      <c r="P22" s="192"/>
    </row>
    <row r="23" spans="5:17" ht="16.5" thickTop="1" thickBot="1">
      <c r="E23" s="139">
        <v>6</v>
      </c>
      <c r="F23" s="19" t="s">
        <v>18</v>
      </c>
      <c r="G23" s="109">
        <v>107710.54</v>
      </c>
      <c r="H23" s="140"/>
      <c r="J23" s="283"/>
      <c r="K23" s="284"/>
      <c r="L23" s="24" t="s">
        <v>19</v>
      </c>
      <c r="M23" s="24"/>
      <c r="N23" s="24"/>
      <c r="O23" s="24"/>
      <c r="P23" s="24"/>
      <c r="Q23" s="25" t="s">
        <v>30</v>
      </c>
    </row>
    <row r="24" spans="5:17" ht="16.5" thickTop="1" thickBot="1">
      <c r="E24" s="139">
        <v>10</v>
      </c>
      <c r="F24" s="8" t="s">
        <v>12</v>
      </c>
      <c r="G24" s="20">
        <f>G22-G23</f>
        <v>231617.33000000002</v>
      </c>
      <c r="H24" s="142"/>
      <c r="I24" s="3"/>
      <c r="J24" s="285" t="s">
        <v>20</v>
      </c>
      <c r="K24" s="286"/>
      <c r="L24" s="22">
        <v>576</v>
      </c>
      <c r="M24" s="22">
        <f>+L24*0.3</f>
        <v>172.79999999999998</v>
      </c>
      <c r="N24" s="22">
        <f>+L24*0.2</f>
        <v>115.2</v>
      </c>
      <c r="O24" s="22">
        <f>+L24*0.5</f>
        <v>288</v>
      </c>
      <c r="P24" s="22">
        <f>+M24+N24+O24</f>
        <v>576</v>
      </c>
      <c r="Q24" s="289">
        <f>+P24+P25</f>
        <v>4273</v>
      </c>
    </row>
    <row r="25" spans="5:17" ht="16.5" thickTop="1" thickBot="1">
      <c r="E25" s="143">
        <v>11</v>
      </c>
      <c r="F25" s="124" t="s">
        <v>32</v>
      </c>
      <c r="G25" s="124">
        <f>+L51*50%</f>
        <v>5103.8850000000002</v>
      </c>
      <c r="H25" s="144"/>
      <c r="I25" s="3"/>
      <c r="J25" s="285" t="s">
        <v>21</v>
      </c>
      <c r="K25" s="286"/>
      <c r="L25" s="22">
        <v>3697</v>
      </c>
      <c r="M25" s="22">
        <f>+L25*0.3</f>
        <v>1109.0999999999999</v>
      </c>
      <c r="N25" s="22">
        <f>+L25*0.2</f>
        <v>739.40000000000009</v>
      </c>
      <c r="O25" s="22">
        <f>+L25*0.5</f>
        <v>1848.5</v>
      </c>
      <c r="P25" s="22">
        <f>+M25+N25+O25</f>
        <v>3697</v>
      </c>
      <c r="Q25" s="290"/>
    </row>
    <row r="26" spans="5:17" ht="16.5" thickTop="1" thickBot="1">
      <c r="E26" s="139">
        <v>13</v>
      </c>
      <c r="F26" s="111" t="s">
        <v>79</v>
      </c>
      <c r="G26" s="5">
        <f>+O27</f>
        <v>23184</v>
      </c>
      <c r="H26" s="145"/>
      <c r="I26" s="3"/>
      <c r="J26" s="285" t="s">
        <v>26</v>
      </c>
      <c r="K26" s="286"/>
      <c r="L26" s="22" t="s">
        <v>27</v>
      </c>
      <c r="M26" s="22">
        <v>55</v>
      </c>
      <c r="N26" s="22">
        <v>45</v>
      </c>
      <c r="O26" s="22">
        <v>80.5</v>
      </c>
      <c r="P26" s="291"/>
      <c r="Q26" s="292"/>
    </row>
    <row r="27" spans="5:17" ht="16.5" thickTop="1" thickBot="1">
      <c r="E27" s="139">
        <v>14</v>
      </c>
      <c r="F27" s="6" t="s">
        <v>98</v>
      </c>
      <c r="G27" s="5">
        <f>+G26*0.8</f>
        <v>18547.2</v>
      </c>
      <c r="H27" s="146"/>
      <c r="J27" s="293" t="s">
        <v>28</v>
      </c>
      <c r="K27" s="291"/>
      <c r="L27" s="291"/>
      <c r="M27" s="185">
        <f>+M24*M26</f>
        <v>9503.9999999999982</v>
      </c>
      <c r="N27" s="185">
        <f>+N24*N26</f>
        <v>5184</v>
      </c>
      <c r="O27" s="185">
        <f>+O24*O26</f>
        <v>23184</v>
      </c>
      <c r="P27" s="23">
        <f>+M27+N27+O27</f>
        <v>37872</v>
      </c>
      <c r="Q27" s="26" t="s">
        <v>31</v>
      </c>
    </row>
    <row r="28" spans="5:17" ht="16.5" thickTop="1" thickBot="1">
      <c r="E28" s="139">
        <v>15</v>
      </c>
      <c r="F28" s="112" t="s">
        <v>80</v>
      </c>
      <c r="G28" s="113">
        <f>+'EST MDO APTOS NO VIS'!I17</f>
        <v>5000000</v>
      </c>
      <c r="H28" s="147"/>
      <c r="I28" s="114"/>
      <c r="J28" s="312" t="s">
        <v>29</v>
      </c>
      <c r="K28" s="313"/>
      <c r="L28" s="313"/>
      <c r="M28" s="186">
        <f>+M25*M26</f>
        <v>61000.499999999993</v>
      </c>
      <c r="N28" s="186">
        <f>+N25*N26</f>
        <v>33273.000000000007</v>
      </c>
      <c r="O28" s="186">
        <f>+O25*O26</f>
        <v>148804.25</v>
      </c>
      <c r="P28" s="27">
        <f>+M28+N28+O28</f>
        <v>243077.75</v>
      </c>
      <c r="Q28" s="28">
        <f>+P27+P28</f>
        <v>280949.75</v>
      </c>
    </row>
    <row r="29" spans="5:17" ht="16.5" thickTop="1" thickBot="1">
      <c r="E29" s="139">
        <v>16</v>
      </c>
      <c r="F29" s="97" t="s">
        <v>7</v>
      </c>
      <c r="G29" s="98">
        <f>G27*G28</f>
        <v>92736000000</v>
      </c>
      <c r="H29" s="147"/>
      <c r="Q29" s="119" t="s">
        <v>76</v>
      </c>
    </row>
    <row r="30" spans="5:17" ht="16.5" thickTop="1" thickBot="1">
      <c r="E30" s="139">
        <v>17</v>
      </c>
      <c r="F30" s="112" t="s">
        <v>2</v>
      </c>
      <c r="G30" s="113">
        <f>+'EST MDO APTOS NO VIS'!D47</f>
        <v>3371389</v>
      </c>
      <c r="H30" s="147"/>
      <c r="I30" s="116"/>
      <c r="J30" s="301" t="s">
        <v>77</v>
      </c>
      <c r="K30" s="302"/>
      <c r="L30" s="302"/>
      <c r="M30" s="193">
        <f>+G33</f>
        <v>3062.3310000000001</v>
      </c>
      <c r="N30" s="193">
        <f>+G44</f>
        <v>2041.5540000000001</v>
      </c>
      <c r="O30" s="193">
        <f>+G25</f>
        <v>5103.8850000000002</v>
      </c>
      <c r="P30" s="194">
        <f>+M30+N30+O30</f>
        <v>10207.77</v>
      </c>
      <c r="Q30" s="287">
        <f>+P30+P31</f>
        <v>196852.46</v>
      </c>
    </row>
    <row r="31" spans="5:17" ht="16.5" thickTop="1" thickBot="1">
      <c r="E31" s="139">
        <v>18</v>
      </c>
      <c r="F31" s="97" t="s">
        <v>3</v>
      </c>
      <c r="G31" s="98">
        <f>G26*G30</f>
        <v>78162282576</v>
      </c>
      <c r="H31" s="147"/>
      <c r="J31" s="305" t="s">
        <v>78</v>
      </c>
      <c r="K31" s="306"/>
      <c r="L31" s="306"/>
      <c r="M31" s="159">
        <f>+G71</f>
        <v>55993.406999999999</v>
      </c>
      <c r="N31" s="159">
        <f>+G82</f>
        <v>37328.938000000002</v>
      </c>
      <c r="O31" s="159">
        <f>+G63</f>
        <v>93322.345000000001</v>
      </c>
      <c r="P31" s="195">
        <f>+M31+N31+O31</f>
        <v>186644.69</v>
      </c>
      <c r="Q31" s="288"/>
    </row>
    <row r="32" spans="5:17" ht="16.5" thickTop="1" thickBot="1">
      <c r="E32" s="139">
        <f>+E31+1</f>
        <v>19</v>
      </c>
      <c r="F32" s="7" t="s">
        <v>5</v>
      </c>
      <c r="G32" s="2">
        <f>G29-G31</f>
        <v>14573717424</v>
      </c>
      <c r="H32" s="147"/>
      <c r="P32" s="3"/>
    </row>
    <row r="33" spans="5:20" ht="16.5" thickTop="1" thickBot="1">
      <c r="E33" s="143">
        <f t="shared" ref="E33:E96" si="3">+E32+1</f>
        <v>20</v>
      </c>
      <c r="F33" s="124" t="s">
        <v>81</v>
      </c>
      <c r="G33" s="125">
        <f>+L51*30%</f>
        <v>3062.3310000000001</v>
      </c>
      <c r="H33" s="148"/>
      <c r="P33" s="3"/>
      <c r="S33" s="117"/>
    </row>
    <row r="34" spans="5:20" ht="16.5" thickTop="1" thickBot="1">
      <c r="E34" s="139">
        <f t="shared" si="3"/>
        <v>21</v>
      </c>
      <c r="F34" s="1" t="s">
        <v>82</v>
      </c>
      <c r="G34" s="118">
        <f>+M27</f>
        <v>9503.9999999999982</v>
      </c>
      <c r="H34" s="147"/>
      <c r="P34" s="3"/>
    </row>
    <row r="35" spans="5:20" ht="16.5" thickTop="1" thickBot="1">
      <c r="E35" s="139">
        <f t="shared" si="3"/>
        <v>22</v>
      </c>
      <c r="F35" s="6" t="s">
        <v>8</v>
      </c>
      <c r="G35" s="118">
        <f>+G34*0.9</f>
        <v>8553.5999999999985</v>
      </c>
      <c r="H35" s="147"/>
    </row>
    <row r="36" spans="5:20" ht="16.5" thickTop="1" thickBot="1">
      <c r="E36" s="139">
        <f t="shared" si="3"/>
        <v>23</v>
      </c>
      <c r="F36" s="112" t="s">
        <v>99</v>
      </c>
      <c r="G36" s="118">
        <v>3552</v>
      </c>
      <c r="H36" s="147"/>
    </row>
    <row r="37" spans="5:20" ht="16.5" thickTop="1" thickBot="1">
      <c r="E37" s="139">
        <f t="shared" si="3"/>
        <v>24</v>
      </c>
      <c r="F37" s="112" t="s">
        <v>174</v>
      </c>
      <c r="G37" s="115">
        <v>47065</v>
      </c>
      <c r="H37" s="147"/>
    </row>
    <row r="38" spans="5:20" ht="16.5" thickTop="1" thickBot="1">
      <c r="E38" s="139">
        <f t="shared" si="3"/>
        <v>25</v>
      </c>
      <c r="F38" s="112" t="s">
        <v>11</v>
      </c>
      <c r="G38" s="115">
        <f>+G37*G36</f>
        <v>167174880</v>
      </c>
      <c r="H38" s="147"/>
      <c r="Q38" s="3"/>
    </row>
    <row r="39" spans="5:20" ht="16.5" thickTop="1" thickBot="1">
      <c r="E39" s="139">
        <f t="shared" si="3"/>
        <v>26</v>
      </c>
      <c r="F39" s="112" t="s">
        <v>176</v>
      </c>
      <c r="G39" s="115">
        <f>+G38/55</f>
        <v>3039543.2727272729</v>
      </c>
      <c r="H39" s="147"/>
    </row>
    <row r="40" spans="5:20" ht="16.5" thickTop="1" thickBot="1">
      <c r="E40" s="139">
        <f t="shared" si="3"/>
        <v>27</v>
      </c>
      <c r="F40" s="97" t="s">
        <v>83</v>
      </c>
      <c r="G40" s="98">
        <f>+G39*G35</f>
        <v>25999037337.599998</v>
      </c>
      <c r="H40" s="147"/>
    </row>
    <row r="41" spans="5:20" ht="16.5" thickTop="1" thickBot="1">
      <c r="E41" s="139">
        <f t="shared" si="3"/>
        <v>28</v>
      </c>
      <c r="F41" s="112" t="s">
        <v>84</v>
      </c>
      <c r="G41" s="113">
        <f>+VIS!F49</f>
        <v>2229867</v>
      </c>
      <c r="H41" s="147"/>
      <c r="I41" s="116"/>
    </row>
    <row r="42" spans="5:20" ht="16.5" thickTop="1" thickBot="1">
      <c r="E42" s="139">
        <f t="shared" si="3"/>
        <v>29</v>
      </c>
      <c r="F42" s="97" t="s">
        <v>85</v>
      </c>
      <c r="G42" s="98">
        <f>+G41*G34</f>
        <v>21192655967.999996</v>
      </c>
      <c r="H42" s="147"/>
      <c r="J42" s="298" t="s">
        <v>122</v>
      </c>
      <c r="K42" s="299"/>
      <c r="L42" s="299"/>
      <c r="M42" s="300"/>
    </row>
    <row r="43" spans="5:20" ht="16.5" thickTop="1" thickBot="1">
      <c r="E43" s="139">
        <f t="shared" si="3"/>
        <v>30</v>
      </c>
      <c r="F43" s="7" t="s">
        <v>5</v>
      </c>
      <c r="G43" s="2">
        <f>+G40-G42</f>
        <v>4806381369.6000023</v>
      </c>
      <c r="H43" s="147"/>
      <c r="J43" s="165"/>
      <c r="K43" s="166" t="s">
        <v>112</v>
      </c>
      <c r="L43" s="166" t="s">
        <v>120</v>
      </c>
      <c r="M43" s="167" t="s">
        <v>121</v>
      </c>
    </row>
    <row r="44" spans="5:20" ht="16.5" thickTop="1" thickBot="1">
      <c r="E44" s="143">
        <f t="shared" si="3"/>
        <v>31</v>
      </c>
      <c r="F44" s="124" t="s">
        <v>86</v>
      </c>
      <c r="G44" s="125">
        <f>+L51*20%</f>
        <v>2041.5540000000001</v>
      </c>
      <c r="H44" s="148"/>
      <c r="J44" s="156" t="s">
        <v>116</v>
      </c>
      <c r="K44" s="155">
        <f>+G25+G33+G44+G63+G71+G82</f>
        <v>196852.46</v>
      </c>
      <c r="L44" s="155">
        <f>+G55+G93</f>
        <v>34764.6</v>
      </c>
      <c r="M44" s="157">
        <f>+K44+L44</f>
        <v>231617.06</v>
      </c>
      <c r="O44" s="10"/>
    </row>
    <row r="45" spans="5:20" ht="16.5" thickTop="1" thickBot="1">
      <c r="E45" s="139">
        <f t="shared" si="3"/>
        <v>32</v>
      </c>
      <c r="F45" s="6" t="s">
        <v>87</v>
      </c>
      <c r="G45" s="118">
        <f>+N27</f>
        <v>5184</v>
      </c>
      <c r="H45" s="149"/>
      <c r="J45" s="158" t="s">
        <v>117</v>
      </c>
      <c r="K45" s="159">
        <f>+G26+G34+G45+G64+G72+G83</f>
        <v>280949.75</v>
      </c>
      <c r="L45" s="159">
        <f>+G56+G94</f>
        <v>27994.32</v>
      </c>
      <c r="M45" s="160">
        <f>+K45+L45</f>
        <v>308944.07</v>
      </c>
    </row>
    <row r="46" spans="5:20" ht="16.5" thickTop="1" thickBot="1">
      <c r="E46" s="139">
        <f t="shared" si="3"/>
        <v>33</v>
      </c>
      <c r="F46" s="6" t="s">
        <v>8</v>
      </c>
      <c r="G46" s="118">
        <f>+G45*0.9</f>
        <v>4665.6000000000004</v>
      </c>
      <c r="H46" s="149"/>
    </row>
    <row r="47" spans="5:20" ht="16.5" thickTop="1" thickBot="1">
      <c r="E47" s="139">
        <f t="shared" si="3"/>
        <v>34</v>
      </c>
      <c r="F47" s="6" t="s">
        <v>101</v>
      </c>
      <c r="G47" s="118">
        <v>2368</v>
      </c>
      <c r="H47" s="149"/>
    </row>
    <row r="48" spans="5:20" ht="16.5" thickTop="1" thickBot="1">
      <c r="E48" s="139">
        <f t="shared" si="3"/>
        <v>35</v>
      </c>
      <c r="F48" s="6" t="s">
        <v>175</v>
      </c>
      <c r="G48" s="120">
        <v>47065</v>
      </c>
      <c r="H48" s="149"/>
      <c r="K48" s="298" t="s">
        <v>116</v>
      </c>
      <c r="L48" s="299"/>
      <c r="M48" s="299"/>
      <c r="N48" s="300"/>
      <c r="O48" s="13"/>
      <c r="P48" s="13"/>
      <c r="Q48" s="13"/>
      <c r="R48" s="13"/>
      <c r="S48" s="13"/>
      <c r="T48" s="13"/>
    </row>
    <row r="49" spans="5:20" ht="16.5" thickTop="1" thickBot="1">
      <c r="E49" s="139">
        <f t="shared" si="3"/>
        <v>36</v>
      </c>
      <c r="F49" s="6" t="s">
        <v>11</v>
      </c>
      <c r="G49" s="120">
        <f>+G47*G48</f>
        <v>111449920</v>
      </c>
      <c r="H49" s="149"/>
      <c r="K49" s="309" t="s">
        <v>112</v>
      </c>
      <c r="L49" s="310"/>
      <c r="M49" s="310" t="s">
        <v>115</v>
      </c>
      <c r="N49" s="311"/>
      <c r="O49" s="14"/>
      <c r="P49" s="14"/>
      <c r="Q49" s="14"/>
      <c r="R49" s="14"/>
      <c r="S49" s="14"/>
      <c r="T49" s="13"/>
    </row>
    <row r="50" spans="5:20" ht="16.5" thickTop="1" thickBot="1">
      <c r="E50" s="139">
        <f t="shared" si="3"/>
        <v>37</v>
      </c>
      <c r="F50" s="121" t="s">
        <v>177</v>
      </c>
      <c r="G50" s="120">
        <f>+G49/45</f>
        <v>2476664.888888889</v>
      </c>
      <c r="H50" s="149"/>
      <c r="K50" s="161" t="s">
        <v>113</v>
      </c>
      <c r="L50" s="96" t="s">
        <v>114</v>
      </c>
      <c r="M50" s="96" t="s">
        <v>113</v>
      </c>
      <c r="N50" s="162" t="s">
        <v>114</v>
      </c>
      <c r="O50" s="15"/>
      <c r="P50" s="17"/>
      <c r="Q50" s="14"/>
      <c r="R50" s="14"/>
      <c r="S50" s="14"/>
      <c r="T50" s="13"/>
    </row>
    <row r="51" spans="5:20" ht="16.5" thickTop="1" thickBot="1">
      <c r="E51" s="139">
        <f t="shared" si="3"/>
        <v>38</v>
      </c>
      <c r="F51" s="97" t="s">
        <v>88</v>
      </c>
      <c r="G51" s="98">
        <f>+G50*G46</f>
        <v>11555127705.600002</v>
      </c>
      <c r="H51" s="149"/>
      <c r="K51" s="163">
        <v>186644.69</v>
      </c>
      <c r="L51" s="154">
        <v>10207.77</v>
      </c>
      <c r="M51" s="154">
        <v>19942.48</v>
      </c>
      <c r="N51" s="164">
        <v>14822.12</v>
      </c>
      <c r="O51" s="15"/>
      <c r="P51" s="15"/>
      <c r="Q51" s="14"/>
      <c r="R51" s="14"/>
      <c r="S51" s="14"/>
      <c r="T51" s="13"/>
    </row>
    <row r="52" spans="5:20" ht="16.5" thickTop="1" thickBot="1">
      <c r="E52" s="139">
        <f t="shared" si="3"/>
        <v>39</v>
      </c>
      <c r="F52" s="112" t="s">
        <v>4</v>
      </c>
      <c r="G52" s="120">
        <f>+VIP!D90</f>
        <v>1931214</v>
      </c>
      <c r="H52" s="149"/>
      <c r="K52" s="161" t="s">
        <v>118</v>
      </c>
      <c r="L52" s="154">
        <f>+K51+L51</f>
        <v>196852.46</v>
      </c>
      <c r="M52" s="307">
        <f>+M51+N51</f>
        <v>34764.6</v>
      </c>
      <c r="N52" s="308"/>
      <c r="O52" s="14"/>
      <c r="P52" s="14"/>
      <c r="Q52" s="14"/>
      <c r="R52" s="14"/>
      <c r="S52" s="14"/>
      <c r="T52" s="13"/>
    </row>
    <row r="53" spans="5:20" ht="16.5" thickTop="1" thickBot="1">
      <c r="E53" s="139">
        <f t="shared" si="3"/>
        <v>40</v>
      </c>
      <c r="F53" s="97" t="s">
        <v>6</v>
      </c>
      <c r="G53" s="98">
        <f>G45*G52</f>
        <v>10011413376</v>
      </c>
      <c r="H53" s="149"/>
      <c r="K53" s="296" t="s">
        <v>119</v>
      </c>
      <c r="L53" s="297"/>
      <c r="M53" s="294">
        <f>+L52+M52</f>
        <v>231617.06</v>
      </c>
      <c r="N53" s="295"/>
      <c r="O53" s="14"/>
      <c r="P53" s="14"/>
      <c r="Q53" s="14"/>
      <c r="R53" s="14"/>
      <c r="S53" s="14"/>
      <c r="T53" s="13"/>
    </row>
    <row r="54" spans="5:20" ht="16.5" thickTop="1" thickBot="1">
      <c r="E54" s="139">
        <f t="shared" si="3"/>
        <v>41</v>
      </c>
      <c r="F54" s="7" t="s">
        <v>5</v>
      </c>
      <c r="G54" s="2">
        <f>G51-G53</f>
        <v>1543714329.6000023</v>
      </c>
      <c r="H54" s="149"/>
      <c r="N54" s="14"/>
      <c r="O54" s="14"/>
      <c r="P54" s="18"/>
      <c r="Q54" s="18"/>
      <c r="R54" s="15"/>
      <c r="S54" s="14"/>
      <c r="T54" s="13"/>
    </row>
    <row r="55" spans="5:20" ht="16.5" thickTop="1" thickBot="1">
      <c r="E55" s="143">
        <f t="shared" si="3"/>
        <v>42</v>
      </c>
      <c r="F55" s="124" t="s">
        <v>89</v>
      </c>
      <c r="G55" s="125">
        <f>+N51</f>
        <v>14822.12</v>
      </c>
      <c r="H55" s="150"/>
      <c r="N55" s="14"/>
      <c r="O55" s="14"/>
      <c r="P55" s="18"/>
      <c r="Q55" s="18"/>
      <c r="R55" s="15"/>
      <c r="S55" s="14"/>
      <c r="T55" s="13"/>
    </row>
    <row r="56" spans="5:20" ht="16.5" thickTop="1" thickBot="1">
      <c r="E56" s="139">
        <f t="shared" si="3"/>
        <v>43</v>
      </c>
      <c r="F56" s="1" t="s">
        <v>90</v>
      </c>
      <c r="G56" s="118">
        <v>17786.55</v>
      </c>
      <c r="H56" s="149"/>
      <c r="N56" s="14"/>
      <c r="O56" s="14"/>
      <c r="P56" s="18"/>
      <c r="Q56" s="18"/>
      <c r="R56" s="15"/>
      <c r="S56" s="14"/>
      <c r="T56" s="13"/>
    </row>
    <row r="57" spans="5:20" ht="16.5" thickTop="1" thickBot="1">
      <c r="E57" s="139">
        <f t="shared" si="3"/>
        <v>44</v>
      </c>
      <c r="F57" s="6" t="s">
        <v>91</v>
      </c>
      <c r="G57" s="118">
        <f>+G56*0.65</f>
        <v>11561.2575</v>
      </c>
      <c r="H57" s="149"/>
      <c r="N57" s="14"/>
      <c r="O57" s="14"/>
      <c r="P57" s="18"/>
      <c r="Q57" s="18"/>
      <c r="R57" s="15"/>
      <c r="S57" s="14"/>
      <c r="T57" s="13"/>
    </row>
    <row r="58" spans="5:20" ht="16.5" thickTop="1" thickBot="1">
      <c r="E58" s="139">
        <f t="shared" si="3"/>
        <v>45</v>
      </c>
      <c r="F58" s="112" t="s">
        <v>1</v>
      </c>
      <c r="G58" s="122">
        <f>+'EST MDO LOCALES'!J17</f>
        <v>3900000</v>
      </c>
      <c r="H58" s="149"/>
      <c r="I58" s="116"/>
      <c r="N58" s="14"/>
      <c r="O58" s="14"/>
      <c r="P58" s="18"/>
      <c r="Q58" s="18"/>
      <c r="R58" s="15"/>
      <c r="S58" s="14"/>
      <c r="T58" s="13"/>
    </row>
    <row r="59" spans="5:20" ht="16.5" thickTop="1" thickBot="1">
      <c r="E59" s="139">
        <f t="shared" si="3"/>
        <v>46</v>
      </c>
      <c r="F59" s="97" t="s">
        <v>109</v>
      </c>
      <c r="G59" s="98">
        <f>+G57*G58</f>
        <v>45088904250</v>
      </c>
      <c r="H59" s="149"/>
      <c r="N59" s="14"/>
      <c r="O59" s="14"/>
      <c r="P59" s="18"/>
      <c r="Q59" s="18"/>
      <c r="R59" s="15"/>
      <c r="S59" s="14"/>
      <c r="T59" s="13"/>
    </row>
    <row r="60" spans="5:20" ht="16.5" thickTop="1" thickBot="1">
      <c r="E60" s="139">
        <f t="shared" si="3"/>
        <v>47</v>
      </c>
      <c r="F60" s="112" t="s">
        <v>2</v>
      </c>
      <c r="G60" s="122">
        <f>+'EST MDO LOCALES'!G41</f>
        <v>2521009</v>
      </c>
      <c r="H60" s="149"/>
      <c r="N60" s="14"/>
      <c r="O60" s="14"/>
      <c r="P60" s="18"/>
      <c r="Q60" s="18"/>
      <c r="R60" s="15"/>
      <c r="S60" s="14"/>
      <c r="T60" s="13"/>
    </row>
    <row r="61" spans="5:20" ht="16.5" thickTop="1" thickBot="1">
      <c r="E61" s="139">
        <f t="shared" si="3"/>
        <v>48</v>
      </c>
      <c r="F61" s="97" t="s">
        <v>3</v>
      </c>
      <c r="G61" s="98">
        <f>+G60*G56</f>
        <v>44840052628.949997</v>
      </c>
      <c r="H61" s="149"/>
      <c r="N61" s="14"/>
      <c r="O61" s="14"/>
      <c r="P61" s="18"/>
      <c r="Q61" s="18"/>
      <c r="R61" s="15"/>
      <c r="S61" s="14"/>
      <c r="T61" s="13"/>
    </row>
    <row r="62" spans="5:20" ht="16.5" thickTop="1" thickBot="1">
      <c r="E62" s="139">
        <f t="shared" si="3"/>
        <v>49</v>
      </c>
      <c r="F62" s="7" t="s">
        <v>5</v>
      </c>
      <c r="G62" s="2">
        <f>+G59-G61</f>
        <v>248851621.05000305</v>
      </c>
      <c r="H62" s="149"/>
      <c r="N62" s="14"/>
      <c r="O62" s="14"/>
      <c r="P62" s="18"/>
      <c r="Q62" s="18"/>
      <c r="R62" s="15"/>
      <c r="S62" s="14"/>
      <c r="T62" s="13"/>
    </row>
    <row r="63" spans="5:20" ht="16.5" thickTop="1" thickBot="1">
      <c r="E63" s="139">
        <f t="shared" si="3"/>
        <v>50</v>
      </c>
      <c r="F63" s="124" t="s">
        <v>92</v>
      </c>
      <c r="G63" s="126">
        <f>+K51*50%</f>
        <v>93322.345000000001</v>
      </c>
      <c r="H63" s="150"/>
      <c r="I63" s="116"/>
      <c r="N63" s="14"/>
      <c r="O63" s="14"/>
      <c r="P63" s="18"/>
      <c r="Q63" s="18"/>
      <c r="R63" s="15"/>
      <c r="S63" s="14"/>
      <c r="T63" s="13"/>
    </row>
    <row r="64" spans="5:20" ht="16.5" thickTop="1" thickBot="1">
      <c r="E64" s="139">
        <f t="shared" si="3"/>
        <v>51</v>
      </c>
      <c r="F64" s="111" t="s">
        <v>79</v>
      </c>
      <c r="G64" s="118">
        <f>+O28</f>
        <v>148804.25</v>
      </c>
      <c r="H64" s="149"/>
      <c r="N64" s="14"/>
      <c r="O64" s="14"/>
      <c r="P64" s="18"/>
      <c r="Q64" s="18"/>
      <c r="R64" s="15"/>
      <c r="S64" s="14"/>
      <c r="T64" s="13"/>
    </row>
    <row r="65" spans="5:20" ht="16.5" thickTop="1" thickBot="1">
      <c r="E65" s="139">
        <f t="shared" si="3"/>
        <v>52</v>
      </c>
      <c r="F65" s="6" t="s">
        <v>193</v>
      </c>
      <c r="G65" s="118">
        <f>+G64*0.7</f>
        <v>104162.97499999999</v>
      </c>
      <c r="H65" s="149"/>
      <c r="N65" s="14"/>
      <c r="O65" s="14"/>
      <c r="P65" s="18"/>
      <c r="Q65" s="18"/>
      <c r="R65" s="15"/>
      <c r="S65" s="14"/>
      <c r="T65" s="13"/>
    </row>
    <row r="66" spans="5:20" ht="16.5" thickTop="1" thickBot="1">
      <c r="E66" s="139">
        <f t="shared" si="3"/>
        <v>53</v>
      </c>
      <c r="F66" s="112" t="s">
        <v>1</v>
      </c>
      <c r="G66" s="113">
        <f>+'EST MDO APTOS NO VIS'!I17</f>
        <v>5000000</v>
      </c>
      <c r="H66" s="149"/>
      <c r="I66" s="116"/>
      <c r="N66" s="14"/>
      <c r="O66" s="14"/>
      <c r="P66" s="18"/>
      <c r="Q66" s="18"/>
      <c r="R66" s="15"/>
      <c r="S66" s="14"/>
      <c r="T66" s="13"/>
    </row>
    <row r="67" spans="5:20" ht="16.5" thickTop="1" thickBot="1">
      <c r="E67" s="139">
        <f t="shared" si="3"/>
        <v>54</v>
      </c>
      <c r="F67" s="97" t="s">
        <v>7</v>
      </c>
      <c r="G67" s="98">
        <f>+G66*G65</f>
        <v>520814874999.99994</v>
      </c>
      <c r="H67" s="149"/>
      <c r="N67" s="14"/>
      <c r="O67" s="14"/>
      <c r="P67" s="18"/>
      <c r="Q67" s="18"/>
      <c r="R67" s="15"/>
      <c r="S67" s="14"/>
      <c r="T67" s="13"/>
    </row>
    <row r="68" spans="5:20" ht="16.5" thickTop="1" thickBot="1">
      <c r="E68" s="139">
        <f t="shared" si="3"/>
        <v>55</v>
      </c>
      <c r="F68" s="112" t="s">
        <v>2</v>
      </c>
      <c r="G68" s="113">
        <v>3371398</v>
      </c>
      <c r="H68" s="149"/>
      <c r="I68" s="116"/>
      <c r="N68" s="14"/>
      <c r="O68" s="14"/>
      <c r="P68" s="18"/>
      <c r="Q68" s="18"/>
      <c r="R68" s="15"/>
      <c r="S68" s="14"/>
      <c r="T68" s="13"/>
    </row>
    <row r="69" spans="5:20" ht="16.5" thickTop="1" thickBot="1">
      <c r="E69" s="139">
        <f t="shared" si="3"/>
        <v>56</v>
      </c>
      <c r="F69" s="97" t="s">
        <v>3</v>
      </c>
      <c r="G69" s="98">
        <f>+G68*G64</f>
        <v>501678350841.5</v>
      </c>
      <c r="H69" s="149"/>
      <c r="N69" s="14"/>
      <c r="O69" s="14"/>
      <c r="P69" s="18"/>
      <c r="Q69" s="18"/>
      <c r="R69" s="15"/>
      <c r="S69" s="14"/>
      <c r="T69" s="13"/>
    </row>
    <row r="70" spans="5:20" ht="16.5" thickTop="1" thickBot="1">
      <c r="E70" s="139">
        <f t="shared" si="3"/>
        <v>57</v>
      </c>
      <c r="F70" s="7" t="s">
        <v>5</v>
      </c>
      <c r="G70" s="2">
        <f>+G67-G69</f>
        <v>19136524158.499939</v>
      </c>
      <c r="H70" s="149"/>
      <c r="N70" s="14"/>
      <c r="O70" s="14"/>
      <c r="P70" s="18"/>
      <c r="Q70" s="18"/>
      <c r="R70" s="15"/>
      <c r="S70" s="14"/>
      <c r="T70" s="13"/>
    </row>
    <row r="71" spans="5:20" ht="16.5" thickTop="1" thickBot="1">
      <c r="E71" s="143">
        <f t="shared" si="3"/>
        <v>58</v>
      </c>
      <c r="F71" s="124" t="s">
        <v>93</v>
      </c>
      <c r="G71" s="126">
        <f>+K51*30%</f>
        <v>55993.406999999999</v>
      </c>
      <c r="H71" s="150"/>
      <c r="N71" s="14"/>
      <c r="O71" s="14"/>
      <c r="P71" s="18"/>
      <c r="Q71" s="18"/>
      <c r="R71" s="15"/>
      <c r="S71" s="14"/>
      <c r="T71" s="13"/>
    </row>
    <row r="72" spans="5:20" ht="16.5" thickTop="1" thickBot="1">
      <c r="E72" s="139">
        <f t="shared" si="3"/>
        <v>59</v>
      </c>
      <c r="F72" s="1" t="s">
        <v>82</v>
      </c>
      <c r="G72" s="118">
        <f>+M28</f>
        <v>61000.499999999993</v>
      </c>
      <c r="H72" s="149"/>
      <c r="N72" s="14"/>
      <c r="O72" s="14"/>
      <c r="P72" s="18"/>
      <c r="Q72" s="18"/>
      <c r="R72" s="15"/>
      <c r="S72" s="14"/>
      <c r="T72" s="13"/>
    </row>
    <row r="73" spans="5:20" ht="16.5" thickTop="1" thickBot="1">
      <c r="E73" s="139">
        <f t="shared" si="3"/>
        <v>60</v>
      </c>
      <c r="F73" s="6" t="s">
        <v>8</v>
      </c>
      <c r="G73" s="118">
        <f>+G72*0.9</f>
        <v>54900.45</v>
      </c>
      <c r="H73" s="149"/>
      <c r="N73" s="14"/>
      <c r="O73" s="14"/>
      <c r="P73" s="18"/>
      <c r="Q73" s="18"/>
      <c r="R73" s="15"/>
      <c r="S73" s="14"/>
      <c r="T73" s="13"/>
    </row>
    <row r="74" spans="5:20" ht="16.5" thickTop="1" thickBot="1">
      <c r="E74" s="139">
        <f t="shared" si="3"/>
        <v>61</v>
      </c>
      <c r="F74" s="112" t="s">
        <v>103</v>
      </c>
      <c r="G74" s="118">
        <v>3552</v>
      </c>
      <c r="H74" s="149"/>
      <c r="N74" s="14"/>
      <c r="O74" s="14"/>
      <c r="P74" s="18"/>
      <c r="Q74" s="18"/>
      <c r="R74" s="15"/>
      <c r="S74" s="14"/>
      <c r="T74" s="13"/>
    </row>
    <row r="75" spans="5:20" ht="16.5" thickTop="1" thickBot="1">
      <c r="E75" s="139">
        <f t="shared" si="3"/>
        <v>62</v>
      </c>
      <c r="F75" s="112" t="s">
        <v>104</v>
      </c>
      <c r="G75" s="120">
        <v>42412</v>
      </c>
      <c r="H75" s="149"/>
      <c r="N75" s="14"/>
      <c r="O75" s="14"/>
      <c r="P75" s="18"/>
      <c r="Q75" s="18"/>
      <c r="R75" s="15"/>
      <c r="S75" s="14"/>
      <c r="T75" s="13"/>
    </row>
    <row r="76" spans="5:20" ht="16.5" thickTop="1" thickBot="1">
      <c r="E76" s="139">
        <f t="shared" si="3"/>
        <v>63</v>
      </c>
      <c r="F76" s="112" t="s">
        <v>11</v>
      </c>
      <c r="G76" s="115">
        <f>+G75*G74</f>
        <v>150647424</v>
      </c>
      <c r="H76" s="149"/>
      <c r="N76" s="14"/>
      <c r="O76" s="14"/>
      <c r="P76" s="18"/>
      <c r="Q76" s="18"/>
      <c r="R76" s="15"/>
      <c r="S76" s="14"/>
      <c r="T76" s="13"/>
    </row>
    <row r="77" spans="5:20" ht="16.5" thickTop="1" thickBot="1">
      <c r="E77" s="139">
        <f t="shared" si="3"/>
        <v>64</v>
      </c>
      <c r="F77" s="112" t="s">
        <v>100</v>
      </c>
      <c r="G77" s="115">
        <f>+G76/55</f>
        <v>2739044.0727272728</v>
      </c>
      <c r="H77" s="149"/>
      <c r="N77" s="14"/>
      <c r="O77" s="14"/>
      <c r="P77" s="18"/>
      <c r="Q77" s="18"/>
      <c r="R77" s="15"/>
      <c r="S77" s="14"/>
      <c r="T77" s="13"/>
    </row>
    <row r="78" spans="5:20" ht="16.5" thickTop="1" thickBot="1">
      <c r="E78" s="139">
        <f t="shared" si="3"/>
        <v>65</v>
      </c>
      <c r="F78" s="97" t="s">
        <v>110</v>
      </c>
      <c r="G78" s="98">
        <f>+G77*G73</f>
        <v>150374752162.56</v>
      </c>
      <c r="H78" s="149"/>
      <c r="N78" s="14"/>
      <c r="O78" s="14"/>
      <c r="P78" s="18"/>
      <c r="Q78" s="18"/>
      <c r="R78" s="15"/>
      <c r="S78" s="14"/>
      <c r="T78" s="13"/>
    </row>
    <row r="79" spans="5:20" ht="16.5" thickTop="1" thickBot="1">
      <c r="E79" s="139">
        <f t="shared" si="3"/>
        <v>66</v>
      </c>
      <c r="F79" s="112" t="s">
        <v>84</v>
      </c>
      <c r="G79" s="113">
        <f>+VIS!F49</f>
        <v>2229867</v>
      </c>
      <c r="H79" s="149"/>
      <c r="I79" s="116"/>
      <c r="N79" s="14"/>
      <c r="O79" s="14"/>
      <c r="P79" s="18"/>
      <c r="Q79" s="18"/>
      <c r="R79" s="15"/>
      <c r="S79" s="14"/>
      <c r="T79" s="13"/>
    </row>
    <row r="80" spans="5:20" ht="16.5" thickTop="1" thickBot="1">
      <c r="E80" s="139">
        <f t="shared" si="3"/>
        <v>67</v>
      </c>
      <c r="F80" s="97" t="s">
        <v>85</v>
      </c>
      <c r="G80" s="98">
        <f>+G79*G72</f>
        <v>136023001933.49998</v>
      </c>
      <c r="H80" s="149"/>
      <c r="N80" s="14"/>
      <c r="O80" s="14"/>
      <c r="P80" s="18"/>
      <c r="Q80" s="18"/>
      <c r="R80" s="15"/>
      <c r="S80" s="14"/>
      <c r="T80" s="13"/>
    </row>
    <row r="81" spans="5:20" ht="16.5" thickTop="1" thickBot="1">
      <c r="E81" s="139">
        <f t="shared" si="3"/>
        <v>68</v>
      </c>
      <c r="F81" s="7" t="s">
        <v>5</v>
      </c>
      <c r="G81" s="2">
        <f>+G78-G80</f>
        <v>14351750229.060013</v>
      </c>
      <c r="H81" s="149"/>
      <c r="N81" s="14"/>
      <c r="O81" s="14"/>
      <c r="P81" s="18"/>
      <c r="Q81" s="18"/>
      <c r="R81" s="15"/>
      <c r="S81" s="14"/>
      <c r="T81" s="13"/>
    </row>
    <row r="82" spans="5:20" ht="16.5" thickTop="1" thickBot="1">
      <c r="E82" s="143">
        <f t="shared" si="3"/>
        <v>69</v>
      </c>
      <c r="F82" s="124" t="s">
        <v>94</v>
      </c>
      <c r="G82" s="126">
        <f>+K51*20%</f>
        <v>37328.938000000002</v>
      </c>
      <c r="H82" s="150"/>
      <c r="N82" s="14"/>
      <c r="O82" s="14"/>
      <c r="P82" s="18"/>
      <c r="Q82" s="18"/>
      <c r="R82" s="15"/>
      <c r="S82" s="14"/>
      <c r="T82" s="13"/>
    </row>
    <row r="83" spans="5:20" ht="16.5" thickTop="1" thickBot="1">
      <c r="E83" s="139">
        <f t="shared" si="3"/>
        <v>70</v>
      </c>
      <c r="F83" s="6" t="s">
        <v>87</v>
      </c>
      <c r="G83" s="118">
        <f>+N28</f>
        <v>33273.000000000007</v>
      </c>
      <c r="H83" s="149"/>
      <c r="N83" s="14"/>
      <c r="O83" s="14"/>
      <c r="P83" s="18"/>
      <c r="Q83" s="18"/>
      <c r="R83" s="15"/>
      <c r="S83" s="14"/>
      <c r="T83" s="13"/>
    </row>
    <row r="84" spans="5:20" ht="16.5" thickTop="1" thickBot="1">
      <c r="E84" s="139">
        <f t="shared" si="3"/>
        <v>71</v>
      </c>
      <c r="F84" s="6" t="s">
        <v>8</v>
      </c>
      <c r="G84" s="118">
        <f>+G83*0.9</f>
        <v>29945.700000000008</v>
      </c>
      <c r="H84" s="149"/>
      <c r="N84" s="14"/>
      <c r="O84" s="14"/>
      <c r="P84" s="18"/>
      <c r="Q84" s="18"/>
      <c r="R84" s="15"/>
      <c r="S84" s="14"/>
      <c r="T84" s="13"/>
    </row>
    <row r="85" spans="5:20" ht="16.5" thickTop="1" thickBot="1">
      <c r="E85" s="139">
        <f t="shared" si="3"/>
        <v>72</v>
      </c>
      <c r="F85" s="6" t="s">
        <v>105</v>
      </c>
      <c r="G85" s="118">
        <f>+G47</f>
        <v>2368</v>
      </c>
      <c r="H85" s="149"/>
      <c r="N85" s="14"/>
      <c r="O85" s="14"/>
      <c r="P85" s="18"/>
      <c r="Q85" s="18"/>
      <c r="R85" s="15"/>
      <c r="S85" s="14"/>
      <c r="T85" s="13"/>
    </row>
    <row r="86" spans="5:20" ht="16.5" thickTop="1" thickBot="1">
      <c r="E86" s="139">
        <f t="shared" si="3"/>
        <v>73</v>
      </c>
      <c r="F86" s="6" t="s">
        <v>106</v>
      </c>
      <c r="G86" s="115">
        <f>+G75</f>
        <v>42412</v>
      </c>
      <c r="H86" s="149"/>
      <c r="N86" s="14"/>
      <c r="O86" s="14"/>
      <c r="P86" s="18"/>
      <c r="Q86" s="18"/>
      <c r="R86" s="15"/>
      <c r="S86" s="14"/>
      <c r="T86" s="13"/>
    </row>
    <row r="87" spans="5:20" ht="16.5" thickTop="1" thickBot="1">
      <c r="E87" s="139">
        <f t="shared" si="3"/>
        <v>74</v>
      </c>
      <c r="F87" s="6" t="s">
        <v>11</v>
      </c>
      <c r="G87" s="115">
        <f>+G86*G85</f>
        <v>100431616</v>
      </c>
      <c r="H87" s="149"/>
      <c r="N87" s="14"/>
      <c r="O87" s="14"/>
      <c r="P87" s="18"/>
      <c r="Q87" s="18"/>
      <c r="R87" s="15"/>
      <c r="S87" s="14"/>
      <c r="T87" s="13"/>
    </row>
    <row r="88" spans="5:20" ht="16.5" thickTop="1" thickBot="1">
      <c r="E88" s="139">
        <f t="shared" si="3"/>
        <v>75</v>
      </c>
      <c r="F88" s="121" t="s">
        <v>102</v>
      </c>
      <c r="G88" s="115">
        <f>+G87/45</f>
        <v>2231813.6888888888</v>
      </c>
      <c r="H88" s="149"/>
      <c r="N88" s="14"/>
      <c r="O88" s="14"/>
      <c r="P88" s="18"/>
      <c r="Q88" s="18"/>
      <c r="R88" s="15"/>
      <c r="S88" s="14"/>
      <c r="T88" s="13"/>
    </row>
    <row r="89" spans="5:20" ht="16.5" thickTop="1" thickBot="1">
      <c r="E89" s="139">
        <f t="shared" si="3"/>
        <v>76</v>
      </c>
      <c r="F89" s="97" t="s">
        <v>88</v>
      </c>
      <c r="G89" s="98">
        <f>+G88*G84</f>
        <v>66833223183.360016</v>
      </c>
      <c r="H89" s="149"/>
      <c r="N89" s="14"/>
      <c r="O89" s="14"/>
      <c r="P89" s="18"/>
      <c r="Q89" s="18"/>
      <c r="R89" s="15"/>
      <c r="S89" s="14"/>
      <c r="T89" s="13"/>
    </row>
    <row r="90" spans="5:20" ht="16.5" thickTop="1" thickBot="1">
      <c r="E90" s="139">
        <f t="shared" si="3"/>
        <v>77</v>
      </c>
      <c r="F90" s="112" t="s">
        <v>4</v>
      </c>
      <c r="G90" s="113">
        <f>+VIP!D90</f>
        <v>1931214</v>
      </c>
      <c r="H90" s="149"/>
      <c r="I90" s="116"/>
      <c r="N90" s="14"/>
      <c r="O90" s="14"/>
      <c r="P90" s="18"/>
      <c r="Q90" s="18"/>
      <c r="R90" s="15"/>
      <c r="S90" s="14"/>
      <c r="T90" s="13"/>
    </row>
    <row r="91" spans="5:20" ht="16.5" thickTop="1" thickBot="1">
      <c r="E91" s="139">
        <f t="shared" si="3"/>
        <v>78</v>
      </c>
      <c r="F91" s="97" t="s">
        <v>6</v>
      </c>
      <c r="G91" s="98">
        <f>+G90*G83</f>
        <v>64257283422.000015</v>
      </c>
      <c r="H91" s="149"/>
      <c r="N91" s="14"/>
      <c r="O91" s="14"/>
      <c r="P91" s="18"/>
      <c r="Q91" s="18"/>
      <c r="R91" s="15"/>
      <c r="S91" s="14"/>
      <c r="T91" s="13"/>
    </row>
    <row r="92" spans="5:20" ht="16.5" thickTop="1" thickBot="1">
      <c r="E92" s="139">
        <f t="shared" si="3"/>
        <v>79</v>
      </c>
      <c r="F92" s="7" t="s">
        <v>5</v>
      </c>
      <c r="G92" s="2">
        <f>+G89-G91</f>
        <v>2575939761.3600006</v>
      </c>
      <c r="H92" s="149"/>
      <c r="N92" s="14"/>
      <c r="O92" s="14"/>
      <c r="P92" s="18"/>
      <c r="Q92" s="18"/>
      <c r="R92" s="15"/>
      <c r="S92" s="14"/>
      <c r="T92" s="13"/>
    </row>
    <row r="93" spans="5:20" ht="16.5" thickTop="1" thickBot="1">
      <c r="E93" s="143">
        <f t="shared" si="3"/>
        <v>80</v>
      </c>
      <c r="F93" s="124" t="s">
        <v>95</v>
      </c>
      <c r="G93" s="126">
        <f>+M51</f>
        <v>19942.48</v>
      </c>
      <c r="H93" s="150"/>
      <c r="N93" s="14"/>
      <c r="O93" s="14"/>
      <c r="P93" s="18"/>
      <c r="Q93" s="18"/>
      <c r="R93" s="15"/>
      <c r="S93" s="14"/>
      <c r="T93" s="13"/>
    </row>
    <row r="94" spans="5:20" ht="16.5" thickTop="1" thickBot="1">
      <c r="E94" s="139">
        <f t="shared" si="3"/>
        <v>81</v>
      </c>
      <c r="F94" s="1" t="s">
        <v>90</v>
      </c>
      <c r="G94" s="118">
        <v>10207.77</v>
      </c>
      <c r="H94" s="149"/>
      <c r="N94" s="14"/>
      <c r="O94" s="14"/>
      <c r="P94" s="18"/>
      <c r="Q94" s="18"/>
      <c r="R94" s="15"/>
      <c r="S94" s="14"/>
      <c r="T94" s="13"/>
    </row>
    <row r="95" spans="5:20" ht="16.5" thickTop="1" thickBot="1">
      <c r="E95" s="139">
        <f t="shared" si="3"/>
        <v>82</v>
      </c>
      <c r="F95" s="6" t="s">
        <v>192</v>
      </c>
      <c r="G95" s="118">
        <f>+G94*0.85</f>
        <v>8676.6044999999995</v>
      </c>
      <c r="H95" s="149"/>
      <c r="N95" s="14"/>
      <c r="O95" s="14"/>
      <c r="P95" s="18"/>
      <c r="Q95" s="18"/>
      <c r="R95" s="15"/>
      <c r="S95" s="14"/>
      <c r="T95" s="13"/>
    </row>
    <row r="96" spans="5:20" ht="16.5" thickTop="1" thickBot="1">
      <c r="E96" s="139">
        <f t="shared" si="3"/>
        <v>83</v>
      </c>
      <c r="F96" s="112" t="s">
        <v>1</v>
      </c>
      <c r="G96" s="122">
        <f>+'EST MDO LOCALES'!J17</f>
        <v>3900000</v>
      </c>
      <c r="H96" s="149"/>
      <c r="I96" s="116"/>
      <c r="N96" s="14"/>
      <c r="O96" s="14"/>
      <c r="P96" s="18"/>
      <c r="Q96" s="18"/>
      <c r="R96" s="15"/>
      <c r="S96" s="14"/>
      <c r="T96" s="13"/>
    </row>
    <row r="97" spans="5:20" ht="16.5" thickTop="1" thickBot="1">
      <c r="E97" s="139">
        <f t="shared" ref="E97:E111" si="4">+E96+1</f>
        <v>84</v>
      </c>
      <c r="F97" s="97" t="s">
        <v>96</v>
      </c>
      <c r="G97" s="98">
        <f>+G96*G95</f>
        <v>33838757549.999996</v>
      </c>
      <c r="H97" s="149"/>
      <c r="N97" s="14"/>
      <c r="O97" s="14"/>
      <c r="P97" s="18"/>
      <c r="Q97" s="18"/>
      <c r="R97" s="15"/>
      <c r="S97" s="14"/>
      <c r="T97" s="13"/>
    </row>
    <row r="98" spans="5:20" ht="16.5" thickTop="1" thickBot="1">
      <c r="E98" s="139">
        <f t="shared" si="4"/>
        <v>85</v>
      </c>
      <c r="F98" s="112" t="s">
        <v>2</v>
      </c>
      <c r="G98" s="113">
        <f>+'EST MDO LOCALES'!G41</f>
        <v>2521009</v>
      </c>
      <c r="H98" s="149"/>
      <c r="I98" s="116"/>
      <c r="N98" s="14"/>
      <c r="O98" s="14"/>
      <c r="P98" s="18"/>
      <c r="Q98" s="18"/>
      <c r="R98" s="15"/>
      <c r="S98" s="14"/>
      <c r="T98" s="13"/>
    </row>
    <row r="99" spans="5:20" ht="16.5" thickTop="1" thickBot="1">
      <c r="E99" s="139">
        <f t="shared" si="4"/>
        <v>86</v>
      </c>
      <c r="F99" s="97" t="s">
        <v>3</v>
      </c>
      <c r="G99" s="98">
        <f>+G98*G94</f>
        <v>25733880039.93</v>
      </c>
      <c r="H99" s="149"/>
      <c r="K99" s="12"/>
      <c r="N99" s="14"/>
      <c r="O99" s="14"/>
      <c r="P99" s="18"/>
      <c r="Q99" s="18"/>
      <c r="R99" s="15"/>
      <c r="S99" s="14"/>
      <c r="T99" s="13"/>
    </row>
    <row r="100" spans="5:20" ht="16.5" thickTop="1" thickBot="1">
      <c r="E100" s="139">
        <f t="shared" si="4"/>
        <v>87</v>
      </c>
      <c r="F100" s="112" t="s">
        <v>5</v>
      </c>
      <c r="G100" s="2">
        <f>+G97-G99</f>
        <v>8104877510.0699959</v>
      </c>
      <c r="H100" s="151"/>
      <c r="N100" s="14"/>
      <c r="O100" s="14"/>
      <c r="P100" s="18"/>
      <c r="Q100" s="18"/>
      <c r="R100" s="15"/>
      <c r="S100" s="14"/>
      <c r="T100" s="13"/>
    </row>
    <row r="101" spans="5:20" ht="16.5" thickTop="1" thickBot="1">
      <c r="E101" s="143">
        <f t="shared" si="4"/>
        <v>88</v>
      </c>
      <c r="F101" s="124" t="s">
        <v>9</v>
      </c>
      <c r="G101" s="252">
        <f>+G29+G40+G51+G59+G67+G78+G89+G97</f>
        <v>947240677189.12</v>
      </c>
      <c r="H101" s="131"/>
      <c r="I101" s="12"/>
      <c r="J101" s="12">
        <f>+G99+G91+G80+G69+G61+G53+G42+G31</f>
        <v>881898920785.87988</v>
      </c>
      <c r="L101" s="12">
        <f>+G101-J101</f>
        <v>65341756403.240112</v>
      </c>
      <c r="N101" s="14"/>
      <c r="O101" s="15"/>
      <c r="P101" s="18"/>
      <c r="Q101" s="14"/>
      <c r="R101" s="14"/>
      <c r="S101" s="14"/>
      <c r="T101" s="13"/>
    </row>
    <row r="102" spans="5:20" ht="16.5" thickTop="1" thickBot="1">
      <c r="E102" s="139">
        <f t="shared" si="4"/>
        <v>89</v>
      </c>
      <c r="F102" s="4" t="s">
        <v>107</v>
      </c>
      <c r="G102" s="128">
        <f>+G101*H102</f>
        <v>28417220315.673599</v>
      </c>
      <c r="H102" s="132">
        <v>0.03</v>
      </c>
      <c r="I102" s="12"/>
      <c r="J102" s="12"/>
      <c r="N102" s="16"/>
      <c r="O102" s="15"/>
      <c r="P102" s="14"/>
      <c r="Q102" s="14"/>
      <c r="R102" s="14"/>
      <c r="S102" s="14"/>
      <c r="T102" s="13"/>
    </row>
    <row r="103" spans="5:20" ht="16.5" thickTop="1" thickBot="1">
      <c r="E103" s="139">
        <f t="shared" si="4"/>
        <v>90</v>
      </c>
      <c r="F103" s="4" t="s">
        <v>195</v>
      </c>
      <c r="G103" s="128">
        <f>+G101*H103</f>
        <v>558871999541.58081</v>
      </c>
      <c r="H103" s="133">
        <v>0.59</v>
      </c>
      <c r="N103" s="14"/>
      <c r="O103" s="15"/>
      <c r="P103" s="15"/>
      <c r="Q103" s="14"/>
      <c r="R103" s="14"/>
      <c r="S103" s="14"/>
      <c r="T103" s="13"/>
    </row>
    <row r="104" spans="5:20" ht="16.5" thickTop="1" thickBot="1">
      <c r="E104" s="139">
        <f t="shared" si="4"/>
        <v>91</v>
      </c>
      <c r="F104" s="4" t="s">
        <v>71</v>
      </c>
      <c r="G104" s="128">
        <f>+G101*H104</f>
        <v>66306847403.238403</v>
      </c>
      <c r="H104" s="132">
        <v>7.0000000000000007E-2</v>
      </c>
      <c r="K104" s="123"/>
      <c r="L104" s="123"/>
      <c r="N104" s="14"/>
      <c r="O104" s="14"/>
      <c r="P104" s="14"/>
      <c r="Q104" s="14"/>
      <c r="R104" s="14"/>
      <c r="S104" s="14"/>
      <c r="T104" s="13"/>
    </row>
    <row r="105" spans="5:20" ht="16.5" thickTop="1" thickBot="1">
      <c r="E105" s="139">
        <f t="shared" si="4"/>
        <v>92</v>
      </c>
      <c r="F105" s="4" t="s">
        <v>196</v>
      </c>
      <c r="G105" s="128">
        <f>+G101*H105</f>
        <v>94724067718.912003</v>
      </c>
      <c r="H105" s="132">
        <v>0.1</v>
      </c>
      <c r="N105" s="14"/>
      <c r="O105" s="18"/>
      <c r="P105" s="15"/>
      <c r="Q105" s="14"/>
      <c r="R105" s="15"/>
      <c r="S105" s="14"/>
      <c r="T105" s="13"/>
    </row>
    <row r="106" spans="5:20" ht="16.5" thickTop="1" thickBot="1">
      <c r="E106" s="139">
        <f t="shared" si="4"/>
        <v>93</v>
      </c>
      <c r="F106" s="4" t="s">
        <v>194</v>
      </c>
      <c r="G106" s="128">
        <f>+G101*H106</f>
        <v>104196474490.80321</v>
      </c>
      <c r="H106" s="132">
        <v>0.11</v>
      </c>
      <c r="N106" s="14"/>
      <c r="O106" s="15"/>
      <c r="P106" s="14"/>
      <c r="Q106" s="15"/>
      <c r="R106" s="14"/>
      <c r="S106" s="14"/>
      <c r="T106" s="13"/>
    </row>
    <row r="107" spans="5:20" ht="16.5" thickTop="1" thickBot="1">
      <c r="E107" s="139">
        <f t="shared" si="4"/>
        <v>94</v>
      </c>
      <c r="F107" s="4" t="s">
        <v>108</v>
      </c>
      <c r="G107" s="128">
        <f>SUM(G102:G106)</f>
        <v>852516609470.20801</v>
      </c>
      <c r="H107" s="134"/>
      <c r="N107" s="14"/>
      <c r="O107" s="14"/>
      <c r="P107" s="14"/>
      <c r="Q107" s="14"/>
      <c r="R107" s="14"/>
      <c r="S107" s="14"/>
      <c r="T107" s="13"/>
    </row>
    <row r="108" spans="5:20" ht="16.5" thickTop="1" thickBot="1">
      <c r="E108" s="139">
        <f t="shared" si="4"/>
        <v>95</v>
      </c>
      <c r="F108" s="99" t="s">
        <v>123</v>
      </c>
      <c r="G108" s="129">
        <f>G101-G107</f>
        <v>94724067718.911987</v>
      </c>
      <c r="H108" s="152">
        <v>0.1</v>
      </c>
      <c r="N108" s="14"/>
      <c r="O108" s="15"/>
      <c r="P108" s="15"/>
      <c r="Q108" s="15"/>
      <c r="R108" s="15"/>
      <c r="S108" s="14"/>
      <c r="T108" s="13"/>
    </row>
    <row r="109" spans="5:20" ht="16.5" thickTop="1" thickBot="1">
      <c r="E109" s="139">
        <f t="shared" si="4"/>
        <v>96</v>
      </c>
      <c r="F109" s="127"/>
      <c r="G109" s="130"/>
      <c r="H109" s="132">
        <f>+H102+H103+H104+H105+H106+H108</f>
        <v>0.99999999999999989</v>
      </c>
      <c r="N109" s="14"/>
      <c r="O109" s="14"/>
      <c r="P109" s="14"/>
      <c r="Q109" s="14"/>
      <c r="R109" s="14"/>
      <c r="S109" s="14"/>
      <c r="T109" s="13"/>
    </row>
    <row r="110" spans="5:20" ht="16.5" thickTop="1" thickBot="1">
      <c r="E110" s="139">
        <f t="shared" si="4"/>
        <v>97</v>
      </c>
      <c r="F110" s="9" t="s">
        <v>97</v>
      </c>
      <c r="G110" s="168">
        <f>+G108/G18</f>
        <v>92524.371114194073</v>
      </c>
      <c r="H110" s="153"/>
    </row>
    <row r="111" spans="5:20" ht="16.5" thickTop="1" thickBot="1">
      <c r="E111" s="139">
        <f t="shared" si="4"/>
        <v>98</v>
      </c>
      <c r="F111" s="169" t="s">
        <v>111</v>
      </c>
      <c r="G111" s="170">
        <f>+(G108/(G18/10000))</f>
        <v>925243711.14194071</v>
      </c>
      <c r="H111" s="100"/>
    </row>
    <row r="112" spans="5:20">
      <c r="O112" s="11"/>
    </row>
  </sheetData>
  <sheetProtection algorithmName="SHA-512" hashValue="fClixFn0iZVD3f//j5nKmOggM0Is4iK+FKGGJvQf8eXB4k/b25Lse5LLoUfiXmBTu60+nsYuk44JrZHh3EhaGg==" saltValue="+MtiX5hQY7iKyRxf6IB2Hg==" spinCount="100000" sheet="1" objects="1" scenarios="1"/>
  <mergeCells count="25">
    <mergeCell ref="M53:N53"/>
    <mergeCell ref="K53:L53"/>
    <mergeCell ref="J42:M42"/>
    <mergeCell ref="K5:L5"/>
    <mergeCell ref="K6:L6"/>
    <mergeCell ref="K7:L7"/>
    <mergeCell ref="M52:N52"/>
    <mergeCell ref="K48:N48"/>
    <mergeCell ref="J30:L30"/>
    <mergeCell ref="J31:L31"/>
    <mergeCell ref="K49:L49"/>
    <mergeCell ref="M49:N49"/>
    <mergeCell ref="J28:L28"/>
    <mergeCell ref="K12:L12"/>
    <mergeCell ref="K13:L13"/>
    <mergeCell ref="K14:L14"/>
    <mergeCell ref="E14:H15"/>
    <mergeCell ref="J23:K23"/>
    <mergeCell ref="J24:K24"/>
    <mergeCell ref="Q30:Q31"/>
    <mergeCell ref="Q24:Q25"/>
    <mergeCell ref="J25:K25"/>
    <mergeCell ref="J26:K26"/>
    <mergeCell ref="P26:Q26"/>
    <mergeCell ref="J27:L2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03C49-AF44-40C2-9DA0-D01681850783}">
  <dimension ref="B1:I47"/>
  <sheetViews>
    <sheetView topLeftCell="A16" workbookViewId="0">
      <selection activeCell="F49" sqref="F49"/>
    </sheetView>
  </sheetViews>
  <sheetFormatPr baseColWidth="10" defaultRowHeight="15"/>
  <cols>
    <col min="2" max="2" width="11.5703125" customWidth="1"/>
    <col min="3" max="3" width="16.140625" customWidth="1"/>
    <col min="4" max="4" width="19.28515625" customWidth="1"/>
    <col min="5" max="5" width="12.42578125" bestFit="1" customWidth="1"/>
    <col min="6" max="6" width="18.7109375" customWidth="1"/>
    <col min="7" max="7" width="13.140625" customWidth="1"/>
    <col min="8" max="8" width="18.7109375" customWidth="1"/>
    <col min="9" max="9" width="15" bestFit="1" customWidth="1"/>
  </cols>
  <sheetData>
    <row r="1" spans="2:9" ht="15.75" thickBot="1"/>
    <row r="2" spans="2:9" ht="18">
      <c r="B2" s="315" t="s">
        <v>33</v>
      </c>
      <c r="C2" s="316"/>
      <c r="D2" s="316"/>
      <c r="E2" s="316"/>
      <c r="F2" s="316"/>
      <c r="G2" s="316"/>
      <c r="H2" s="316"/>
      <c r="I2" s="317"/>
    </row>
    <row r="3" spans="2:9" ht="18.75" thickBot="1">
      <c r="B3" s="318" t="s">
        <v>34</v>
      </c>
      <c r="C3" s="319"/>
      <c r="D3" s="319"/>
      <c r="E3" s="319"/>
      <c r="F3" s="319"/>
      <c r="G3" s="319"/>
      <c r="H3" s="319"/>
      <c r="I3" s="320"/>
    </row>
    <row r="4" spans="2:9" ht="45.75" thickBot="1">
      <c r="B4" s="31" t="s">
        <v>35</v>
      </c>
      <c r="C4" s="32" t="s">
        <v>36</v>
      </c>
      <c r="D4" s="32" t="s">
        <v>37</v>
      </c>
      <c r="E4" s="32" t="s">
        <v>38</v>
      </c>
      <c r="F4" s="33" t="s">
        <v>39</v>
      </c>
      <c r="G4" s="34" t="s">
        <v>40</v>
      </c>
      <c r="H4" s="33" t="s">
        <v>41</v>
      </c>
      <c r="I4" s="35" t="s">
        <v>42</v>
      </c>
    </row>
    <row r="5" spans="2:9" ht="57">
      <c r="B5" s="36">
        <v>1</v>
      </c>
      <c r="C5" s="37" t="s">
        <v>171</v>
      </c>
      <c r="D5" s="37" t="s">
        <v>172</v>
      </c>
      <c r="E5" s="37" t="s">
        <v>173</v>
      </c>
      <c r="F5" s="37" t="s">
        <v>43</v>
      </c>
      <c r="G5" s="38">
        <v>80</v>
      </c>
      <c r="H5" s="39">
        <v>405000000</v>
      </c>
      <c r="I5" s="40">
        <f>+H5/G5</f>
        <v>5062500</v>
      </c>
    </row>
    <row r="6" spans="2:9" ht="57">
      <c r="B6" s="41">
        <v>2</v>
      </c>
      <c r="C6" s="37" t="s">
        <v>171</v>
      </c>
      <c r="D6" s="37" t="s">
        <v>172</v>
      </c>
      <c r="E6" s="37" t="s">
        <v>173</v>
      </c>
      <c r="F6" s="37" t="s">
        <v>43</v>
      </c>
      <c r="G6" s="43">
        <v>100</v>
      </c>
      <c r="H6" s="44">
        <v>486500000</v>
      </c>
      <c r="I6" s="45">
        <f>+H6/G6</f>
        <v>4865000</v>
      </c>
    </row>
    <row r="7" spans="2:9" ht="67.5" customHeight="1" thickBot="1">
      <c r="B7" s="41">
        <v>3</v>
      </c>
      <c r="C7" s="47" t="s">
        <v>170</v>
      </c>
      <c r="D7" s="47" t="s">
        <v>44</v>
      </c>
      <c r="E7" s="47" t="s">
        <v>45</v>
      </c>
      <c r="F7" s="47" t="s">
        <v>46</v>
      </c>
      <c r="G7" s="43">
        <v>53</v>
      </c>
      <c r="H7" s="44">
        <v>258000000</v>
      </c>
      <c r="I7" s="45">
        <f>+H7/G7</f>
        <v>4867924.5283018872</v>
      </c>
    </row>
    <row r="8" spans="2:9" ht="57.75" thickBot="1">
      <c r="B8" s="46">
        <v>4</v>
      </c>
      <c r="C8" s="47" t="s">
        <v>170</v>
      </c>
      <c r="D8" s="47" t="s">
        <v>44</v>
      </c>
      <c r="E8" s="47" t="s">
        <v>45</v>
      </c>
      <c r="F8" s="47" t="s">
        <v>46</v>
      </c>
      <c r="G8" s="48">
        <v>59</v>
      </c>
      <c r="H8" s="49">
        <v>293000000</v>
      </c>
      <c r="I8" s="50">
        <f t="shared" ref="I8" si="0">+H8/G8</f>
        <v>4966101.6949152546</v>
      </c>
    </row>
    <row r="9" spans="2:9" ht="15.75" thickBot="1">
      <c r="B9" s="51"/>
      <c r="C9" s="52"/>
      <c r="D9" s="52"/>
      <c r="E9" s="52"/>
      <c r="F9" s="52"/>
      <c r="G9" s="53"/>
      <c r="H9" s="54"/>
      <c r="I9" s="55"/>
    </row>
    <row r="10" spans="2:9">
      <c r="B10" s="56"/>
      <c r="C10" s="57"/>
      <c r="D10" s="57"/>
      <c r="E10" s="57"/>
      <c r="F10" s="57"/>
      <c r="G10" s="321" t="s">
        <v>47</v>
      </c>
      <c r="H10" s="321"/>
      <c r="I10" s="58">
        <f>SUM(I5:I8)/4</f>
        <v>4940381.5558042852</v>
      </c>
    </row>
    <row r="11" spans="2:9">
      <c r="B11" s="59"/>
      <c r="C11" s="60"/>
      <c r="D11" s="60"/>
      <c r="E11" s="60"/>
      <c r="F11" s="61"/>
      <c r="G11" s="321" t="s">
        <v>48</v>
      </c>
      <c r="H11" s="321"/>
      <c r="I11" s="62">
        <f>STDEV(I5:I8)</f>
        <v>93997.942811934889</v>
      </c>
    </row>
    <row r="12" spans="2:9">
      <c r="B12" s="59"/>
      <c r="C12" s="60"/>
      <c r="D12" s="60"/>
      <c r="E12" s="60"/>
      <c r="F12" s="61"/>
      <c r="G12" s="321" t="s">
        <v>49</v>
      </c>
      <c r="H12" s="321"/>
      <c r="I12" s="63">
        <f>SUM(I11/I10)</f>
        <v>1.9026454080555765E-2</v>
      </c>
    </row>
    <row r="13" spans="2:9">
      <c r="B13" s="59"/>
      <c r="C13" s="60"/>
      <c r="D13" s="60"/>
      <c r="E13" s="60"/>
      <c r="F13" s="61"/>
      <c r="G13" s="321" t="s">
        <v>50</v>
      </c>
      <c r="H13" s="321"/>
      <c r="I13" s="64">
        <f>+_xlfn.SKEW.P(I5:I8)</f>
        <v>0.47706879795498264</v>
      </c>
    </row>
    <row r="14" spans="2:9" ht="15.75">
      <c r="B14" s="59"/>
      <c r="C14" s="60"/>
      <c r="D14" s="60"/>
      <c r="E14" s="60"/>
      <c r="F14" s="61"/>
      <c r="G14" s="314" t="s">
        <v>51</v>
      </c>
      <c r="H14" s="314"/>
      <c r="I14" s="62">
        <f>+I10+I11</f>
        <v>5034379.4986162204</v>
      </c>
    </row>
    <row r="15" spans="2:9" ht="16.5" thickBot="1">
      <c r="B15" s="59"/>
      <c r="C15" s="65"/>
      <c r="D15" s="65"/>
      <c r="E15" s="65"/>
      <c r="F15" s="61"/>
      <c r="G15" s="314" t="s">
        <v>52</v>
      </c>
      <c r="H15" s="314"/>
      <c r="I15" s="66">
        <f>+I10-I11</f>
        <v>4846383.61299235</v>
      </c>
    </row>
    <row r="16" spans="2:9" ht="15.75">
      <c r="B16" s="59"/>
      <c r="C16" s="65"/>
      <c r="D16" s="65"/>
      <c r="E16" s="65"/>
      <c r="F16" s="61"/>
      <c r="G16" s="67"/>
      <c r="H16" s="68"/>
      <c r="I16" s="69"/>
    </row>
    <row r="17" spans="2:9" ht="16.5" thickBot="1">
      <c r="B17" s="70"/>
      <c r="C17" s="71"/>
      <c r="D17" s="71"/>
      <c r="E17" s="71"/>
      <c r="F17" s="71"/>
      <c r="G17" s="72"/>
      <c r="H17" s="73" t="s">
        <v>53</v>
      </c>
      <c r="I17" s="83">
        <v>5000000</v>
      </c>
    </row>
    <row r="20" spans="2:9">
      <c r="G20">
        <f>+(G5+G6+G7+G8)/4</f>
        <v>73</v>
      </c>
      <c r="H20" t="s">
        <v>54</v>
      </c>
    </row>
    <row r="45" spans="2:4">
      <c r="B45" t="s">
        <v>226</v>
      </c>
    </row>
    <row r="47" spans="2:4">
      <c r="D47" s="30">
        <v>3371389</v>
      </c>
    </row>
  </sheetData>
  <sheetProtection algorithmName="SHA-512" hashValue="kLMegLkG+q5D2TEdsgA/58fsPYHEIk+P1r0J9oJkmjBksix64KsuIIDc9K5jX44bEPP+VGHAcu6jxP2i/9Eslg==" saltValue="KpsQGO9LslhqwKDwrVZMkg==" spinCount="100000" sheet="1" objects="1" scenarios="1"/>
  <mergeCells count="8">
    <mergeCell ref="G14:H14"/>
    <mergeCell ref="G15:H15"/>
    <mergeCell ref="B2:I2"/>
    <mergeCell ref="B3:I3"/>
    <mergeCell ref="G10:H10"/>
    <mergeCell ref="G11:H11"/>
    <mergeCell ref="G12:H12"/>
    <mergeCell ref="G13:H1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C67C6-C309-4BAE-9924-E18FB4096543}">
  <dimension ref="B3:J41"/>
  <sheetViews>
    <sheetView topLeftCell="A9" workbookViewId="0">
      <selection activeCell="J18" sqref="J18"/>
    </sheetView>
  </sheetViews>
  <sheetFormatPr baseColWidth="10" defaultRowHeight="15"/>
  <cols>
    <col min="3" max="3" width="15.85546875" customWidth="1"/>
    <col min="4" max="4" width="33.7109375" customWidth="1"/>
    <col min="5" max="5" width="19.42578125" customWidth="1"/>
    <col min="7" max="7" width="20.5703125" customWidth="1"/>
    <col min="8" max="8" width="15.42578125" customWidth="1"/>
    <col min="9" max="9" width="22.42578125" customWidth="1"/>
    <col min="10" max="10" width="14.42578125" bestFit="1" customWidth="1"/>
  </cols>
  <sheetData>
    <row r="3" spans="2:10" ht="15.75" thickBot="1"/>
    <row r="4" spans="2:10" ht="18.75" thickBot="1">
      <c r="B4" s="322" t="s">
        <v>55</v>
      </c>
      <c r="C4" s="323"/>
      <c r="D4" s="323"/>
      <c r="E4" s="323"/>
      <c r="F4" s="323"/>
      <c r="G4" s="323"/>
      <c r="H4" s="323"/>
      <c r="I4" s="323"/>
      <c r="J4" s="324"/>
    </row>
    <row r="5" spans="2:10" ht="45.75" thickBot="1">
      <c r="B5" s="31" t="s">
        <v>35</v>
      </c>
      <c r="C5" s="32" t="s">
        <v>56</v>
      </c>
      <c r="D5" s="32" t="s">
        <v>37</v>
      </c>
      <c r="E5" s="33" t="s">
        <v>39</v>
      </c>
      <c r="F5" s="34" t="s">
        <v>40</v>
      </c>
      <c r="G5" s="33" t="s">
        <v>41</v>
      </c>
      <c r="H5" s="33" t="s">
        <v>57</v>
      </c>
      <c r="I5" s="33" t="s">
        <v>58</v>
      </c>
      <c r="J5" s="35" t="s">
        <v>42</v>
      </c>
    </row>
    <row r="6" spans="2:10" ht="124.5" customHeight="1">
      <c r="B6" s="41">
        <v>1</v>
      </c>
      <c r="C6" s="42" t="s">
        <v>59</v>
      </c>
      <c r="D6" s="91" t="s">
        <v>179</v>
      </c>
      <c r="E6" s="42" t="s">
        <v>60</v>
      </c>
      <c r="F6" s="43">
        <v>300</v>
      </c>
      <c r="G6" s="44">
        <v>963000000</v>
      </c>
      <c r="H6" s="74">
        <f t="shared" ref="H6:H8" si="0">+G6/F6</f>
        <v>3210000</v>
      </c>
      <c r="I6" s="75">
        <v>1.2</v>
      </c>
      <c r="J6" s="45">
        <f>+H6*1.25</f>
        <v>4012500</v>
      </c>
    </row>
    <row r="7" spans="2:10" ht="133.5" customHeight="1">
      <c r="B7" s="41">
        <v>2</v>
      </c>
      <c r="C7" s="42" t="s">
        <v>59</v>
      </c>
      <c r="D7" s="91" t="s">
        <v>180</v>
      </c>
      <c r="E7" s="42" t="s">
        <v>60</v>
      </c>
      <c r="F7" s="43">
        <v>110</v>
      </c>
      <c r="G7" s="44">
        <v>330000000</v>
      </c>
      <c r="H7" s="74">
        <f t="shared" si="0"/>
        <v>3000000</v>
      </c>
      <c r="I7" s="75">
        <v>1.2</v>
      </c>
      <c r="J7" s="45">
        <f>+H7*1.25</f>
        <v>3750000</v>
      </c>
    </row>
    <row r="8" spans="2:10" ht="123" customHeight="1" thickBot="1">
      <c r="B8" s="46">
        <v>7</v>
      </c>
      <c r="C8" s="47" t="s">
        <v>59</v>
      </c>
      <c r="D8" s="93" t="s">
        <v>182</v>
      </c>
      <c r="E8" s="47" t="s">
        <v>181</v>
      </c>
      <c r="F8" s="48">
        <v>77</v>
      </c>
      <c r="G8" s="49">
        <v>220000000</v>
      </c>
      <c r="H8" s="76">
        <f t="shared" si="0"/>
        <v>2857142.8571428573</v>
      </c>
      <c r="I8" s="77">
        <v>1.2</v>
      </c>
      <c r="J8" s="45">
        <f>+H8*1.25</f>
        <v>3571428.5714285718</v>
      </c>
    </row>
    <row r="9" spans="2:10" ht="15.75" thickBot="1">
      <c r="B9" s="78"/>
      <c r="J9" s="79"/>
    </row>
    <row r="10" spans="2:10" ht="15.75" thickBot="1">
      <c r="B10" s="78"/>
      <c r="H10" s="321" t="s">
        <v>47</v>
      </c>
      <c r="I10" s="321"/>
      <c r="J10" s="58">
        <f>SUM(J6:J8)/3</f>
        <v>3777976.1904761903</v>
      </c>
    </row>
    <row r="11" spans="2:10" ht="24" customHeight="1" thickBot="1">
      <c r="B11" s="78"/>
      <c r="C11" s="325" t="s">
        <v>191</v>
      </c>
      <c r="D11" s="326"/>
      <c r="E11" s="327"/>
      <c r="H11" s="321" t="s">
        <v>48</v>
      </c>
      <c r="I11" s="321"/>
      <c r="J11" s="62">
        <f>STDEV(J6:J8)</f>
        <v>221862.57390709274</v>
      </c>
    </row>
    <row r="12" spans="2:10">
      <c r="B12" s="78"/>
      <c r="H12" s="321" t="s">
        <v>49</v>
      </c>
      <c r="I12" s="321"/>
      <c r="J12" s="80">
        <f>SUM(J11/J10)</f>
        <v>5.8725244078133891E-2</v>
      </c>
    </row>
    <row r="13" spans="2:10">
      <c r="B13" s="78"/>
      <c r="H13" s="321" t="s">
        <v>50</v>
      </c>
      <c r="I13" s="321"/>
      <c r="J13" s="64">
        <f>+SKEW(J6:J8)</f>
        <v>0.55841372218573848</v>
      </c>
    </row>
    <row r="14" spans="2:10" ht="15.75">
      <c r="B14" s="78"/>
      <c r="H14" s="314" t="s">
        <v>51</v>
      </c>
      <c r="I14" s="314"/>
      <c r="J14" s="62">
        <f>+J10+J11</f>
        <v>3999838.764383283</v>
      </c>
    </row>
    <row r="15" spans="2:10" ht="16.5" thickBot="1">
      <c r="B15" s="78"/>
      <c r="H15" s="314" t="s">
        <v>52</v>
      </c>
      <c r="I15" s="314"/>
      <c r="J15" s="66">
        <f>+J10-J11</f>
        <v>3556113.6165690976</v>
      </c>
    </row>
    <row r="16" spans="2:10" ht="15.75">
      <c r="B16" s="78"/>
      <c r="H16" s="67"/>
      <c r="I16" s="68"/>
      <c r="J16" s="69"/>
    </row>
    <row r="17" spans="2:10" ht="16.5" thickBot="1">
      <c r="B17" s="81"/>
      <c r="C17" s="82"/>
      <c r="D17" s="82"/>
      <c r="E17" s="82"/>
      <c r="F17" s="82"/>
      <c r="G17" s="82"/>
      <c r="H17" s="72"/>
      <c r="I17" s="73" t="s">
        <v>61</v>
      </c>
      <c r="J17" s="83">
        <v>3900000</v>
      </c>
    </row>
    <row r="38" spans="2:7">
      <c r="B38" t="s">
        <v>227</v>
      </c>
    </row>
    <row r="40" spans="2:7">
      <c r="D40" t="s">
        <v>62</v>
      </c>
      <c r="G40" t="s">
        <v>63</v>
      </c>
    </row>
    <row r="41" spans="2:7">
      <c r="D41" s="30">
        <v>3087636</v>
      </c>
      <c r="G41" s="30">
        <v>2521009</v>
      </c>
    </row>
  </sheetData>
  <sheetProtection algorithmName="SHA-512" hashValue="6m1zePHa9xYMsZEeQOjUZ7YMOG0/cvWC5zw8npD9WgDuSOnTCCRW/hGI1w43Bn+UaTKilyIx/gdvpQY+JXMqbQ==" saltValue="NaIdQJVe3LpS9ySW/GQANg==" spinCount="100000" sheet="1" objects="1" scenarios="1"/>
  <mergeCells count="8">
    <mergeCell ref="H15:I15"/>
    <mergeCell ref="B4:J4"/>
    <mergeCell ref="H10:I10"/>
    <mergeCell ref="H11:I11"/>
    <mergeCell ref="H12:I12"/>
    <mergeCell ref="H13:I13"/>
    <mergeCell ref="H14:I14"/>
    <mergeCell ref="C11:E11"/>
  </mergeCells>
  <hyperlinks>
    <hyperlink ref="D6" r:id="rId1" xr:uid="{EA78B727-37FE-492F-AD9D-F842D46BC363}"/>
    <hyperlink ref="D7" r:id="rId2" xr:uid="{614E81C0-8BA0-434A-8E88-2AC1EBA933C2}"/>
    <hyperlink ref="D8" r:id="rId3" xr:uid="{02E0E52D-D939-4568-BE2E-01ABF9D9FB39}"/>
  </hyperlinks>
  <pageMargins left="0.7" right="0.7" top="0.75" bottom="0.75" header="0.3" footer="0.3"/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D32BD-1B22-4C80-B6BF-CF6F59D07CA3}">
  <dimension ref="B3:M90"/>
  <sheetViews>
    <sheetView topLeftCell="A60" workbookViewId="0">
      <selection activeCell="B89" sqref="B89"/>
    </sheetView>
  </sheetViews>
  <sheetFormatPr baseColWidth="10" defaultRowHeight="15"/>
  <cols>
    <col min="2" max="2" width="11.5703125" customWidth="1"/>
    <col min="3" max="3" width="16.140625" customWidth="1"/>
    <col min="4" max="4" width="19.28515625" customWidth="1"/>
    <col min="5" max="5" width="26.140625" customWidth="1"/>
    <col min="6" max="6" width="18.7109375" customWidth="1"/>
    <col min="7" max="7" width="13.140625" customWidth="1"/>
    <col min="8" max="8" width="18.7109375" customWidth="1"/>
    <col min="9" max="9" width="15" bestFit="1" customWidth="1"/>
  </cols>
  <sheetData>
    <row r="3" spans="7:13">
      <c r="G3" s="94"/>
    </row>
    <row r="4" spans="7:13">
      <c r="M4" s="95"/>
    </row>
    <row r="38" spans="6:6">
      <c r="F38" s="30">
        <v>1728661</v>
      </c>
    </row>
    <row r="59" spans="4:7" ht="15.75" thickBot="1"/>
    <row r="60" spans="4:7" ht="15.75" thickBot="1">
      <c r="D60" s="298" t="s">
        <v>70</v>
      </c>
      <c r="E60" s="299"/>
      <c r="F60" s="299"/>
      <c r="G60" s="300"/>
    </row>
    <row r="61" spans="4:7">
      <c r="D61" s="196"/>
      <c r="E61" s="24" t="s">
        <v>68</v>
      </c>
      <c r="F61" s="24" t="s">
        <v>178</v>
      </c>
      <c r="G61" s="29" t="s">
        <v>69</v>
      </c>
    </row>
    <row r="62" spans="4:7" ht="15.75" thickBot="1">
      <c r="D62" s="197" t="s">
        <v>67</v>
      </c>
      <c r="E62" s="198">
        <v>2368</v>
      </c>
      <c r="F62" s="199">
        <v>47065</v>
      </c>
      <c r="G62" s="200">
        <f>+E62*F62</f>
        <v>111449920</v>
      </c>
    </row>
    <row r="88" spans="2:4">
      <c r="B88" t="s">
        <v>227</v>
      </c>
    </row>
    <row r="90" spans="2:4">
      <c r="D90" s="30">
        <v>1931214</v>
      </c>
    </row>
  </sheetData>
  <sheetProtection algorithmName="SHA-512" hashValue="+GmGP6Upojv8+wZTxQdmytBr9GgQU5Q9PrlIEhSXpmN5d10ytJ4JslrOvrMpTJ4x7fghf9PQY1JUi8mCvMV8SA==" saltValue="GCHwufxryz75Wd3WTDis8Q==" spinCount="100000" sheet="1" objects="1" scenarios="1"/>
  <mergeCells count="1">
    <mergeCell ref="D60:G6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ED0E8-3353-420F-A97A-8E3427BEEB37}">
  <dimension ref="B2:M49"/>
  <sheetViews>
    <sheetView topLeftCell="A15" zoomScaleNormal="100" workbookViewId="0">
      <selection activeCell="F50" sqref="F50"/>
    </sheetView>
  </sheetViews>
  <sheetFormatPr baseColWidth="10" defaultRowHeight="15"/>
  <cols>
    <col min="2" max="2" width="11.5703125" customWidth="1"/>
    <col min="3" max="3" width="16.140625" customWidth="1"/>
    <col min="4" max="4" width="19.28515625" customWidth="1"/>
    <col min="5" max="5" width="20.5703125" customWidth="1"/>
    <col min="6" max="6" width="18.7109375" customWidth="1"/>
    <col min="7" max="7" width="13.140625" customWidth="1"/>
    <col min="8" max="8" width="18.7109375" customWidth="1"/>
    <col min="9" max="9" width="15" bestFit="1" customWidth="1"/>
    <col min="10" max="10" width="19.28515625" customWidth="1"/>
    <col min="11" max="11" width="26.140625" customWidth="1"/>
    <col min="12" max="12" width="18.7109375" customWidth="1"/>
    <col min="13" max="13" width="17.5703125" customWidth="1"/>
  </cols>
  <sheetData>
    <row r="2" spans="2:9" ht="15.75" thickBot="1"/>
    <row r="3" spans="2:9" ht="18">
      <c r="B3" s="315" t="s">
        <v>33</v>
      </c>
      <c r="C3" s="316"/>
      <c r="D3" s="316"/>
      <c r="E3" s="316"/>
      <c r="F3" s="316"/>
      <c r="G3" s="316"/>
      <c r="H3" s="316"/>
      <c r="I3" s="317"/>
    </row>
    <row r="4" spans="2:9" ht="18.75" thickBot="1">
      <c r="B4" s="318" t="s">
        <v>64</v>
      </c>
      <c r="C4" s="319"/>
      <c r="D4" s="319"/>
      <c r="E4" s="319"/>
      <c r="F4" s="319"/>
      <c r="G4" s="319"/>
      <c r="H4" s="319"/>
      <c r="I4" s="320"/>
    </row>
    <row r="5" spans="2:9" ht="45.75" thickBot="1">
      <c r="B5" s="31" t="s">
        <v>35</v>
      </c>
      <c r="C5" s="32" t="s">
        <v>36</v>
      </c>
      <c r="D5" s="32" t="s">
        <v>37</v>
      </c>
      <c r="E5" s="32" t="s">
        <v>38</v>
      </c>
      <c r="F5" s="33" t="s">
        <v>39</v>
      </c>
      <c r="G5" s="34" t="s">
        <v>40</v>
      </c>
      <c r="H5" s="33" t="s">
        <v>41</v>
      </c>
      <c r="I5" s="35" t="s">
        <v>42</v>
      </c>
    </row>
    <row r="6" spans="2:9" ht="42.75">
      <c r="B6" s="84">
        <v>1</v>
      </c>
      <c r="C6" s="85" t="s">
        <v>183</v>
      </c>
      <c r="D6" s="86" t="s">
        <v>187</v>
      </c>
      <c r="E6" s="86" t="s">
        <v>184</v>
      </c>
      <c r="F6" s="85" t="s">
        <v>185</v>
      </c>
      <c r="G6" s="87">
        <v>51</v>
      </c>
      <c r="H6" s="88">
        <v>162500000</v>
      </c>
      <c r="I6" s="89">
        <f>+H6/G6</f>
        <v>3186274.5098039214</v>
      </c>
    </row>
    <row r="7" spans="2:9" ht="42.75">
      <c r="B7" s="41">
        <v>2</v>
      </c>
      <c r="C7" s="42" t="s">
        <v>186</v>
      </c>
      <c r="D7" s="90" t="s">
        <v>187</v>
      </c>
      <c r="E7" s="90" t="s">
        <v>188</v>
      </c>
      <c r="F7" s="37" t="s">
        <v>43</v>
      </c>
      <c r="G7" s="43">
        <v>54</v>
      </c>
      <c r="H7" s="44">
        <v>175000000</v>
      </c>
      <c r="I7" s="45">
        <f>+H7/G7</f>
        <v>3240740.7407407407</v>
      </c>
    </row>
    <row r="8" spans="2:9" ht="30.75" thickBot="1">
      <c r="B8" s="46">
        <v>3</v>
      </c>
      <c r="C8" s="47" t="s">
        <v>66</v>
      </c>
      <c r="D8" s="92" t="s">
        <v>187</v>
      </c>
      <c r="E8" s="92" t="s">
        <v>189</v>
      </c>
      <c r="F8" s="47" t="s">
        <v>190</v>
      </c>
      <c r="G8" s="48">
        <v>56</v>
      </c>
      <c r="H8" s="49">
        <v>175500000</v>
      </c>
      <c r="I8" s="50">
        <f>+H8/G8</f>
        <v>3133928.5714285714</v>
      </c>
    </row>
    <row r="9" spans="2:9" ht="15.75" thickBot="1">
      <c r="B9" s="51"/>
      <c r="C9" s="52"/>
      <c r="D9" s="52"/>
      <c r="E9" s="52"/>
      <c r="F9" s="52"/>
      <c r="G9" s="53"/>
      <c r="H9" s="54"/>
      <c r="I9" s="55"/>
    </row>
    <row r="10" spans="2:9">
      <c r="B10" s="56"/>
      <c r="C10" s="57"/>
      <c r="D10" s="57"/>
      <c r="E10" s="57"/>
      <c r="F10" s="57"/>
      <c r="G10" s="321" t="s">
        <v>47</v>
      </c>
      <c r="H10" s="321"/>
      <c r="I10" s="58">
        <f>SUM(I6:I8)/3</f>
        <v>3186981.2739910777</v>
      </c>
    </row>
    <row r="11" spans="2:9">
      <c r="B11" s="59"/>
      <c r="C11" s="60"/>
      <c r="D11" s="60"/>
      <c r="E11" s="60"/>
      <c r="F11" s="61"/>
      <c r="G11" s="321" t="s">
        <v>48</v>
      </c>
      <c r="H11" s="321"/>
      <c r="I11" s="62">
        <f>STDEV(I6:I8)</f>
        <v>53409.591975646712</v>
      </c>
    </row>
    <row r="12" spans="2:9">
      <c r="B12" s="59"/>
      <c r="C12" s="60"/>
      <c r="D12" s="60"/>
      <c r="E12" s="60"/>
      <c r="F12" s="61"/>
      <c r="G12" s="321" t="s">
        <v>49</v>
      </c>
      <c r="H12" s="321"/>
      <c r="I12" s="63">
        <f>SUM(I11/I10)</f>
        <v>1.6758677690239934E-2</v>
      </c>
    </row>
    <row r="13" spans="2:9">
      <c r="B13" s="59"/>
      <c r="C13" s="60"/>
      <c r="D13" s="60"/>
      <c r="E13" s="60"/>
      <c r="F13" s="61"/>
      <c r="G13" s="321" t="s">
        <v>50</v>
      </c>
      <c r="H13" s="321"/>
      <c r="I13" s="64">
        <f>+_xlfn.SKEW.P(I6:I8)</f>
        <v>2.4306146294931146E-2</v>
      </c>
    </row>
    <row r="14" spans="2:9" ht="15.75">
      <c r="B14" s="59"/>
      <c r="C14" s="60"/>
      <c r="D14" s="60"/>
      <c r="E14" s="60"/>
      <c r="F14" s="61"/>
      <c r="G14" s="314" t="s">
        <v>51</v>
      </c>
      <c r="H14" s="314"/>
      <c r="I14" s="62">
        <f>+I10+I11</f>
        <v>3240390.8659667242</v>
      </c>
    </row>
    <row r="15" spans="2:9" ht="16.5" thickBot="1">
      <c r="B15" s="59"/>
      <c r="C15" s="65"/>
      <c r="D15" s="65"/>
      <c r="E15" s="65"/>
      <c r="F15" s="61"/>
      <c r="G15" s="314" t="s">
        <v>52</v>
      </c>
      <c r="H15" s="314"/>
      <c r="I15" s="66">
        <f>+I10-I11</f>
        <v>3133571.6820154311</v>
      </c>
    </row>
    <row r="16" spans="2:9" ht="15.75">
      <c r="B16" s="59"/>
      <c r="C16" s="65"/>
      <c r="D16" s="65"/>
      <c r="E16" s="65"/>
      <c r="F16" s="61"/>
      <c r="G16" s="67"/>
      <c r="H16" s="68"/>
      <c r="I16" s="69"/>
    </row>
    <row r="17" spans="2:13" ht="16.5" thickBot="1">
      <c r="B17" s="70"/>
      <c r="C17" s="71"/>
      <c r="D17" s="71"/>
      <c r="E17" s="71"/>
      <c r="F17" s="71"/>
      <c r="G17" s="72"/>
      <c r="H17" s="73" t="s">
        <v>53</v>
      </c>
      <c r="I17" s="83">
        <v>3190000</v>
      </c>
    </row>
    <row r="20" spans="2:13">
      <c r="G20" s="94">
        <f>+SUM(G6:G8)/4</f>
        <v>40.25</v>
      </c>
    </row>
    <row r="25" spans="2:13">
      <c r="M25" s="95" t="s">
        <v>65</v>
      </c>
    </row>
    <row r="30" spans="2:13" ht="15.75" thickBot="1"/>
    <row r="31" spans="2:13" ht="15.75" thickBot="1">
      <c r="J31" s="298" t="s">
        <v>70</v>
      </c>
      <c r="K31" s="299"/>
      <c r="L31" s="299"/>
      <c r="M31" s="300"/>
    </row>
    <row r="32" spans="2:13">
      <c r="J32" s="196"/>
      <c r="K32" s="24" t="s">
        <v>68</v>
      </c>
      <c r="L32" s="24" t="s">
        <v>178</v>
      </c>
      <c r="M32" s="29" t="s">
        <v>69</v>
      </c>
    </row>
    <row r="33" spans="2:13" ht="15.75" thickBot="1">
      <c r="J33" s="197" t="s">
        <v>127</v>
      </c>
      <c r="K33" s="198">
        <v>3552</v>
      </c>
      <c r="L33" s="199">
        <v>47065</v>
      </c>
      <c r="M33" s="200">
        <f>+K33*L33</f>
        <v>167174880</v>
      </c>
    </row>
    <row r="44" spans="2:13">
      <c r="B44" t="s">
        <v>227</v>
      </c>
    </row>
    <row r="49" spans="6:6">
      <c r="F49" s="30">
        <v>2229867</v>
      </c>
    </row>
  </sheetData>
  <sheetProtection algorithmName="SHA-512" hashValue="T7AiV74LropApqsiPbuvEk6zI+atufnoum8RozgwPBaqpGm7fmzu0klqS4UEsqsH8aPQKPsWIK3G4RPZ5eoJFg==" saltValue="roQym83dGdH4sIAHMmApOQ==" spinCount="100000" sheet="1" objects="1" scenarios="1"/>
  <mergeCells count="9">
    <mergeCell ref="J31:M31"/>
    <mergeCell ref="G14:H14"/>
    <mergeCell ref="G15:H15"/>
    <mergeCell ref="B3:I3"/>
    <mergeCell ref="B4:I4"/>
    <mergeCell ref="G10:H10"/>
    <mergeCell ref="G11:H11"/>
    <mergeCell ref="G12:H12"/>
    <mergeCell ref="G13:H13"/>
  </mergeCells>
  <hyperlinks>
    <hyperlink ref="M25" r:id="rId1" xr:uid="{83384A14-3685-4E33-9DDD-1E499CA1C8DD}"/>
  </hyperlinks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3A7E7-95CE-47D3-9E21-C5675CCC525F}">
  <dimension ref="C4:K23"/>
  <sheetViews>
    <sheetView workbookViewId="0">
      <selection activeCell="J26" sqref="J26"/>
    </sheetView>
  </sheetViews>
  <sheetFormatPr baseColWidth="10" defaultRowHeight="15"/>
  <cols>
    <col min="3" max="3" width="32.7109375" customWidth="1"/>
    <col min="4" max="4" width="15.7109375" customWidth="1"/>
    <col min="5" max="5" width="23.85546875" customWidth="1"/>
    <col min="6" max="6" width="26.7109375" customWidth="1"/>
    <col min="9" max="9" width="21.7109375" customWidth="1"/>
    <col min="10" max="10" width="31.42578125" customWidth="1"/>
    <col min="11" max="11" width="20.7109375" customWidth="1"/>
  </cols>
  <sheetData>
    <row r="4" spans="3:11" ht="15.75" thickBot="1"/>
    <row r="5" spans="3:11" ht="16.5" thickBot="1">
      <c r="C5" s="101" t="s">
        <v>72</v>
      </c>
      <c r="D5" s="102" t="s">
        <v>73</v>
      </c>
      <c r="E5" s="102" t="s">
        <v>74</v>
      </c>
      <c r="F5" s="103" t="s">
        <v>75</v>
      </c>
    </row>
    <row r="6" spans="3:11" ht="15.75" thickBot="1">
      <c r="C6" s="104" t="s">
        <v>128</v>
      </c>
      <c r="D6" s="105">
        <f>+(('POTENCIAL DESARROLLO'!G18)/10000)</f>
        <v>102.377424</v>
      </c>
      <c r="E6" s="106">
        <f>+'POTENCIAL DESARROLLO'!G111</f>
        <v>925243711.14194071</v>
      </c>
      <c r="F6" s="107">
        <f>+E6*D6</f>
        <v>94724067718.911987</v>
      </c>
    </row>
    <row r="7" spans="3:11" ht="16.5" thickBot="1">
      <c r="C7" s="328" t="s">
        <v>75</v>
      </c>
      <c r="D7" s="329"/>
      <c r="E7" s="330"/>
      <c r="F7" s="108">
        <f>SUM(F6:F6)</f>
        <v>94724067718.911987</v>
      </c>
    </row>
    <row r="8" spans="3:11" ht="15.75" thickBot="1"/>
    <row r="9" spans="3:11" ht="16.5" thickBot="1">
      <c r="C9" s="101" t="s">
        <v>72</v>
      </c>
      <c r="D9" s="102" t="s">
        <v>73</v>
      </c>
      <c r="E9" s="102" t="s">
        <v>74</v>
      </c>
      <c r="F9" s="103" t="s">
        <v>75</v>
      </c>
    </row>
    <row r="10" spans="3:11" ht="15.75" thickBot="1">
      <c r="C10" s="104" t="s">
        <v>197</v>
      </c>
      <c r="D10" s="105">
        <f>+D6</f>
        <v>102.377424</v>
      </c>
      <c r="E10" s="106">
        <f>+'IPC DANE'!AB22</f>
        <v>172231245.22005144</v>
      </c>
      <c r="F10" s="107">
        <f>+E10*D10</f>
        <v>17632591217.941181</v>
      </c>
    </row>
    <row r="11" spans="3:11" ht="16.5" thickBot="1">
      <c r="C11" s="328" t="s">
        <v>75</v>
      </c>
      <c r="D11" s="329"/>
      <c r="E11" s="330"/>
      <c r="F11" s="108">
        <f>SUM(F10:F10)</f>
        <v>17632591217.941181</v>
      </c>
    </row>
    <row r="14" spans="3:11" ht="15.75" thickBot="1"/>
    <row r="15" spans="3:11" ht="16.5" thickBot="1">
      <c r="I15" s="101" t="s">
        <v>197</v>
      </c>
      <c r="J15" s="102" t="s">
        <v>198</v>
      </c>
      <c r="K15" s="253" t="s">
        <v>199</v>
      </c>
    </row>
    <row r="16" spans="3:11">
      <c r="I16" s="254">
        <f>+E10/10000</f>
        <v>17223.124522005142</v>
      </c>
      <c r="J16" s="255">
        <f>+E6/10000</f>
        <v>92524.371114194073</v>
      </c>
      <c r="K16" s="256">
        <f>+J16-I16</f>
        <v>75301.246592188923</v>
      </c>
    </row>
    <row r="17" spans="9:11" ht="16.5" thickBot="1">
      <c r="I17" s="331" t="s">
        <v>200</v>
      </c>
      <c r="J17" s="332"/>
      <c r="K17" s="257">
        <f>+K16*'POTENCIAL DESARROLLO'!G24</f>
        <v>17441073681.354397</v>
      </c>
    </row>
    <row r="18" spans="9:11" ht="21.75" thickBot="1">
      <c r="I18" s="333">
        <v>0.4</v>
      </c>
      <c r="J18" s="334"/>
      <c r="K18" s="108">
        <f>+K17*0.4</f>
        <v>6976429472.5417595</v>
      </c>
    </row>
    <row r="23" spans="9:11">
      <c r="J23" s="30"/>
    </row>
  </sheetData>
  <sheetProtection algorithmName="SHA-512" hashValue="b7ehFIGLbvwjKbgisKV6xwyxuxMyyj8KA9rNmchmPO9O6jCdbs/nyw7nPCDL53NQw3U6cNZ+8zaGEeT/RL8rKg==" saltValue="3wxKfLPaO3Gg90Pcv+G+IQ==" spinCount="100000" sheet="1" objects="1" scenarios="1"/>
  <mergeCells count="4">
    <mergeCell ref="C7:E7"/>
    <mergeCell ref="C11:E11"/>
    <mergeCell ref="I17:J17"/>
    <mergeCell ref="I18:J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OFERTAS RURALES</vt:lpstr>
      <vt:lpstr>P1 RURAL</vt:lpstr>
      <vt:lpstr>IPC DANE</vt:lpstr>
      <vt:lpstr>POTENCIAL DESARROLLO</vt:lpstr>
      <vt:lpstr>EST MDO APTOS NO VIS</vt:lpstr>
      <vt:lpstr>EST MDO LOCALES</vt:lpstr>
      <vt:lpstr>VIP</vt:lpstr>
      <vt:lpstr>VIS</vt:lpstr>
      <vt:lpstr>RESULTADO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Andres Ramirez</cp:lastModifiedBy>
  <cp:lastPrinted>2018-01-05T14:54:43Z</cp:lastPrinted>
  <dcterms:created xsi:type="dcterms:W3CDTF">2013-10-28T17:32:25Z</dcterms:created>
  <dcterms:modified xsi:type="dcterms:W3CDTF">2024-12-04T14:18:58Z</dcterms:modified>
  <cp:category/>
</cp:coreProperties>
</file>